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24226"/>
  <mc:AlternateContent xmlns:mc="http://schemas.openxmlformats.org/markup-compatibility/2006">
    <mc:Choice Requires="x15">
      <x15ac:absPath xmlns:x15ac="http://schemas.microsoft.com/office/spreadsheetml/2010/11/ac" url="C:\Veda\Veda_models\Gällivare\Gallivare_Model_230318\SuppXLS\"/>
    </mc:Choice>
  </mc:AlternateContent>
  <xr:revisionPtr revIDLastSave="0" documentId="13_ncr:1_{D779847A-7284-4D9F-83AF-EC86D77A1C6D}" xr6:coauthVersionLast="47" xr6:coauthVersionMax="47" xr10:uidLastSave="{00000000-0000-0000-0000-000000000000}"/>
  <bookViews>
    <workbookView xWindow="30315" yWindow="930" windowWidth="30975" windowHeight="15810" activeTab="1" xr2:uid="{00000000-000D-0000-FFFF-FFFF00000000}"/>
  </bookViews>
  <sheets>
    <sheet name="controller" sheetId="15" r:id="rId1"/>
    <sheet name="Demand" sheetId="2" r:id="rId2"/>
    <sheet name="Prices" sheetId="16" r:id="rId3"/>
    <sheet name="TechnicalSpec" sheetId="11" r:id="rId4"/>
    <sheet name="INDATA_FILL_DEMAND" sheetId="9" r:id="rId5"/>
    <sheet name="Scenarios_Data" sheetId="6" r:id="rId6"/>
    <sheet name="INDATA_Defining_Quantitative" sheetId="23" r:id="rId7"/>
    <sheet name="Scenarios_Qualitative" sheetId="7" r:id="rId8"/>
    <sheet name="Global" sheetId="21" r:id="rId9"/>
    <sheet name="Gällivare" sheetId="20" r:id="rId10"/>
    <sheet name="Price of Electricity" sheetId="8" r:id="rId11"/>
    <sheet name="Price of Peat" sheetId="19" r:id="rId12"/>
    <sheet name="Price of Biofuels" sheetId="18" r:id="rId13"/>
    <sheet name="Price of Solid biomass" sheetId="17" r:id="rId14"/>
  </sheets>
  <definedNames>
    <definedName name="_xlnm._FilterDatabase" localSheetId="3" hidden="1">TechnicalSpec!$E$29:$R$74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73" i="11" l="1"/>
  <c r="N68" i="11"/>
  <c r="N63" i="11"/>
  <c r="N58" i="11"/>
  <c r="N48" i="11"/>
  <c r="N53" i="11"/>
  <c r="J20" i="11"/>
  <c r="J21" i="11"/>
  <c r="J15" i="11"/>
  <c r="H10" i="11"/>
  <c r="I10" i="11"/>
  <c r="N10" i="11"/>
  <c r="N15" i="11" s="1"/>
  <c r="Q10" i="11"/>
  <c r="G10" i="11"/>
  <c r="N61" i="11"/>
  <c r="N62" i="11"/>
  <c r="N64" i="11"/>
  <c r="N65" i="11"/>
  <c r="N66" i="11"/>
  <c r="N67" i="11"/>
  <c r="N69" i="11"/>
  <c r="N70" i="11"/>
  <c r="N71" i="11"/>
  <c r="N72" i="11"/>
  <c r="N74" i="11"/>
  <c r="N60" i="11"/>
  <c r="N46" i="11"/>
  <c r="N47" i="11"/>
  <c r="N49" i="11"/>
  <c r="N50" i="11"/>
  <c r="N51" i="11"/>
  <c r="N52" i="11"/>
  <c r="N54" i="11"/>
  <c r="N55" i="11"/>
  <c r="N56" i="11"/>
  <c r="N57" i="11"/>
  <c r="N59" i="11"/>
  <c r="N45" i="11"/>
  <c r="J25" i="11"/>
  <c r="J24" i="11"/>
  <c r="J23" i="11"/>
  <c r="J22" i="11"/>
  <c r="J8" i="11"/>
  <c r="J9" i="11"/>
  <c r="J11" i="11"/>
  <c r="J10" i="11" s="1"/>
  <c r="J12" i="11"/>
  <c r="J13" i="11"/>
  <c r="J14" i="11"/>
  <c r="J16" i="11"/>
  <c r="J17" i="11"/>
  <c r="J18" i="11"/>
  <c r="J19" i="11"/>
  <c r="J7" i="11"/>
  <c r="N14" i="11"/>
  <c r="N16" i="11"/>
  <c r="BP33" i="7"/>
  <c r="BO33" i="7"/>
  <c r="AJ33" i="7" s="1"/>
  <c r="BN33" i="7"/>
  <c r="AI33" i="7" s="1"/>
  <c r="BM33" i="7"/>
  <c r="AH33" i="7" s="1"/>
  <c r="BL33" i="7"/>
  <c r="AG33" i="7" s="1"/>
  <c r="BK33" i="7"/>
  <c r="AF33" i="7" s="1"/>
  <c r="BJ33" i="7"/>
  <c r="AE33" i="7" s="1"/>
  <c r="BI33" i="7"/>
  <c r="AD33" i="7" s="1"/>
  <c r="BH33" i="7"/>
  <c r="AC33" i="7" s="1"/>
  <c r="BG33" i="7"/>
  <c r="AB33" i="7" s="1"/>
  <c r="BF33" i="7"/>
  <c r="AA33" i="7" s="1"/>
  <c r="BE33" i="7"/>
  <c r="Z33" i="7" s="1"/>
  <c r="BD33" i="7"/>
  <c r="BC33" i="7"/>
  <c r="BB33" i="7"/>
  <c r="W33" i="7" s="1"/>
  <c r="BA33" i="7"/>
  <c r="V33" i="7" s="1"/>
  <c r="AZ33" i="7"/>
  <c r="U33" i="7" s="1"/>
  <c r="AY33" i="7"/>
  <c r="T33" i="7" s="1"/>
  <c r="AX33" i="7"/>
  <c r="S33" i="7" s="1"/>
  <c r="AW33" i="7"/>
  <c r="R33" i="7" s="1"/>
  <c r="AV33" i="7"/>
  <c r="Q33" i="7" s="1"/>
  <c r="AU33" i="7"/>
  <c r="P33" i="7" s="1"/>
  <c r="AT33" i="7"/>
  <c r="O33" i="7" s="1"/>
  <c r="AS33" i="7"/>
  <c r="N33" i="7" s="1"/>
  <c r="AR33" i="7"/>
  <c r="AQ33" i="7"/>
  <c r="AP33" i="7"/>
  <c r="K33" i="7" s="1"/>
  <c r="AO33" i="7"/>
  <c r="J33" i="7" s="1"/>
  <c r="AN33" i="7"/>
  <c r="I33" i="7" s="1"/>
  <c r="AM33" i="7"/>
  <c r="H33" i="7" s="1"/>
  <c r="BP32" i="7"/>
  <c r="AK32" i="7" s="1"/>
  <c r="BO32" i="7"/>
  <c r="AJ32" i="7" s="1"/>
  <c r="BN32" i="7"/>
  <c r="AI32" i="7" s="1"/>
  <c r="BM32" i="7"/>
  <c r="AH32" i="7" s="1"/>
  <c r="BL32" i="7"/>
  <c r="AG32" i="7" s="1"/>
  <c r="BK32" i="7"/>
  <c r="AF32" i="7" s="1"/>
  <c r="BJ32" i="7"/>
  <c r="BI32" i="7"/>
  <c r="AD32" i="7" s="1"/>
  <c r="BH32" i="7"/>
  <c r="AC32" i="7" s="1"/>
  <c r="BG32" i="7"/>
  <c r="AB32" i="7" s="1"/>
  <c r="BF32" i="7"/>
  <c r="AA32" i="7" s="1"/>
  <c r="BE32" i="7"/>
  <c r="Z32" i="7" s="1"/>
  <c r="BD32" i="7"/>
  <c r="Y32" i="7" s="1"/>
  <c r="BC32" i="7"/>
  <c r="X32" i="7" s="1"/>
  <c r="BB32" i="7"/>
  <c r="W32" i="7" s="1"/>
  <c r="BA32" i="7"/>
  <c r="V32" i="7" s="1"/>
  <c r="AZ32" i="7"/>
  <c r="U32" i="7" s="1"/>
  <c r="AY32" i="7"/>
  <c r="T32" i="7" s="1"/>
  <c r="AX32" i="7"/>
  <c r="AW32" i="7"/>
  <c r="AV32" i="7"/>
  <c r="Q32" i="7" s="1"/>
  <c r="AU32" i="7"/>
  <c r="P32" i="7" s="1"/>
  <c r="AT32" i="7"/>
  <c r="O32" i="7" s="1"/>
  <c r="AS32" i="7"/>
  <c r="N32" i="7" s="1"/>
  <c r="AR32" i="7"/>
  <c r="M32" i="7" s="1"/>
  <c r="AQ32" i="7"/>
  <c r="L32" i="7" s="1"/>
  <c r="AP32" i="7"/>
  <c r="K32" i="7" s="1"/>
  <c r="AO32" i="7"/>
  <c r="J32" i="7" s="1"/>
  <c r="AN32" i="7"/>
  <c r="I32" i="7" s="1"/>
  <c r="AM32" i="7"/>
  <c r="H32" i="7" s="1"/>
  <c r="BP31" i="7"/>
  <c r="BO31" i="7"/>
  <c r="AJ31" i="7" s="1"/>
  <c r="BN31" i="7"/>
  <c r="AI31" i="7" s="1"/>
  <c r="BM31" i="7"/>
  <c r="AH31" i="7" s="1"/>
  <c r="BL31" i="7"/>
  <c r="AG31" i="7" s="1"/>
  <c r="BK31" i="7"/>
  <c r="AF31" i="7" s="1"/>
  <c r="BJ31" i="7"/>
  <c r="AE31" i="7" s="1"/>
  <c r="BI31" i="7"/>
  <c r="AD31" i="7" s="1"/>
  <c r="BH31" i="7"/>
  <c r="AC31" i="7" s="1"/>
  <c r="BG31" i="7"/>
  <c r="AB31" i="7" s="1"/>
  <c r="BF31" i="7"/>
  <c r="AA31" i="7" s="1"/>
  <c r="BE31" i="7"/>
  <c r="Z31" i="7" s="1"/>
  <c r="BD31" i="7"/>
  <c r="BC31" i="7"/>
  <c r="X31" i="7" s="1"/>
  <c r="BB31" i="7"/>
  <c r="W31" i="7" s="1"/>
  <c r="BA31" i="7"/>
  <c r="V31" i="7" s="1"/>
  <c r="AZ31" i="7"/>
  <c r="U31" i="7" s="1"/>
  <c r="AY31" i="7"/>
  <c r="T31" i="7" s="1"/>
  <c r="AX31" i="7"/>
  <c r="S31" i="7" s="1"/>
  <c r="AW31" i="7"/>
  <c r="R31" i="7" s="1"/>
  <c r="AV31" i="7"/>
  <c r="Q31" i="7" s="1"/>
  <c r="AU31" i="7"/>
  <c r="P31" i="7" s="1"/>
  <c r="AT31" i="7"/>
  <c r="O31" i="7" s="1"/>
  <c r="AS31" i="7"/>
  <c r="N31" i="7" s="1"/>
  <c r="AR31" i="7"/>
  <c r="AQ31" i="7"/>
  <c r="L31" i="7" s="1"/>
  <c r="AP31" i="7"/>
  <c r="K31" i="7" s="1"/>
  <c r="AO31" i="7"/>
  <c r="J31" i="7" s="1"/>
  <c r="AN31" i="7"/>
  <c r="I31" i="7" s="1"/>
  <c r="AM31" i="7"/>
  <c r="H31" i="7" s="1"/>
  <c r="BP25" i="7"/>
  <c r="AK25" i="7" s="1"/>
  <c r="BO25" i="7"/>
  <c r="AJ25" i="7" s="1"/>
  <c r="BN25" i="7"/>
  <c r="AI25" i="7" s="1"/>
  <c r="BM25" i="7"/>
  <c r="AH25" i="7" s="1"/>
  <c r="BL25" i="7"/>
  <c r="AG25" i="7" s="1"/>
  <c r="BK25" i="7"/>
  <c r="AF25" i="7" s="1"/>
  <c r="BJ25" i="7"/>
  <c r="BI25" i="7"/>
  <c r="AD25" i="7" s="1"/>
  <c r="BH25" i="7"/>
  <c r="AC25" i="7" s="1"/>
  <c r="BG25" i="7"/>
  <c r="AB25" i="7" s="1"/>
  <c r="BF25" i="7"/>
  <c r="AA25" i="7" s="1"/>
  <c r="BE25" i="7"/>
  <c r="Z25" i="7" s="1"/>
  <c r="BD25" i="7"/>
  <c r="Y25" i="7" s="1"/>
  <c r="BC25" i="7"/>
  <c r="X25" i="7" s="1"/>
  <c r="BB25" i="7"/>
  <c r="W25" i="7" s="1"/>
  <c r="BA25" i="7"/>
  <c r="V25" i="7" s="1"/>
  <c r="AZ25" i="7"/>
  <c r="U25" i="7" s="1"/>
  <c r="AY25" i="7"/>
  <c r="T25" i="7" s="1"/>
  <c r="AX25" i="7"/>
  <c r="AW25" i="7"/>
  <c r="R25" i="7" s="1"/>
  <c r="AV25" i="7"/>
  <c r="Q25" i="7" s="1"/>
  <c r="AU25" i="7"/>
  <c r="P25" i="7" s="1"/>
  <c r="AT25" i="7"/>
  <c r="O25" i="7" s="1"/>
  <c r="AS25" i="7"/>
  <c r="AR25" i="7"/>
  <c r="M25" i="7" s="1"/>
  <c r="AQ25" i="7"/>
  <c r="L25" i="7" s="1"/>
  <c r="AP25" i="7"/>
  <c r="K25" i="7" s="1"/>
  <c r="AO25" i="7"/>
  <c r="J25" i="7" s="1"/>
  <c r="AN25" i="7"/>
  <c r="I25" i="7" s="1"/>
  <c r="AM25" i="7"/>
  <c r="H25" i="7" s="1"/>
  <c r="BP24" i="7"/>
  <c r="BO24" i="7"/>
  <c r="AJ24" i="7" s="1"/>
  <c r="BN24" i="7"/>
  <c r="BM24" i="7"/>
  <c r="AH24" i="7" s="1"/>
  <c r="BL24" i="7"/>
  <c r="AG24" i="7" s="1"/>
  <c r="BK24" i="7"/>
  <c r="BJ24" i="7"/>
  <c r="AE24" i="7" s="1"/>
  <c r="BI24" i="7"/>
  <c r="AD24" i="7" s="1"/>
  <c r="BH24" i="7"/>
  <c r="AC24" i="7" s="1"/>
  <c r="BG24" i="7"/>
  <c r="AB24" i="7" s="1"/>
  <c r="BF24" i="7"/>
  <c r="AA24" i="7" s="1"/>
  <c r="BE24" i="7"/>
  <c r="Z24" i="7" s="1"/>
  <c r="BD24" i="7"/>
  <c r="BC24" i="7"/>
  <c r="X24" i="7" s="1"/>
  <c r="BB24" i="7"/>
  <c r="W24" i="7" s="1"/>
  <c r="BA24" i="7"/>
  <c r="V24" i="7" s="1"/>
  <c r="AZ24" i="7"/>
  <c r="U24" i="7" s="1"/>
  <c r="AY24" i="7"/>
  <c r="T24" i="7" s="1"/>
  <c r="AX24" i="7"/>
  <c r="S24" i="7" s="1"/>
  <c r="AW24" i="7"/>
  <c r="R24" i="7" s="1"/>
  <c r="AV24" i="7"/>
  <c r="Q24" i="7" s="1"/>
  <c r="AU24" i="7"/>
  <c r="P24" i="7" s="1"/>
  <c r="AT24" i="7"/>
  <c r="O24" i="7" s="1"/>
  <c r="AS24" i="7"/>
  <c r="N24" i="7" s="1"/>
  <c r="AR24" i="7"/>
  <c r="AQ24" i="7"/>
  <c r="L24" i="7" s="1"/>
  <c r="AP24" i="7"/>
  <c r="K24" i="7" s="1"/>
  <c r="AO24" i="7"/>
  <c r="J24" i="7" s="1"/>
  <c r="AN24" i="7"/>
  <c r="I24" i="7" s="1"/>
  <c r="AM24" i="7"/>
  <c r="H24" i="7" s="1"/>
  <c r="BP23" i="7"/>
  <c r="AK23" i="7" s="1"/>
  <c r="BO23" i="7"/>
  <c r="AJ23" i="7" s="1"/>
  <c r="BN23" i="7"/>
  <c r="AI23" i="7" s="1"/>
  <c r="BM23" i="7"/>
  <c r="AH23" i="7" s="1"/>
  <c r="BL23" i="7"/>
  <c r="AG23" i="7" s="1"/>
  <c r="BK23" i="7"/>
  <c r="AF23" i="7" s="1"/>
  <c r="BJ23" i="7"/>
  <c r="BI23" i="7"/>
  <c r="AD23" i="7" s="1"/>
  <c r="BH23" i="7"/>
  <c r="AC23" i="7" s="1"/>
  <c r="BG23" i="7"/>
  <c r="AB23" i="7" s="1"/>
  <c r="BF23" i="7"/>
  <c r="AA23" i="7" s="1"/>
  <c r="BE23" i="7"/>
  <c r="Z23" i="7" s="1"/>
  <c r="BD23" i="7"/>
  <c r="Y23" i="7" s="1"/>
  <c r="BC23" i="7"/>
  <c r="X23" i="7" s="1"/>
  <c r="BB23" i="7"/>
  <c r="W23" i="7" s="1"/>
  <c r="BA23" i="7"/>
  <c r="V23" i="7" s="1"/>
  <c r="AZ23" i="7"/>
  <c r="U23" i="7" s="1"/>
  <c r="AY23" i="7"/>
  <c r="T23" i="7" s="1"/>
  <c r="AX23" i="7"/>
  <c r="AW23" i="7"/>
  <c r="R23" i="7" s="1"/>
  <c r="AV23" i="7"/>
  <c r="Q23" i="7" s="1"/>
  <c r="AU23" i="7"/>
  <c r="P23" i="7" s="1"/>
  <c r="AT23" i="7"/>
  <c r="O23" i="7" s="1"/>
  <c r="AS23" i="7"/>
  <c r="AR23" i="7"/>
  <c r="M23" i="7" s="1"/>
  <c r="AQ23" i="7"/>
  <c r="AP23" i="7"/>
  <c r="K23" i="7" s="1"/>
  <c r="AO23" i="7"/>
  <c r="J23" i="7" s="1"/>
  <c r="AN23" i="7"/>
  <c r="I23" i="7" s="1"/>
  <c r="AM23" i="7"/>
  <c r="H23" i="7" s="1"/>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BO13" i="7"/>
  <c r="BN13" i="7"/>
  <c r="BM13" i="7"/>
  <c r="BL13" i="7"/>
  <c r="BK13" i="7"/>
  <c r="BJ13" i="7"/>
  <c r="BI13" i="7"/>
  <c r="BH13" i="7"/>
  <c r="BG13" i="7"/>
  <c r="BF13" i="7"/>
  <c r="BE13" i="7"/>
  <c r="BD13" i="7"/>
  <c r="BC13" i="7"/>
  <c r="BB13" i="7"/>
  <c r="BA13" i="7"/>
  <c r="AZ13" i="7"/>
  <c r="AY13" i="7"/>
  <c r="AX13" i="7"/>
  <c r="AW13" i="7"/>
  <c r="AV13" i="7"/>
  <c r="AU13" i="7"/>
  <c r="AT13" i="7"/>
  <c r="AS13" i="7"/>
  <c r="AR13" i="7"/>
  <c r="AQ13" i="7"/>
  <c r="AP13" i="7"/>
  <c r="AO13" i="7"/>
  <c r="AN13" i="7"/>
  <c r="AM13" i="7"/>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S23" i="7"/>
  <c r="AE23" i="7"/>
  <c r="M24" i="7"/>
  <c r="L33" i="7"/>
  <c r="M33" i="7"/>
  <c r="Y33" i="7"/>
  <c r="R17" i="7"/>
  <c r="X33" i="7"/>
  <c r="AK33" i="7"/>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E32" i="7"/>
  <c r="S32" i="7"/>
  <c r="R32" i="7"/>
  <c r="AK31" i="7"/>
  <c r="Y31" i="7"/>
  <c r="M31" i="7"/>
  <c r="N25" i="7"/>
  <c r="AE25" i="7"/>
  <c r="S25" i="7"/>
  <c r="AK24" i="7"/>
  <c r="AI24" i="7"/>
  <c r="Y24" i="7"/>
  <c r="AF24" i="7"/>
  <c r="N23" i="7"/>
  <c r="L23" i="7"/>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3" i="21"/>
  <c r="BP30" i="7" s="1"/>
  <c r="AK30" i="7" s="1"/>
  <c r="I33" i="21"/>
  <c r="BJ30" i="7" s="1"/>
  <c r="AE30" i="7" s="1"/>
  <c r="H33" i="21"/>
  <c r="BD30" i="7" s="1"/>
  <c r="Y30" i="7" s="1"/>
  <c r="G33" i="21"/>
  <c r="AX30" i="7" s="1"/>
  <c r="S30" i="7" s="1"/>
  <c r="F33" i="21"/>
  <c r="AR30" i="7" s="1"/>
  <c r="M30" i="7" s="1"/>
  <c r="P32" i="21"/>
  <c r="O32" i="21"/>
  <c r="N32" i="21"/>
  <c r="M32" i="21"/>
  <c r="L32" i="21"/>
  <c r="J32" i="21"/>
  <c r="BP29" i="7" s="1"/>
  <c r="AK29" i="7" s="1"/>
  <c r="I32" i="21"/>
  <c r="BJ29" i="7" s="1"/>
  <c r="AE29" i="7" s="1"/>
  <c r="H32" i="21"/>
  <c r="BD29" i="7" s="1"/>
  <c r="Y29" i="7" s="1"/>
  <c r="G32" i="21"/>
  <c r="AX29" i="7" s="1"/>
  <c r="S29" i="7" s="1"/>
  <c r="F32" i="21"/>
  <c r="AR29" i="7" s="1"/>
  <c r="M29" i="7" s="1"/>
  <c r="P31" i="21"/>
  <c r="O31" i="21"/>
  <c r="N31" i="21"/>
  <c r="M31" i="21"/>
  <c r="L31" i="21"/>
  <c r="J31" i="21"/>
  <c r="I31" i="21"/>
  <c r="H31" i="21"/>
  <c r="G31" i="21"/>
  <c r="F31" i="21"/>
  <c r="P30" i="21"/>
  <c r="O30" i="21"/>
  <c r="N30" i="21"/>
  <c r="M30" i="21"/>
  <c r="L30" i="21"/>
  <c r="J30" i="21"/>
  <c r="I30" i="21"/>
  <c r="H30" i="21"/>
  <c r="G30" i="21"/>
  <c r="F30" i="21"/>
  <c r="P29" i="21"/>
  <c r="P33" i="21" s="1"/>
  <c r="O29" i="21"/>
  <c r="O33" i="21" s="1"/>
  <c r="N29" i="21"/>
  <c r="N33" i="21" s="1"/>
  <c r="M29" i="21"/>
  <c r="M33" i="21" s="1"/>
  <c r="L29" i="21"/>
  <c r="L33" i="21" s="1"/>
  <c r="J29" i="21"/>
  <c r="I29" i="21"/>
  <c r="H29" i="21"/>
  <c r="G29" i="21"/>
  <c r="F29"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1" i="20"/>
  <c r="I31" i="20"/>
  <c r="H31" i="20"/>
  <c r="G31" i="20"/>
  <c r="F31" i="20"/>
  <c r="J30" i="20"/>
  <c r="I30" i="20"/>
  <c r="H30" i="20"/>
  <c r="G30" i="20"/>
  <c r="F30" i="20"/>
  <c r="J29" i="20"/>
  <c r="I29" i="20"/>
  <c r="H29" i="20"/>
  <c r="G29" i="20"/>
  <c r="F29" i="20"/>
  <c r="J15" i="20"/>
  <c r="I15" i="20"/>
  <c r="H15" i="20"/>
  <c r="G15" i="20"/>
  <c r="F15" i="20"/>
  <c r="E15" i="20"/>
  <c r="D15" i="20"/>
  <c r="C15" i="20"/>
  <c r="J13" i="20"/>
  <c r="I13" i="20"/>
  <c r="H13" i="20"/>
  <c r="G13" i="20"/>
  <c r="F13" i="20"/>
  <c r="E13" i="20"/>
  <c r="D13" i="20"/>
  <c r="C13" i="20"/>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34" i="8"/>
  <c r="E34" i="8" s="1"/>
  <c r="H34" i="8"/>
  <c r="D34" i="8" s="1"/>
  <c r="G34" i="8"/>
  <c r="C34" i="8" s="1"/>
  <c r="I33" i="8"/>
  <c r="E33" i="8" s="1"/>
  <c r="H33" i="8"/>
  <c r="D33" i="8" s="1"/>
  <c r="G33" i="8"/>
  <c r="C33" i="8" s="1"/>
  <c r="I15" i="8"/>
  <c r="E15" i="8" s="1"/>
  <c r="H15" i="8"/>
  <c r="D15" i="8" s="1"/>
  <c r="G15" i="8"/>
  <c r="C15" i="8" s="1"/>
  <c r="I14" i="8"/>
  <c r="E14" i="8" s="1"/>
  <c r="H14" i="8"/>
  <c r="D14"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G10" i="8"/>
  <c r="C10" i="8" s="1"/>
  <c r="I9" i="8"/>
  <c r="E9" i="8" s="1"/>
  <c r="H9" i="8"/>
  <c r="D9" i="8" s="1"/>
  <c r="G9" i="8"/>
  <c r="C9" i="8" s="1"/>
  <c r="I8" i="8"/>
  <c r="E8" i="8" s="1"/>
  <c r="H8" i="8"/>
  <c r="D8" i="8" s="1"/>
  <c r="G8" i="8"/>
  <c r="C8" i="8" s="1"/>
  <c r="I7" i="8"/>
  <c r="E7" i="8" s="1"/>
  <c r="H7" i="8"/>
  <c r="D7" i="8" s="1"/>
  <c r="G7" i="8"/>
  <c r="C7" i="8" s="1"/>
  <c r="I6" i="8"/>
  <c r="E6" i="8" s="1"/>
  <c r="H6" i="8"/>
  <c r="D6"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3" i="11"/>
  <c r="N12" i="11"/>
  <c r="S6" i="2"/>
  <c r="S7" i="2"/>
  <c r="S5" i="2"/>
  <c r="S8" i="2"/>
  <c r="F6" i="2"/>
  <c r="F254" i="2" s="1"/>
  <c r="F502" i="2" s="1"/>
  <c r="F750" i="2" s="1"/>
  <c r="F7" i="2"/>
  <c r="F255" i="2" s="1"/>
  <c r="F503" i="2" s="1"/>
  <c r="F751" i="2" s="1"/>
  <c r="F8" i="2"/>
  <c r="F256" i="2" s="1"/>
  <c r="F504" i="2" s="1"/>
  <c r="F752" i="2" s="1"/>
  <c r="F9" i="2"/>
  <c r="F257" i="2" s="1"/>
  <c r="F505" i="2" s="1"/>
  <c r="F753" i="2" s="1"/>
  <c r="F10" i="2"/>
  <c r="F258" i="2" s="1"/>
  <c r="F506" i="2" s="1"/>
  <c r="F754" i="2" s="1"/>
  <c r="F11" i="2"/>
  <c r="F259" i="2" s="1"/>
  <c r="F507" i="2" s="1"/>
  <c r="F755" i="2" s="1"/>
  <c r="F12" i="2"/>
  <c r="F260" i="2" s="1"/>
  <c r="F508" i="2" s="1"/>
  <c r="F756" i="2" s="1"/>
  <c r="F13" i="2"/>
  <c r="F261" i="2" s="1"/>
  <c r="F509" i="2" s="1"/>
  <c r="F757" i="2" s="1"/>
  <c r="F14" i="2"/>
  <c r="F262" i="2" s="1"/>
  <c r="F510" i="2" s="1"/>
  <c r="F758" i="2" s="1"/>
  <c r="F15" i="2"/>
  <c r="F263" i="2" s="1"/>
  <c r="F511" i="2" s="1"/>
  <c r="F759" i="2" s="1"/>
  <c r="F16" i="2"/>
  <c r="F264" i="2" s="1"/>
  <c r="F512" i="2" s="1"/>
  <c r="F760" i="2" s="1"/>
  <c r="F17" i="2"/>
  <c r="F265" i="2" s="1"/>
  <c r="F513" i="2" s="1"/>
  <c r="F761" i="2" s="1"/>
  <c r="F18" i="2"/>
  <c r="F266" i="2" s="1"/>
  <c r="F514" i="2" s="1"/>
  <c r="F762" i="2" s="1"/>
  <c r="F19" i="2"/>
  <c r="F267" i="2" s="1"/>
  <c r="F515" i="2" s="1"/>
  <c r="F763" i="2" s="1"/>
  <c r="F20" i="2"/>
  <c r="F268" i="2" s="1"/>
  <c r="F516" i="2" s="1"/>
  <c r="F764" i="2" s="1"/>
  <c r="F21" i="2"/>
  <c r="F269" i="2" s="1"/>
  <c r="F517" i="2" s="1"/>
  <c r="F765" i="2" s="1"/>
  <c r="F22" i="2"/>
  <c r="F270" i="2" s="1"/>
  <c r="F518" i="2" s="1"/>
  <c r="F766" i="2" s="1"/>
  <c r="F23" i="2"/>
  <c r="F271" i="2" s="1"/>
  <c r="F519" i="2" s="1"/>
  <c r="F767" i="2" s="1"/>
  <c r="F24" i="2"/>
  <c r="F272" i="2" s="1"/>
  <c r="F520" i="2" s="1"/>
  <c r="F768" i="2" s="1"/>
  <c r="F25" i="2"/>
  <c r="F273" i="2" s="1"/>
  <c r="F521" i="2" s="1"/>
  <c r="F769" i="2" s="1"/>
  <c r="F26" i="2"/>
  <c r="F274" i="2" s="1"/>
  <c r="F522" i="2" s="1"/>
  <c r="F770" i="2" s="1"/>
  <c r="F27" i="2"/>
  <c r="F275" i="2" s="1"/>
  <c r="F523" i="2" s="1"/>
  <c r="F771" i="2" s="1"/>
  <c r="F28" i="2"/>
  <c r="F276" i="2" s="1"/>
  <c r="F524" i="2" s="1"/>
  <c r="F772" i="2" s="1"/>
  <c r="F29" i="2"/>
  <c r="F277" i="2" s="1"/>
  <c r="F525" i="2" s="1"/>
  <c r="F773" i="2" s="1"/>
  <c r="F30" i="2"/>
  <c r="F278" i="2" s="1"/>
  <c r="F526" i="2" s="1"/>
  <c r="F774" i="2" s="1"/>
  <c r="F31" i="2"/>
  <c r="F279" i="2" s="1"/>
  <c r="F527" i="2" s="1"/>
  <c r="F775" i="2" s="1"/>
  <c r="F32" i="2"/>
  <c r="F280" i="2" s="1"/>
  <c r="F528" i="2" s="1"/>
  <c r="F776" i="2" s="1"/>
  <c r="F33" i="2"/>
  <c r="F281" i="2" s="1"/>
  <c r="F529" i="2" s="1"/>
  <c r="F777" i="2" s="1"/>
  <c r="F34" i="2"/>
  <c r="F282" i="2" s="1"/>
  <c r="F530" i="2" s="1"/>
  <c r="F778" i="2" s="1"/>
  <c r="F35" i="2"/>
  <c r="F283" i="2" s="1"/>
  <c r="F531" i="2" s="1"/>
  <c r="F779" i="2" s="1"/>
  <c r="F36" i="2"/>
  <c r="F284" i="2" s="1"/>
  <c r="F532" i="2" s="1"/>
  <c r="F780" i="2" s="1"/>
  <c r="F37" i="2"/>
  <c r="F285" i="2" s="1"/>
  <c r="F533" i="2" s="1"/>
  <c r="F781" i="2" s="1"/>
  <c r="F38" i="2"/>
  <c r="F286" i="2" s="1"/>
  <c r="F534" i="2" s="1"/>
  <c r="F782" i="2" s="1"/>
  <c r="F39" i="2"/>
  <c r="F287" i="2" s="1"/>
  <c r="F535" i="2" s="1"/>
  <c r="F783" i="2" s="1"/>
  <c r="F40" i="2"/>
  <c r="F288" i="2" s="1"/>
  <c r="F536" i="2" s="1"/>
  <c r="F784" i="2" s="1"/>
  <c r="F41" i="2"/>
  <c r="F289" i="2" s="1"/>
  <c r="F537" i="2" s="1"/>
  <c r="F785" i="2" s="1"/>
  <c r="F42" i="2"/>
  <c r="F290" i="2" s="1"/>
  <c r="F538" i="2" s="1"/>
  <c r="F786" i="2" s="1"/>
  <c r="F43" i="2"/>
  <c r="F291" i="2" s="1"/>
  <c r="F539" i="2" s="1"/>
  <c r="F787" i="2" s="1"/>
  <c r="F44" i="2"/>
  <c r="F292" i="2" s="1"/>
  <c r="F540" i="2" s="1"/>
  <c r="F788" i="2" s="1"/>
  <c r="F45" i="2"/>
  <c r="F293" i="2" s="1"/>
  <c r="F541" i="2" s="1"/>
  <c r="F789" i="2" s="1"/>
  <c r="F46" i="2"/>
  <c r="F294" i="2" s="1"/>
  <c r="F542" i="2" s="1"/>
  <c r="F790" i="2" s="1"/>
  <c r="F47" i="2"/>
  <c r="F295" i="2" s="1"/>
  <c r="F543" i="2" s="1"/>
  <c r="F791" i="2" s="1"/>
  <c r="F48" i="2"/>
  <c r="F296" i="2" s="1"/>
  <c r="F544" i="2" s="1"/>
  <c r="F792" i="2" s="1"/>
  <c r="F49" i="2"/>
  <c r="F297" i="2" s="1"/>
  <c r="F545" i="2" s="1"/>
  <c r="F793" i="2" s="1"/>
  <c r="F50" i="2"/>
  <c r="F298" i="2" s="1"/>
  <c r="F546" i="2" s="1"/>
  <c r="F794" i="2" s="1"/>
  <c r="F51" i="2"/>
  <c r="F299" i="2" s="1"/>
  <c r="F547" i="2" s="1"/>
  <c r="F795" i="2" s="1"/>
  <c r="F52" i="2"/>
  <c r="F300" i="2" s="1"/>
  <c r="F548" i="2" s="1"/>
  <c r="F796" i="2" s="1"/>
  <c r="F53" i="2"/>
  <c r="F301" i="2" s="1"/>
  <c r="F549" i="2" s="1"/>
  <c r="F797" i="2" s="1"/>
  <c r="F54" i="2"/>
  <c r="F302" i="2" s="1"/>
  <c r="F550" i="2" s="1"/>
  <c r="F798" i="2" s="1"/>
  <c r="F55" i="2"/>
  <c r="F303" i="2" s="1"/>
  <c r="F551" i="2" s="1"/>
  <c r="F799" i="2" s="1"/>
  <c r="F56" i="2"/>
  <c r="F304" i="2" s="1"/>
  <c r="F552" i="2" s="1"/>
  <c r="F800" i="2" s="1"/>
  <c r="F57" i="2"/>
  <c r="F305" i="2" s="1"/>
  <c r="F553" i="2" s="1"/>
  <c r="F801" i="2" s="1"/>
  <c r="F58" i="2"/>
  <c r="F306" i="2" s="1"/>
  <c r="F554" i="2" s="1"/>
  <c r="F802" i="2" s="1"/>
  <c r="F59" i="2"/>
  <c r="F307" i="2" s="1"/>
  <c r="F555" i="2" s="1"/>
  <c r="F803" i="2" s="1"/>
  <c r="F60" i="2"/>
  <c r="F308" i="2" s="1"/>
  <c r="F556" i="2" s="1"/>
  <c r="F804" i="2" s="1"/>
  <c r="F61" i="2"/>
  <c r="F309" i="2" s="1"/>
  <c r="F557" i="2" s="1"/>
  <c r="F805" i="2" s="1"/>
  <c r="F62" i="2"/>
  <c r="F310" i="2" s="1"/>
  <c r="F558" i="2" s="1"/>
  <c r="F806" i="2" s="1"/>
  <c r="F63" i="2"/>
  <c r="F311" i="2" s="1"/>
  <c r="F559" i="2" s="1"/>
  <c r="F807" i="2" s="1"/>
  <c r="F64" i="2"/>
  <c r="F312" i="2" s="1"/>
  <c r="F560" i="2" s="1"/>
  <c r="F808" i="2" s="1"/>
  <c r="F65" i="2"/>
  <c r="F313" i="2" s="1"/>
  <c r="F561" i="2" s="1"/>
  <c r="F809" i="2" s="1"/>
  <c r="F66" i="2"/>
  <c r="F314" i="2" s="1"/>
  <c r="F562" i="2" s="1"/>
  <c r="F810" i="2" s="1"/>
  <c r="F67" i="2"/>
  <c r="F315" i="2" s="1"/>
  <c r="F563" i="2" s="1"/>
  <c r="F811" i="2" s="1"/>
  <c r="F68" i="2"/>
  <c r="F316" i="2" s="1"/>
  <c r="F564" i="2" s="1"/>
  <c r="F812" i="2" s="1"/>
  <c r="F69" i="2"/>
  <c r="F317" i="2" s="1"/>
  <c r="F565" i="2" s="1"/>
  <c r="F813" i="2" s="1"/>
  <c r="F70" i="2"/>
  <c r="F318" i="2" s="1"/>
  <c r="F566" i="2" s="1"/>
  <c r="F814" i="2" s="1"/>
  <c r="F71" i="2"/>
  <c r="F319" i="2" s="1"/>
  <c r="F567" i="2" s="1"/>
  <c r="F815" i="2" s="1"/>
  <c r="F72" i="2"/>
  <c r="F320" i="2" s="1"/>
  <c r="F568" i="2" s="1"/>
  <c r="F816" i="2" s="1"/>
  <c r="F73" i="2"/>
  <c r="F321" i="2" s="1"/>
  <c r="F569" i="2" s="1"/>
  <c r="F817" i="2" s="1"/>
  <c r="F74" i="2"/>
  <c r="F322" i="2" s="1"/>
  <c r="F570" i="2" s="1"/>
  <c r="F818" i="2" s="1"/>
  <c r="F75" i="2"/>
  <c r="F323" i="2" s="1"/>
  <c r="F571" i="2" s="1"/>
  <c r="F819" i="2" s="1"/>
  <c r="F76" i="2"/>
  <c r="F324" i="2" s="1"/>
  <c r="F572" i="2" s="1"/>
  <c r="F820" i="2" s="1"/>
  <c r="F77" i="2"/>
  <c r="F325" i="2" s="1"/>
  <c r="F573" i="2" s="1"/>
  <c r="F821" i="2" s="1"/>
  <c r="F78" i="2"/>
  <c r="F326" i="2" s="1"/>
  <c r="F574" i="2" s="1"/>
  <c r="F822" i="2" s="1"/>
  <c r="F79" i="2"/>
  <c r="F327" i="2" s="1"/>
  <c r="F575" i="2" s="1"/>
  <c r="F823" i="2" s="1"/>
  <c r="F80" i="2"/>
  <c r="F328" i="2" s="1"/>
  <c r="F576" i="2" s="1"/>
  <c r="F824" i="2" s="1"/>
  <c r="F81" i="2"/>
  <c r="F329" i="2" s="1"/>
  <c r="F577" i="2" s="1"/>
  <c r="F825" i="2" s="1"/>
  <c r="F82" i="2"/>
  <c r="F330" i="2" s="1"/>
  <c r="F578" i="2" s="1"/>
  <c r="F826" i="2" s="1"/>
  <c r="F83" i="2"/>
  <c r="F331" i="2" s="1"/>
  <c r="F579" i="2" s="1"/>
  <c r="F827" i="2" s="1"/>
  <c r="F84" i="2"/>
  <c r="F332" i="2" s="1"/>
  <c r="F580" i="2" s="1"/>
  <c r="F828" i="2" s="1"/>
  <c r="F85" i="2"/>
  <c r="F333" i="2" s="1"/>
  <c r="F581" i="2" s="1"/>
  <c r="F829" i="2" s="1"/>
  <c r="F86" i="2"/>
  <c r="F334" i="2" s="1"/>
  <c r="F582" i="2" s="1"/>
  <c r="F830" i="2" s="1"/>
  <c r="F87" i="2"/>
  <c r="F335" i="2" s="1"/>
  <c r="F583" i="2" s="1"/>
  <c r="F831" i="2" s="1"/>
  <c r="F88" i="2"/>
  <c r="F336" i="2" s="1"/>
  <c r="F584" i="2" s="1"/>
  <c r="F832" i="2" s="1"/>
  <c r="F89" i="2"/>
  <c r="F337" i="2" s="1"/>
  <c r="F585" i="2" s="1"/>
  <c r="F833" i="2" s="1"/>
  <c r="F90" i="2"/>
  <c r="F338" i="2" s="1"/>
  <c r="F586" i="2" s="1"/>
  <c r="F834" i="2" s="1"/>
  <c r="F91" i="2"/>
  <c r="F339" i="2" s="1"/>
  <c r="F587" i="2" s="1"/>
  <c r="F835" i="2" s="1"/>
  <c r="F92" i="2"/>
  <c r="F340" i="2" s="1"/>
  <c r="F588" i="2" s="1"/>
  <c r="F836" i="2" s="1"/>
  <c r="F93" i="2"/>
  <c r="F341" i="2" s="1"/>
  <c r="F589" i="2" s="1"/>
  <c r="F837" i="2" s="1"/>
  <c r="F94" i="2"/>
  <c r="F342" i="2" s="1"/>
  <c r="F590" i="2" s="1"/>
  <c r="F838" i="2" s="1"/>
  <c r="F95" i="2"/>
  <c r="F343" i="2" s="1"/>
  <c r="F591" i="2" s="1"/>
  <c r="F839" i="2" s="1"/>
  <c r="F96" i="2"/>
  <c r="F344" i="2" s="1"/>
  <c r="F592" i="2" s="1"/>
  <c r="F840" i="2" s="1"/>
  <c r="F97" i="2"/>
  <c r="F345" i="2" s="1"/>
  <c r="F593" i="2" s="1"/>
  <c r="F841" i="2" s="1"/>
  <c r="F98" i="2"/>
  <c r="F346" i="2" s="1"/>
  <c r="F594" i="2" s="1"/>
  <c r="F842" i="2" s="1"/>
  <c r="F99" i="2"/>
  <c r="F347" i="2" s="1"/>
  <c r="F595" i="2" s="1"/>
  <c r="F843" i="2" s="1"/>
  <c r="F100" i="2"/>
  <c r="F348" i="2" s="1"/>
  <c r="F596" i="2" s="1"/>
  <c r="F844" i="2" s="1"/>
  <c r="F101" i="2"/>
  <c r="F349" i="2" s="1"/>
  <c r="F597" i="2" s="1"/>
  <c r="F845" i="2" s="1"/>
  <c r="F102" i="2"/>
  <c r="F350" i="2" s="1"/>
  <c r="F598" i="2" s="1"/>
  <c r="F846" i="2" s="1"/>
  <c r="F103" i="2"/>
  <c r="F351" i="2" s="1"/>
  <c r="F599" i="2" s="1"/>
  <c r="F847" i="2" s="1"/>
  <c r="F104" i="2"/>
  <c r="F352" i="2" s="1"/>
  <c r="F600" i="2" s="1"/>
  <c r="F848" i="2" s="1"/>
  <c r="F105" i="2"/>
  <c r="F353" i="2" s="1"/>
  <c r="F601" i="2" s="1"/>
  <c r="F849" i="2" s="1"/>
  <c r="F106" i="2"/>
  <c r="F354" i="2" s="1"/>
  <c r="F602" i="2" s="1"/>
  <c r="F850" i="2" s="1"/>
  <c r="F107" i="2"/>
  <c r="F355" i="2" s="1"/>
  <c r="F603" i="2" s="1"/>
  <c r="F851" i="2" s="1"/>
  <c r="F108" i="2"/>
  <c r="F356" i="2" s="1"/>
  <c r="F604" i="2" s="1"/>
  <c r="F852" i="2" s="1"/>
  <c r="F109" i="2"/>
  <c r="F357" i="2" s="1"/>
  <c r="F605" i="2" s="1"/>
  <c r="F853" i="2" s="1"/>
  <c r="F110" i="2"/>
  <c r="F358" i="2" s="1"/>
  <c r="F606" i="2" s="1"/>
  <c r="F854" i="2" s="1"/>
  <c r="F111" i="2"/>
  <c r="F359" i="2" s="1"/>
  <c r="F607" i="2" s="1"/>
  <c r="F855" i="2" s="1"/>
  <c r="F112" i="2"/>
  <c r="F360" i="2" s="1"/>
  <c r="F608" i="2" s="1"/>
  <c r="F856" i="2" s="1"/>
  <c r="F113" i="2"/>
  <c r="F361" i="2" s="1"/>
  <c r="F609" i="2" s="1"/>
  <c r="F857" i="2" s="1"/>
  <c r="F114" i="2"/>
  <c r="F362" i="2" s="1"/>
  <c r="F610" i="2" s="1"/>
  <c r="F858" i="2" s="1"/>
  <c r="F115" i="2"/>
  <c r="F363" i="2" s="1"/>
  <c r="F611" i="2" s="1"/>
  <c r="F859" i="2" s="1"/>
  <c r="F116" i="2"/>
  <c r="F364" i="2" s="1"/>
  <c r="F612" i="2" s="1"/>
  <c r="F860" i="2" s="1"/>
  <c r="F117" i="2"/>
  <c r="F365" i="2" s="1"/>
  <c r="F613" i="2" s="1"/>
  <c r="F861" i="2" s="1"/>
  <c r="F118" i="2"/>
  <c r="F366" i="2" s="1"/>
  <c r="F614" i="2" s="1"/>
  <c r="F862" i="2" s="1"/>
  <c r="F119" i="2"/>
  <c r="F367" i="2" s="1"/>
  <c r="F615" i="2" s="1"/>
  <c r="F863" i="2" s="1"/>
  <c r="F120" i="2"/>
  <c r="F368" i="2" s="1"/>
  <c r="F616" i="2" s="1"/>
  <c r="F864" i="2" s="1"/>
  <c r="F121" i="2"/>
  <c r="F369" i="2" s="1"/>
  <c r="F617" i="2" s="1"/>
  <c r="F865" i="2" s="1"/>
  <c r="F122" i="2"/>
  <c r="F370" i="2" s="1"/>
  <c r="F618" i="2" s="1"/>
  <c r="F866" i="2" s="1"/>
  <c r="F123" i="2"/>
  <c r="F371" i="2" s="1"/>
  <c r="F619" i="2" s="1"/>
  <c r="F867" i="2" s="1"/>
  <c r="F124" i="2"/>
  <c r="F372" i="2" s="1"/>
  <c r="F620" i="2" s="1"/>
  <c r="F868" i="2" s="1"/>
  <c r="F125" i="2"/>
  <c r="F373" i="2" s="1"/>
  <c r="F621" i="2" s="1"/>
  <c r="F869" i="2" s="1"/>
  <c r="F126" i="2"/>
  <c r="F374" i="2" s="1"/>
  <c r="F622" i="2" s="1"/>
  <c r="F870" i="2" s="1"/>
  <c r="F127" i="2"/>
  <c r="F375" i="2" s="1"/>
  <c r="F623" i="2" s="1"/>
  <c r="F871" i="2" s="1"/>
  <c r="F128" i="2"/>
  <c r="F376" i="2" s="1"/>
  <c r="F624" i="2" s="1"/>
  <c r="F872" i="2" s="1"/>
  <c r="F129" i="2"/>
  <c r="F377" i="2" s="1"/>
  <c r="F625" i="2" s="1"/>
  <c r="F873" i="2" s="1"/>
  <c r="F130" i="2"/>
  <c r="F378" i="2" s="1"/>
  <c r="F626" i="2" s="1"/>
  <c r="F874" i="2" s="1"/>
  <c r="F131" i="2"/>
  <c r="F379" i="2" s="1"/>
  <c r="F627" i="2" s="1"/>
  <c r="F875" i="2" s="1"/>
  <c r="F132" i="2"/>
  <c r="F380" i="2" s="1"/>
  <c r="F628" i="2" s="1"/>
  <c r="F876" i="2" s="1"/>
  <c r="F133" i="2"/>
  <c r="F381" i="2" s="1"/>
  <c r="F629" i="2" s="1"/>
  <c r="F877" i="2" s="1"/>
  <c r="F134" i="2"/>
  <c r="F382" i="2" s="1"/>
  <c r="F630" i="2" s="1"/>
  <c r="F878" i="2" s="1"/>
  <c r="F135" i="2"/>
  <c r="F383" i="2" s="1"/>
  <c r="F631" i="2" s="1"/>
  <c r="F879" i="2" s="1"/>
  <c r="F136" i="2"/>
  <c r="F384" i="2" s="1"/>
  <c r="F632" i="2" s="1"/>
  <c r="F880" i="2" s="1"/>
  <c r="F137" i="2"/>
  <c r="F385" i="2" s="1"/>
  <c r="F633" i="2" s="1"/>
  <c r="F881" i="2" s="1"/>
  <c r="F138" i="2"/>
  <c r="F386" i="2" s="1"/>
  <c r="F634" i="2" s="1"/>
  <c r="F882" i="2" s="1"/>
  <c r="F139" i="2"/>
  <c r="F387" i="2" s="1"/>
  <c r="F635" i="2" s="1"/>
  <c r="F883" i="2" s="1"/>
  <c r="F140" i="2"/>
  <c r="F388" i="2" s="1"/>
  <c r="F636" i="2" s="1"/>
  <c r="F884" i="2" s="1"/>
  <c r="F141" i="2"/>
  <c r="F389" i="2" s="1"/>
  <c r="F637" i="2" s="1"/>
  <c r="F885" i="2" s="1"/>
  <c r="F142" i="2"/>
  <c r="F390" i="2" s="1"/>
  <c r="F638" i="2" s="1"/>
  <c r="F886" i="2" s="1"/>
  <c r="F143" i="2"/>
  <c r="F391" i="2" s="1"/>
  <c r="F639" i="2" s="1"/>
  <c r="F887" i="2" s="1"/>
  <c r="F144" i="2"/>
  <c r="F392" i="2" s="1"/>
  <c r="F640" i="2" s="1"/>
  <c r="F888" i="2" s="1"/>
  <c r="F145" i="2"/>
  <c r="F393" i="2" s="1"/>
  <c r="F641" i="2" s="1"/>
  <c r="F889" i="2" s="1"/>
  <c r="F146" i="2"/>
  <c r="F394" i="2" s="1"/>
  <c r="F642" i="2" s="1"/>
  <c r="F890" i="2" s="1"/>
  <c r="F147" i="2"/>
  <c r="F395" i="2" s="1"/>
  <c r="F643" i="2" s="1"/>
  <c r="F891" i="2" s="1"/>
  <c r="F148" i="2"/>
  <c r="F396" i="2" s="1"/>
  <c r="F644" i="2" s="1"/>
  <c r="F892" i="2" s="1"/>
  <c r="F149" i="2"/>
  <c r="F397" i="2" s="1"/>
  <c r="F645" i="2" s="1"/>
  <c r="F893" i="2" s="1"/>
  <c r="F150" i="2"/>
  <c r="F398" i="2" s="1"/>
  <c r="F646" i="2" s="1"/>
  <c r="F894" i="2" s="1"/>
  <c r="F151" i="2"/>
  <c r="F399" i="2" s="1"/>
  <c r="F647" i="2" s="1"/>
  <c r="F895" i="2" s="1"/>
  <c r="F152" i="2"/>
  <c r="F400" i="2" s="1"/>
  <c r="F648" i="2" s="1"/>
  <c r="F896" i="2" s="1"/>
  <c r="F153" i="2"/>
  <c r="F401" i="2" s="1"/>
  <c r="F649" i="2" s="1"/>
  <c r="F897" i="2" s="1"/>
  <c r="F154" i="2"/>
  <c r="F402" i="2" s="1"/>
  <c r="F650" i="2" s="1"/>
  <c r="F898" i="2" s="1"/>
  <c r="F155" i="2"/>
  <c r="F403" i="2" s="1"/>
  <c r="F651" i="2" s="1"/>
  <c r="F899" i="2" s="1"/>
  <c r="F156" i="2"/>
  <c r="F404" i="2" s="1"/>
  <c r="F652" i="2" s="1"/>
  <c r="F900" i="2" s="1"/>
  <c r="F157" i="2"/>
  <c r="F405" i="2" s="1"/>
  <c r="F653" i="2" s="1"/>
  <c r="F901" i="2" s="1"/>
  <c r="F158" i="2"/>
  <c r="F406" i="2" s="1"/>
  <c r="F654" i="2" s="1"/>
  <c r="F902" i="2" s="1"/>
  <c r="F159" i="2"/>
  <c r="F407" i="2" s="1"/>
  <c r="F655" i="2" s="1"/>
  <c r="F903" i="2" s="1"/>
  <c r="F160" i="2"/>
  <c r="F408" i="2" s="1"/>
  <c r="F656" i="2" s="1"/>
  <c r="F904" i="2" s="1"/>
  <c r="F161" i="2"/>
  <c r="F409" i="2" s="1"/>
  <c r="F657" i="2" s="1"/>
  <c r="F905" i="2" s="1"/>
  <c r="F162" i="2"/>
  <c r="F410" i="2" s="1"/>
  <c r="F658" i="2" s="1"/>
  <c r="F906" i="2" s="1"/>
  <c r="F163" i="2"/>
  <c r="F411" i="2" s="1"/>
  <c r="F659" i="2" s="1"/>
  <c r="F907" i="2" s="1"/>
  <c r="F164" i="2"/>
  <c r="F412" i="2" s="1"/>
  <c r="F660" i="2" s="1"/>
  <c r="F908" i="2" s="1"/>
  <c r="F165" i="2"/>
  <c r="F413" i="2" s="1"/>
  <c r="F661" i="2" s="1"/>
  <c r="F909" i="2" s="1"/>
  <c r="F166" i="2"/>
  <c r="F414" i="2" s="1"/>
  <c r="F662" i="2" s="1"/>
  <c r="F910" i="2" s="1"/>
  <c r="F167" i="2"/>
  <c r="F415" i="2" s="1"/>
  <c r="F663" i="2" s="1"/>
  <c r="F911" i="2" s="1"/>
  <c r="F168" i="2"/>
  <c r="F416" i="2" s="1"/>
  <c r="F664" i="2" s="1"/>
  <c r="F912" i="2" s="1"/>
  <c r="F169" i="2"/>
  <c r="F417" i="2" s="1"/>
  <c r="F665" i="2" s="1"/>
  <c r="F913" i="2" s="1"/>
  <c r="F170" i="2"/>
  <c r="F418" i="2" s="1"/>
  <c r="F666" i="2" s="1"/>
  <c r="F914" i="2" s="1"/>
  <c r="F171" i="2"/>
  <c r="F419" i="2" s="1"/>
  <c r="F667" i="2" s="1"/>
  <c r="F915" i="2" s="1"/>
  <c r="F172" i="2"/>
  <c r="F420" i="2" s="1"/>
  <c r="F668" i="2" s="1"/>
  <c r="F916" i="2" s="1"/>
  <c r="F173" i="2"/>
  <c r="F421" i="2" s="1"/>
  <c r="F669" i="2" s="1"/>
  <c r="F917" i="2" s="1"/>
  <c r="F174" i="2"/>
  <c r="F422" i="2" s="1"/>
  <c r="F670" i="2" s="1"/>
  <c r="F918" i="2" s="1"/>
  <c r="F175" i="2"/>
  <c r="F423" i="2" s="1"/>
  <c r="F671" i="2" s="1"/>
  <c r="F919" i="2" s="1"/>
  <c r="F176" i="2"/>
  <c r="F424" i="2" s="1"/>
  <c r="F672" i="2" s="1"/>
  <c r="F920" i="2" s="1"/>
  <c r="F177" i="2"/>
  <c r="F425" i="2" s="1"/>
  <c r="F673" i="2" s="1"/>
  <c r="F921" i="2" s="1"/>
  <c r="F178" i="2"/>
  <c r="F426" i="2" s="1"/>
  <c r="F674" i="2" s="1"/>
  <c r="F922" i="2" s="1"/>
  <c r="F179" i="2"/>
  <c r="F427" i="2" s="1"/>
  <c r="F675" i="2" s="1"/>
  <c r="F923" i="2" s="1"/>
  <c r="F180" i="2"/>
  <c r="F428" i="2" s="1"/>
  <c r="F676" i="2" s="1"/>
  <c r="F924" i="2" s="1"/>
  <c r="F181" i="2"/>
  <c r="F429" i="2" s="1"/>
  <c r="F677" i="2" s="1"/>
  <c r="F925" i="2" s="1"/>
  <c r="F182" i="2"/>
  <c r="F430" i="2" s="1"/>
  <c r="F678" i="2" s="1"/>
  <c r="F926" i="2" s="1"/>
  <c r="F183" i="2"/>
  <c r="F431" i="2" s="1"/>
  <c r="F679" i="2" s="1"/>
  <c r="F927" i="2" s="1"/>
  <c r="F184" i="2"/>
  <c r="F432" i="2" s="1"/>
  <c r="F680" i="2" s="1"/>
  <c r="F928" i="2" s="1"/>
  <c r="F185" i="2"/>
  <c r="F433" i="2" s="1"/>
  <c r="F681" i="2" s="1"/>
  <c r="F929" i="2" s="1"/>
  <c r="F186" i="2"/>
  <c r="F434" i="2" s="1"/>
  <c r="F682" i="2" s="1"/>
  <c r="F930" i="2" s="1"/>
  <c r="F187" i="2"/>
  <c r="F435" i="2" s="1"/>
  <c r="F683" i="2" s="1"/>
  <c r="F931" i="2" s="1"/>
  <c r="F188" i="2"/>
  <c r="F436" i="2" s="1"/>
  <c r="F684" i="2" s="1"/>
  <c r="F932" i="2" s="1"/>
  <c r="F189" i="2"/>
  <c r="F437" i="2" s="1"/>
  <c r="F685" i="2" s="1"/>
  <c r="F933" i="2" s="1"/>
  <c r="F190" i="2"/>
  <c r="F438" i="2" s="1"/>
  <c r="F686" i="2" s="1"/>
  <c r="F934" i="2" s="1"/>
  <c r="F191" i="2"/>
  <c r="F439" i="2" s="1"/>
  <c r="F687" i="2" s="1"/>
  <c r="F935" i="2" s="1"/>
  <c r="F192" i="2"/>
  <c r="F440" i="2" s="1"/>
  <c r="F688" i="2" s="1"/>
  <c r="F936" i="2" s="1"/>
  <c r="F193" i="2"/>
  <c r="F441" i="2" s="1"/>
  <c r="F689" i="2" s="1"/>
  <c r="F937" i="2" s="1"/>
  <c r="F194" i="2"/>
  <c r="F442" i="2" s="1"/>
  <c r="F690" i="2" s="1"/>
  <c r="F938" i="2" s="1"/>
  <c r="F195" i="2"/>
  <c r="F443" i="2" s="1"/>
  <c r="F691" i="2" s="1"/>
  <c r="F939" i="2" s="1"/>
  <c r="F196" i="2"/>
  <c r="F444" i="2" s="1"/>
  <c r="F692" i="2" s="1"/>
  <c r="F940" i="2" s="1"/>
  <c r="F197" i="2"/>
  <c r="F445" i="2" s="1"/>
  <c r="F693" i="2" s="1"/>
  <c r="F941" i="2" s="1"/>
  <c r="F198" i="2"/>
  <c r="F446" i="2" s="1"/>
  <c r="F694" i="2" s="1"/>
  <c r="F942" i="2" s="1"/>
  <c r="F199" i="2"/>
  <c r="F447" i="2" s="1"/>
  <c r="F695" i="2" s="1"/>
  <c r="F943" i="2" s="1"/>
  <c r="F200" i="2"/>
  <c r="F448" i="2" s="1"/>
  <c r="F696" i="2" s="1"/>
  <c r="F944" i="2" s="1"/>
  <c r="F201" i="2"/>
  <c r="F449" i="2" s="1"/>
  <c r="F697" i="2" s="1"/>
  <c r="F945" i="2" s="1"/>
  <c r="F202" i="2"/>
  <c r="F450" i="2" s="1"/>
  <c r="F698" i="2" s="1"/>
  <c r="F946" i="2" s="1"/>
  <c r="F203" i="2"/>
  <c r="F451" i="2" s="1"/>
  <c r="F699" i="2" s="1"/>
  <c r="F947" i="2" s="1"/>
  <c r="F204" i="2"/>
  <c r="F452" i="2" s="1"/>
  <c r="F700" i="2" s="1"/>
  <c r="F948" i="2" s="1"/>
  <c r="F205" i="2"/>
  <c r="F453" i="2" s="1"/>
  <c r="F701" i="2" s="1"/>
  <c r="F949" i="2" s="1"/>
  <c r="F206" i="2"/>
  <c r="F454" i="2" s="1"/>
  <c r="F702" i="2" s="1"/>
  <c r="F950" i="2" s="1"/>
  <c r="F207" i="2"/>
  <c r="F455" i="2" s="1"/>
  <c r="F703" i="2" s="1"/>
  <c r="F951" i="2" s="1"/>
  <c r="F208" i="2"/>
  <c r="F456" i="2" s="1"/>
  <c r="F704" i="2" s="1"/>
  <c r="F952" i="2" s="1"/>
  <c r="F209" i="2"/>
  <c r="F457" i="2" s="1"/>
  <c r="F705" i="2" s="1"/>
  <c r="F953" i="2" s="1"/>
  <c r="F210" i="2"/>
  <c r="F458" i="2" s="1"/>
  <c r="F706" i="2" s="1"/>
  <c r="F954" i="2" s="1"/>
  <c r="F211" i="2"/>
  <c r="F459" i="2" s="1"/>
  <c r="F707" i="2" s="1"/>
  <c r="F955" i="2" s="1"/>
  <c r="F212" i="2"/>
  <c r="F460" i="2" s="1"/>
  <c r="F708" i="2" s="1"/>
  <c r="F956" i="2" s="1"/>
  <c r="F213" i="2"/>
  <c r="F461" i="2" s="1"/>
  <c r="F709" i="2" s="1"/>
  <c r="F957" i="2" s="1"/>
  <c r="F214" i="2"/>
  <c r="F462" i="2" s="1"/>
  <c r="F710" i="2" s="1"/>
  <c r="F958" i="2" s="1"/>
  <c r="F215" i="2"/>
  <c r="F463" i="2" s="1"/>
  <c r="F711" i="2" s="1"/>
  <c r="F959" i="2" s="1"/>
  <c r="F216" i="2"/>
  <c r="F464" i="2" s="1"/>
  <c r="F712" i="2" s="1"/>
  <c r="F960" i="2" s="1"/>
  <c r="F217" i="2"/>
  <c r="F465" i="2" s="1"/>
  <c r="F713" i="2" s="1"/>
  <c r="F961" i="2" s="1"/>
  <c r="F218" i="2"/>
  <c r="F466" i="2" s="1"/>
  <c r="F714" i="2" s="1"/>
  <c r="F962" i="2" s="1"/>
  <c r="F219" i="2"/>
  <c r="F467" i="2" s="1"/>
  <c r="F715" i="2" s="1"/>
  <c r="F963" i="2" s="1"/>
  <c r="F220" i="2"/>
  <c r="F468" i="2" s="1"/>
  <c r="F716" i="2" s="1"/>
  <c r="F964" i="2" s="1"/>
  <c r="F221" i="2"/>
  <c r="F469" i="2" s="1"/>
  <c r="F717" i="2" s="1"/>
  <c r="F965" i="2" s="1"/>
  <c r="F222" i="2"/>
  <c r="F470" i="2" s="1"/>
  <c r="F718" i="2" s="1"/>
  <c r="F966" i="2" s="1"/>
  <c r="F223" i="2"/>
  <c r="F471" i="2" s="1"/>
  <c r="F719" i="2" s="1"/>
  <c r="F967" i="2" s="1"/>
  <c r="F224" i="2"/>
  <c r="F472" i="2" s="1"/>
  <c r="F720" i="2" s="1"/>
  <c r="F968" i="2" s="1"/>
  <c r="F225" i="2"/>
  <c r="F473" i="2" s="1"/>
  <c r="F721" i="2" s="1"/>
  <c r="F969" i="2" s="1"/>
  <c r="F226" i="2"/>
  <c r="F474" i="2" s="1"/>
  <c r="F722" i="2" s="1"/>
  <c r="F970" i="2" s="1"/>
  <c r="F227" i="2"/>
  <c r="F475" i="2" s="1"/>
  <c r="F723" i="2" s="1"/>
  <c r="F971" i="2" s="1"/>
  <c r="F228" i="2"/>
  <c r="F476" i="2" s="1"/>
  <c r="F724" i="2" s="1"/>
  <c r="F972" i="2" s="1"/>
  <c r="F229" i="2"/>
  <c r="F477" i="2" s="1"/>
  <c r="F725" i="2" s="1"/>
  <c r="F973" i="2" s="1"/>
  <c r="F230" i="2"/>
  <c r="F478" i="2" s="1"/>
  <c r="F726" i="2" s="1"/>
  <c r="F974" i="2" s="1"/>
  <c r="F231" i="2"/>
  <c r="F479" i="2" s="1"/>
  <c r="F727" i="2" s="1"/>
  <c r="F975" i="2" s="1"/>
  <c r="F232" i="2"/>
  <c r="F480" i="2" s="1"/>
  <c r="F728" i="2" s="1"/>
  <c r="F976" i="2" s="1"/>
  <c r="F233" i="2"/>
  <c r="F481" i="2" s="1"/>
  <c r="F729" i="2" s="1"/>
  <c r="F977" i="2" s="1"/>
  <c r="F234" i="2"/>
  <c r="F482" i="2" s="1"/>
  <c r="F730" i="2" s="1"/>
  <c r="F978" i="2" s="1"/>
  <c r="F235" i="2"/>
  <c r="F483" i="2" s="1"/>
  <c r="F731" i="2" s="1"/>
  <c r="F979" i="2" s="1"/>
  <c r="F236" i="2"/>
  <c r="F484" i="2" s="1"/>
  <c r="F732" i="2" s="1"/>
  <c r="F980" i="2" s="1"/>
  <c r="F237" i="2"/>
  <c r="F485" i="2" s="1"/>
  <c r="F733" i="2" s="1"/>
  <c r="F981" i="2" s="1"/>
  <c r="F238" i="2"/>
  <c r="F486" i="2" s="1"/>
  <c r="F734" i="2" s="1"/>
  <c r="F982" i="2" s="1"/>
  <c r="F239" i="2"/>
  <c r="F487" i="2" s="1"/>
  <c r="F735" i="2" s="1"/>
  <c r="F983" i="2" s="1"/>
  <c r="F240" i="2"/>
  <c r="F488" i="2" s="1"/>
  <c r="F736" i="2" s="1"/>
  <c r="F984" i="2" s="1"/>
  <c r="F241" i="2"/>
  <c r="F489" i="2" s="1"/>
  <c r="F737" i="2" s="1"/>
  <c r="F985" i="2" s="1"/>
  <c r="F242" i="2"/>
  <c r="F490" i="2" s="1"/>
  <c r="F738" i="2" s="1"/>
  <c r="F986" i="2" s="1"/>
  <c r="F243" i="2"/>
  <c r="F491" i="2" s="1"/>
  <c r="F739" i="2" s="1"/>
  <c r="F987" i="2" s="1"/>
  <c r="F244" i="2"/>
  <c r="F492" i="2" s="1"/>
  <c r="F740" i="2" s="1"/>
  <c r="F988" i="2" s="1"/>
  <c r="F245" i="2"/>
  <c r="F493" i="2" s="1"/>
  <c r="F741" i="2" s="1"/>
  <c r="F989" i="2" s="1"/>
  <c r="F246" i="2"/>
  <c r="F494" i="2" s="1"/>
  <c r="F742" i="2" s="1"/>
  <c r="F990" i="2" s="1"/>
  <c r="F247" i="2"/>
  <c r="F495" i="2" s="1"/>
  <c r="F743" i="2" s="1"/>
  <c r="F991" i="2" s="1"/>
  <c r="F248" i="2"/>
  <c r="F496" i="2" s="1"/>
  <c r="F744" i="2" s="1"/>
  <c r="F992" i="2" s="1"/>
  <c r="F249" i="2"/>
  <c r="F497" i="2" s="1"/>
  <c r="F745" i="2" s="1"/>
  <c r="F993" i="2" s="1"/>
  <c r="F250" i="2"/>
  <c r="F498" i="2" s="1"/>
  <c r="F746" i="2" s="1"/>
  <c r="F994" i="2" s="1"/>
  <c r="F251" i="2"/>
  <c r="F499" i="2" s="1"/>
  <c r="F747" i="2" s="1"/>
  <c r="F995" i="2" s="1"/>
  <c r="F252" i="2"/>
  <c r="F500" i="2" s="1"/>
  <c r="F748" i="2" s="1"/>
  <c r="F996" i="2" s="1"/>
  <c r="F5" i="2"/>
  <c r="F253" i="2" s="1"/>
  <c r="F501" i="2" s="1"/>
  <c r="F749" i="2" s="1"/>
  <c r="E5" i="2"/>
  <c r="E6" i="2" s="1"/>
  <c r="E7" i="2" s="1"/>
  <c r="E8" i="2" s="1"/>
  <c r="E9" i="2" s="1"/>
  <c r="E10" i="2" s="1"/>
  <c r="E11" i="2" s="1"/>
  <c r="E12" i="2" s="1"/>
  <c r="E13" i="2" s="1"/>
  <c r="E14" i="2" s="1"/>
  <c r="E15" i="2" s="1"/>
  <c r="E16" i="2" s="1"/>
  <c r="E17" i="2" s="1"/>
  <c r="E18" i="2" s="1"/>
  <c r="E19" i="2" s="1"/>
  <c r="E20" i="2" s="1"/>
  <c r="E21" i="2" s="1"/>
  <c r="E22" i="2" s="1"/>
  <c r="E23" i="2" s="1"/>
  <c r="E24" i="2" s="1"/>
  <c r="E25" i="2" s="1"/>
  <c r="E26" i="2" s="1"/>
  <c r="E27" i="2" s="1"/>
  <c r="E28" i="2" s="1"/>
  <c r="E29" i="2" s="1"/>
  <c r="E30" i="2" s="1"/>
  <c r="E31" i="2" s="1"/>
  <c r="E32" i="2" s="1"/>
  <c r="E33" i="2" s="1"/>
  <c r="E34" i="2" s="1"/>
  <c r="E35" i="2" s="1"/>
  <c r="E36" i="2" s="1"/>
  <c r="E37" i="2" s="1"/>
  <c r="E38" i="2" s="1"/>
  <c r="E39" i="2" s="1"/>
  <c r="E40" i="2" s="1"/>
  <c r="E41" i="2" s="1"/>
  <c r="E42" i="2" s="1"/>
  <c r="E43" i="2" s="1"/>
  <c r="E44" i="2" s="1"/>
  <c r="E45" i="2" s="1"/>
  <c r="E46" i="2" s="1"/>
  <c r="E47" i="2" s="1"/>
  <c r="E48" i="2" s="1"/>
  <c r="E49" i="2" s="1"/>
  <c r="E50" i="2" s="1"/>
  <c r="E51" i="2" s="1"/>
  <c r="E52" i="2" s="1"/>
  <c r="E53" i="2" s="1"/>
  <c r="E54" i="2" s="1"/>
  <c r="E55" i="2" s="1"/>
  <c r="E56" i="2" s="1"/>
  <c r="E57" i="2" s="1"/>
  <c r="E58" i="2" s="1"/>
  <c r="E59" i="2" s="1"/>
  <c r="E60" i="2" s="1"/>
  <c r="E61" i="2" s="1"/>
  <c r="E62" i="2" s="1"/>
  <c r="E63" i="2" s="1"/>
  <c r="E64" i="2" s="1"/>
  <c r="E65" i="2" s="1"/>
  <c r="E66" i="2" s="1"/>
  <c r="E67" i="2" s="1"/>
  <c r="E68" i="2" s="1"/>
  <c r="E69" i="2" s="1"/>
  <c r="E70" i="2" s="1"/>
  <c r="E71" i="2" s="1"/>
  <c r="E72" i="2" s="1"/>
  <c r="E73" i="2" s="1"/>
  <c r="E74" i="2" s="1"/>
  <c r="E75" i="2" s="1"/>
  <c r="E76" i="2" s="1"/>
  <c r="E77" i="2" s="1"/>
  <c r="E78" i="2" s="1"/>
  <c r="E79" i="2" s="1"/>
  <c r="E80" i="2" s="1"/>
  <c r="E81" i="2" s="1"/>
  <c r="E82" i="2" s="1"/>
  <c r="E83" i="2" s="1"/>
  <c r="E84" i="2" s="1"/>
  <c r="E85" i="2" s="1"/>
  <c r="E86" i="2" s="1"/>
  <c r="E87" i="2" s="1"/>
  <c r="E88" i="2" s="1"/>
  <c r="E89" i="2" s="1"/>
  <c r="E90" i="2" s="1"/>
  <c r="E91" i="2" s="1"/>
  <c r="E92" i="2" s="1"/>
  <c r="E93" i="2" s="1"/>
  <c r="E94" i="2" s="1"/>
  <c r="E95" i="2" s="1"/>
  <c r="E96" i="2" s="1"/>
  <c r="E97" i="2" s="1"/>
  <c r="E98" i="2" s="1"/>
  <c r="E99" i="2" s="1"/>
  <c r="E100" i="2" s="1"/>
  <c r="E101" i="2" s="1"/>
  <c r="E102" i="2" s="1"/>
  <c r="E103" i="2" s="1"/>
  <c r="E104" i="2" s="1"/>
  <c r="E105" i="2" s="1"/>
  <c r="E106" i="2" s="1"/>
  <c r="E107" i="2" s="1"/>
  <c r="E108" i="2" s="1"/>
  <c r="E109" i="2" s="1"/>
  <c r="E110" i="2" s="1"/>
  <c r="E111" i="2" s="1"/>
  <c r="E112" i="2" s="1"/>
  <c r="E113" i="2" s="1"/>
  <c r="E114" i="2" s="1"/>
  <c r="E115" i="2" s="1"/>
  <c r="E116" i="2" s="1"/>
  <c r="E117" i="2" s="1"/>
  <c r="E118" i="2" s="1"/>
  <c r="E119" i="2" s="1"/>
  <c r="E120" i="2" s="1"/>
  <c r="E121" i="2" s="1"/>
  <c r="E122" i="2" s="1"/>
  <c r="E123" i="2" s="1"/>
  <c r="E124" i="2" s="1"/>
  <c r="E125" i="2" s="1"/>
  <c r="E126" i="2" s="1"/>
  <c r="E127" i="2" s="1"/>
  <c r="E128" i="2" s="1"/>
  <c r="E129" i="2" s="1"/>
  <c r="E130" i="2" s="1"/>
  <c r="E131" i="2" s="1"/>
  <c r="E132" i="2" s="1"/>
  <c r="E133" i="2" s="1"/>
  <c r="E134" i="2" s="1"/>
  <c r="E135" i="2" s="1"/>
  <c r="E136" i="2" s="1"/>
  <c r="E137" i="2" s="1"/>
  <c r="E138" i="2" s="1"/>
  <c r="E139" i="2" s="1"/>
  <c r="E140" i="2" s="1"/>
  <c r="E141" i="2" s="1"/>
  <c r="E142" i="2" s="1"/>
  <c r="E143" i="2" s="1"/>
  <c r="E144" i="2" s="1"/>
  <c r="E145" i="2" s="1"/>
  <c r="E146" i="2" s="1"/>
  <c r="E147" i="2" s="1"/>
  <c r="E148" i="2" s="1"/>
  <c r="E149" i="2" s="1"/>
  <c r="E150" i="2" s="1"/>
  <c r="E151" i="2" s="1"/>
  <c r="E152" i="2" s="1"/>
  <c r="E153" i="2" s="1"/>
  <c r="E154" i="2" s="1"/>
  <c r="E155" i="2" s="1"/>
  <c r="E156" i="2" s="1"/>
  <c r="E157" i="2" s="1"/>
  <c r="E158" i="2" s="1"/>
  <c r="E159" i="2" s="1"/>
  <c r="E160" i="2" s="1"/>
  <c r="E161" i="2" s="1"/>
  <c r="E162" i="2" s="1"/>
  <c r="E163" i="2" s="1"/>
  <c r="E164" i="2" s="1"/>
  <c r="E165" i="2" s="1"/>
  <c r="E166" i="2" s="1"/>
  <c r="E167" i="2" s="1"/>
  <c r="E168" i="2" s="1"/>
  <c r="E169" i="2" s="1"/>
  <c r="E170" i="2" s="1"/>
  <c r="E171" i="2" s="1"/>
  <c r="E172" i="2" s="1"/>
  <c r="E173" i="2" s="1"/>
  <c r="E174" i="2" s="1"/>
  <c r="E175" i="2" s="1"/>
  <c r="E176" i="2" s="1"/>
  <c r="E177" i="2" s="1"/>
  <c r="E178" i="2" s="1"/>
  <c r="E179" i="2" s="1"/>
  <c r="E180" i="2" s="1"/>
  <c r="E181" i="2" s="1"/>
  <c r="E182" i="2" s="1"/>
  <c r="E183" i="2" s="1"/>
  <c r="E184" i="2" s="1"/>
  <c r="E185" i="2" s="1"/>
  <c r="E186" i="2" s="1"/>
  <c r="E187" i="2" s="1"/>
  <c r="E188" i="2" s="1"/>
  <c r="E189" i="2" s="1"/>
  <c r="E190" i="2" s="1"/>
  <c r="E191" i="2" s="1"/>
  <c r="E192" i="2" s="1"/>
  <c r="E193" i="2" s="1"/>
  <c r="E194" i="2" s="1"/>
  <c r="E195" i="2" s="1"/>
  <c r="E196" i="2" s="1"/>
  <c r="E197" i="2" s="1"/>
  <c r="E198" i="2" s="1"/>
  <c r="E199" i="2" s="1"/>
  <c r="E200" i="2" s="1"/>
  <c r="E201" i="2" s="1"/>
  <c r="E202" i="2" s="1"/>
  <c r="E203" i="2" s="1"/>
  <c r="E204" i="2" s="1"/>
  <c r="E205" i="2" s="1"/>
  <c r="E206" i="2" s="1"/>
  <c r="E207" i="2" s="1"/>
  <c r="E208" i="2" s="1"/>
  <c r="E209" i="2" s="1"/>
  <c r="E210" i="2" s="1"/>
  <c r="E211" i="2" s="1"/>
  <c r="E212" i="2" s="1"/>
  <c r="E213" i="2" s="1"/>
  <c r="E214" i="2" s="1"/>
  <c r="E215" i="2" s="1"/>
  <c r="E216" i="2" s="1"/>
  <c r="E217" i="2" s="1"/>
  <c r="E218" i="2" s="1"/>
  <c r="E219" i="2" s="1"/>
  <c r="E220" i="2" s="1"/>
  <c r="E221" i="2" s="1"/>
  <c r="E222" i="2" s="1"/>
  <c r="E223" i="2" s="1"/>
  <c r="E224" i="2" s="1"/>
  <c r="E225" i="2" s="1"/>
  <c r="E226" i="2" s="1"/>
  <c r="E227" i="2" s="1"/>
  <c r="E228" i="2" s="1"/>
  <c r="E229" i="2" s="1"/>
  <c r="E230" i="2" s="1"/>
  <c r="E231" i="2" s="1"/>
  <c r="E232" i="2" s="1"/>
  <c r="E233" i="2" s="1"/>
  <c r="E234" i="2" s="1"/>
  <c r="E235" i="2" s="1"/>
  <c r="E236" i="2" s="1"/>
  <c r="E237" i="2" s="1"/>
  <c r="E238" i="2" s="1"/>
  <c r="E239" i="2" s="1"/>
  <c r="E240" i="2" s="1"/>
  <c r="E241" i="2" s="1"/>
  <c r="E242" i="2" s="1"/>
  <c r="E243" i="2" s="1"/>
  <c r="E244" i="2" s="1"/>
  <c r="E245" i="2" s="1"/>
  <c r="E246" i="2" s="1"/>
  <c r="E247" i="2" s="1"/>
  <c r="E248" i="2" s="1"/>
  <c r="E249" i="2" s="1"/>
  <c r="E250" i="2" s="1"/>
  <c r="E251" i="2" s="1"/>
  <c r="E252" i="2" s="1"/>
  <c r="E253" i="2" s="1"/>
  <c r="E254" i="2" s="1"/>
  <c r="E255" i="2" s="1"/>
  <c r="E256" i="2" s="1"/>
  <c r="E257" i="2" s="1"/>
  <c r="E258" i="2" s="1"/>
  <c r="E259" i="2" s="1"/>
  <c r="E260" i="2" s="1"/>
  <c r="E261" i="2" s="1"/>
  <c r="E262" i="2" s="1"/>
  <c r="E263" i="2" s="1"/>
  <c r="E264" i="2" s="1"/>
  <c r="E265" i="2" s="1"/>
  <c r="E266" i="2" s="1"/>
  <c r="E267" i="2" s="1"/>
  <c r="E268" i="2" s="1"/>
  <c r="E269" i="2" s="1"/>
  <c r="E270" i="2" s="1"/>
  <c r="E271" i="2" s="1"/>
  <c r="E272" i="2" s="1"/>
  <c r="E273" i="2" s="1"/>
  <c r="E274" i="2" s="1"/>
  <c r="E275" i="2" s="1"/>
  <c r="E276" i="2" s="1"/>
  <c r="E277" i="2" s="1"/>
  <c r="E278" i="2" s="1"/>
  <c r="E279" i="2" s="1"/>
  <c r="E280" i="2" s="1"/>
  <c r="E281" i="2" s="1"/>
  <c r="E282" i="2" s="1"/>
  <c r="E283" i="2" s="1"/>
  <c r="E284" i="2" s="1"/>
  <c r="E285" i="2" s="1"/>
  <c r="E286" i="2" s="1"/>
  <c r="E287" i="2" s="1"/>
  <c r="E288" i="2" s="1"/>
  <c r="E289" i="2" s="1"/>
  <c r="E290" i="2" s="1"/>
  <c r="E291" i="2" s="1"/>
  <c r="E292" i="2" s="1"/>
  <c r="E293" i="2" s="1"/>
  <c r="E294" i="2" s="1"/>
  <c r="E295" i="2" s="1"/>
  <c r="E296" i="2" s="1"/>
  <c r="E297" i="2" s="1"/>
  <c r="E298" i="2" s="1"/>
  <c r="E299" i="2" s="1"/>
  <c r="E300" i="2" s="1"/>
  <c r="E301" i="2" s="1"/>
  <c r="E302" i="2" s="1"/>
  <c r="E303" i="2" s="1"/>
  <c r="E304" i="2" s="1"/>
  <c r="E305" i="2" s="1"/>
  <c r="E306" i="2" s="1"/>
  <c r="E307" i="2" s="1"/>
  <c r="E308" i="2" s="1"/>
  <c r="E309" i="2" s="1"/>
  <c r="E310" i="2" s="1"/>
  <c r="E311" i="2" s="1"/>
  <c r="E312" i="2" s="1"/>
  <c r="E313" i="2" s="1"/>
  <c r="E314" i="2" s="1"/>
  <c r="E315" i="2" s="1"/>
  <c r="E316" i="2" s="1"/>
  <c r="E317" i="2" s="1"/>
  <c r="E318" i="2" s="1"/>
  <c r="E319" i="2" s="1"/>
  <c r="E320" i="2" s="1"/>
  <c r="E321" i="2" s="1"/>
  <c r="E322" i="2" s="1"/>
  <c r="E323" i="2" s="1"/>
  <c r="E324" i="2" s="1"/>
  <c r="E325" i="2" s="1"/>
  <c r="E326" i="2" s="1"/>
  <c r="E327" i="2" s="1"/>
  <c r="E328" i="2" s="1"/>
  <c r="E329" i="2" s="1"/>
  <c r="E330" i="2" s="1"/>
  <c r="E331" i="2" s="1"/>
  <c r="E332" i="2" s="1"/>
  <c r="E333" i="2" s="1"/>
  <c r="E334" i="2" s="1"/>
  <c r="E335" i="2" s="1"/>
  <c r="E336" i="2" s="1"/>
  <c r="E337" i="2" s="1"/>
  <c r="E338" i="2" s="1"/>
  <c r="E339" i="2" s="1"/>
  <c r="E340" i="2" s="1"/>
  <c r="E341" i="2" s="1"/>
  <c r="E342" i="2" s="1"/>
  <c r="E343" i="2" s="1"/>
  <c r="E344" i="2" s="1"/>
  <c r="E345" i="2" s="1"/>
  <c r="E346" i="2" s="1"/>
  <c r="E347" i="2" s="1"/>
  <c r="E348" i="2" s="1"/>
  <c r="E349" i="2" s="1"/>
  <c r="E350" i="2" s="1"/>
  <c r="E351" i="2" s="1"/>
  <c r="E352" i="2" s="1"/>
  <c r="E353" i="2" s="1"/>
  <c r="E354" i="2" s="1"/>
  <c r="E355" i="2" s="1"/>
  <c r="E356" i="2" s="1"/>
  <c r="E357" i="2" s="1"/>
  <c r="E358" i="2" s="1"/>
  <c r="E359" i="2" s="1"/>
  <c r="E360" i="2" s="1"/>
  <c r="E361" i="2" s="1"/>
  <c r="E362" i="2" s="1"/>
  <c r="E363" i="2" s="1"/>
  <c r="E364" i="2" s="1"/>
  <c r="E365" i="2" s="1"/>
  <c r="E366" i="2" s="1"/>
  <c r="E367" i="2" s="1"/>
  <c r="E368" i="2" s="1"/>
  <c r="E369" i="2" s="1"/>
  <c r="E370" i="2" s="1"/>
  <c r="E371" i="2" s="1"/>
  <c r="E372" i="2" s="1"/>
  <c r="E373" i="2" s="1"/>
  <c r="E374" i="2" s="1"/>
  <c r="E375" i="2" s="1"/>
  <c r="E376" i="2" s="1"/>
  <c r="E377" i="2" s="1"/>
  <c r="E378" i="2" s="1"/>
  <c r="E379" i="2" s="1"/>
  <c r="E380" i="2" s="1"/>
  <c r="E381" i="2" s="1"/>
  <c r="E382" i="2" s="1"/>
  <c r="E383" i="2" s="1"/>
  <c r="E384" i="2" s="1"/>
  <c r="E385" i="2" s="1"/>
  <c r="E386" i="2" s="1"/>
  <c r="E387" i="2" s="1"/>
  <c r="E388" i="2" s="1"/>
  <c r="E389" i="2" s="1"/>
  <c r="E390" i="2" s="1"/>
  <c r="E391" i="2" s="1"/>
  <c r="E392" i="2" s="1"/>
  <c r="E393" i="2" s="1"/>
  <c r="E394" i="2" s="1"/>
  <c r="E395" i="2" s="1"/>
  <c r="E396" i="2" s="1"/>
  <c r="E397" i="2" s="1"/>
  <c r="E398" i="2" s="1"/>
  <c r="E399" i="2" s="1"/>
  <c r="E400" i="2" s="1"/>
  <c r="E401" i="2" s="1"/>
  <c r="E402" i="2" s="1"/>
  <c r="E403" i="2" s="1"/>
  <c r="E404" i="2" s="1"/>
  <c r="E405" i="2" s="1"/>
  <c r="E406" i="2" s="1"/>
  <c r="E407" i="2" s="1"/>
  <c r="E408" i="2" s="1"/>
  <c r="E409" i="2" s="1"/>
  <c r="E410" i="2" s="1"/>
  <c r="E411" i="2" s="1"/>
  <c r="E412" i="2" s="1"/>
  <c r="E413" i="2" s="1"/>
  <c r="E414" i="2" s="1"/>
  <c r="E415" i="2" s="1"/>
  <c r="E416" i="2" s="1"/>
  <c r="E417" i="2" s="1"/>
  <c r="E418" i="2" s="1"/>
  <c r="E419" i="2" s="1"/>
  <c r="E420" i="2" s="1"/>
  <c r="E421" i="2" s="1"/>
  <c r="E422" i="2" s="1"/>
  <c r="E423" i="2" s="1"/>
  <c r="E424" i="2" s="1"/>
  <c r="E425" i="2" s="1"/>
  <c r="E426" i="2" s="1"/>
  <c r="E427" i="2" s="1"/>
  <c r="E428" i="2" s="1"/>
  <c r="E429" i="2" s="1"/>
  <c r="E430" i="2" s="1"/>
  <c r="E431" i="2" s="1"/>
  <c r="E432" i="2" s="1"/>
  <c r="E433" i="2" s="1"/>
  <c r="E434" i="2" s="1"/>
  <c r="E435" i="2" s="1"/>
  <c r="E436" i="2" s="1"/>
  <c r="E437" i="2" s="1"/>
  <c r="E438" i="2" s="1"/>
  <c r="E439" i="2" s="1"/>
  <c r="E440" i="2" s="1"/>
  <c r="E441" i="2" s="1"/>
  <c r="E442" i="2" s="1"/>
  <c r="E443" i="2" s="1"/>
  <c r="E444" i="2" s="1"/>
  <c r="E445" i="2" s="1"/>
  <c r="E446" i="2" s="1"/>
  <c r="E447" i="2" s="1"/>
  <c r="E448" i="2" s="1"/>
  <c r="E449" i="2" s="1"/>
  <c r="E450" i="2" s="1"/>
  <c r="E451" i="2" s="1"/>
  <c r="E452" i="2" s="1"/>
  <c r="E453" i="2" s="1"/>
  <c r="E454" i="2" s="1"/>
  <c r="E455" i="2" s="1"/>
  <c r="E456" i="2" s="1"/>
  <c r="E457" i="2" s="1"/>
  <c r="E458" i="2" s="1"/>
  <c r="E459" i="2" s="1"/>
  <c r="E460" i="2" s="1"/>
  <c r="E461" i="2" s="1"/>
  <c r="E462" i="2" s="1"/>
  <c r="E463" i="2" s="1"/>
  <c r="E464" i="2" s="1"/>
  <c r="E465" i="2" s="1"/>
  <c r="E466" i="2" s="1"/>
  <c r="E467" i="2" s="1"/>
  <c r="E468" i="2" s="1"/>
  <c r="E469" i="2" s="1"/>
  <c r="E470" i="2" s="1"/>
  <c r="E471" i="2" s="1"/>
  <c r="E472" i="2" s="1"/>
  <c r="E473" i="2" s="1"/>
  <c r="E474" i="2" s="1"/>
  <c r="E475" i="2" s="1"/>
  <c r="E476" i="2" s="1"/>
  <c r="E477" i="2" s="1"/>
  <c r="E478" i="2" s="1"/>
  <c r="E479" i="2" s="1"/>
  <c r="E480" i="2" s="1"/>
  <c r="E481" i="2" s="1"/>
  <c r="E482" i="2" s="1"/>
  <c r="E483" i="2" s="1"/>
  <c r="E484" i="2" s="1"/>
  <c r="E485" i="2" s="1"/>
  <c r="E486" i="2" s="1"/>
  <c r="E487" i="2" s="1"/>
  <c r="E488" i="2" s="1"/>
  <c r="E489" i="2" s="1"/>
  <c r="E490" i="2" s="1"/>
  <c r="E491" i="2" s="1"/>
  <c r="E492" i="2" s="1"/>
  <c r="E493" i="2" s="1"/>
  <c r="E494" i="2" s="1"/>
  <c r="E495" i="2" s="1"/>
  <c r="E496" i="2" s="1"/>
  <c r="E497" i="2" s="1"/>
  <c r="E498" i="2" s="1"/>
  <c r="E499" i="2" s="1"/>
  <c r="E500" i="2" s="1"/>
  <c r="E501" i="2" s="1"/>
  <c r="D18" i="16"/>
  <c r="D17" i="16"/>
  <c r="D16" i="16"/>
  <c r="D14" i="16"/>
  <c r="D13" i="16"/>
  <c r="D12" i="16"/>
  <c r="D11" i="16"/>
  <c r="D9" i="16"/>
  <c r="D8" i="16"/>
  <c r="D7" i="16"/>
  <c r="R8" i="2"/>
  <c r="M34" i="11" l="1" a="1"/>
  <c r="M34" i="11" s="1"/>
  <c r="L34" i="11" s="1"/>
  <c r="M33" i="11" a="1"/>
  <c r="M33" i="11" s="1"/>
  <c r="L33" i="11" s="1"/>
  <c r="M11" i="11" a="1"/>
  <c r="M11" i="11" s="1"/>
  <c r="L11" i="11" s="1"/>
  <c r="M15" i="11" a="1"/>
  <c r="M15" i="11" s="1"/>
  <c r="L15" i="11" s="1"/>
  <c r="M16" i="11" a="1"/>
  <c r="M16" i="11" s="1"/>
  <c r="L16" i="11" s="1"/>
  <c r="M10" i="11" a="1"/>
  <c r="M10" i="11" s="1"/>
  <c r="L10" i="11" s="1"/>
  <c r="O45" i="11" a="1"/>
  <c r="O45" i="11" s="1"/>
  <c r="O62" i="11" a="1"/>
  <c r="O62" i="11" s="1"/>
  <c r="O61" i="11" a="1"/>
  <c r="O61" i="11" s="1"/>
  <c r="O60" i="11" a="1"/>
  <c r="O60" i="11" s="1"/>
  <c r="O16" i="11" a="1"/>
  <c r="O16" i="11" s="1"/>
  <c r="O11" i="11" a="1"/>
  <c r="O11" i="11" s="1"/>
  <c r="O34" i="11" a="1"/>
  <c r="O34" i="11" s="1"/>
  <c r="O47" i="11" a="1"/>
  <c r="O47" i="11" s="1"/>
  <c r="O46" i="11" a="1"/>
  <c r="O46" i="11" s="1"/>
  <c r="AR10" i="7"/>
  <c r="BD10" i="7"/>
  <c r="AX10" i="7"/>
  <c r="BJ10" i="7"/>
  <c r="G43" i="16" a="1"/>
  <c r="G43" i="16" s="1"/>
  <c r="D43" i="16" s="1"/>
  <c r="G41" i="16" a="1"/>
  <c r="G41" i="16" s="1"/>
  <c r="D41" i="16" s="1"/>
  <c r="G25" i="16"/>
  <c r="O25" i="16" s="1"/>
  <c r="G24" i="16"/>
  <c r="O24" i="16" s="1"/>
  <c r="G45" i="16" a="1"/>
  <c r="G45" i="16" s="1"/>
  <c r="D45" i="16" s="1"/>
  <c r="G35" i="16"/>
  <c r="O35" i="16" s="1"/>
  <c r="G34" i="16"/>
  <c r="O34" i="16" s="1"/>
  <c r="G33" i="16"/>
  <c r="O33" i="16" s="1"/>
  <c r="G32" i="16"/>
  <c r="O32" i="16" s="1"/>
  <c r="G10" i="16" a="1"/>
  <c r="G10" i="16" s="1"/>
  <c r="D10" i="16" s="1"/>
  <c r="G31" i="16"/>
  <c r="O31" i="16" s="1"/>
  <c r="G42" i="16" a="1"/>
  <c r="G42" i="16" s="1"/>
  <c r="D42" i="16" s="1"/>
  <c r="G30" i="16"/>
  <c r="O30" i="16" s="1"/>
  <c r="G29" i="16"/>
  <c r="O29" i="16" s="1"/>
  <c r="G28" i="16"/>
  <c r="O28" i="16" s="1"/>
  <c r="G27" i="16"/>
  <c r="O27" i="16" s="1"/>
  <c r="G26" i="16"/>
  <c r="O26" i="16" s="1"/>
  <c r="G54" i="16" a="1"/>
  <c r="G54" i="16" s="1"/>
  <c r="D54" i="16" s="1"/>
  <c r="G58" i="16" a="1"/>
  <c r="G58" i="16" s="1"/>
  <c r="D58" i="16" s="1"/>
  <c r="G57" i="16" a="1"/>
  <c r="G57" i="16" s="1"/>
  <c r="D57" i="16" s="1"/>
  <c r="G52" i="16" a="1"/>
  <c r="G52" i="16" s="1"/>
  <c r="D52" i="16" s="1"/>
  <c r="G51" i="16" a="1"/>
  <c r="G51" i="16" s="1"/>
  <c r="D51" i="16" s="1"/>
  <c r="G15" i="16" a="1"/>
  <c r="G15" i="16" s="1"/>
  <c r="D15" i="16" s="1"/>
  <c r="G50" i="16" a="1"/>
  <c r="G50" i="16" s="1"/>
  <c r="D50" i="16" s="1"/>
  <c r="G83" i="23"/>
  <c r="I84" i="6" s="1"/>
  <c r="G68" i="23"/>
  <c r="I69" i="6" s="1"/>
  <c r="G67" i="23"/>
  <c r="I68" i="6" s="1"/>
  <c r="AX12" i="7"/>
  <c r="BD28" i="7"/>
  <c r="Y28" i="7" s="1"/>
  <c r="AR26" i="7"/>
  <c r="M26" i="7" s="1"/>
  <c r="AR12" i="7"/>
  <c r="H24" i="6"/>
  <c r="H25" i="6"/>
  <c r="F79" i="23"/>
  <c r="H80" i="6" s="1"/>
  <c r="H21" i="6"/>
  <c r="M13" i="17"/>
  <c r="F10" i="23" s="1"/>
  <c r="H11" i="6" s="1"/>
  <c r="O13" i="17"/>
  <c r="H10" i="23" s="1"/>
  <c r="J11" i="6" s="1"/>
  <c r="G48" i="16" s="1" a="1"/>
  <c r="G48" i="16" s="1"/>
  <c r="D48" i="16" s="1"/>
  <c r="P13" i="17"/>
  <c r="F68" i="23" s="1"/>
  <c r="H69" i="6" s="1"/>
  <c r="G69" i="23"/>
  <c r="I70" i="6" s="1"/>
  <c r="G11" i="23"/>
  <c r="I12" i="6" s="1"/>
  <c r="O14" i="17"/>
  <c r="H11" i="23" s="1"/>
  <c r="J12" i="6" s="1"/>
  <c r="G49" i="16" s="1" a="1"/>
  <c r="G49" i="16" s="1"/>
  <c r="D49" i="16" s="1"/>
  <c r="K9" i="18"/>
  <c r="H8" i="23" s="1"/>
  <c r="J9" i="6" s="1"/>
  <c r="L9" i="18"/>
  <c r="F66" i="23" s="1"/>
  <c r="H67" i="6" s="1"/>
  <c r="K10" i="18"/>
  <c r="H9" i="23" s="1"/>
  <c r="J10" i="6" s="1"/>
  <c r="G8" i="23"/>
  <c r="I9" i="6" s="1"/>
  <c r="G66" i="23"/>
  <c r="I67" i="6" s="1"/>
  <c r="G9" i="23"/>
  <c r="I10" i="6" s="1"/>
  <c r="BP26" i="7"/>
  <c r="AK26" i="7" s="1"/>
  <c r="BD12" i="7"/>
  <c r="AR28" i="7"/>
  <c r="M28" i="7" s="1"/>
  <c r="BP10" i="7"/>
  <c r="BJ12" i="7"/>
  <c r="AX28" i="7"/>
  <c r="S28" i="7" s="1"/>
  <c r="AX27" i="7"/>
  <c r="S27" i="7" s="1"/>
  <c r="BJ28" i="7"/>
  <c r="AE28" i="7" s="1"/>
  <c r="BD27" i="7"/>
  <c r="Y27" i="7" s="1"/>
  <c r="BP28" i="7"/>
  <c r="AK28" i="7" s="1"/>
  <c r="BP12" i="7"/>
  <c r="AX26" i="7"/>
  <c r="S26" i="7" s="1"/>
  <c r="BJ27" i="7"/>
  <c r="AE27" i="7" s="1"/>
  <c r="BD26" i="7"/>
  <c r="Y26" i="7" s="1"/>
  <c r="BP27" i="7"/>
  <c r="AK27" i="7" s="1"/>
  <c r="AR27" i="7"/>
  <c r="M27" i="7" s="1"/>
  <c r="BJ26" i="7"/>
  <c r="AE26" i="7" s="1"/>
  <c r="AM10" i="7"/>
  <c r="AY10" i="7"/>
  <c r="BK10" i="7"/>
  <c r="AM12" i="7"/>
  <c r="AY12" i="7"/>
  <c r="BK12" i="7"/>
  <c r="AM20" i="7"/>
  <c r="H20" i="7" s="1"/>
  <c r="AY20" i="7"/>
  <c r="T20" i="7" s="1"/>
  <c r="BK20" i="7"/>
  <c r="AF20" i="7" s="1"/>
  <c r="AS21" i="7"/>
  <c r="N21" i="7" s="1"/>
  <c r="BE21" i="7"/>
  <c r="Z21" i="7" s="1"/>
  <c r="AM26" i="7"/>
  <c r="H26" i="7" s="1"/>
  <c r="AY26" i="7"/>
  <c r="T26" i="7" s="1"/>
  <c r="BK26" i="7"/>
  <c r="AF26" i="7" s="1"/>
  <c r="AS27" i="7"/>
  <c r="N27" i="7" s="1"/>
  <c r="BE27" i="7"/>
  <c r="Z27" i="7" s="1"/>
  <c r="AM28" i="7"/>
  <c r="H28" i="7" s="1"/>
  <c r="AY28" i="7"/>
  <c r="T28" i="7" s="1"/>
  <c r="BK28" i="7"/>
  <c r="AF28" i="7" s="1"/>
  <c r="AS29" i="7"/>
  <c r="N29" i="7" s="1"/>
  <c r="BE29" i="7"/>
  <c r="Z29" i="7" s="1"/>
  <c r="AM30" i="7"/>
  <c r="H30" i="7" s="1"/>
  <c r="AY30" i="7"/>
  <c r="T30" i="7" s="1"/>
  <c r="BK30" i="7"/>
  <c r="AF30" i="7" s="1"/>
  <c r="AN10" i="7"/>
  <c r="AZ10" i="7"/>
  <c r="BL10" i="7"/>
  <c r="AN12" i="7"/>
  <c r="AZ12" i="7"/>
  <c r="BL12" i="7"/>
  <c r="AN20" i="7"/>
  <c r="I20" i="7" s="1"/>
  <c r="AZ20" i="7"/>
  <c r="U20" i="7" s="1"/>
  <c r="BL20" i="7"/>
  <c r="AG20" i="7" s="1"/>
  <c r="AT21" i="7"/>
  <c r="O21" i="7" s="1"/>
  <c r="BF21" i="7"/>
  <c r="AA21" i="7" s="1"/>
  <c r="AN26" i="7"/>
  <c r="I26" i="7" s="1"/>
  <c r="AZ26" i="7"/>
  <c r="U26" i="7" s="1"/>
  <c r="BL26" i="7"/>
  <c r="AG26" i="7" s="1"/>
  <c r="AT27" i="7"/>
  <c r="O27" i="7" s="1"/>
  <c r="BF27" i="7"/>
  <c r="AA27" i="7" s="1"/>
  <c r="AN28" i="7"/>
  <c r="I28" i="7" s="1"/>
  <c r="AZ28" i="7"/>
  <c r="U28" i="7" s="1"/>
  <c r="BL28" i="7"/>
  <c r="AG28" i="7" s="1"/>
  <c r="AT29" i="7"/>
  <c r="O29" i="7" s="1"/>
  <c r="BF29" i="7"/>
  <c r="AA29" i="7" s="1"/>
  <c r="AN30" i="7"/>
  <c r="I30" i="7" s="1"/>
  <c r="AZ30" i="7"/>
  <c r="U30" i="7" s="1"/>
  <c r="BL30" i="7"/>
  <c r="AG30" i="7" s="1"/>
  <c r="AO10" i="7"/>
  <c r="BA10" i="7"/>
  <c r="BM10" i="7"/>
  <c r="AO12" i="7"/>
  <c r="BA12" i="7"/>
  <c r="BM12" i="7"/>
  <c r="AO20" i="7"/>
  <c r="J20" i="7" s="1"/>
  <c r="BA20" i="7"/>
  <c r="V20" i="7" s="1"/>
  <c r="BM20" i="7"/>
  <c r="AH20" i="7" s="1"/>
  <c r="AU21" i="7"/>
  <c r="P21" i="7" s="1"/>
  <c r="BG21" i="7"/>
  <c r="AB21" i="7" s="1"/>
  <c r="AO26" i="7"/>
  <c r="J26" i="7" s="1"/>
  <c r="BA26" i="7"/>
  <c r="V26" i="7" s="1"/>
  <c r="BM26" i="7"/>
  <c r="AH26" i="7" s="1"/>
  <c r="AU27" i="7"/>
  <c r="P27" i="7" s="1"/>
  <c r="BG27" i="7"/>
  <c r="AB27" i="7" s="1"/>
  <c r="AO28" i="7"/>
  <c r="J28" i="7" s="1"/>
  <c r="BA28" i="7"/>
  <c r="V28" i="7" s="1"/>
  <c r="BM28" i="7"/>
  <c r="AH28" i="7" s="1"/>
  <c r="AU29" i="7"/>
  <c r="P29" i="7" s="1"/>
  <c r="BG29" i="7"/>
  <c r="AB29" i="7" s="1"/>
  <c r="AO30" i="7"/>
  <c r="J30" i="7" s="1"/>
  <c r="BA30" i="7"/>
  <c r="V30" i="7" s="1"/>
  <c r="BM30" i="7"/>
  <c r="AH30" i="7" s="1"/>
  <c r="AP10" i="7"/>
  <c r="BB10" i="7"/>
  <c r="BN10" i="7"/>
  <c r="AP12" i="7"/>
  <c r="BB12" i="7"/>
  <c r="BN12" i="7"/>
  <c r="AP20" i="7"/>
  <c r="K20" i="7" s="1"/>
  <c r="BB20" i="7"/>
  <c r="W20" i="7" s="1"/>
  <c r="BN20" i="7"/>
  <c r="AI20" i="7" s="1"/>
  <c r="AV21" i="7"/>
  <c r="Q21" i="7" s="1"/>
  <c r="BH21" i="7"/>
  <c r="AC21" i="7" s="1"/>
  <c r="AP26" i="7"/>
  <c r="K26" i="7" s="1"/>
  <c r="BB26" i="7"/>
  <c r="W26" i="7" s="1"/>
  <c r="BN26" i="7"/>
  <c r="AI26" i="7" s="1"/>
  <c r="AV27" i="7"/>
  <c r="Q27" i="7" s="1"/>
  <c r="BH27" i="7"/>
  <c r="AC27" i="7" s="1"/>
  <c r="AP28" i="7"/>
  <c r="K28" i="7" s="1"/>
  <c r="BB28" i="7"/>
  <c r="W28" i="7" s="1"/>
  <c r="BN28" i="7"/>
  <c r="AI28" i="7" s="1"/>
  <c r="AV29" i="7"/>
  <c r="Q29" i="7" s="1"/>
  <c r="BH29" i="7"/>
  <c r="AC29" i="7" s="1"/>
  <c r="AP30" i="7"/>
  <c r="K30" i="7" s="1"/>
  <c r="BB30" i="7"/>
  <c r="W30" i="7" s="1"/>
  <c r="BN30" i="7"/>
  <c r="AI30" i="7" s="1"/>
  <c r="AQ10" i="7"/>
  <c r="BC10" i="7"/>
  <c r="BO10" i="7"/>
  <c r="AQ12" i="7"/>
  <c r="BC12" i="7"/>
  <c r="BO12" i="7"/>
  <c r="AQ20" i="7"/>
  <c r="L20" i="7" s="1"/>
  <c r="BC20" i="7"/>
  <c r="X20" i="7" s="1"/>
  <c r="BO20" i="7"/>
  <c r="AJ20" i="7" s="1"/>
  <c r="AW21" i="7"/>
  <c r="R21" i="7" s="1"/>
  <c r="BI21" i="7"/>
  <c r="AD21" i="7" s="1"/>
  <c r="AQ26" i="7"/>
  <c r="L26" i="7" s="1"/>
  <c r="BC26" i="7"/>
  <c r="X26" i="7" s="1"/>
  <c r="BO26" i="7"/>
  <c r="AJ26" i="7" s="1"/>
  <c r="AW27" i="7"/>
  <c r="R27" i="7" s="1"/>
  <c r="BI27" i="7"/>
  <c r="AD27" i="7" s="1"/>
  <c r="AQ28" i="7"/>
  <c r="L28" i="7" s="1"/>
  <c r="BC28" i="7"/>
  <c r="X28" i="7" s="1"/>
  <c r="BO28" i="7"/>
  <c r="AJ28" i="7" s="1"/>
  <c r="AW29" i="7"/>
  <c r="R29" i="7" s="1"/>
  <c r="BI29" i="7"/>
  <c r="AD29" i="7" s="1"/>
  <c r="AQ30" i="7"/>
  <c r="L30" i="7" s="1"/>
  <c r="BC30" i="7"/>
  <c r="X30" i="7" s="1"/>
  <c r="BO30" i="7"/>
  <c r="AJ30" i="7" s="1"/>
  <c r="AS10" i="7"/>
  <c r="BE10" i="7"/>
  <c r="AS12" i="7"/>
  <c r="BE12" i="7"/>
  <c r="AS20" i="7"/>
  <c r="N20" i="7" s="1"/>
  <c r="BE20" i="7"/>
  <c r="Z20" i="7" s="1"/>
  <c r="AM21" i="7"/>
  <c r="H21" i="7" s="1"/>
  <c r="AY21" i="7"/>
  <c r="T21" i="7" s="1"/>
  <c r="BK21" i="7"/>
  <c r="AF21" i="7" s="1"/>
  <c r="AS26" i="7"/>
  <c r="N26" i="7" s="1"/>
  <c r="BE26" i="7"/>
  <c r="Z26" i="7" s="1"/>
  <c r="AM27" i="7"/>
  <c r="H27" i="7" s="1"/>
  <c r="AY27" i="7"/>
  <c r="T27" i="7" s="1"/>
  <c r="BK27" i="7"/>
  <c r="AF27" i="7" s="1"/>
  <c r="AS28" i="7"/>
  <c r="N28" i="7" s="1"/>
  <c r="BE28" i="7"/>
  <c r="Z28" i="7" s="1"/>
  <c r="AM29" i="7"/>
  <c r="H29" i="7" s="1"/>
  <c r="AY29" i="7"/>
  <c r="T29" i="7" s="1"/>
  <c r="BK29" i="7"/>
  <c r="AF29" i="7" s="1"/>
  <c r="AS30" i="7"/>
  <c r="N30" i="7" s="1"/>
  <c r="BE30" i="7"/>
  <c r="Z30" i="7" s="1"/>
  <c r="AT10" i="7"/>
  <c r="BF10" i="7"/>
  <c r="AT12" i="7"/>
  <c r="BF12" i="7"/>
  <c r="AT20" i="7"/>
  <c r="O20" i="7" s="1"/>
  <c r="BF20" i="7"/>
  <c r="AA20" i="7" s="1"/>
  <c r="AN21" i="7"/>
  <c r="I21" i="7" s="1"/>
  <c r="AZ21" i="7"/>
  <c r="U21" i="7" s="1"/>
  <c r="BL21" i="7"/>
  <c r="AG21" i="7" s="1"/>
  <c r="AT26" i="7"/>
  <c r="O26" i="7" s="1"/>
  <c r="BF26" i="7"/>
  <c r="AA26" i="7" s="1"/>
  <c r="AN27" i="7"/>
  <c r="I27" i="7" s="1"/>
  <c r="AZ27" i="7"/>
  <c r="U27" i="7" s="1"/>
  <c r="BL27" i="7"/>
  <c r="AG27" i="7" s="1"/>
  <c r="AT28" i="7"/>
  <c r="O28" i="7" s="1"/>
  <c r="BF28" i="7"/>
  <c r="AA28" i="7" s="1"/>
  <c r="AN29" i="7"/>
  <c r="I29" i="7" s="1"/>
  <c r="AZ29" i="7"/>
  <c r="U29" i="7" s="1"/>
  <c r="BL29" i="7"/>
  <c r="AG29" i="7" s="1"/>
  <c r="AT30" i="7"/>
  <c r="O30" i="7" s="1"/>
  <c r="BF30" i="7"/>
  <c r="AA30" i="7" s="1"/>
  <c r="AU10" i="7"/>
  <c r="BG10" i="7"/>
  <c r="AU12" i="7"/>
  <c r="BG12" i="7"/>
  <c r="AU20" i="7"/>
  <c r="P20" i="7" s="1"/>
  <c r="BG20" i="7"/>
  <c r="AB20" i="7" s="1"/>
  <c r="AO21" i="7"/>
  <c r="J21" i="7" s="1"/>
  <c r="BA21" i="7"/>
  <c r="V21" i="7" s="1"/>
  <c r="BM21" i="7"/>
  <c r="AH21" i="7" s="1"/>
  <c r="AU26" i="7"/>
  <c r="P26" i="7" s="1"/>
  <c r="BG26" i="7"/>
  <c r="AB26" i="7" s="1"/>
  <c r="AO27" i="7"/>
  <c r="J27" i="7" s="1"/>
  <c r="BA27" i="7"/>
  <c r="V27" i="7" s="1"/>
  <c r="BM27" i="7"/>
  <c r="AH27" i="7" s="1"/>
  <c r="AU28" i="7"/>
  <c r="P28" i="7" s="1"/>
  <c r="BG28" i="7"/>
  <c r="AB28" i="7" s="1"/>
  <c r="AO29" i="7"/>
  <c r="J29" i="7" s="1"/>
  <c r="BA29" i="7"/>
  <c r="V29" i="7" s="1"/>
  <c r="BM29" i="7"/>
  <c r="AH29" i="7" s="1"/>
  <c r="AU30" i="7"/>
  <c r="P30" i="7" s="1"/>
  <c r="BG30" i="7"/>
  <c r="AB30" i="7" s="1"/>
  <c r="AV10" i="7"/>
  <c r="BH10" i="7"/>
  <c r="AV12" i="7"/>
  <c r="BH12" i="7"/>
  <c r="AV20" i="7"/>
  <c r="Q20" i="7" s="1"/>
  <c r="BH20" i="7"/>
  <c r="AC20" i="7" s="1"/>
  <c r="AP21" i="7"/>
  <c r="K21" i="7" s="1"/>
  <c r="BB21" i="7"/>
  <c r="W21" i="7" s="1"/>
  <c r="BN21" i="7"/>
  <c r="AI21" i="7" s="1"/>
  <c r="AV26" i="7"/>
  <c r="Q26" i="7" s="1"/>
  <c r="BH26" i="7"/>
  <c r="AC26" i="7" s="1"/>
  <c r="AP27" i="7"/>
  <c r="K27" i="7" s="1"/>
  <c r="BB27" i="7"/>
  <c r="W27" i="7" s="1"/>
  <c r="BN27" i="7"/>
  <c r="AI27" i="7" s="1"/>
  <c r="AV28" i="7"/>
  <c r="Q28" i="7" s="1"/>
  <c r="BH28" i="7"/>
  <c r="AC28" i="7" s="1"/>
  <c r="AP29" i="7"/>
  <c r="K29" i="7" s="1"/>
  <c r="BB29" i="7"/>
  <c r="W29" i="7" s="1"/>
  <c r="BN29" i="7"/>
  <c r="AI29" i="7" s="1"/>
  <c r="AV30" i="7"/>
  <c r="Q30" i="7" s="1"/>
  <c r="BH30" i="7"/>
  <c r="AC30" i="7" s="1"/>
  <c r="AW10" i="7"/>
  <c r="BI10" i="7"/>
  <c r="AW12" i="7"/>
  <c r="BI12" i="7"/>
  <c r="AW20" i="7"/>
  <c r="R20" i="7" s="1"/>
  <c r="BI20" i="7"/>
  <c r="AD20" i="7" s="1"/>
  <c r="AQ21" i="7"/>
  <c r="L21" i="7" s="1"/>
  <c r="BC21" i="7"/>
  <c r="X21" i="7" s="1"/>
  <c r="BO21" i="7"/>
  <c r="AJ21" i="7" s="1"/>
  <c r="AW26" i="7"/>
  <c r="R26" i="7" s="1"/>
  <c r="BI26" i="7"/>
  <c r="AD26" i="7" s="1"/>
  <c r="AQ27" i="7"/>
  <c r="L27" i="7" s="1"/>
  <c r="BC27" i="7"/>
  <c r="X27" i="7" s="1"/>
  <c r="BO27" i="7"/>
  <c r="AJ27" i="7" s="1"/>
  <c r="AW28" i="7"/>
  <c r="R28" i="7" s="1"/>
  <c r="BI28" i="7"/>
  <c r="AD28" i="7" s="1"/>
  <c r="AQ29" i="7"/>
  <c r="L29" i="7" s="1"/>
  <c r="BC29" i="7"/>
  <c r="X29" i="7" s="1"/>
  <c r="BO29" i="7"/>
  <c r="AJ29" i="7" s="1"/>
  <c r="AW30" i="7"/>
  <c r="R30" i="7" s="1"/>
  <c r="BI30" i="7"/>
  <c r="AD30" i="7" s="1"/>
  <c r="G79" i="23"/>
  <c r="I80" i="6" s="1"/>
  <c r="O64" i="11" s="1" a="1"/>
  <c r="O64" i="11" s="1"/>
  <c r="I24" i="6"/>
  <c r="H79" i="23"/>
  <c r="J80" i="6" s="1"/>
  <c r="J24" i="6"/>
  <c r="I21" i="6"/>
  <c r="I25" i="6"/>
  <c r="I81" i="6"/>
  <c r="H81" i="6"/>
  <c r="J21" i="6"/>
  <c r="J25" i="6"/>
  <c r="J81" i="6"/>
  <c r="O51" i="11" s="1" a="1"/>
  <c r="O51" i="11" s="1"/>
  <c r="H29" i="23"/>
  <c r="J30" i="6" s="1"/>
  <c r="F83" i="23"/>
  <c r="H84" i="6" s="1"/>
  <c r="H23" i="6"/>
  <c r="I23" i="6"/>
  <c r="H83" i="23"/>
  <c r="J84" i="6" s="1"/>
  <c r="M58" i="11" s="1" a="1"/>
  <c r="M58" i="11" s="1"/>
  <c r="L58" i="11" s="1"/>
  <c r="J23" i="6"/>
  <c r="G53" i="16" a="1"/>
  <c r="G53" i="16" s="1"/>
  <c r="D53" i="16" s="1"/>
  <c r="R9" i="7"/>
  <c r="R10" i="7" s="1"/>
  <c r="AD9" i="7"/>
  <c r="AD10" i="7" s="1"/>
  <c r="F29" i="23"/>
  <c r="H30" i="6" s="1"/>
  <c r="G29" i="23"/>
  <c r="I30" i="6" s="1"/>
  <c r="F81" i="23"/>
  <c r="G81" i="23"/>
  <c r="H81" i="23"/>
  <c r="M7" i="2"/>
  <c r="K11" i="7"/>
  <c r="K12" i="7" s="1"/>
  <c r="N9" i="7"/>
  <c r="N10" i="7" s="1"/>
  <c r="AI11" i="7"/>
  <c r="AI12" i="7" s="1"/>
  <c r="R11" i="7"/>
  <c r="R12" i="7" s="1"/>
  <c r="AD11" i="7"/>
  <c r="AD12" i="7" s="1"/>
  <c r="G44" i="16" a="1"/>
  <c r="G44" i="16" s="1"/>
  <c r="D44" i="16" s="1"/>
  <c r="T9" i="7"/>
  <c r="T10" i="7" s="1"/>
  <c r="M5" i="2"/>
  <c r="N5" i="2" s="1"/>
  <c r="I9" i="7"/>
  <c r="I10" i="7" s="1"/>
  <c r="G56" i="16" s="1" a="1"/>
  <c r="G56" i="16" s="1"/>
  <c r="D56" i="16" s="1"/>
  <c r="U9" i="7"/>
  <c r="U10" i="7" s="1"/>
  <c r="AG9" i="7"/>
  <c r="AG10" i="7" s="1"/>
  <c r="M6" i="2"/>
  <c r="O6" i="2" s="1"/>
  <c r="P9" i="7"/>
  <c r="P10" i="7" s="1"/>
  <c r="AB9" i="7"/>
  <c r="AB10" i="7" s="1"/>
  <c r="M11" i="7"/>
  <c r="M12" i="7" s="1"/>
  <c r="Y11" i="7"/>
  <c r="Y12" i="7" s="1"/>
  <c r="AK11" i="7"/>
  <c r="AK12" i="7" s="1"/>
  <c r="L10" i="18"/>
  <c r="F67" i="23" s="1"/>
  <c r="H68" i="6" s="1"/>
  <c r="P14" i="17"/>
  <c r="F69" i="23" s="1"/>
  <c r="H70" i="6" s="1"/>
  <c r="E502" i="2"/>
  <c r="E503" i="2" s="1"/>
  <c r="E504" i="2" s="1"/>
  <c r="E505" i="2" s="1"/>
  <c r="E506" i="2" s="1"/>
  <c r="E507" i="2" s="1"/>
  <c r="E508" i="2" s="1"/>
  <c r="E509" i="2" s="1"/>
  <c r="E510" i="2" s="1"/>
  <c r="E511" i="2" s="1"/>
  <c r="E512" i="2" s="1"/>
  <c r="E513" i="2" s="1"/>
  <c r="E514" i="2" s="1"/>
  <c r="E515" i="2" s="1"/>
  <c r="E516" i="2" s="1"/>
  <c r="E517" i="2" s="1"/>
  <c r="E518" i="2" s="1"/>
  <c r="E519" i="2" s="1"/>
  <c r="E520" i="2" s="1"/>
  <c r="E521" i="2" s="1"/>
  <c r="E522" i="2" s="1"/>
  <c r="E523" i="2" s="1"/>
  <c r="E524" i="2" s="1"/>
  <c r="E525" i="2" s="1"/>
  <c r="E526" i="2" s="1"/>
  <c r="E527" i="2" s="1"/>
  <c r="E528" i="2" s="1"/>
  <c r="E529" i="2" s="1"/>
  <c r="E530" i="2" s="1"/>
  <c r="E531" i="2" s="1"/>
  <c r="E532" i="2" s="1"/>
  <c r="E533" i="2" s="1"/>
  <c r="E534" i="2" s="1"/>
  <c r="E535" i="2" s="1"/>
  <c r="E536" i="2" s="1"/>
  <c r="E537" i="2" s="1"/>
  <c r="E538" i="2" s="1"/>
  <c r="E539" i="2" s="1"/>
  <c r="E540" i="2" s="1"/>
  <c r="E541" i="2" s="1"/>
  <c r="E542" i="2" s="1"/>
  <c r="E543" i="2" s="1"/>
  <c r="E544" i="2" s="1"/>
  <c r="E545" i="2" s="1"/>
  <c r="E546" i="2" s="1"/>
  <c r="E547" i="2" s="1"/>
  <c r="E548" i="2" s="1"/>
  <c r="E549" i="2" s="1"/>
  <c r="E550" i="2" s="1"/>
  <c r="E551" i="2" s="1"/>
  <c r="E552" i="2" s="1"/>
  <c r="E553" i="2" s="1"/>
  <c r="E554" i="2" s="1"/>
  <c r="E555" i="2" s="1"/>
  <c r="E556" i="2" s="1"/>
  <c r="E557" i="2" s="1"/>
  <c r="E558" i="2" s="1"/>
  <c r="E559" i="2" s="1"/>
  <c r="E560" i="2" s="1"/>
  <c r="E561" i="2" s="1"/>
  <c r="E562" i="2" s="1"/>
  <c r="E563" i="2" s="1"/>
  <c r="E564" i="2" s="1"/>
  <c r="E565" i="2" s="1"/>
  <c r="E566" i="2" s="1"/>
  <c r="E567" i="2" s="1"/>
  <c r="E568" i="2" s="1"/>
  <c r="E569" i="2" s="1"/>
  <c r="E570" i="2" s="1"/>
  <c r="E571" i="2" s="1"/>
  <c r="E572" i="2" s="1"/>
  <c r="E573" i="2" s="1"/>
  <c r="E574" i="2" s="1"/>
  <c r="E575" i="2" s="1"/>
  <c r="E576" i="2" s="1"/>
  <c r="E577" i="2" s="1"/>
  <c r="E578" i="2" s="1"/>
  <c r="E579" i="2" s="1"/>
  <c r="E580" i="2" s="1"/>
  <c r="E581" i="2" s="1"/>
  <c r="E582" i="2" s="1"/>
  <c r="E583" i="2" s="1"/>
  <c r="E584" i="2" s="1"/>
  <c r="E585" i="2" s="1"/>
  <c r="E586" i="2" s="1"/>
  <c r="E587" i="2" s="1"/>
  <c r="E588" i="2" s="1"/>
  <c r="E589" i="2" s="1"/>
  <c r="E590" i="2" s="1"/>
  <c r="E591" i="2" s="1"/>
  <c r="E592" i="2" s="1"/>
  <c r="E593" i="2" s="1"/>
  <c r="E594" i="2" s="1"/>
  <c r="E595" i="2" s="1"/>
  <c r="E596" i="2" s="1"/>
  <c r="E597" i="2" s="1"/>
  <c r="E598" i="2" s="1"/>
  <c r="E599" i="2" s="1"/>
  <c r="E600" i="2" s="1"/>
  <c r="E601" i="2" s="1"/>
  <c r="E602" i="2" s="1"/>
  <c r="E603" i="2" s="1"/>
  <c r="E604" i="2" s="1"/>
  <c r="E605" i="2" s="1"/>
  <c r="E606" i="2" s="1"/>
  <c r="E607" i="2" s="1"/>
  <c r="E608" i="2" s="1"/>
  <c r="E609" i="2" s="1"/>
  <c r="E610" i="2" s="1"/>
  <c r="E611" i="2" s="1"/>
  <c r="E612" i="2" s="1"/>
  <c r="E613" i="2" s="1"/>
  <c r="E614" i="2" s="1"/>
  <c r="E615" i="2" s="1"/>
  <c r="E616" i="2" s="1"/>
  <c r="E617" i="2" s="1"/>
  <c r="E618" i="2" s="1"/>
  <c r="E619" i="2" s="1"/>
  <c r="E620" i="2" s="1"/>
  <c r="E621" i="2" s="1"/>
  <c r="E622" i="2" s="1"/>
  <c r="E623" i="2" s="1"/>
  <c r="E624" i="2" s="1"/>
  <c r="E625" i="2" s="1"/>
  <c r="E626" i="2" s="1"/>
  <c r="E627" i="2" s="1"/>
  <c r="E628" i="2" s="1"/>
  <c r="E629" i="2" s="1"/>
  <c r="E630" i="2" s="1"/>
  <c r="E631" i="2" s="1"/>
  <c r="E632" i="2" s="1"/>
  <c r="E633" i="2" s="1"/>
  <c r="E634" i="2" s="1"/>
  <c r="E635" i="2" s="1"/>
  <c r="E636" i="2" s="1"/>
  <c r="E637" i="2" s="1"/>
  <c r="E638" i="2" s="1"/>
  <c r="E639" i="2" s="1"/>
  <c r="E640" i="2" s="1"/>
  <c r="E641" i="2" s="1"/>
  <c r="E642" i="2" s="1"/>
  <c r="E643" i="2" s="1"/>
  <c r="E644" i="2" s="1"/>
  <c r="E645" i="2" s="1"/>
  <c r="E646" i="2" s="1"/>
  <c r="E647" i="2" s="1"/>
  <c r="E648" i="2" s="1"/>
  <c r="E649" i="2" s="1"/>
  <c r="E650" i="2" s="1"/>
  <c r="E651" i="2" s="1"/>
  <c r="E652" i="2" s="1"/>
  <c r="E653" i="2" s="1"/>
  <c r="E654" i="2" s="1"/>
  <c r="E655" i="2" s="1"/>
  <c r="E656" i="2" s="1"/>
  <c r="E657" i="2" s="1"/>
  <c r="E658" i="2" s="1"/>
  <c r="E659" i="2" s="1"/>
  <c r="E660" i="2" s="1"/>
  <c r="E661" i="2" s="1"/>
  <c r="E662" i="2" s="1"/>
  <c r="E663" i="2" s="1"/>
  <c r="E664" i="2" s="1"/>
  <c r="E665" i="2" s="1"/>
  <c r="E666" i="2" s="1"/>
  <c r="E667" i="2" s="1"/>
  <c r="E668" i="2" s="1"/>
  <c r="E669" i="2" s="1"/>
  <c r="E670" i="2" s="1"/>
  <c r="E671" i="2" s="1"/>
  <c r="E672" i="2" s="1"/>
  <c r="E673" i="2" s="1"/>
  <c r="E674" i="2" s="1"/>
  <c r="E675" i="2" s="1"/>
  <c r="E676" i="2" s="1"/>
  <c r="E677" i="2" s="1"/>
  <c r="E678" i="2" s="1"/>
  <c r="E679" i="2" s="1"/>
  <c r="E680" i="2" s="1"/>
  <c r="E681" i="2" s="1"/>
  <c r="E682" i="2" s="1"/>
  <c r="E683" i="2" s="1"/>
  <c r="E684" i="2" s="1"/>
  <c r="E685" i="2" s="1"/>
  <c r="E686" i="2" s="1"/>
  <c r="E687" i="2" s="1"/>
  <c r="E688" i="2" s="1"/>
  <c r="E689" i="2" s="1"/>
  <c r="E690" i="2" s="1"/>
  <c r="E691" i="2" s="1"/>
  <c r="E692" i="2" s="1"/>
  <c r="E693" i="2" s="1"/>
  <c r="E694" i="2" s="1"/>
  <c r="E695" i="2" s="1"/>
  <c r="E696" i="2" s="1"/>
  <c r="E697" i="2" s="1"/>
  <c r="E698" i="2" s="1"/>
  <c r="E699" i="2" s="1"/>
  <c r="E700" i="2" s="1"/>
  <c r="E701" i="2" s="1"/>
  <c r="E702" i="2" s="1"/>
  <c r="E703" i="2" s="1"/>
  <c r="E704" i="2" s="1"/>
  <c r="E705" i="2" s="1"/>
  <c r="E706" i="2" s="1"/>
  <c r="E707" i="2" s="1"/>
  <c r="E708" i="2" s="1"/>
  <c r="E709" i="2" s="1"/>
  <c r="E710" i="2" s="1"/>
  <c r="E711" i="2" s="1"/>
  <c r="E712" i="2" s="1"/>
  <c r="E713" i="2" s="1"/>
  <c r="E714" i="2" s="1"/>
  <c r="E715" i="2" s="1"/>
  <c r="E716" i="2" s="1"/>
  <c r="E717" i="2" s="1"/>
  <c r="E718" i="2" s="1"/>
  <c r="E719" i="2" s="1"/>
  <c r="E720" i="2" s="1"/>
  <c r="E721" i="2" s="1"/>
  <c r="E722" i="2" s="1"/>
  <c r="E723" i="2" s="1"/>
  <c r="E724" i="2" s="1"/>
  <c r="E725" i="2" s="1"/>
  <c r="E726" i="2" s="1"/>
  <c r="E727" i="2" s="1"/>
  <c r="E728" i="2" s="1"/>
  <c r="E729" i="2" s="1"/>
  <c r="E730" i="2" s="1"/>
  <c r="E731" i="2" s="1"/>
  <c r="E732" i="2" s="1"/>
  <c r="E733" i="2" s="1"/>
  <c r="E734" i="2" s="1"/>
  <c r="E735" i="2" s="1"/>
  <c r="E736" i="2" s="1"/>
  <c r="E737" i="2" s="1"/>
  <c r="E738" i="2" s="1"/>
  <c r="E739" i="2" s="1"/>
  <c r="E740" i="2" s="1"/>
  <c r="E741" i="2" s="1"/>
  <c r="E742" i="2" s="1"/>
  <c r="E743" i="2" s="1"/>
  <c r="E744" i="2" s="1"/>
  <c r="E745" i="2" s="1"/>
  <c r="E746" i="2" s="1"/>
  <c r="E747" i="2" s="1"/>
  <c r="E748" i="2" s="1"/>
  <c r="E749" i="2" s="1"/>
  <c r="E750" i="2" s="1"/>
  <c r="E751" i="2" s="1"/>
  <c r="E752" i="2" s="1"/>
  <c r="E753" i="2" s="1"/>
  <c r="E754" i="2" s="1"/>
  <c r="E755" i="2" s="1"/>
  <c r="E756" i="2" s="1"/>
  <c r="E757" i="2" s="1"/>
  <c r="E758" i="2" s="1"/>
  <c r="E759" i="2" s="1"/>
  <c r="E760" i="2" s="1"/>
  <c r="E761" i="2" s="1"/>
  <c r="E762" i="2" s="1"/>
  <c r="E763" i="2" s="1"/>
  <c r="E764" i="2" s="1"/>
  <c r="E765" i="2" s="1"/>
  <c r="E766" i="2" s="1"/>
  <c r="E767" i="2" s="1"/>
  <c r="E768" i="2" s="1"/>
  <c r="E769" i="2" s="1"/>
  <c r="E770" i="2" s="1"/>
  <c r="E771" i="2" s="1"/>
  <c r="E772" i="2" s="1"/>
  <c r="E773" i="2" s="1"/>
  <c r="E774" i="2" s="1"/>
  <c r="E775" i="2" s="1"/>
  <c r="E776" i="2" s="1"/>
  <c r="E777" i="2" s="1"/>
  <c r="E778" i="2" s="1"/>
  <c r="E779" i="2" s="1"/>
  <c r="E780" i="2" s="1"/>
  <c r="E781" i="2" s="1"/>
  <c r="E782" i="2" s="1"/>
  <c r="E783" i="2" s="1"/>
  <c r="E784" i="2" s="1"/>
  <c r="E785" i="2" s="1"/>
  <c r="E786" i="2" s="1"/>
  <c r="E787" i="2" s="1"/>
  <c r="E788" i="2" s="1"/>
  <c r="E789" i="2" s="1"/>
  <c r="E790" i="2" s="1"/>
  <c r="E791" i="2" s="1"/>
  <c r="E792" i="2" s="1"/>
  <c r="E793" i="2" s="1"/>
  <c r="E794" i="2" s="1"/>
  <c r="E795" i="2" s="1"/>
  <c r="E796" i="2" s="1"/>
  <c r="E797" i="2" s="1"/>
  <c r="E798" i="2" s="1"/>
  <c r="E799" i="2" s="1"/>
  <c r="E800" i="2" s="1"/>
  <c r="E801" i="2" s="1"/>
  <c r="E802" i="2" s="1"/>
  <c r="E803" i="2" s="1"/>
  <c r="E804" i="2" s="1"/>
  <c r="E805" i="2" s="1"/>
  <c r="E806" i="2" s="1"/>
  <c r="E807" i="2" s="1"/>
  <c r="E808" i="2" s="1"/>
  <c r="E809" i="2" s="1"/>
  <c r="E810" i="2" s="1"/>
  <c r="E811" i="2" s="1"/>
  <c r="E812" i="2" s="1"/>
  <c r="E813" i="2" s="1"/>
  <c r="E814" i="2" s="1"/>
  <c r="E815" i="2" s="1"/>
  <c r="E816" i="2" s="1"/>
  <c r="E817" i="2" s="1"/>
  <c r="E818" i="2" s="1"/>
  <c r="E819" i="2" s="1"/>
  <c r="E820" i="2" s="1"/>
  <c r="E821" i="2" s="1"/>
  <c r="E822" i="2" s="1"/>
  <c r="E823" i="2" s="1"/>
  <c r="E824" i="2" s="1"/>
  <c r="E825" i="2" s="1"/>
  <c r="E826" i="2" s="1"/>
  <c r="E827" i="2" s="1"/>
  <c r="E828" i="2" s="1"/>
  <c r="E829" i="2" s="1"/>
  <c r="E830" i="2" s="1"/>
  <c r="E831" i="2" s="1"/>
  <c r="E832" i="2" s="1"/>
  <c r="E833" i="2" s="1"/>
  <c r="E834" i="2" s="1"/>
  <c r="E835" i="2" s="1"/>
  <c r="E836" i="2" s="1"/>
  <c r="E837" i="2" s="1"/>
  <c r="E838" i="2" s="1"/>
  <c r="E839" i="2" s="1"/>
  <c r="E840" i="2" s="1"/>
  <c r="E841" i="2" s="1"/>
  <c r="E842" i="2" s="1"/>
  <c r="E843" i="2" s="1"/>
  <c r="E844" i="2" s="1"/>
  <c r="E845" i="2" s="1"/>
  <c r="E846" i="2" s="1"/>
  <c r="E847" i="2" s="1"/>
  <c r="E848" i="2" s="1"/>
  <c r="E849" i="2" s="1"/>
  <c r="E850" i="2" s="1"/>
  <c r="E851" i="2" s="1"/>
  <c r="E852" i="2" s="1"/>
  <c r="E853" i="2" s="1"/>
  <c r="E854" i="2" s="1"/>
  <c r="E855" i="2" s="1"/>
  <c r="E856" i="2" s="1"/>
  <c r="E857" i="2" s="1"/>
  <c r="E858" i="2" s="1"/>
  <c r="E859" i="2" s="1"/>
  <c r="E860" i="2" s="1"/>
  <c r="E861" i="2" s="1"/>
  <c r="E862" i="2" s="1"/>
  <c r="E863" i="2" s="1"/>
  <c r="E864" i="2" s="1"/>
  <c r="E865" i="2" s="1"/>
  <c r="E866" i="2" s="1"/>
  <c r="E867" i="2" s="1"/>
  <c r="E868" i="2" s="1"/>
  <c r="E869" i="2" s="1"/>
  <c r="E870" i="2" s="1"/>
  <c r="E871" i="2" s="1"/>
  <c r="E872" i="2" s="1"/>
  <c r="E873" i="2" s="1"/>
  <c r="E874" i="2" s="1"/>
  <c r="E875" i="2" s="1"/>
  <c r="E876" i="2" s="1"/>
  <c r="E877" i="2" s="1"/>
  <c r="E878" i="2" s="1"/>
  <c r="E879" i="2" s="1"/>
  <c r="E880" i="2" s="1"/>
  <c r="E881" i="2" s="1"/>
  <c r="E882" i="2" s="1"/>
  <c r="E883" i="2" s="1"/>
  <c r="E884" i="2" s="1"/>
  <c r="E885" i="2" s="1"/>
  <c r="E886" i="2" s="1"/>
  <c r="E887" i="2" s="1"/>
  <c r="E888" i="2" s="1"/>
  <c r="E889" i="2" s="1"/>
  <c r="E890" i="2" s="1"/>
  <c r="E891" i="2" s="1"/>
  <c r="E892" i="2" s="1"/>
  <c r="E893" i="2" s="1"/>
  <c r="E894" i="2" s="1"/>
  <c r="E895" i="2" s="1"/>
  <c r="E896" i="2" s="1"/>
  <c r="E897" i="2" s="1"/>
  <c r="E898" i="2" s="1"/>
  <c r="E899" i="2" s="1"/>
  <c r="E900" i="2" s="1"/>
  <c r="E901" i="2" s="1"/>
  <c r="E902" i="2" s="1"/>
  <c r="E903" i="2" s="1"/>
  <c r="E904" i="2" s="1"/>
  <c r="E905" i="2" s="1"/>
  <c r="E906" i="2" s="1"/>
  <c r="E907" i="2" s="1"/>
  <c r="E908" i="2" s="1"/>
  <c r="E909" i="2" s="1"/>
  <c r="E910" i="2" s="1"/>
  <c r="E911" i="2" s="1"/>
  <c r="E912" i="2" s="1"/>
  <c r="E913" i="2" s="1"/>
  <c r="E914" i="2" s="1"/>
  <c r="E915" i="2" s="1"/>
  <c r="E916" i="2" s="1"/>
  <c r="E917" i="2" s="1"/>
  <c r="E918" i="2" s="1"/>
  <c r="E919" i="2" s="1"/>
  <c r="E920" i="2" s="1"/>
  <c r="E921" i="2" s="1"/>
  <c r="E922" i="2" s="1"/>
  <c r="E923" i="2" s="1"/>
  <c r="E924" i="2" s="1"/>
  <c r="E925" i="2" s="1"/>
  <c r="E926" i="2" s="1"/>
  <c r="E927" i="2" s="1"/>
  <c r="E928" i="2" s="1"/>
  <c r="E929" i="2" s="1"/>
  <c r="E930" i="2" s="1"/>
  <c r="E931" i="2" s="1"/>
  <c r="E932" i="2" s="1"/>
  <c r="E933" i="2" s="1"/>
  <c r="E934" i="2" s="1"/>
  <c r="E935" i="2" s="1"/>
  <c r="E936" i="2" s="1"/>
  <c r="E937" i="2" s="1"/>
  <c r="E938" i="2" s="1"/>
  <c r="E939" i="2" s="1"/>
  <c r="E940" i="2" s="1"/>
  <c r="E941" i="2" s="1"/>
  <c r="E942" i="2" s="1"/>
  <c r="E943" i="2" s="1"/>
  <c r="E944" i="2" s="1"/>
  <c r="E945" i="2" s="1"/>
  <c r="E946" i="2" s="1"/>
  <c r="E947" i="2" s="1"/>
  <c r="E948" i="2" s="1"/>
  <c r="E949" i="2" s="1"/>
  <c r="E950" i="2" s="1"/>
  <c r="E951" i="2" s="1"/>
  <c r="E952" i="2" s="1"/>
  <c r="E953" i="2" s="1"/>
  <c r="E954" i="2" s="1"/>
  <c r="E955" i="2" s="1"/>
  <c r="E956" i="2" s="1"/>
  <c r="E957" i="2" s="1"/>
  <c r="E958" i="2" s="1"/>
  <c r="E959" i="2" s="1"/>
  <c r="E960" i="2" s="1"/>
  <c r="E961" i="2" s="1"/>
  <c r="E962" i="2" s="1"/>
  <c r="E963" i="2" s="1"/>
  <c r="E964" i="2" s="1"/>
  <c r="E965" i="2" s="1"/>
  <c r="E966" i="2" s="1"/>
  <c r="E967" i="2" s="1"/>
  <c r="E968" i="2" s="1"/>
  <c r="E969" i="2" s="1"/>
  <c r="E970" i="2" s="1"/>
  <c r="E971" i="2" s="1"/>
  <c r="E972" i="2" s="1"/>
  <c r="E973" i="2" s="1"/>
  <c r="E974" i="2" s="1"/>
  <c r="E975" i="2" s="1"/>
  <c r="E976" i="2" s="1"/>
  <c r="E977" i="2" s="1"/>
  <c r="E978" i="2" s="1"/>
  <c r="E979" i="2" s="1"/>
  <c r="E980" i="2" s="1"/>
  <c r="E981" i="2" s="1"/>
  <c r="E982" i="2" s="1"/>
  <c r="E983" i="2" s="1"/>
  <c r="E984" i="2" s="1"/>
  <c r="E985" i="2" s="1"/>
  <c r="E986" i="2" s="1"/>
  <c r="E987" i="2" s="1"/>
  <c r="E988" i="2" s="1"/>
  <c r="E989" i="2" s="1"/>
  <c r="E990" i="2" s="1"/>
  <c r="E991" i="2" s="1"/>
  <c r="E992" i="2" s="1"/>
  <c r="E993" i="2" s="1"/>
  <c r="E994" i="2" s="1"/>
  <c r="E995" i="2" s="1"/>
  <c r="E996" i="2" s="1"/>
  <c r="M44" i="11" l="1" a="1"/>
  <c r="M44" i="11" s="1"/>
  <c r="L44" i="11" s="1"/>
  <c r="O71" i="11" a="1"/>
  <c r="O71" i="11" s="1"/>
  <c r="G47" i="16" a="1"/>
  <c r="G47" i="16" s="1"/>
  <c r="D47" i="16" s="1"/>
  <c r="G55" i="16" a="1"/>
  <c r="G55" i="16" s="1"/>
  <c r="D55" i="16" s="1"/>
  <c r="G46" i="16" a="1"/>
  <c r="G46" i="16" s="1"/>
  <c r="D46" i="16" s="1"/>
  <c r="M43" i="11" a="1"/>
  <c r="M43" i="11" s="1"/>
  <c r="L43" i="11" s="1"/>
  <c r="O14" i="11" a="1"/>
  <c r="O14" i="11" s="1"/>
  <c r="O7" i="11" a="1"/>
  <c r="O7" i="11" s="1"/>
  <c r="M39" i="11" a="1"/>
  <c r="M39" i="11" s="1"/>
  <c r="L39" i="11" s="1"/>
  <c r="M38" i="11" a="1"/>
  <c r="M38" i="11" s="1"/>
  <c r="L38" i="11" s="1"/>
  <c r="M48" i="11" a="1"/>
  <c r="M48" i="11" s="1"/>
  <c r="L48" i="11" s="1"/>
  <c r="M53" i="11" a="1"/>
  <c r="M53" i="11" s="1"/>
  <c r="L53" i="11" s="1"/>
  <c r="M73" i="11" a="1"/>
  <c r="M73" i="11" s="1"/>
  <c r="L73" i="11" s="1"/>
  <c r="M63" i="11" a="1"/>
  <c r="M63" i="11" s="1"/>
  <c r="L63" i="11" s="1"/>
  <c r="M49" i="11" a="1"/>
  <c r="M49" i="11" s="1"/>
  <c r="L49" i="11" s="1"/>
  <c r="M59" i="11" a="1"/>
  <c r="M59" i="11" s="1"/>
  <c r="L59" i="11" s="1"/>
  <c r="M74" i="11" a="1"/>
  <c r="M74" i="11" s="1"/>
  <c r="L74" i="11" s="1"/>
  <c r="M64" i="11" a="1"/>
  <c r="M64" i="11" s="1"/>
  <c r="L64" i="11" s="1"/>
  <c r="M21" i="11" a="1"/>
  <c r="M21" i="11" s="1"/>
  <c r="L21" i="11" s="1"/>
  <c r="M20" i="11" a="1"/>
  <c r="M20" i="11" s="1"/>
  <c r="L20" i="11" s="1"/>
  <c r="O55" i="11" a="1"/>
  <c r="O55" i="11" s="1"/>
  <c r="O56" i="11" a="1"/>
  <c r="O56" i="11" s="1"/>
  <c r="O72" i="11" a="1"/>
  <c r="O72" i="11" s="1"/>
  <c r="O57" i="11" a="1"/>
  <c r="O57" i="11" s="1"/>
  <c r="O70" i="11" a="1"/>
  <c r="O70" i="11" s="1"/>
  <c r="O44" i="11" a="1"/>
  <c r="O44" i="11" s="1"/>
  <c r="O67" i="11" a="1"/>
  <c r="O67" i="11" s="1"/>
  <c r="O52" i="11" a="1"/>
  <c r="O52" i="11" s="1"/>
  <c r="O66" i="11" a="1"/>
  <c r="O66" i="11" s="1"/>
  <c r="O42" i="11" a="1"/>
  <c r="O42" i="11" s="1"/>
  <c r="O40" i="11" a="1"/>
  <c r="O40" i="11" s="1"/>
  <c r="O41" i="11" a="1"/>
  <c r="O41" i="11" s="1"/>
  <c r="O13" i="11" a="1"/>
  <c r="O13" i="11" s="1"/>
  <c r="O49" i="11" a="1"/>
  <c r="O49" i="11" s="1"/>
  <c r="O74" i="11" a="1"/>
  <c r="O74" i="11" s="1"/>
  <c r="O12" i="11" a="1"/>
  <c r="O12" i="11" s="1"/>
  <c r="O59" i="11" a="1"/>
  <c r="O59" i="11" s="1"/>
  <c r="O24" i="11" a="1"/>
  <c r="O24" i="11" s="1"/>
  <c r="O22" i="11" a="1"/>
  <c r="O22" i="11" s="1"/>
  <c r="O35" i="11" a="1"/>
  <c r="O35" i="11" s="1"/>
  <c r="O17" i="11" a="1"/>
  <c r="O17" i="11" s="1"/>
  <c r="O36" i="11" a="1"/>
  <c r="O36" i="11" s="1"/>
  <c r="O18" i="11" a="1"/>
  <c r="O18" i="11" s="1"/>
  <c r="O37" i="11" a="1"/>
  <c r="O37" i="11" s="1"/>
  <c r="O19" i="11" a="1"/>
  <c r="O19" i="11" s="1"/>
  <c r="O23" i="11" a="1"/>
  <c r="O23" i="11" s="1"/>
  <c r="O65" i="11" a="1"/>
  <c r="O65" i="11" s="1"/>
  <c r="O50" i="11" a="1"/>
  <c r="O50" i="11" s="1"/>
  <c r="O30" i="11" a="1"/>
  <c r="O30" i="11" s="1"/>
  <c r="O31" i="11" a="1"/>
  <c r="O31" i="11" s="1"/>
  <c r="O8" i="11" a="1"/>
  <c r="O8" i="11" s="1"/>
  <c r="O32" i="11" a="1"/>
  <c r="O32" i="11" s="1"/>
  <c r="O9" i="11" a="1"/>
  <c r="O9" i="11" s="1"/>
  <c r="O25" i="11" a="1"/>
  <c r="O25" i="11" s="1"/>
  <c r="O39" i="11" a="1"/>
  <c r="O39" i="11" s="1"/>
  <c r="O21" i="11" a="1"/>
  <c r="O21" i="11" s="1"/>
  <c r="H88" i="23"/>
  <c r="J89" i="6" s="1"/>
  <c r="J82" i="6"/>
  <c r="G88" i="23"/>
  <c r="I89" i="6" s="1"/>
  <c r="I82" i="6"/>
  <c r="F88" i="23"/>
  <c r="H89" i="6" s="1"/>
  <c r="H82" i="6"/>
  <c r="N6" i="2"/>
  <c r="N8" i="2" s="1"/>
  <c r="O5" i="2"/>
  <c r="I510" i="2" l="1"/>
  <c r="O8" i="2"/>
  <c r="I941" i="2"/>
  <c r="M68" i="11" a="1"/>
  <c r="M68" i="11" s="1"/>
  <c r="L68" i="11" s="1"/>
  <c r="M54" i="11" a="1"/>
  <c r="M54" i="11" s="1"/>
  <c r="L54" i="11" s="1"/>
  <c r="M69" i="11" a="1"/>
  <c r="M69" i="11" s="1"/>
  <c r="L69" i="11" s="1"/>
  <c r="O54" i="11" a="1"/>
  <c r="O54" i="11" s="1"/>
  <c r="O69" i="11" a="1"/>
  <c r="O69" i="11" s="1"/>
  <c r="I987" i="2"/>
  <c r="I700" i="2"/>
  <c r="I807" i="2"/>
  <c r="I928" i="2"/>
  <c r="I867" i="2"/>
  <c r="I975" i="2"/>
  <c r="D975" i="2" s="1"/>
  <c r="I927" i="2"/>
  <c r="D927" i="2" s="1"/>
  <c r="I856" i="2"/>
  <c r="D856" i="2" s="1"/>
  <c r="I784" i="2"/>
  <c r="D784" i="2" s="1"/>
  <c r="I855" i="2"/>
  <c r="I931" i="2"/>
  <c r="I916" i="2"/>
  <c r="D916" i="2" s="1"/>
  <c r="I939" i="2"/>
  <c r="D939" i="2" s="1"/>
  <c r="I844" i="2"/>
  <c r="D844" i="2" s="1"/>
  <c r="I979" i="2"/>
  <c r="I724" i="2"/>
  <c r="I772" i="2"/>
  <c r="D772" i="2" s="1"/>
  <c r="I664" i="2"/>
  <c r="D664" i="2" s="1"/>
  <c r="I967" i="2"/>
  <c r="I796" i="2"/>
  <c r="I963" i="2"/>
  <c r="I915" i="2"/>
  <c r="I688" i="2"/>
  <c r="I955" i="2"/>
  <c r="D955" i="2" s="1"/>
  <c r="I879" i="2"/>
  <c r="D879" i="2" s="1"/>
  <c r="I544" i="2"/>
  <c r="I904" i="2"/>
  <c r="D904" i="2" s="1"/>
  <c r="I580" i="2"/>
  <c r="I783" i="2"/>
  <c r="D783" i="2" s="1"/>
  <c r="I831" i="2"/>
  <c r="D831" i="2" s="1"/>
  <c r="I748" i="2"/>
  <c r="I795" i="2"/>
  <c r="I964" i="2"/>
  <c r="D964" i="2" s="1"/>
  <c r="I628" i="2"/>
  <c r="I832" i="2"/>
  <c r="I676" i="2"/>
  <c r="I843" i="2"/>
  <c r="D843" i="2" s="1"/>
  <c r="I616" i="2"/>
  <c r="D616" i="2" s="1"/>
  <c r="I556" i="2"/>
  <c r="I532" i="2"/>
  <c r="I771" i="2"/>
  <c r="D771" i="2" s="1"/>
  <c r="I989" i="2"/>
  <c r="I652" i="2"/>
  <c r="D652" i="2" s="1"/>
  <c r="I943" i="2"/>
  <c r="I976" i="2"/>
  <c r="I568" i="2"/>
  <c r="I508" i="2"/>
  <c r="I891" i="2"/>
  <c r="I759" i="2"/>
  <c r="D759" i="2" s="1"/>
  <c r="I919" i="2"/>
  <c r="I520" i="2"/>
  <c r="I760" i="2"/>
  <c r="D760" i="2" s="1"/>
  <c r="I819" i="2"/>
  <c r="I640" i="2"/>
  <c r="I747" i="2"/>
  <c r="I952" i="2"/>
  <c r="I988" i="2"/>
  <c r="D988" i="2" s="1"/>
  <c r="I903" i="2"/>
  <c r="D903" i="2" s="1"/>
  <c r="I940" i="2"/>
  <c r="D940" i="2" s="1"/>
  <c r="I868" i="2"/>
  <c r="I736" i="2"/>
  <c r="D736" i="2" s="1"/>
  <c r="I712" i="2"/>
  <c r="I991" i="2"/>
  <c r="I977" i="2"/>
  <c r="D977" i="2" s="1"/>
  <c r="I820" i="2"/>
  <c r="I965" i="2"/>
  <c r="D965" i="2" s="1"/>
  <c r="I953" i="2"/>
  <c r="I845" i="2"/>
  <c r="I833" i="2"/>
  <c r="I951" i="2"/>
  <c r="I880" i="2"/>
  <c r="I797" i="2"/>
  <c r="I892" i="2"/>
  <c r="I808" i="2"/>
  <c r="D808" i="2" s="1"/>
  <c r="I737" i="2"/>
  <c r="I725" i="2"/>
  <c r="D725" i="2" s="1"/>
  <c r="I592" i="2"/>
  <c r="I701" i="2"/>
  <c r="I617" i="2"/>
  <c r="D617" i="2" s="1"/>
  <c r="I821" i="2"/>
  <c r="I809" i="2"/>
  <c r="I905" i="2"/>
  <c r="I689" i="2"/>
  <c r="D689" i="2" s="1"/>
  <c r="I604" i="2"/>
  <c r="D604" i="2" s="1"/>
  <c r="I881" i="2"/>
  <c r="I677" i="2"/>
  <c r="D677" i="2" s="1"/>
  <c r="I869" i="2"/>
  <c r="I653" i="2"/>
  <c r="D653" i="2" s="1"/>
  <c r="I857" i="2"/>
  <c r="I629" i="2"/>
  <c r="D629" i="2" s="1"/>
  <c r="I929" i="2"/>
  <c r="I785" i="2"/>
  <c r="I605" i="2"/>
  <c r="I917" i="2"/>
  <c r="I773" i="2"/>
  <c r="D773" i="2" s="1"/>
  <c r="I581" i="2"/>
  <c r="I761" i="2"/>
  <c r="D761" i="2" s="1"/>
  <c r="I675" i="2"/>
  <c r="I893" i="2"/>
  <c r="I749" i="2"/>
  <c r="I663" i="2"/>
  <c r="I651" i="2"/>
  <c r="D651" i="2" s="1"/>
  <c r="I557" i="2"/>
  <c r="I566" i="2"/>
  <c r="I593" i="2"/>
  <c r="I639" i="2"/>
  <c r="I665" i="2"/>
  <c r="D665" i="2" s="1"/>
  <c r="I627" i="2"/>
  <c r="I641" i="2"/>
  <c r="I615" i="2"/>
  <c r="I735" i="2"/>
  <c r="I713" i="2"/>
  <c r="I569" i="2"/>
  <c r="I507" i="2"/>
  <c r="I545" i="2"/>
  <c r="I986" i="2"/>
  <c r="I533" i="2"/>
  <c r="D533" i="2" s="1"/>
  <c r="I974" i="2"/>
  <c r="I723" i="2"/>
  <c r="D723" i="2" s="1"/>
  <c r="I926" i="2"/>
  <c r="I687" i="2"/>
  <c r="D687" i="2" s="1"/>
  <c r="I878" i="2"/>
  <c r="I521" i="2"/>
  <c r="I603" i="2"/>
  <c r="I866" i="2"/>
  <c r="I509" i="2"/>
  <c r="I579" i="2"/>
  <c r="I854" i="2"/>
  <c r="I555" i="2"/>
  <c r="I830" i="2"/>
  <c r="D830" i="2" s="1"/>
  <c r="I711" i="2"/>
  <c r="D711" i="2" s="1"/>
  <c r="I543" i="2"/>
  <c r="I806" i="2"/>
  <c r="I699" i="2"/>
  <c r="D699" i="2" s="1"/>
  <c r="I531" i="2"/>
  <c r="I794" i="2"/>
  <c r="D794" i="2" s="1"/>
  <c r="I519" i="2"/>
  <c r="I746" i="2"/>
  <c r="I950" i="2"/>
  <c r="D950" i="2" s="1"/>
  <c r="I722" i="2"/>
  <c r="D722" i="2" s="1"/>
  <c r="I591" i="2"/>
  <c r="I938" i="2"/>
  <c r="D938" i="2" s="1"/>
  <c r="I698" i="2"/>
  <c r="I686" i="2"/>
  <c r="D686" i="2" s="1"/>
  <c r="I567" i="2"/>
  <c r="I914" i="2"/>
  <c r="D914" i="2" s="1"/>
  <c r="I674" i="2"/>
  <c r="D674" i="2" s="1"/>
  <c r="I890" i="2"/>
  <c r="I662" i="2"/>
  <c r="I962" i="2"/>
  <c r="D962" i="2" s="1"/>
  <c r="I782" i="2"/>
  <c r="D782" i="2" s="1"/>
  <c r="I842" i="2"/>
  <c r="I650" i="2"/>
  <c r="D650" i="2" s="1"/>
  <c r="I638" i="2"/>
  <c r="D638" i="2" s="1"/>
  <c r="I818" i="2"/>
  <c r="I590" i="2"/>
  <c r="I734" i="2"/>
  <c r="I554" i="2"/>
  <c r="I973" i="2"/>
  <c r="I710" i="2"/>
  <c r="D710" i="2" s="1"/>
  <c r="I949" i="2"/>
  <c r="I624" i="2"/>
  <c r="I578" i="2"/>
  <c r="D578" i="2" s="1"/>
  <c r="I770" i="2"/>
  <c r="I626" i="2"/>
  <c r="I889" i="2"/>
  <c r="I902" i="2"/>
  <c r="D902" i="2" s="1"/>
  <c r="I758" i="2"/>
  <c r="D758" i="2" s="1"/>
  <c r="I614" i="2"/>
  <c r="I865" i="2"/>
  <c r="I602" i="2"/>
  <c r="I817" i="2"/>
  <c r="I923" i="2"/>
  <c r="I911" i="2"/>
  <c r="I901" i="2"/>
  <c r="D901" i="2" s="1"/>
  <c r="I518" i="2"/>
  <c r="I733" i="2"/>
  <c r="I985" i="2"/>
  <c r="D985" i="2" s="1"/>
  <c r="I697" i="2"/>
  <c r="I685" i="2"/>
  <c r="I841" i="2"/>
  <c r="D841" i="2" s="1"/>
  <c r="I530" i="2"/>
  <c r="I745" i="2"/>
  <c r="D745" i="2" s="1"/>
  <c r="I721" i="2"/>
  <c r="I673" i="2"/>
  <c r="D673" i="2" s="1"/>
  <c r="I996" i="2"/>
  <c r="D996" i="2" s="1"/>
  <c r="I781" i="2"/>
  <c r="D781" i="2" s="1"/>
  <c r="I661" i="2"/>
  <c r="I877" i="2"/>
  <c r="D877" i="2" s="1"/>
  <c r="I637" i="2"/>
  <c r="D637" i="2" s="1"/>
  <c r="I542" i="2"/>
  <c r="I853" i="2"/>
  <c r="I577" i="2"/>
  <c r="I506" i="2"/>
  <c r="D506" i="2" s="1"/>
  <c r="I829" i="2"/>
  <c r="I553" i="2"/>
  <c r="I961" i="2"/>
  <c r="D961" i="2" s="1"/>
  <c r="I805" i="2"/>
  <c r="I541" i="2"/>
  <c r="I925" i="2"/>
  <c r="D925" i="2" s="1"/>
  <c r="I769" i="2"/>
  <c r="D769" i="2" s="1"/>
  <c r="I517" i="2"/>
  <c r="I709" i="2"/>
  <c r="D709" i="2" s="1"/>
  <c r="I984" i="2"/>
  <c r="D984" i="2" s="1"/>
  <c r="I948" i="2"/>
  <c r="I625" i="2"/>
  <c r="I972" i="2"/>
  <c r="D972" i="2" s="1"/>
  <c r="I936" i="2"/>
  <c r="I900" i="2"/>
  <c r="D900" i="2" s="1"/>
  <c r="I613" i="2"/>
  <c r="I888" i="2"/>
  <c r="D888" i="2" s="1"/>
  <c r="I757" i="2"/>
  <c r="I601" i="2"/>
  <c r="I840" i="2"/>
  <c r="I589" i="2"/>
  <c r="I876" i="2"/>
  <c r="D876" i="2" s="1"/>
  <c r="I565" i="2"/>
  <c r="I852" i="2"/>
  <c r="D852" i="2" s="1"/>
  <c r="I529" i="2"/>
  <c r="I792" i="2"/>
  <c r="I793" i="2"/>
  <c r="I649" i="2"/>
  <c r="I505" i="2"/>
  <c r="I780" i="2"/>
  <c r="I744" i="2"/>
  <c r="I732" i="2"/>
  <c r="I960" i="2"/>
  <c r="D960" i="2" s="1"/>
  <c r="I660" i="2"/>
  <c r="D660" i="2" s="1"/>
  <c r="I648" i="2"/>
  <c r="I779" i="2"/>
  <c r="I636" i="2"/>
  <c r="D636" i="2" s="1"/>
  <c r="I612" i="2"/>
  <c r="I864" i="2"/>
  <c r="D864" i="2" s="1"/>
  <c r="I600" i="2"/>
  <c r="D600" i="2" s="1"/>
  <c r="I828" i="2"/>
  <c r="D828" i="2" s="1"/>
  <c r="I588" i="2"/>
  <c r="I804" i="2"/>
  <c r="D804" i="2" s="1"/>
  <c r="I576" i="2"/>
  <c r="I924" i="2"/>
  <c r="I768" i="2"/>
  <c r="I564" i="2"/>
  <c r="D564" i="2" s="1"/>
  <c r="I912" i="2"/>
  <c r="I756" i="2"/>
  <c r="I540" i="2"/>
  <c r="I720" i="2"/>
  <c r="D720" i="2" s="1"/>
  <c r="I995" i="2"/>
  <c r="D995" i="2" s="1"/>
  <c r="I708" i="2"/>
  <c r="D708" i="2" s="1"/>
  <c r="I959" i="2"/>
  <c r="D959" i="2" s="1"/>
  <c r="I684" i="2"/>
  <c r="I983" i="2"/>
  <c r="D983" i="2" s="1"/>
  <c r="I935" i="2"/>
  <c r="D935" i="2" s="1"/>
  <c r="I971" i="2"/>
  <c r="D971" i="2" s="1"/>
  <c r="I696" i="2"/>
  <c r="D696" i="2" s="1"/>
  <c r="I552" i="2"/>
  <c r="D552" i="2" s="1"/>
  <c r="I887" i="2"/>
  <c r="I599" i="2"/>
  <c r="I851" i="2"/>
  <c r="D851" i="2" s="1"/>
  <c r="I587" i="2"/>
  <c r="I816" i="2"/>
  <c r="I672" i="2"/>
  <c r="I528" i="2"/>
  <c r="D528" i="2" s="1"/>
  <c r="I839" i="2"/>
  <c r="I575" i="2"/>
  <c r="D575" i="2" s="1"/>
  <c r="I815" i="2"/>
  <c r="I970" i="2"/>
  <c r="D970" i="2" s="1"/>
  <c r="I803" i="2"/>
  <c r="D803" i="2" s="1"/>
  <c r="I946" i="2"/>
  <c r="D946" i="2" s="1"/>
  <c r="I791" i="2"/>
  <c r="D791" i="2" s="1"/>
  <c r="I910" i="2"/>
  <c r="D910" i="2" s="1"/>
  <c r="I947" i="2"/>
  <c r="I743" i="2"/>
  <c r="I731" i="2"/>
  <c r="I695" i="2"/>
  <c r="I659" i="2"/>
  <c r="I899" i="2"/>
  <c r="D899" i="2" s="1"/>
  <c r="I623" i="2"/>
  <c r="I527" i="2"/>
  <c r="I767" i="2"/>
  <c r="I982" i="2"/>
  <c r="I934" i="2"/>
  <c r="D934" i="2" s="1"/>
  <c r="I647" i="2"/>
  <c r="I886" i="2"/>
  <c r="I635" i="2"/>
  <c r="I850" i="2"/>
  <c r="I516" i="2"/>
  <c r="I875" i="2"/>
  <c r="D875" i="2" s="1"/>
  <c r="I719" i="2"/>
  <c r="D719" i="2" s="1"/>
  <c r="I551" i="2"/>
  <c r="I874" i="2"/>
  <c r="I504" i="2"/>
  <c r="I863" i="2"/>
  <c r="I707" i="2"/>
  <c r="I539" i="2"/>
  <c r="I862" i="2"/>
  <c r="D862" i="2" s="1"/>
  <c r="I683" i="2"/>
  <c r="D683" i="2" s="1"/>
  <c r="I515" i="2"/>
  <c r="I814" i="2"/>
  <c r="D814" i="2" s="1"/>
  <c r="I827" i="2"/>
  <c r="I671" i="2"/>
  <c r="I503" i="2"/>
  <c r="I802" i="2"/>
  <c r="I994" i="2"/>
  <c r="I742" i="2"/>
  <c r="D742" i="2" s="1"/>
  <c r="I670" i="2"/>
  <c r="I755" i="2"/>
  <c r="I611" i="2"/>
  <c r="I958" i="2"/>
  <c r="D958" i="2" s="1"/>
  <c r="I706" i="2"/>
  <c r="I694" i="2"/>
  <c r="I658" i="2"/>
  <c r="I898" i="2"/>
  <c r="I610" i="2"/>
  <c r="I981" i="2"/>
  <c r="D981" i="2" s="1"/>
  <c r="I969" i="2"/>
  <c r="D969" i="2" s="1"/>
  <c r="I838" i="2"/>
  <c r="I574" i="2"/>
  <c r="I826" i="2"/>
  <c r="D826" i="2" s="1"/>
  <c r="I562" i="2"/>
  <c r="I754" i="2"/>
  <c r="D754" i="2" s="1"/>
  <c r="I885" i="2"/>
  <c r="I825" i="2"/>
  <c r="D825" i="2" s="1"/>
  <c r="I718" i="2"/>
  <c r="D718" i="2" s="1"/>
  <c r="I741" i="2"/>
  <c r="I538" i="2"/>
  <c r="D538" i="2" s="1"/>
  <c r="I729" i="2"/>
  <c r="D729" i="2" s="1"/>
  <c r="I682" i="2"/>
  <c r="I514" i="2"/>
  <c r="D514" i="2" s="1"/>
  <c r="I705" i="2"/>
  <c r="I693" i="2"/>
  <c r="I681" i="2"/>
  <c r="I790" i="2"/>
  <c r="D790" i="2" s="1"/>
  <c r="I646" i="2"/>
  <c r="I945" i="2"/>
  <c r="D945" i="2" s="1"/>
  <c r="I645" i="2"/>
  <c r="I563" i="2"/>
  <c r="D563" i="2" s="1"/>
  <c r="I922" i="2"/>
  <c r="D922" i="2" s="1"/>
  <c r="I778" i="2"/>
  <c r="I634" i="2"/>
  <c r="D634" i="2" s="1"/>
  <c r="I933" i="2"/>
  <c r="D933" i="2" s="1"/>
  <c r="I549" i="2"/>
  <c r="I766" i="2"/>
  <c r="D766" i="2" s="1"/>
  <c r="I622" i="2"/>
  <c r="I921" i="2"/>
  <c r="I992" i="2"/>
  <c r="D992" i="2" s="1"/>
  <c r="I598" i="2"/>
  <c r="I861" i="2"/>
  <c r="D861" i="2" s="1"/>
  <c r="I730" i="2"/>
  <c r="I586" i="2"/>
  <c r="D586" i="2" s="1"/>
  <c r="I849" i="2"/>
  <c r="D849" i="2" s="1"/>
  <c r="I873" i="2"/>
  <c r="D873" i="2" s="1"/>
  <c r="I657" i="2"/>
  <c r="I526" i="2"/>
  <c r="I837" i="2"/>
  <c r="I993" i="2"/>
  <c r="D993" i="2" s="1"/>
  <c r="I502" i="2"/>
  <c r="D502" i="2" s="1"/>
  <c r="I801" i="2"/>
  <c r="D801" i="2" s="1"/>
  <c r="I980" i="2"/>
  <c r="D980" i="2" s="1"/>
  <c r="I789" i="2"/>
  <c r="D789" i="2" s="1"/>
  <c r="I848" i="2"/>
  <c r="I957" i="2"/>
  <c r="I813" i="2"/>
  <c r="D813" i="2" s="1"/>
  <c r="I669" i="2"/>
  <c r="I860" i="2"/>
  <c r="D860" i="2" s="1"/>
  <c r="I824" i="2"/>
  <c r="D824" i="2" s="1"/>
  <c r="I777" i="2"/>
  <c r="I633" i="2"/>
  <c r="I788" i="2"/>
  <c r="D788" i="2" s="1"/>
  <c r="I909" i="2"/>
  <c r="D909" i="2" s="1"/>
  <c r="I765" i="2"/>
  <c r="I621" i="2"/>
  <c r="I740" i="2"/>
  <c r="I550" i="2"/>
  <c r="D550" i="2" s="1"/>
  <c r="I897" i="2"/>
  <c r="D897" i="2" s="1"/>
  <c r="I753" i="2"/>
  <c r="D753" i="2" s="1"/>
  <c r="I609" i="2"/>
  <c r="I632" i="2"/>
  <c r="I597" i="2"/>
  <c r="I608" i="2"/>
  <c r="I717" i="2"/>
  <c r="D717" i="2" s="1"/>
  <c r="I501" i="2"/>
  <c r="I620" i="2"/>
  <c r="I968" i="2"/>
  <c r="I596" i="2"/>
  <c r="D596" i="2" s="1"/>
  <c r="I956" i="2"/>
  <c r="D956" i="2" s="1"/>
  <c r="I560" i="2"/>
  <c r="I920" i="2"/>
  <c r="D920" i="2" s="1"/>
  <c r="I835" i="2"/>
  <c r="I908" i="2"/>
  <c r="D908" i="2" s="1"/>
  <c r="I823" i="2"/>
  <c r="D823" i="2" s="1"/>
  <c r="I561" i="2"/>
  <c r="D561" i="2" s="1"/>
  <c r="I836" i="2"/>
  <c r="D836" i="2" s="1"/>
  <c r="I548" i="2"/>
  <c r="D548" i="2" s="1"/>
  <c r="I776" i="2"/>
  <c r="D776" i="2" s="1"/>
  <c r="I727" i="2"/>
  <c r="I752" i="2"/>
  <c r="D752" i="2" s="1"/>
  <c r="I715" i="2"/>
  <c r="I703" i="2"/>
  <c r="I644" i="2"/>
  <c r="I679" i="2"/>
  <c r="I585" i="2"/>
  <c r="I932" i="2"/>
  <c r="D932" i="2" s="1"/>
  <c r="I764" i="2"/>
  <c r="D764" i="2" s="1"/>
  <c r="I584" i="2"/>
  <c r="I691" i="2"/>
  <c r="I655" i="2"/>
  <c r="I537" i="2"/>
  <c r="D537" i="2" s="1"/>
  <c r="I896" i="2"/>
  <c r="I728" i="2"/>
  <c r="I907" i="2"/>
  <c r="D907" i="2" s="1"/>
  <c r="I643" i="2"/>
  <c r="I525" i="2"/>
  <c r="I884" i="2"/>
  <c r="I704" i="2"/>
  <c r="I883" i="2"/>
  <c r="I547" i="2"/>
  <c r="I513" i="2"/>
  <c r="D513" i="2" s="1"/>
  <c r="I872" i="2"/>
  <c r="D872" i="2" s="1"/>
  <c r="I692" i="2"/>
  <c r="D692" i="2" s="1"/>
  <c r="I859" i="2"/>
  <c r="I535" i="2"/>
  <c r="I680" i="2"/>
  <c r="I847" i="2"/>
  <c r="I871" i="2"/>
  <c r="I799" i="2"/>
  <c r="I990" i="2"/>
  <c r="D990" i="2" s="1"/>
  <c r="I787" i="2"/>
  <c r="D787" i="2" s="1"/>
  <c r="I918" i="2"/>
  <c r="I894" i="2"/>
  <c r="I882" i="2"/>
  <c r="D882" i="2" s="1"/>
  <c r="I716" i="2"/>
  <c r="D716" i="2" s="1"/>
  <c r="I572" i="2"/>
  <c r="I811" i="2"/>
  <c r="D811" i="2" s="1"/>
  <c r="I667" i="2"/>
  <c r="I906" i="2"/>
  <c r="I536" i="2"/>
  <c r="I775" i="2"/>
  <c r="D775" i="2" s="1"/>
  <c r="I631" i="2"/>
  <c r="I858" i="2"/>
  <c r="D858" i="2" s="1"/>
  <c r="I812" i="2"/>
  <c r="D812" i="2" s="1"/>
  <c r="I668" i="2"/>
  <c r="I524" i="2"/>
  <c r="D524" i="2" s="1"/>
  <c r="I763" i="2"/>
  <c r="I619" i="2"/>
  <c r="I762" i="2"/>
  <c r="D762" i="2" s="1"/>
  <c r="I573" i="2"/>
  <c r="I944" i="2"/>
  <c r="I800" i="2"/>
  <c r="D800" i="2" s="1"/>
  <c r="I656" i="2"/>
  <c r="D656" i="2" s="1"/>
  <c r="I512" i="2"/>
  <c r="I751" i="2"/>
  <c r="D751" i="2" s="1"/>
  <c r="I607" i="2"/>
  <c r="I750" i="2"/>
  <c r="I739" i="2"/>
  <c r="I571" i="2"/>
  <c r="I738" i="2"/>
  <c r="I559" i="2"/>
  <c r="I774" i="2"/>
  <c r="I714" i="2"/>
  <c r="I978" i="2"/>
  <c r="I642" i="2"/>
  <c r="I930" i="2"/>
  <c r="D930" i="2" s="1"/>
  <c r="I630" i="2"/>
  <c r="I702" i="2"/>
  <c r="D702" i="2" s="1"/>
  <c r="I618" i="2"/>
  <c r="I523" i="2"/>
  <c r="D523" i="2" s="1"/>
  <c r="I846" i="2"/>
  <c r="I606" i="2"/>
  <c r="I511" i="2"/>
  <c r="I834" i="2"/>
  <c r="I594" i="2"/>
  <c r="I895" i="2"/>
  <c r="I786" i="2"/>
  <c r="I570" i="2"/>
  <c r="I213" i="2"/>
  <c r="D213" i="2" s="1"/>
  <c r="I870" i="2"/>
  <c r="I726" i="2"/>
  <c r="I582" i="2"/>
  <c r="I558" i="2"/>
  <c r="D558" i="2" s="1"/>
  <c r="I690" i="2"/>
  <c r="I546" i="2"/>
  <c r="D546" i="2" s="1"/>
  <c r="I595" i="2"/>
  <c r="I966" i="2"/>
  <c r="I822" i="2"/>
  <c r="I678" i="2"/>
  <c r="I534" i="2"/>
  <c r="D534" i="2" s="1"/>
  <c r="I583" i="2"/>
  <c r="D583" i="2" s="1"/>
  <c r="I954" i="2"/>
  <c r="D954" i="2" s="1"/>
  <c r="I810" i="2"/>
  <c r="I666" i="2"/>
  <c r="D666" i="2" s="1"/>
  <c r="I522" i="2"/>
  <c r="D522" i="2" s="1"/>
  <c r="I942" i="2"/>
  <c r="I798" i="2"/>
  <c r="D798" i="2" s="1"/>
  <c r="I654" i="2"/>
  <c r="D855" i="2"/>
  <c r="D987" i="2"/>
  <c r="D952" i="2"/>
  <c r="D785" i="2"/>
  <c r="D593" i="2"/>
  <c r="I937" i="2" l="1"/>
  <c r="D937" i="2" s="1"/>
  <c r="I913" i="2"/>
  <c r="D913" i="2" s="1"/>
  <c r="I420" i="2"/>
  <c r="D420" i="2" s="1"/>
  <c r="I150" i="2"/>
  <c r="D150" i="2" s="1"/>
  <c r="I114" i="2"/>
  <c r="D114" i="2" s="1"/>
  <c r="I434" i="2"/>
  <c r="D434" i="2" s="1"/>
  <c r="I19" i="2"/>
  <c r="D19" i="2" s="1"/>
  <c r="I24" i="2"/>
  <c r="D24" i="2" s="1"/>
  <c r="I279" i="2"/>
  <c r="D279" i="2" s="1"/>
  <c r="I444" i="2"/>
  <c r="D444" i="2" s="1"/>
  <c r="I342" i="2"/>
  <c r="D342" i="2" s="1"/>
  <c r="I272" i="2"/>
  <c r="D272" i="2" s="1"/>
  <c r="I209" i="2"/>
  <c r="D209" i="2" s="1"/>
  <c r="I373" i="2"/>
  <c r="D373" i="2" s="1"/>
  <c r="I186" i="2"/>
  <c r="D186" i="2" s="1"/>
  <c r="I189" i="2"/>
  <c r="D189" i="2" s="1"/>
  <c r="I328" i="2"/>
  <c r="D328" i="2" s="1"/>
  <c r="I174" i="2"/>
  <c r="D174" i="2" s="1"/>
  <c r="I118" i="2"/>
  <c r="D118" i="2" s="1"/>
  <c r="I489" i="2"/>
  <c r="D489" i="2" s="1"/>
  <c r="I390" i="2"/>
  <c r="D390" i="2" s="1"/>
  <c r="I338" i="2"/>
  <c r="D338" i="2" s="1"/>
  <c r="I83" i="2"/>
  <c r="D83" i="2" s="1"/>
  <c r="I343" i="2"/>
  <c r="D343" i="2" s="1"/>
  <c r="I267" i="2"/>
  <c r="D267" i="2" s="1"/>
  <c r="I12" i="2"/>
  <c r="D12" i="2" s="1"/>
  <c r="I260" i="2"/>
  <c r="I197" i="2"/>
  <c r="D197" i="2" s="1"/>
  <c r="I432" i="2"/>
  <c r="I177" i="2"/>
  <c r="D177" i="2" s="1"/>
  <c r="I329" i="2"/>
  <c r="D329" i="2" s="1"/>
  <c r="I335" i="2"/>
  <c r="D335" i="2" s="1"/>
  <c r="I252" i="2"/>
  <c r="D252" i="2" s="1"/>
  <c r="I330" i="2"/>
  <c r="D330" i="2" s="1"/>
  <c r="I294" i="2"/>
  <c r="D294" i="2" s="1"/>
  <c r="I194" i="2"/>
  <c r="D194" i="2" s="1"/>
  <c r="I430" i="2"/>
  <c r="D430" i="2" s="1"/>
  <c r="I199" i="2"/>
  <c r="D199" i="2" s="1"/>
  <c r="I123" i="2"/>
  <c r="D123" i="2" s="1"/>
  <c r="I359" i="2"/>
  <c r="D359" i="2" s="1"/>
  <c r="I116" i="2"/>
  <c r="D116" i="2" s="1"/>
  <c r="I53" i="2"/>
  <c r="D53" i="2" s="1"/>
  <c r="I288" i="2"/>
  <c r="D288" i="2" s="1"/>
  <c r="I33" i="2"/>
  <c r="D33" i="2" s="1"/>
  <c r="I185" i="2"/>
  <c r="D185" i="2" s="1"/>
  <c r="I47" i="2"/>
  <c r="D47" i="2" s="1"/>
  <c r="I228" i="2"/>
  <c r="D228" i="2" s="1"/>
  <c r="I42" i="2"/>
  <c r="D42" i="2" s="1"/>
  <c r="I54" i="2"/>
  <c r="D54" i="2" s="1"/>
  <c r="I124" i="2"/>
  <c r="D124" i="2" s="1"/>
  <c r="I210" i="2"/>
  <c r="D210" i="2" s="1"/>
  <c r="I462" i="2"/>
  <c r="D462" i="2" s="1"/>
  <c r="I364" i="2"/>
  <c r="D364" i="2" s="1"/>
  <c r="I50" i="2"/>
  <c r="D50" i="2" s="1"/>
  <c r="I286" i="2"/>
  <c r="D286" i="2" s="1"/>
  <c r="I55" i="2"/>
  <c r="D55" i="2" s="1"/>
  <c r="I470" i="2"/>
  <c r="D470" i="2" s="1"/>
  <c r="I215" i="2"/>
  <c r="D215" i="2" s="1"/>
  <c r="I475" i="2"/>
  <c r="D475" i="2" s="1"/>
  <c r="I399" i="2"/>
  <c r="D399" i="2" s="1"/>
  <c r="I144" i="2"/>
  <c r="D144" i="2" s="1"/>
  <c r="I392" i="2"/>
  <c r="D392" i="2" s="1"/>
  <c r="I41" i="2"/>
  <c r="D41" i="2" s="1"/>
  <c r="I250" i="2"/>
  <c r="D250" i="2" s="1"/>
  <c r="I482" i="2"/>
  <c r="I66" i="2"/>
  <c r="D66" i="2" s="1"/>
  <c r="I318" i="2"/>
  <c r="D318" i="2" s="1"/>
  <c r="I78" i="2"/>
  <c r="D78" i="2" s="1"/>
  <c r="I102" i="2"/>
  <c r="D102" i="2" s="1"/>
  <c r="I52" i="2"/>
  <c r="D52" i="2" s="1"/>
  <c r="I397" i="2"/>
  <c r="D397" i="2" s="1"/>
  <c r="I142" i="2"/>
  <c r="D142" i="2" s="1"/>
  <c r="I378" i="2"/>
  <c r="D378" i="2" s="1"/>
  <c r="I326" i="2"/>
  <c r="D326" i="2" s="1"/>
  <c r="I71" i="2"/>
  <c r="D71" i="2" s="1"/>
  <c r="I331" i="2"/>
  <c r="D331" i="2" s="1"/>
  <c r="I255" i="2"/>
  <c r="I491" i="2"/>
  <c r="D491" i="2" s="1"/>
  <c r="I248" i="2"/>
  <c r="D248" i="2" s="1"/>
  <c r="I243" i="2"/>
  <c r="D243" i="2" s="1"/>
  <c r="I453" i="2"/>
  <c r="D453" i="2" s="1"/>
  <c r="I253" i="2"/>
  <c r="D253" i="2" s="1"/>
  <c r="I418" i="2"/>
  <c r="D418" i="2" s="1"/>
  <c r="I347" i="2"/>
  <c r="D347" i="2" s="1"/>
  <c r="I104" i="2"/>
  <c r="D104" i="2" s="1"/>
  <c r="I99" i="2"/>
  <c r="D99" i="2" s="1"/>
  <c r="I236" i="2"/>
  <c r="D236" i="2" s="1"/>
  <c r="I182" i="2"/>
  <c r="D182" i="2" s="1"/>
  <c r="I365" i="2"/>
  <c r="D365" i="2" s="1"/>
  <c r="I345" i="2"/>
  <c r="D345" i="2" s="1"/>
  <c r="I220" i="2"/>
  <c r="D220" i="2" s="1"/>
  <c r="I38" i="2"/>
  <c r="D38" i="2" s="1"/>
  <c r="I274" i="2"/>
  <c r="D274" i="2" s="1"/>
  <c r="I43" i="2"/>
  <c r="D43" i="2" s="1"/>
  <c r="I458" i="2"/>
  <c r="D458" i="2" s="1"/>
  <c r="I203" i="2"/>
  <c r="D203" i="2" s="1"/>
  <c r="I463" i="2"/>
  <c r="D463" i="2" s="1"/>
  <c r="I446" i="2"/>
  <c r="D446" i="2" s="1"/>
  <c r="I163" i="2"/>
  <c r="D163" i="2" s="1"/>
  <c r="I222" i="2"/>
  <c r="D222" i="2" s="1"/>
  <c r="I400" i="2"/>
  <c r="I90" i="2"/>
  <c r="D90" i="2" s="1"/>
  <c r="I109" i="2"/>
  <c r="D109" i="2" s="1"/>
  <c r="I234" i="2"/>
  <c r="D234" i="2" s="1"/>
  <c r="I282" i="2"/>
  <c r="D282" i="2" s="1"/>
  <c r="I221" i="2"/>
  <c r="D221" i="2" s="1"/>
  <c r="I456" i="2"/>
  <c r="D456" i="2" s="1"/>
  <c r="I201" i="2"/>
  <c r="D201" i="2" s="1"/>
  <c r="I472" i="2"/>
  <c r="D472" i="2" s="1"/>
  <c r="I385" i="2"/>
  <c r="D385" i="2" s="1"/>
  <c r="I130" i="2"/>
  <c r="D130" i="2" s="1"/>
  <c r="I354" i="2"/>
  <c r="D354" i="2" s="1"/>
  <c r="I314" i="2"/>
  <c r="D314" i="2" s="1"/>
  <c r="I59" i="2"/>
  <c r="D59" i="2" s="1"/>
  <c r="I319" i="2"/>
  <c r="D319" i="2" s="1"/>
  <c r="I302" i="2"/>
  <c r="D302" i="2" s="1"/>
  <c r="I7" i="2"/>
  <c r="D7" i="2" s="1"/>
  <c r="I111" i="2"/>
  <c r="D111" i="2" s="1"/>
  <c r="I258" i="2"/>
  <c r="D258" i="2" s="1"/>
  <c r="I306" i="2"/>
  <c r="D306" i="2" s="1"/>
  <c r="I312" i="2"/>
  <c r="D312" i="2" s="1"/>
  <c r="I241" i="2"/>
  <c r="D241" i="2" s="1"/>
  <c r="I477" i="2"/>
  <c r="D477" i="2" s="1"/>
  <c r="I256" i="2"/>
  <c r="D256" i="2" s="1"/>
  <c r="I170" i="2"/>
  <c r="D170" i="2" s="1"/>
  <c r="I406" i="2"/>
  <c r="D406" i="2" s="1"/>
  <c r="I175" i="2"/>
  <c r="D175" i="2" s="1"/>
  <c r="I158" i="2"/>
  <c r="D158" i="2" s="1"/>
  <c r="I246" i="2"/>
  <c r="D246" i="2" s="1"/>
  <c r="I16" i="2"/>
  <c r="D16" i="2" s="1"/>
  <c r="I187" i="2"/>
  <c r="D187" i="2" s="1"/>
  <c r="I126" i="2"/>
  <c r="D126" i="2" s="1"/>
  <c r="I77" i="2"/>
  <c r="D77" i="2" s="1"/>
  <c r="I57" i="2"/>
  <c r="D57" i="2" s="1"/>
  <c r="I497" i="2"/>
  <c r="D497" i="2" s="1"/>
  <c r="I270" i="2"/>
  <c r="D270" i="2" s="1"/>
  <c r="I366" i="2"/>
  <c r="D366" i="2" s="1"/>
  <c r="I423" i="2"/>
  <c r="D423" i="2" s="1"/>
  <c r="I168" i="2"/>
  <c r="D168" i="2" s="1"/>
  <c r="I416" i="2"/>
  <c r="D416" i="2" s="1"/>
  <c r="I353" i="2"/>
  <c r="D353" i="2" s="1"/>
  <c r="I97" i="2"/>
  <c r="D97" i="2" s="1"/>
  <c r="I333" i="2"/>
  <c r="D333" i="2" s="1"/>
  <c r="I76" i="2"/>
  <c r="D76" i="2" s="1"/>
  <c r="I26" i="2"/>
  <c r="D26" i="2" s="1"/>
  <c r="I262" i="2"/>
  <c r="D262" i="2" s="1"/>
  <c r="I31" i="2"/>
  <c r="D31" i="2" s="1"/>
  <c r="I217" i="2"/>
  <c r="D217" i="2" s="1"/>
  <c r="I29" i="2"/>
  <c r="D29" i="2" s="1"/>
  <c r="I18" i="2"/>
  <c r="D18" i="2" s="1"/>
  <c r="I162" i="2"/>
  <c r="D162" i="2" s="1"/>
  <c r="I138" i="2"/>
  <c r="D138" i="2" s="1"/>
  <c r="I135" i="2"/>
  <c r="D135" i="2" s="1"/>
  <c r="I371" i="2"/>
  <c r="D371" i="2" s="1"/>
  <c r="I128" i="2"/>
  <c r="D128" i="2" s="1"/>
  <c r="I65" i="2"/>
  <c r="D65" i="2" s="1"/>
  <c r="I300" i="2"/>
  <c r="D300" i="2" s="1"/>
  <c r="I45" i="2"/>
  <c r="D45" i="2" s="1"/>
  <c r="I485" i="2"/>
  <c r="D485" i="2" s="1"/>
  <c r="I229" i="2"/>
  <c r="D229" i="2" s="1"/>
  <c r="I465" i="2"/>
  <c r="D465" i="2" s="1"/>
  <c r="I136" i="2"/>
  <c r="D136" i="2" s="1"/>
  <c r="I276" i="2"/>
  <c r="D276" i="2" s="1"/>
  <c r="I493" i="2"/>
  <c r="I227" i="2"/>
  <c r="D227" i="2" s="1"/>
  <c r="I487" i="2"/>
  <c r="D487" i="2" s="1"/>
  <c r="I411" i="2"/>
  <c r="D411" i="2" s="1"/>
  <c r="I156" i="2"/>
  <c r="D156" i="2" s="1"/>
  <c r="I404" i="2"/>
  <c r="D404" i="2" s="1"/>
  <c r="I341" i="2"/>
  <c r="D341" i="2" s="1"/>
  <c r="I85" i="2"/>
  <c r="D85" i="2" s="1"/>
  <c r="I321" i="2"/>
  <c r="D321" i="2" s="1"/>
  <c r="I473" i="2"/>
  <c r="D473" i="2" s="1"/>
  <c r="I479" i="2"/>
  <c r="D479" i="2" s="1"/>
  <c r="I94" i="2"/>
  <c r="D94" i="2" s="1"/>
  <c r="I112" i="2"/>
  <c r="D112" i="2" s="1"/>
  <c r="I14" i="2"/>
  <c r="D14" i="2" s="1"/>
  <c r="I380" i="2"/>
  <c r="D380" i="2" s="1"/>
  <c r="I238" i="2"/>
  <c r="D238" i="2" s="1"/>
  <c r="I184" i="2"/>
  <c r="D184" i="2" s="1"/>
  <c r="I73" i="2"/>
  <c r="D73" i="2" s="1"/>
  <c r="I451" i="2"/>
  <c r="D451" i="2" s="1"/>
  <c r="I297" i="2"/>
  <c r="D297" i="2" s="1"/>
  <c r="I198" i="2"/>
  <c r="D198" i="2" s="1"/>
  <c r="I191" i="2"/>
  <c r="D191" i="2" s="1"/>
  <c r="I231" i="2"/>
  <c r="D231" i="2" s="1"/>
  <c r="I349" i="2"/>
  <c r="D349" i="2" s="1"/>
  <c r="I309" i="2"/>
  <c r="I179" i="2"/>
  <c r="D179" i="2" s="1"/>
  <c r="I394" i="2"/>
  <c r="D394" i="2" s="1"/>
  <c r="I461" i="2"/>
  <c r="D461" i="2" s="1"/>
  <c r="I151" i="2"/>
  <c r="D151" i="2" s="1"/>
  <c r="I361" i="2"/>
  <c r="D361" i="2" s="1"/>
  <c r="I106" i="2"/>
  <c r="D106" i="2" s="1"/>
  <c r="I375" i="2"/>
  <c r="D375" i="2" s="1"/>
  <c r="I460" i="2"/>
  <c r="D460" i="2" s="1"/>
  <c r="I403" i="2"/>
  <c r="D403" i="2" s="1"/>
  <c r="I387" i="2"/>
  <c r="D387" i="2" s="1"/>
  <c r="I132" i="2"/>
  <c r="D132" i="2" s="1"/>
  <c r="I92" i="2"/>
  <c r="D92" i="2" s="1"/>
  <c r="I61" i="2"/>
  <c r="D61" i="2" s="1"/>
  <c r="I363" i="2"/>
  <c r="D363" i="2" s="1"/>
  <c r="I388" i="2"/>
  <c r="D388" i="2" s="1"/>
  <c r="I264" i="2"/>
  <c r="D264" i="2" s="1"/>
  <c r="I278" i="2"/>
  <c r="D278" i="2" s="1"/>
  <c r="I496" i="2"/>
  <c r="D496" i="2" s="1"/>
  <c r="I120" i="2"/>
  <c r="D120" i="2" s="1"/>
  <c r="I481" i="2"/>
  <c r="D481" i="2" s="1"/>
  <c r="I21" i="2"/>
  <c r="D21" i="2" s="1"/>
  <c r="I317" i="2"/>
  <c r="D317" i="2" s="1"/>
  <c r="I382" i="2"/>
  <c r="D382" i="2" s="1"/>
  <c r="I226" i="2"/>
  <c r="D226" i="2" s="1"/>
  <c r="I28" i="2"/>
  <c r="D28" i="2" s="1"/>
  <c r="I307" i="2"/>
  <c r="D307" i="2" s="1"/>
  <c r="I146" i="2"/>
  <c r="D146" i="2" s="1"/>
  <c r="I498" i="2"/>
  <c r="D498" i="2" s="1"/>
  <c r="I173" i="2"/>
  <c r="D173" i="2" s="1"/>
  <c r="I467" i="2"/>
  <c r="D467" i="2" s="1"/>
  <c r="I161" i="2"/>
  <c r="D161" i="2" s="1"/>
  <c r="I290" i="2"/>
  <c r="D290" i="2" s="1"/>
  <c r="I441" i="2"/>
  <c r="D441" i="2" s="1"/>
  <c r="I455" i="2"/>
  <c r="D455" i="2" s="1"/>
  <c r="I9" i="2"/>
  <c r="D9" i="2" s="1"/>
  <c r="I500" i="2"/>
  <c r="D500" i="2" s="1"/>
  <c r="I165" i="2"/>
  <c r="D165" i="2" s="1"/>
  <c r="I40" i="2"/>
  <c r="D40" i="2" s="1"/>
  <c r="I205" i="2"/>
  <c r="D205" i="2" s="1"/>
  <c r="I439" i="2"/>
  <c r="D439" i="2" s="1"/>
  <c r="I23" i="2"/>
  <c r="D23" i="2" s="1"/>
  <c r="I219" i="2"/>
  <c r="D219" i="2" s="1"/>
  <c r="I87" i="2"/>
  <c r="D87" i="2" s="1"/>
  <c r="I35" i="2"/>
  <c r="D35" i="2" s="1"/>
  <c r="I244" i="2"/>
  <c r="D244" i="2" s="1"/>
  <c r="I429" i="2"/>
  <c r="D429" i="2" s="1"/>
  <c r="I96" i="2"/>
  <c r="D96" i="2" s="1"/>
  <c r="I80" i="2"/>
  <c r="D80" i="2" s="1"/>
  <c r="I193" i="2"/>
  <c r="D193" i="2" s="1"/>
  <c r="I212" i="2"/>
  <c r="D212" i="2" s="1"/>
  <c r="I408" i="2"/>
  <c r="D408" i="2" s="1"/>
  <c r="I368" i="2"/>
  <c r="D368" i="2" s="1"/>
  <c r="I75" i="2"/>
  <c r="D75" i="2" s="1"/>
  <c r="I316" i="2"/>
  <c r="D316" i="2" s="1"/>
  <c r="I64" i="2"/>
  <c r="D64" i="2" s="1"/>
  <c r="I352" i="2"/>
  <c r="D352" i="2" s="1"/>
  <c r="I370" i="2"/>
  <c r="I323" i="2"/>
  <c r="D323" i="2" s="1"/>
  <c r="I295" i="2"/>
  <c r="D295" i="2" s="1"/>
  <c r="I134" i="2"/>
  <c r="D134" i="2" s="1"/>
  <c r="I437" i="2"/>
  <c r="D437" i="2" s="1"/>
  <c r="I337" i="2"/>
  <c r="D337" i="2" s="1"/>
  <c r="I207" i="2"/>
  <c r="D207" i="2" s="1"/>
  <c r="I122" i="2"/>
  <c r="D122" i="2" s="1"/>
  <c r="I153" i="2"/>
  <c r="D153" i="2" s="1"/>
  <c r="I449" i="2"/>
  <c r="D449" i="2" s="1"/>
  <c r="I167" i="2"/>
  <c r="D167" i="2" s="1"/>
  <c r="I181" i="2"/>
  <c r="D181" i="2" s="1"/>
  <c r="I283" i="2"/>
  <c r="D283" i="2" s="1"/>
  <c r="I422" i="2"/>
  <c r="D422" i="2" s="1"/>
  <c r="I82" i="2"/>
  <c r="D82" i="2" s="1"/>
  <c r="I358" i="2"/>
  <c r="D358" i="2" s="1"/>
  <c r="I339" i="2"/>
  <c r="D339" i="2" s="1"/>
  <c r="I495" i="2"/>
  <c r="D495" i="2" s="1"/>
  <c r="I70" i="2"/>
  <c r="D70" i="2" s="1"/>
  <c r="I356" i="2"/>
  <c r="D356" i="2" s="1"/>
  <c r="I488" i="2"/>
  <c r="D488" i="2" s="1"/>
  <c r="I384" i="2"/>
  <c r="D384" i="2" s="1"/>
  <c r="I486" i="2"/>
  <c r="D486" i="2" s="1"/>
  <c r="I415" i="2"/>
  <c r="D415" i="2" s="1"/>
  <c r="I396" i="2"/>
  <c r="D396" i="2" s="1"/>
  <c r="I427" i="2"/>
  <c r="D427" i="2" s="1"/>
  <c r="I155" i="2"/>
  <c r="D155" i="2" s="1"/>
  <c r="I149" i="2"/>
  <c r="D149" i="2" s="1"/>
  <c r="I474" i="2"/>
  <c r="D474" i="2" s="1"/>
  <c r="I351" i="2"/>
  <c r="D351" i="2" s="1"/>
  <c r="I200" i="2"/>
  <c r="D200" i="2" s="1"/>
  <c r="I266" i="2"/>
  <c r="D266" i="2" s="1"/>
  <c r="I271" i="2"/>
  <c r="D271" i="2" s="1"/>
  <c r="I137" i="2"/>
  <c r="D137" i="2" s="1"/>
  <c r="I30" i="2"/>
  <c r="D30" i="2" s="1"/>
  <c r="I443" i="2"/>
  <c r="D443" i="2" s="1"/>
  <c r="I169" i="2"/>
  <c r="D169" i="2" s="1"/>
  <c r="I311" i="2"/>
  <c r="D311" i="2" s="1"/>
  <c r="I139" i="2"/>
  <c r="D139" i="2" s="1"/>
  <c r="I37" i="2"/>
  <c r="D37" i="2" s="1"/>
  <c r="I127" i="2"/>
  <c r="D127" i="2" s="1"/>
  <c r="I398" i="2"/>
  <c r="D398" i="2" s="1"/>
  <c r="I129" i="2"/>
  <c r="D129" i="2" s="1"/>
  <c r="I372" i="2"/>
  <c r="D372" i="2" s="1"/>
  <c r="I6" i="2"/>
  <c r="D6" i="2" s="1"/>
  <c r="I299" i="2"/>
  <c r="D299" i="2" s="1"/>
  <c r="I425" i="2"/>
  <c r="D425" i="2" s="1"/>
  <c r="I405" i="2"/>
  <c r="D405" i="2" s="1"/>
  <c r="I67" i="2"/>
  <c r="D67" i="2" s="1"/>
  <c r="I224" i="2"/>
  <c r="D224" i="2" s="1"/>
  <c r="I17" i="2"/>
  <c r="D17" i="2" s="1"/>
  <c r="I108" i="2"/>
  <c r="D108" i="2" s="1"/>
  <c r="I68" i="2"/>
  <c r="D68" i="2" s="1"/>
  <c r="I410" i="2"/>
  <c r="D410" i="2" s="1"/>
  <c r="I273" i="2"/>
  <c r="D273" i="2" s="1"/>
  <c r="I195" i="2"/>
  <c r="D195" i="2" s="1"/>
  <c r="I457" i="2"/>
  <c r="D457" i="2" s="1"/>
  <c r="I63" i="2"/>
  <c r="D63" i="2" s="1"/>
  <c r="I11" i="2"/>
  <c r="D11" i="2" s="1"/>
  <c r="I280" i="2"/>
  <c r="D280" i="2" s="1"/>
  <c r="I143" i="2"/>
  <c r="D143" i="2" s="1"/>
  <c r="I141" i="2"/>
  <c r="D141" i="2" s="1"/>
  <c r="I293" i="2"/>
  <c r="D293" i="2" s="1"/>
  <c r="I240" i="2"/>
  <c r="D240" i="2" s="1"/>
  <c r="I56" i="2"/>
  <c r="D56" i="2" s="1"/>
  <c r="I110" i="2"/>
  <c r="D110" i="2" s="1"/>
  <c r="I100" i="2"/>
  <c r="D100" i="2" s="1"/>
  <c r="I325" i="2"/>
  <c r="D325" i="2" s="1"/>
  <c r="I417" i="2"/>
  <c r="D417" i="2" s="1"/>
  <c r="I172" i="2"/>
  <c r="D172" i="2" s="1"/>
  <c r="I431" i="2"/>
  <c r="D431" i="2" s="1"/>
  <c r="I202" i="2"/>
  <c r="D202" i="2" s="1"/>
  <c r="I58" i="2"/>
  <c r="D58" i="2" s="1"/>
  <c r="I51" i="2"/>
  <c r="D51" i="2" s="1"/>
  <c r="I117" i="2"/>
  <c r="D117" i="2" s="1"/>
  <c r="I445" i="2"/>
  <c r="D445" i="2" s="1"/>
  <c r="I490" i="2"/>
  <c r="D490" i="2" s="1"/>
  <c r="I39" i="2"/>
  <c r="D39" i="2" s="1"/>
  <c r="I402" i="2"/>
  <c r="D402" i="2" s="1"/>
  <c r="I305" i="2"/>
  <c r="D305" i="2" s="1"/>
  <c r="I49" i="2"/>
  <c r="D49" i="2" s="1"/>
  <c r="I285" i="2"/>
  <c r="D285" i="2" s="1"/>
  <c r="I208" i="2"/>
  <c r="D208" i="2" s="1"/>
  <c r="I469" i="2"/>
  <c r="D469" i="2" s="1"/>
  <c r="I214" i="2"/>
  <c r="D214" i="2" s="1"/>
  <c r="I436" i="2"/>
  <c r="D436" i="2" s="1"/>
  <c r="I313" i="2"/>
  <c r="D313" i="2" s="1"/>
  <c r="I44" i="2"/>
  <c r="D44" i="2" s="1"/>
  <c r="I450" i="2"/>
  <c r="D450" i="2" s="1"/>
  <c r="I292" i="2"/>
  <c r="D292" i="2" s="1"/>
  <c r="I287" i="2"/>
  <c r="D287" i="2" s="1"/>
  <c r="I471" i="2"/>
  <c r="D471" i="2" s="1"/>
  <c r="I254" i="2"/>
  <c r="D254" i="2" s="1"/>
  <c r="I346" i="2"/>
  <c r="D346" i="2" s="1"/>
  <c r="I327" i="2"/>
  <c r="D327" i="2" s="1"/>
  <c r="I483" i="2"/>
  <c r="D483" i="2" s="1"/>
  <c r="I84" i="2"/>
  <c r="D84" i="2" s="1"/>
  <c r="I115" i="2"/>
  <c r="D115" i="2" s="1"/>
  <c r="I344" i="2"/>
  <c r="D344" i="2" s="1"/>
  <c r="I281" i="2"/>
  <c r="I25" i="2"/>
  <c r="D25" i="2" s="1"/>
  <c r="I261" i="2"/>
  <c r="D261" i="2" s="1"/>
  <c r="I242" i="2"/>
  <c r="D242" i="2" s="1"/>
  <c r="I188" i="2"/>
  <c r="D188" i="2" s="1"/>
  <c r="I216" i="2"/>
  <c r="D216" i="2" s="1"/>
  <c r="I190" i="2"/>
  <c r="D190" i="2" s="1"/>
  <c r="I413" i="2"/>
  <c r="D413" i="2" s="1"/>
  <c r="I183" i="2"/>
  <c r="D183" i="2" s="1"/>
  <c r="I334" i="2"/>
  <c r="D334" i="2" s="1"/>
  <c r="I376" i="2"/>
  <c r="D376" i="2" s="1"/>
  <c r="I393" i="2"/>
  <c r="D393" i="2" s="1"/>
  <c r="I98" i="2"/>
  <c r="D98" i="2" s="1"/>
  <c r="I301" i="2"/>
  <c r="D301" i="2" s="1"/>
  <c r="I176" i="2"/>
  <c r="D176" i="2" s="1"/>
  <c r="I5" i="2"/>
  <c r="D5" i="2" s="1"/>
  <c r="I157" i="2"/>
  <c r="D157" i="2" s="1"/>
  <c r="I131" i="2"/>
  <c r="D131" i="2" s="1"/>
  <c r="I259" i="2"/>
  <c r="D259" i="2" s="1"/>
  <c r="I386" i="2"/>
  <c r="D386" i="2" s="1"/>
  <c r="I391" i="2"/>
  <c r="D391" i="2" s="1"/>
  <c r="I476" i="2"/>
  <c r="D476" i="2" s="1"/>
  <c r="I125" i="2"/>
  <c r="D125" i="2" s="1"/>
  <c r="I72" i="2"/>
  <c r="D72" i="2" s="1"/>
  <c r="I478" i="2"/>
  <c r="D478" i="2" s="1"/>
  <c r="I401" i="2"/>
  <c r="D401" i="2" s="1"/>
  <c r="I103" i="2"/>
  <c r="D103" i="2" s="1"/>
  <c r="I419" i="2"/>
  <c r="D419" i="2" s="1"/>
  <c r="I459" i="2"/>
  <c r="D459" i="2" s="1"/>
  <c r="I46" i="2"/>
  <c r="D46" i="2" s="1"/>
  <c r="I320" i="2"/>
  <c r="D320" i="2" s="1"/>
  <c r="I230" i="2"/>
  <c r="D230" i="2" s="1"/>
  <c r="I204" i="2"/>
  <c r="D204" i="2" s="1"/>
  <c r="I275" i="2"/>
  <c r="D275" i="2" s="1"/>
  <c r="I484" i="2"/>
  <c r="D484" i="2" s="1"/>
  <c r="I257" i="2"/>
  <c r="D257" i="2" s="1"/>
  <c r="I289" i="2"/>
  <c r="D289" i="2" s="1"/>
  <c r="I249" i="2"/>
  <c r="D249" i="2" s="1"/>
  <c r="I237" i="2"/>
  <c r="D237" i="2" s="1"/>
  <c r="I171" i="2"/>
  <c r="D171" i="2" s="1"/>
  <c r="I332" i="2"/>
  <c r="D332" i="2" s="1"/>
  <c r="I269" i="2"/>
  <c r="D269" i="2" s="1"/>
  <c r="I13" i="2"/>
  <c r="D13" i="2" s="1"/>
  <c r="I464" i="2"/>
  <c r="D464" i="2" s="1"/>
  <c r="I433" i="2"/>
  <c r="D433" i="2" s="1"/>
  <c r="I466" i="2"/>
  <c r="D466" i="2" s="1"/>
  <c r="I148" i="2"/>
  <c r="D148" i="2" s="1"/>
  <c r="I164" i="2"/>
  <c r="D164" i="2" s="1"/>
  <c r="I235" i="2"/>
  <c r="D235" i="2" s="1"/>
  <c r="I119" i="2"/>
  <c r="D119" i="2" s="1"/>
  <c r="I389" i="2"/>
  <c r="D389" i="2" s="1"/>
  <c r="I32" i="2"/>
  <c r="D32" i="2" s="1"/>
  <c r="I492" i="2"/>
  <c r="D492" i="2" s="1"/>
  <c r="I315" i="2"/>
  <c r="D315" i="2" s="1"/>
  <c r="I452" i="2"/>
  <c r="D452" i="2" s="1"/>
  <c r="I91" i="2"/>
  <c r="D91" i="2" s="1"/>
  <c r="I438" i="2"/>
  <c r="D438" i="2" s="1"/>
  <c r="I145" i="2"/>
  <c r="D145" i="2" s="1"/>
  <c r="I133" i="2"/>
  <c r="D133" i="2" s="1"/>
  <c r="I360" i="2"/>
  <c r="D360" i="2" s="1"/>
  <c r="I105" i="2"/>
  <c r="D105" i="2" s="1"/>
  <c r="I113" i="2"/>
  <c r="D113" i="2" s="1"/>
  <c r="I34" i="2"/>
  <c r="D34" i="2" s="1"/>
  <c r="I447" i="2"/>
  <c r="D447" i="2" s="1"/>
  <c r="I251" i="2"/>
  <c r="D251" i="2" s="1"/>
  <c r="I340" i="2"/>
  <c r="D340" i="2" s="1"/>
  <c r="I263" i="2"/>
  <c r="D263" i="2" s="1"/>
  <c r="I362" i="2"/>
  <c r="D362" i="2" s="1"/>
  <c r="I93" i="2"/>
  <c r="D93" i="2" s="1"/>
  <c r="I107" i="2"/>
  <c r="D107" i="2" s="1"/>
  <c r="I448" i="2"/>
  <c r="D448" i="2" s="1"/>
  <c r="I348" i="2"/>
  <c r="D348" i="2" s="1"/>
  <c r="I426" i="2"/>
  <c r="D426" i="2" s="1"/>
  <c r="I245" i="2"/>
  <c r="D245" i="2" s="1"/>
  <c r="I374" i="2"/>
  <c r="D374" i="2" s="1"/>
  <c r="I381" i="2"/>
  <c r="D381" i="2" s="1"/>
  <c r="I303" i="2"/>
  <c r="D303" i="2" s="1"/>
  <c r="I48" i="2"/>
  <c r="D48" i="2" s="1"/>
  <c r="I247" i="2"/>
  <c r="D247" i="2" s="1"/>
  <c r="I27" i="2"/>
  <c r="D27" i="2" s="1"/>
  <c r="I322" i="2"/>
  <c r="D322" i="2" s="1"/>
  <c r="I304" i="2"/>
  <c r="D304" i="2" s="1"/>
  <c r="I369" i="2"/>
  <c r="D369" i="2" s="1"/>
  <c r="I159" i="2"/>
  <c r="D159" i="2" s="1"/>
  <c r="I20" i="2"/>
  <c r="D20" i="2" s="1"/>
  <c r="I277" i="2"/>
  <c r="D277" i="2" s="1"/>
  <c r="I414" i="2"/>
  <c r="D414" i="2" s="1"/>
  <c r="I407" i="2"/>
  <c r="D407" i="2" s="1"/>
  <c r="I379" i="2"/>
  <c r="D379" i="2" s="1"/>
  <c r="I421" i="2"/>
  <c r="D421" i="2" s="1"/>
  <c r="I232" i="2"/>
  <c r="D232" i="2" s="1"/>
  <c r="I86" i="2"/>
  <c r="D86" i="2" s="1"/>
  <c r="I178" i="2"/>
  <c r="D178" i="2" s="1"/>
  <c r="I88" i="2"/>
  <c r="D88" i="2" s="1"/>
  <c r="I480" i="2"/>
  <c r="D480" i="2" s="1"/>
  <c r="I152" i="2"/>
  <c r="D152" i="2" s="1"/>
  <c r="I233" i="2"/>
  <c r="D233" i="2" s="1"/>
  <c r="I166" i="2"/>
  <c r="D166" i="2" s="1"/>
  <c r="I296" i="2"/>
  <c r="D296" i="2" s="1"/>
  <c r="I377" i="2"/>
  <c r="D377" i="2" s="1"/>
  <c r="I409" i="2"/>
  <c r="D409" i="2" s="1"/>
  <c r="I60" i="2"/>
  <c r="D60" i="2" s="1"/>
  <c r="I308" i="2"/>
  <c r="D308" i="2" s="1"/>
  <c r="I101" i="2"/>
  <c r="D101" i="2" s="1"/>
  <c r="I454" i="2"/>
  <c r="D454" i="2" s="1"/>
  <c r="I180" i="2"/>
  <c r="D180" i="2" s="1"/>
  <c r="I223" i="2"/>
  <c r="D223" i="2" s="1"/>
  <c r="I424" i="2"/>
  <c r="D424" i="2" s="1"/>
  <c r="I291" i="2"/>
  <c r="D291" i="2" s="1"/>
  <c r="I324" i="2"/>
  <c r="D324" i="2" s="1"/>
  <c r="I15" i="2"/>
  <c r="D15" i="2" s="1"/>
  <c r="I440" i="2"/>
  <c r="D440" i="2" s="1"/>
  <c r="I383" i="2"/>
  <c r="D383" i="2" s="1"/>
  <c r="I192" i="2"/>
  <c r="D192" i="2" s="1"/>
  <c r="I367" i="2"/>
  <c r="D367" i="2" s="1"/>
  <c r="I36" i="2"/>
  <c r="D36" i="2" s="1"/>
  <c r="I395" i="2"/>
  <c r="D395" i="2" s="1"/>
  <c r="I79" i="2"/>
  <c r="D79" i="2" s="1"/>
  <c r="I239" i="2"/>
  <c r="D239" i="2" s="1"/>
  <c r="I412" i="2"/>
  <c r="D412" i="2" s="1"/>
  <c r="I74" i="2"/>
  <c r="D74" i="2" s="1"/>
  <c r="I22" i="2"/>
  <c r="D22" i="2" s="1"/>
  <c r="I435" i="2"/>
  <c r="D435" i="2" s="1"/>
  <c r="I218" i="2"/>
  <c r="D218" i="2" s="1"/>
  <c r="I310" i="2"/>
  <c r="D310" i="2" s="1"/>
  <c r="I196" i="2"/>
  <c r="D196" i="2" s="1"/>
  <c r="I95" i="2"/>
  <c r="D95" i="2" s="1"/>
  <c r="I350" i="2"/>
  <c r="D350" i="2" s="1"/>
  <c r="I225" i="2"/>
  <c r="D225" i="2" s="1"/>
  <c r="I89" i="2"/>
  <c r="D89" i="2" s="1"/>
  <c r="I428" i="2"/>
  <c r="D428" i="2" s="1"/>
  <c r="I121" i="2"/>
  <c r="D121" i="2" s="1"/>
  <c r="I154" i="2"/>
  <c r="D154" i="2" s="1"/>
  <c r="I8" i="2"/>
  <c r="D8" i="2" s="1"/>
  <c r="I147" i="2"/>
  <c r="D147" i="2" s="1"/>
  <c r="I140" i="2"/>
  <c r="D140" i="2" s="1"/>
  <c r="I494" i="2"/>
  <c r="D494" i="2" s="1"/>
  <c r="I442" i="2"/>
  <c r="D442" i="2" s="1"/>
  <c r="I206" i="2"/>
  <c r="D206" i="2" s="1"/>
  <c r="I10" i="2"/>
  <c r="D10" i="2" s="1"/>
  <c r="I268" i="2"/>
  <c r="D268" i="2" s="1"/>
  <c r="I62" i="2"/>
  <c r="D62" i="2" s="1"/>
  <c r="I69" i="2"/>
  <c r="D69" i="2" s="1"/>
  <c r="I284" i="2"/>
  <c r="D284" i="2" s="1"/>
  <c r="I499" i="2"/>
  <c r="D499" i="2" s="1"/>
  <c r="I298" i="2"/>
  <c r="D298" i="2" s="1"/>
  <c r="I355" i="2"/>
  <c r="D355" i="2" s="1"/>
  <c r="I336" i="2"/>
  <c r="D336" i="2" s="1"/>
  <c r="I81" i="2"/>
  <c r="D81" i="2" s="1"/>
  <c r="I160" i="2"/>
  <c r="D160" i="2" s="1"/>
  <c r="I265" i="2"/>
  <c r="D265" i="2" s="1"/>
  <c r="I357" i="2"/>
  <c r="D357" i="2" s="1"/>
  <c r="I211" i="2"/>
  <c r="D211" i="2" s="1"/>
  <c r="I468" i="2"/>
  <c r="D468" i="2" s="1"/>
  <c r="D749" i="2"/>
  <c r="D542" i="2"/>
  <c r="D840" i="2"/>
  <c r="D482" i="2"/>
  <c r="D848" i="2"/>
  <c r="D682" i="2"/>
  <c r="D309" i="2"/>
  <c r="D281" i="2"/>
  <c r="D968" i="2"/>
  <c r="D944" i="2"/>
  <c r="D518" i="2"/>
  <c r="D707" i="2"/>
  <c r="D649" i="2"/>
  <c r="D734" i="2"/>
  <c r="D400" i="2"/>
  <c r="D947" i="2"/>
  <c r="D556" i="2"/>
  <c r="D535" i="2"/>
  <c r="D918" i="2"/>
  <c r="D536" i="2"/>
  <c r="D493" i="2"/>
  <c r="D786" i="2"/>
  <c r="D512" i="2"/>
  <c r="D504" i="2"/>
  <c r="D838" i="2"/>
  <c r="D774" i="2"/>
  <c r="D503" i="2"/>
  <c r="D255" i="2"/>
  <c r="D370" i="2"/>
  <c r="D432" i="2"/>
  <c r="D260" i="2"/>
  <c r="D727" i="2"/>
  <c r="D966" i="2"/>
  <c r="D912" i="2"/>
  <c r="D668" i="2"/>
  <c r="D580" i="2"/>
  <c r="D770" i="2"/>
  <c r="D607" i="2"/>
  <c r="D525" i="2"/>
  <c r="D553" i="2"/>
  <c r="D610" i="2"/>
  <c r="D659" i="2"/>
  <c r="D691" i="2"/>
  <c r="D886" i="2"/>
  <c r="D885" i="2"/>
  <c r="D921" i="2"/>
  <c r="D543" i="2"/>
  <c r="D957" i="2"/>
  <c r="D898" i="2"/>
  <c r="D628" i="2"/>
  <c r="D809" i="2"/>
  <c r="D796" i="2"/>
  <c r="D601" i="2"/>
  <c r="D698" i="2"/>
  <c r="D672" i="2"/>
  <c r="D505" i="2"/>
  <c r="D712" i="2"/>
  <c r="D931" i="2"/>
  <c r="D724" i="2"/>
  <c r="D685" i="2"/>
  <c r="D973" i="2"/>
  <c r="D527" i="2"/>
  <c r="D613" i="2"/>
  <c r="D662" i="2"/>
  <c r="D588" i="2"/>
  <c r="D732" i="2"/>
  <c r="D624" i="2"/>
  <c r="D737" i="2"/>
  <c r="D834" i="2"/>
  <c r="D679" i="2"/>
  <c r="D595" i="2"/>
  <c r="D721" i="2"/>
  <c r="D747" i="2"/>
  <c r="D735" i="2"/>
  <c r="D733" i="2"/>
  <c r="D565" i="2"/>
  <c r="D582" i="2"/>
  <c r="D526" i="2"/>
  <c r="D690" i="2"/>
  <c r="D592" i="2"/>
  <c r="D704" i="2"/>
  <c r="D706" i="2"/>
  <c r="D577" i="2"/>
  <c r="D590" i="2"/>
  <c r="D654" i="2"/>
  <c r="D661" i="2"/>
  <c r="D539" i="2"/>
  <c r="D713" i="2"/>
  <c r="D521" i="2"/>
  <c r="D967" i="2"/>
  <c r="D884" i="2"/>
  <c r="D631" i="2"/>
  <c r="D739" i="2"/>
  <c r="D806" i="2"/>
  <c r="D750" i="2"/>
  <c r="D640" i="2"/>
  <c r="D576" i="2"/>
  <c r="D655" i="2"/>
  <c r="D684" i="2"/>
  <c r="D748" i="2"/>
  <c r="D516" i="2"/>
  <c r="D744" i="2"/>
  <c r="D865" i="2"/>
  <c r="D608" i="2"/>
  <c r="D540" i="2"/>
  <c r="D740" i="2"/>
  <c r="D541" i="2"/>
  <c r="D612" i="2"/>
  <c r="D510" i="2"/>
  <c r="D625" i="2"/>
  <c r="D566" i="2"/>
  <c r="D714" i="2"/>
  <c r="D697" i="2"/>
  <c r="D603" i="2"/>
  <c r="D555" i="2"/>
  <c r="D614" i="2"/>
  <c r="D627" i="2"/>
  <c r="D560" i="2"/>
  <c r="D511" i="2"/>
  <c r="D850" i="2"/>
  <c r="D602" i="2"/>
  <c r="D948" i="2"/>
  <c r="D700" i="2"/>
  <c r="D816" i="2"/>
  <c r="D568" i="2"/>
  <c r="D817" i="2"/>
  <c r="D569" i="2"/>
  <c r="D891" i="2"/>
  <c r="D643" i="2"/>
  <c r="D820" i="2"/>
  <c r="D572" i="2"/>
  <c r="D874" i="2"/>
  <c r="D626" i="2"/>
  <c r="D818" i="2"/>
  <c r="D570" i="2"/>
  <c r="D919" i="2"/>
  <c r="D671" i="2"/>
  <c r="D994" i="2"/>
  <c r="D746" i="2"/>
  <c r="D974" i="2"/>
  <c r="D726" i="2"/>
  <c r="D837" i="2"/>
  <c r="D589" i="2"/>
  <c r="D802" i="2"/>
  <c r="D554" i="2"/>
  <c r="D501" i="2" l="1"/>
  <c r="D667" i="2"/>
  <c r="D915" i="2"/>
  <c r="D545" i="2"/>
  <c r="D793" i="2"/>
  <c r="D976" i="2"/>
  <c r="D728" i="2"/>
  <c r="D868" i="2"/>
  <c r="D620" i="2"/>
  <c r="D911" i="2"/>
  <c r="D663" i="2"/>
  <c r="D833" i="2"/>
  <c r="D585" i="2"/>
  <c r="D559" i="2"/>
  <c r="D807" i="2"/>
  <c r="D779" i="2"/>
  <c r="D531" i="2"/>
  <c r="D579" i="2"/>
  <c r="D827" i="2"/>
  <c r="D635" i="2"/>
  <c r="D883" i="2"/>
  <c r="D905" i="2"/>
  <c r="D657" i="2"/>
  <c r="D670" i="2"/>
  <c r="D678" i="2"/>
  <c r="D926" i="2"/>
  <c r="D757" i="2"/>
  <c r="D509" i="2"/>
  <c r="D584" i="2"/>
  <c r="D832" i="2"/>
  <c r="D639" i="2"/>
  <c r="D887" i="2"/>
  <c r="D701" i="2"/>
  <c r="D949" i="2"/>
  <c r="D829" i="2"/>
  <c r="D581" i="2"/>
  <c r="D792" i="2"/>
  <c r="D544" i="2"/>
  <c r="D605" i="2"/>
  <c r="D853" i="2"/>
  <c r="D978" i="2"/>
  <c r="D730" i="2"/>
  <c r="D680" i="2"/>
  <c r="D928" i="2"/>
  <c r="D549" i="2"/>
  <c r="D797" i="2"/>
  <c r="D854" i="2"/>
  <c r="D606" i="2"/>
  <c r="D869" i="2"/>
  <c r="D621" i="2"/>
  <c r="D896" i="2"/>
  <c r="D648" i="2"/>
  <c r="D641" i="2"/>
  <c r="D889" i="2"/>
  <c r="D982" i="2"/>
  <c r="D821" i="2"/>
  <c r="D573" i="2"/>
  <c r="D515" i="2"/>
  <c r="D763" i="2"/>
  <c r="D780" i="2"/>
  <c r="D532" i="2"/>
  <c r="D845" i="2"/>
  <c r="D597" i="2"/>
  <c r="D871" i="2"/>
  <c r="D623" i="2"/>
  <c r="D562" i="2"/>
  <c r="D810" i="2"/>
  <c r="D598" i="2"/>
  <c r="D846" i="2"/>
  <c r="D644" i="2"/>
  <c r="D892" i="2"/>
  <c r="D822" i="2"/>
  <c r="D574" i="2"/>
  <c r="D953" i="2"/>
  <c r="D705" i="2"/>
  <c r="D756" i="2"/>
  <c r="D508" i="2"/>
  <c r="D795" i="2"/>
  <c r="D547" i="2"/>
  <c r="D755" i="2"/>
  <c r="D507" i="2"/>
  <c r="D835" i="2"/>
  <c r="D587" i="2"/>
  <c r="D923" i="2"/>
  <c r="D675" i="2"/>
  <c r="D778" i="2"/>
  <c r="D530" i="2"/>
  <c r="D895" i="2"/>
  <c r="D647" i="2"/>
  <c r="D646" i="2"/>
  <c r="D894" i="2"/>
  <c r="D870" i="2"/>
  <c r="D622" i="2"/>
  <c r="D768" i="2"/>
  <c r="D520" i="2"/>
  <c r="D963" i="2"/>
  <c r="D715" i="2"/>
  <c r="D557" i="2"/>
  <c r="D805" i="2"/>
  <c r="D941" i="2"/>
  <c r="D693" i="2"/>
  <c r="D765" i="2"/>
  <c r="D517" i="2"/>
  <c r="D989" i="2"/>
  <c r="D741" i="2"/>
  <c r="D799" i="2"/>
  <c r="D551" i="2"/>
  <c r="D867" i="2"/>
  <c r="D619" i="2"/>
  <c r="D669" i="2"/>
  <c r="D917" i="2"/>
  <c r="D878" i="2"/>
  <c r="D630" i="2"/>
  <c r="D893" i="2"/>
  <c r="D645" i="2"/>
  <c r="D839" i="2"/>
  <c r="D591" i="2"/>
  <c r="D567" i="2"/>
  <c r="D815" i="2"/>
  <c r="D571" i="2"/>
  <c r="D819" i="2"/>
  <c r="D857" i="2"/>
  <c r="D609" i="2"/>
  <c r="D842" i="2"/>
  <c r="D594" i="2"/>
  <c r="D658" i="2"/>
  <c r="D906" i="2"/>
  <c r="D681" i="2"/>
  <c r="D929" i="2"/>
  <c r="D611" i="2"/>
  <c r="D859" i="2"/>
  <c r="D991" i="2"/>
  <c r="D743" i="2"/>
  <c r="D519" i="2"/>
  <c r="D767" i="2"/>
  <c r="D943" i="2"/>
  <c r="D695" i="2"/>
  <c r="D731" i="2"/>
  <c r="D979" i="2"/>
  <c r="D863" i="2"/>
  <c r="D615" i="2"/>
  <c r="D890" i="2"/>
  <c r="D642" i="2"/>
  <c r="D618" i="2"/>
  <c r="D866" i="2"/>
  <c r="D881" i="2"/>
  <c r="D633" i="2"/>
  <c r="D847" i="2"/>
  <c r="D599" i="2"/>
  <c r="D880" i="2"/>
  <c r="D632" i="2"/>
  <c r="D936" i="2"/>
  <c r="D688" i="2"/>
  <c r="D703" i="2"/>
  <c r="D951" i="2"/>
  <c r="D924" i="2"/>
  <c r="D676" i="2"/>
  <c r="D986" i="2"/>
  <c r="D738" i="2"/>
  <c r="D529" i="2"/>
  <c r="D777" i="2"/>
  <c r="D694" i="2"/>
  <c r="D94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39"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39"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<sst xmlns="http://schemas.openxmlformats.org/spreadsheetml/2006/main" count="3314" uniqueCount="838">
  <si>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</si>
  <si>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</si>
  <si>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</si>
  <si>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</si>
  <si>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</si>
  <si>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</si>
  <si>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</si>
  <si>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</si>
  <si>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</si>
  <si>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</si>
  <si>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</si>
  <si>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</si>
  <si>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</si>
  <si>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</si>
  <si>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</si>
  <si>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</si>
  <si>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</si>
  <si>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</si>
  <si>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</si>
  <si>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</si>
  <si>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</si>
  <si>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</si>
  <si>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</si>
  <si>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</si>
  <si>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</si>
  <si>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</si>
  <si>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</si>
  <si>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</si>
  <si>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</si>
  <si>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</si>
  <si>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</si>
  <si>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</si>
  <si>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</si>
  <si>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</si>
  <si>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</si>
  <si>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</si>
  <si>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</si>
  <si>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</si>
  <si>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</si>
  <si>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</si>
  <si>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</si>
  <si>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</si>
  <si>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</si>
  <si>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</si>
  <si>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</si>
  <si>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</si>
  <si>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</si>
  <si>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</si>
  <si>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</si>
  <si>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</si>
  <si>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</si>
  <si>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</si>
  <si>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</si>
  <si>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</si>
  <si>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</si>
  <si>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</si>
  <si>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</si>
  <si>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</si>
  <si>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</si>
  <si>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</si>
  <si>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</si>
  <si>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</si>
  <si>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</si>
  <si>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</si>
  <si>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</si>
  <si>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</si>
  <si>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</si>
  <si>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</si>
  <si>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</si>
  <si>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</si>
  <si>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</si>
  <si>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</si>
  <si>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</si>
  <si>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</si>
  <si>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</si>
  <si>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</si>
  <si>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</si>
  <si>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</si>
  <si>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</si>
  <si>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</si>
  <si>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</si>
  <si>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</si>
  <si>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</si>
  <si>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</si>
  <si>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</si>
  <si>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</si>
  <si>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</si>
  <si>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</si>
  <si>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</si>
  <si>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</si>
  <si>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</si>
  <si>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</si>
  <si>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</si>
  <si>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</si>
  <si>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</si>
  <si>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</si>
  <si>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</si>
  <si>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</si>
  <si>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</si>
  <si>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</si>
  <si>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</si>
  <si>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</si>
  <si>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</si>
  <si>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</si>
  <si>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</si>
  <si>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</si>
  <si>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</si>
  <si>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</si>
  <si>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</si>
  <si>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</si>
  <si>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</si>
  <si>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</si>
  <si>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</si>
  <si>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</si>
  <si>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</si>
  <si>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</si>
  <si>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</si>
  <si>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</si>
  <si>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</si>
  <si>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</si>
  <si>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</si>
  <si>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</si>
  <si>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</si>
  <si>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</si>
  <si>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</si>
  <si>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</si>
  <si>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</si>
  <si>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</si>
  <si>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</si>
  <si>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</si>
  <si>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</si>
  <si>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</si>
  <si>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</si>
  <si>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</si>
  <si>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</si>
  <si>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</si>
  <si>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</si>
  <si>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</si>
  <si>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</si>
  <si>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</si>
  <si>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</si>
  <si>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</si>
  <si>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</si>
  <si>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</si>
  <si>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</si>
  <si>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</si>
  <si>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</si>
  <si>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</si>
  <si>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</si>
  <si>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</si>
  <si>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</si>
  <si>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</si>
  <si>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</si>
  <si>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</si>
  <si>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</si>
  <si>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</si>
  <si>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</si>
  <si>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</si>
  <si>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</si>
  <si>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</si>
  <si>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</si>
  <si>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</si>
  <si>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</si>
  <si>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</si>
  <si>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</si>
  <si>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</si>
  <si>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</si>
  <si>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</si>
  <si>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</si>
  <si>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</si>
  <si>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</si>
  <si>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</si>
  <si>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</si>
  <si>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</si>
  <si>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</si>
  <si>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</si>
  <si>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</si>
  <si>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</si>
  <si>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</si>
  <si>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</si>
  <si>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</si>
  <si>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</si>
  <si>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</si>
  <si>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</si>
  <si>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</si>
  <si>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</si>
  <si>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</si>
  <si>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</si>
  <si>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</si>
  <si>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</si>
  <si>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</si>
  <si>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</si>
  <si>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</si>
  <si>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</si>
  <si>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</si>
  <si>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</si>
  <si>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</si>
  <si>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</si>
  <si>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</si>
  <si>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</si>
  <si>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</si>
  <si>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</si>
  <si>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</si>
  <si>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</si>
  <si>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</si>
  <si>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</si>
  <si>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</si>
  <si>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</si>
  <si>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</si>
  <si>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</si>
  <si>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</si>
  <si>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</si>
  <si>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</si>
  <si>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</si>
  <si>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</si>
  <si>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</si>
  <si>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</si>
  <si>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</si>
  <si>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</si>
  <si>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</si>
  <si>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</si>
  <si>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</si>
  <si>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</si>
  <si>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</si>
  <si>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</si>
  <si>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</si>
  <si>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</si>
  <si>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</si>
  <si>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</si>
  <si>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</si>
  <si>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</si>
  <si>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</si>
  <si>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</si>
  <si>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</si>
  <si>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</si>
  <si>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</si>
  <si>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</si>
  <si>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</si>
  <si>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</si>
  <si>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</si>
  <si>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</si>
  <si>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</si>
  <si>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</si>
  <si>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</si>
  <si>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</si>
  <si>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</si>
  <si>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</si>
  <si>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</si>
  <si>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</si>
  <si>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</si>
  <si>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</si>
  <si>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</si>
  <si>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</si>
  <si>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</si>
  <si>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</si>
  <si>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</si>
  <si>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</si>
  <si>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</si>
  <si>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</si>
  <si>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</si>
  <si>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</si>
  <si>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</si>
  <si>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</si>
  <si>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</si>
  <si>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</si>
  <si>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</si>
  <si>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</si>
  <si>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</si>
  <si>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</si>
  <si>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</si>
  <si>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</si>
  <si>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</si>
  <si>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</si>
  <si>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</si>
  <si>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</si>
  <si>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</si>
  <si>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</si>
  <si>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</si>
  <si>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</si>
  <si>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</si>
  <si>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</si>
  <si>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</si>
  <si>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</si>
  <si>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</si>
  <si>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</si>
  <si>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</si>
  <si>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</si>
  <si>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</si>
  <si>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</si>
  <si>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</si>
  <si>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</si>
  <si>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</si>
  <si>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</si>
  <si>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</si>
  <si>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</si>
  <si>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</si>
  <si>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</si>
  <si>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</si>
  <si>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</si>
  <si>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</si>
  <si>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</si>
  <si>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</si>
  <si>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</si>
  <si>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</si>
  <si>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</si>
  <si>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</si>
  <si>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</si>
  <si>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</si>
  <si>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</si>
  <si>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</si>
  <si>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</si>
  <si>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</si>
  <si>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</si>
  <si>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</si>
  <si>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</si>
  <si>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</si>
  <si>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</si>
  <si>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</si>
  <si>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</si>
  <si>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</si>
  <si>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</si>
  <si>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</si>
  <si>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</si>
  <si>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</si>
  <si>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</si>
  <si>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</si>
  <si>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</si>
  <si>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</si>
  <si>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</si>
  <si>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</si>
  <si>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</si>
  <si>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</si>
  <si>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</si>
  <si>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</si>
  <si>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</si>
  <si>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</si>
  <si>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</si>
  <si>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</si>
  <si>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</si>
  <si>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</si>
  <si>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</si>
  <si>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</si>
  <si>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</si>
  <si>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</si>
  <si>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</si>
  <si>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</si>
  <si>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</si>
  <si>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</si>
  <si>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</si>
  <si>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</si>
  <si>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</si>
  <si>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</si>
  <si>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</si>
  <si>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</si>
  <si>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</si>
  <si>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</si>
  <si>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</si>
  <si>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</si>
  <si>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</si>
  <si>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</si>
  <si>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</si>
  <si>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</si>
  <si>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</si>
  <si>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</si>
  <si>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</si>
  <si>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</si>
  <si>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</si>
  <si>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</si>
  <si>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</si>
  <si>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</si>
  <si>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</si>
  <si>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</si>
  <si>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</si>
  <si>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</si>
  <si>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</si>
  <si>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</si>
  <si>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</si>
  <si>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</si>
  <si>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</si>
  <si>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</si>
  <si>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</si>
  <si>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</si>
  <si>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</si>
  <si>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</si>
  <si>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</si>
  <si>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</si>
  <si>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</si>
  <si>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</si>
  <si>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</si>
  <si>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</si>
  <si>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</si>
  <si>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</si>
  <si>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</si>
  <si>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</si>
  <si>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</si>
  <si>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</si>
  <si>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</si>
  <si>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</si>
  <si>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</si>
  <si>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</si>
  <si>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</si>
  <si>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</si>
  <si>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</si>
  <si>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</si>
  <si>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</si>
  <si>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</si>
  <si>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</si>
  <si>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</si>
  <si>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</si>
  <si>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</si>
  <si>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</si>
  <si>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</si>
  <si>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</si>
  <si>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</si>
  <si>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</si>
  <si>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</si>
  <si>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</si>
  <si>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</si>
  <si>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</si>
  <si>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</si>
  <si>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</si>
  <si>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</si>
  <si>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</si>
  <si>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</si>
  <si>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</si>
  <si>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</si>
  <si>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</si>
  <si>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</si>
  <si>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</si>
  <si>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</si>
  <si>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</si>
  <si>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</si>
  <si>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</si>
  <si>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</si>
  <si>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</si>
  <si>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</si>
  <si>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</si>
  <si>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</si>
  <si>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</si>
  <si>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</si>
  <si>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</si>
  <si>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</si>
  <si>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</si>
  <si>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</si>
  <si>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</si>
  <si>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</si>
  <si>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</si>
  <si>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</si>
  <si>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</si>
  <si>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</si>
  <si>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</si>
  <si>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</si>
  <si>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</si>
  <si>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</si>
  <si>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</si>
  <si>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</si>
  <si>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</si>
  <si>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</si>
  <si>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</si>
  <si>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</si>
  <si>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</si>
  <si>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</si>
  <si>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</si>
  <si>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</si>
  <si>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</si>
  <si>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</si>
  <si>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</si>
  <si>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</si>
  <si>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</si>
  <si>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</si>
  <si>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</si>
  <si>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</si>
  <si>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</si>
  <si>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</si>
  <si>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</si>
  <si>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</si>
  <si>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</si>
  <si>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</si>
  <si>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</si>
  <si>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</si>
  <si>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</si>
  <si>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</si>
  <si>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</si>
  <si>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</si>
  <si>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</si>
  <si>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</si>
  <si>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</si>
  <si>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</si>
  <si>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</si>
  <si>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</si>
  <si>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</si>
  <si>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</si>
  <si>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</si>
  <si>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</si>
  <si>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</si>
  <si>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</si>
  <si>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</si>
  <si>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</si>
  <si>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</si>
  <si>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</si>
  <si>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</si>
  <si>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</si>
  <si>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</si>
  <si>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</si>
  <si>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</si>
  <si>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</si>
  <si>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</si>
  <si>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</si>
  <si>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</si>
  <si>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</si>
  <si>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</si>
  <si>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</si>
  <si>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</si>
  <si>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</si>
  <si>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</si>
  <si>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</si>
  <si>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</si>
  <si>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</si>
  <si>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</si>
  <si>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</si>
  <si>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</si>
  <si>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</si>
  <si>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</si>
  <si>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</si>
  <si>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</si>
  <si>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</si>
  <si>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</si>
  <si>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</si>
  <si>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</si>
  <si>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</si>
  <si>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</si>
  <si>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</si>
  <si>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</si>
  <si>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</si>
  <si>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</si>
  <si>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</si>
  <si>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</si>
  <si>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</si>
  <si>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</si>
  <si>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</si>
  <si>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</si>
  <si>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</si>
  <si>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</si>
  <si>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</si>
  <si>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</si>
  <si>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</si>
  <si>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</si>
  <si>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</si>
  <si>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</si>
  <si>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</si>
  <si>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</si>
  <si>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</si>
  <si>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</si>
  <si>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</si>
  <si>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</si>
  <si>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</si>
  <si>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</si>
  <si>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</si>
  <si>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</si>
  <si>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</si>
  <si>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</si>
  <si>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</si>
  <si>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</si>
  <si>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</si>
  <si>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</si>
  <si>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</si>
  <si>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</si>
  <si>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</si>
  <si>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</si>
  <si>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</si>
  <si>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</si>
  <si>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Demand Growth</t>
  </si>
  <si>
    <t>IMPBIOWOOY</t>
  </si>
  <si>
    <t>Enduse Demand is defined for future years</t>
  </si>
  <si>
    <t>EU ETS Prices are defined</t>
  </si>
  <si>
    <t>Electricity import and export prices are defined</t>
  </si>
  <si>
    <t>Primary Supply - fuel prices are defined</t>
  </si>
  <si>
    <t>Demand</t>
  </si>
  <si>
    <t>&lt; 2043</t>
  </si>
  <si>
    <t>&gt; = 2043</t>
  </si>
  <si>
    <t>Average</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</si>
  <si>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</si>
  <si>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</si>
  <si>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</si>
  <si>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</si>
  <si>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</si>
  <si>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</si>
  <si>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</si>
  <si>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</si>
  <si>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</si>
  <si>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</si>
  <si>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</si>
  <si>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</si>
  <si>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</si>
  <si>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</si>
  <si>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</si>
  <si>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</si>
  <si>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</si>
  <si>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</si>
  <si>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</si>
  <si>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</si>
  <si>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</si>
  <si>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</si>
  <si>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</si>
  <si>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</si>
  <si>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</si>
  <si>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</si>
  <si>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</si>
  <si>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</si>
  <si>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</si>
  <si>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</si>
  <si>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</si>
  <si>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</si>
  <si>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</si>
  <si>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</si>
  <si>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</si>
  <si>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</si>
  <si>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</si>
  <si>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</si>
  <si>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</si>
  <si>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</si>
  <si>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</si>
  <si>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</si>
  <si>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</si>
  <si>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</si>
  <si>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</si>
  <si>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</si>
  <si>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</si>
  <si>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</si>
  <si>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</si>
  <si>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</si>
  <si>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</si>
  <si>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</si>
  <si>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</si>
  <si>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</si>
  <si>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</si>
  <si>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</si>
  <si>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</si>
  <si>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</si>
  <si>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</si>
  <si>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</si>
  <si>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</si>
  <si>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</si>
  <si>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</si>
  <si>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</si>
  <si>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</si>
  <si>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</si>
  <si>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</si>
  <si>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</si>
  <si>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</si>
  <si>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</si>
  <si>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</si>
  <si>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</si>
  <si>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</si>
  <si>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</si>
  <si>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</si>
  <si>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</si>
  <si>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</si>
  <si>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</si>
  <si>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</si>
  <si>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</si>
  <si>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</si>
  <si>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</si>
  <si>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</si>
  <si>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</si>
  <si>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</si>
  <si>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</si>
  <si>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</si>
  <si>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</si>
  <si>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End-use demand in RSD, COM, MUN sectors  (Decrease in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</si>
  <si>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</si>
  <si>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</si>
  <si>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</si>
  <si>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</si>
  <si>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</si>
  <si>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</si>
  <si>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</si>
  <si>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</si>
  <si>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</si>
  <si>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</si>
  <si>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</si>
  <si>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</si>
  <si>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</si>
  <si>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</si>
  <si>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</si>
  <si>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</si>
  <si>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</si>
  <si>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</si>
  <si>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</si>
  <si>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</si>
  <si>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</si>
  <si>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</si>
  <si>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</si>
  <si>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</si>
  <si>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</si>
  <si>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</si>
  <si>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</si>
  <si>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</si>
  <si>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</si>
  <si>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</si>
  <si>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</si>
  <si>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</si>
  <si>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</si>
  <si>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</si>
  <si>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</si>
  <si>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</si>
  <si>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</si>
  <si>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</si>
  <si>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</si>
  <si>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</si>
  <si>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</si>
  <si>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</si>
  <si>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</si>
  <si>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</si>
  <si>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</si>
  <si>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</si>
  <si>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</si>
  <si>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</si>
  <si>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</si>
  <si>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</si>
  <si>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</si>
  <si>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</si>
  <si>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</si>
  <si>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</si>
  <si>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</si>
  <si>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</si>
  <si>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</si>
  <si>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</si>
  <si>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</si>
  <si>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</si>
  <si>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</si>
  <si>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</si>
  <si>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</si>
  <si>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</si>
  <si>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</si>
  <si>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</si>
  <si>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</si>
  <si>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</si>
  <si>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</si>
  <si>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</si>
  <si>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</si>
  <si>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</si>
  <si>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</si>
  <si>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</si>
  <si>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</si>
  <si>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</si>
  <si>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</si>
  <si>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</si>
  <si>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</si>
  <si>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</si>
  <si>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</si>
  <si>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</si>
  <si>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</si>
  <si>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</si>
  <si>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</si>
  <si>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</si>
  <si>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</si>
  <si>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</si>
  <si>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</si>
  <si>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</si>
  <si>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</si>
  <si>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</si>
  <si>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</si>
  <si>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</si>
  <si>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</si>
  <si>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</si>
  <si>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</si>
  <si>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</si>
  <si>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</si>
  <si>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</si>
  <si>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</si>
  <si>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</si>
  <si>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</si>
  <si>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</si>
  <si>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</si>
  <si>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</si>
  <si>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</si>
  <si>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</si>
  <si>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</si>
  <si>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</si>
  <si>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</si>
  <si>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</si>
  <si>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</si>
  <si>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</si>
  <si>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</si>
  <si>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</si>
  <si>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</si>
  <si>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</si>
  <si>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</si>
  <si>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</si>
  <si>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</si>
  <si>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</si>
  <si>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</si>
  <si>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</si>
  <si>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</si>
  <si>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</si>
  <si>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</si>
  <si>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</si>
  <si>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</si>
  <si>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</si>
  <si>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</si>
  <si>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</si>
  <si>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</si>
  <si>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</si>
  <si>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</si>
  <si>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</si>
  <si>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</si>
  <si>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</si>
  <si>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</si>
  <si>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</si>
  <si>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</si>
  <si>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</si>
  <si>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</si>
  <si>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</si>
  <si>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</si>
  <si>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</si>
  <si>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</si>
  <si>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</si>
  <si>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</si>
  <si>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</si>
  <si>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</si>
  <si>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</si>
  <si>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</si>
  <si>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</si>
  <si>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</si>
  <si>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</si>
  <si>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</si>
  <si>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</si>
  <si>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</si>
  <si>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</si>
  <si>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</si>
  <si>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</si>
  <si>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</si>
  <si>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</si>
  <si>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</si>
  <si>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</si>
  <si>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~InputCell:1-30</t>
  </si>
  <si>
    <t>TRA - Not considered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</si>
</sst>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s>
  <fonts count="95"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s>
  <fills count="70">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s>
  <borders count="40">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s>
  <cellStyleXfs count="46672">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cellStyleXfs>
  <cellXfs count="273">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 fontId="51" fillId="0" borderId="0" xfId="0" applyNumberFormat="1" applyFont="1"/>
    <xf numFmtId="0" fontId="0" fillId="0" borderId="3" xfId="0" applyBorder="1"/>
    <xf numFmtId="179" fontId="0" fillId="0" borderId="0" xfId="0" applyNumberFormat="1"/>
    <xf numFmtId="179" fontId="0" fillId="0" borderId="0" xfId="0" applyNumberFormat="1" applyAlignment="1">
      <alignment horizontal="left"/>
    </xf>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wrapText="1"/>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80" fontId="0" fillId="0" borderId="3" xfId="46670" applyNumberFormat="1" applyFont="1" applyBorder="1"/>
    <xf numFmtId="0" fontId="0" fillId="69" borderId="0" xfId="0" applyFill="1" applyAlignment="1">
      <alignment horizontal="center"/>
    </xf>
    <xf numFmtId="0" fontId="0" fillId="0" borderId="0" xfId="0" applyAlignment="1">
      <alignment horizontal="left" vertical="center" wrapText="1"/>
    </xf>
    <xf numFmtId="0" fontId="74" fillId="0" borderId="0" xfId="0" applyFont="1" applyAlignment="1">
      <alignment horizontal="center" vertical="center"/>
    </xf>
    <xf numFmtId="0" fontId="74" fillId="0" borderId="0" xfId="0" applyFont="1" applyAlignment="1">
      <alignment horizontal="center" vertical="center" wrapText="1"/>
    </xf>
    <xf numFmtId="0" fontId="74" fillId="0" borderId="0" xfId="0" applyFont="1" applyAlignment="1">
      <alignment horizontal="center"/>
    </xf>
    <xf numFmtId="2" fontId="10" fillId="63"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10" fillId="46" borderId="0" xfId="0" applyFont="1" applyFill="1" applyAlignment="1">
      <alignment horizontal="center"/>
    </xf>
    <xf numFmtId="0" fontId="10" fillId="0" borderId="0" xfId="0" applyFont="1" applyAlignment="1">
      <alignment horizont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2">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workbookViewId="0">
      <selection activeCell="E4" sqref="E4"/>
    </sheetView>
  </sheetViews>
  <sheetFormatPr defaultRowHeight="14.4" x14ac:dyDescent="0.3"/>
  <cols>
    <col min="3" max="3" width="15.6640625" customWidth="1"/>
  </cols>
  <sheetData>
    <row r="2" spans="2:5" ht="15" thickBot="1" x14ac:dyDescent="0.35">
      <c r="B2" s="11" t="s">
        <v>14</v>
      </c>
      <c r="C2" s="11" t="s">
        <v>15</v>
      </c>
      <c r="E2" t="s">
        <v>836</v>
      </c>
    </row>
    <row r="3" spans="2:5" ht="15" thickTop="1" x14ac:dyDescent="0.3">
      <c r="B3" s="9">
        <v>1</v>
      </c>
      <c r="C3" t="s">
        <v>16</v>
      </c>
      <c r="E3" s="13">
        <v>2</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S1320"/>
  <sheetViews>
    <sheetView tabSelected="1" workbookViewId="0">
      <selection activeCell="R5" sqref="R5"/>
    </sheetView>
  </sheetViews>
  <sheetFormatPr defaultRowHeight="14.4" x14ac:dyDescent="0.3"/>
  <cols>
    <col min="2" max="2" width="10.6640625" customWidth="1"/>
    <col min="3" max="3" width="8.88671875" bestFit="1" customWidth="1"/>
    <col min="4" max="4" width="17.33203125" customWidth="1"/>
    <col min="5" max="5" width="15.33203125" style="10" customWidth="1"/>
    <col min="6" max="6" width="11.5546875" bestFit="1" customWidth="1"/>
    <col min="7" max="7" width="16.88671875" customWidth="1"/>
    <col min="8" max="8" width="17.88671875" customWidth="1"/>
    <col min="9" max="9" width="10.5546875" style="10" customWidth="1"/>
    <col min="10" max="10" width="11.88671875" customWidth="1"/>
    <col min="11" max="11" width="18.5546875" customWidth="1"/>
    <col min="12" max="12" width="32.6640625" customWidth="1"/>
    <col min="13" max="15" width="11.88671875" customWidth="1"/>
    <col min="16" max="16" width="5.44140625" customWidth="1"/>
    <col min="17" max="17" width="14.6640625" customWidth="1"/>
    <col min="18" max="18" width="8.6640625" customWidth="1"/>
    <col min="19" max="19" width="8.5546875" bestFit="1" customWidth="1"/>
    <col min="20" max="20" width="8.6640625" bestFit="1" customWidth="1"/>
  </cols>
  <sheetData>
    <row r="1" spans="2:19" x14ac:dyDescent="0.3">
      <c r="B1" t="s">
        <v>573</v>
      </c>
    </row>
    <row r="3" spans="2:19" x14ac:dyDescent="0.3">
      <c r="B3" s="2" t="s">
        <v>8</v>
      </c>
    </row>
    <row r="4" spans="2:19" ht="15" thickBot="1" x14ac:dyDescent="0.35">
      <c r="B4" s="5" t="s">
        <v>9</v>
      </c>
      <c r="C4" s="5" t="s">
        <v>7</v>
      </c>
      <c r="D4" s="5" t="s">
        <v>6</v>
      </c>
      <c r="E4" s="12" t="s">
        <v>1</v>
      </c>
      <c r="F4" s="5" t="s">
        <v>4</v>
      </c>
      <c r="G4" s="5" t="s">
        <v>223</v>
      </c>
      <c r="H4" s="5" t="s">
        <v>224</v>
      </c>
      <c r="I4" s="12" t="s">
        <v>225</v>
      </c>
      <c r="L4" t="s">
        <v>577</v>
      </c>
      <c r="N4" s="9" t="s">
        <v>578</v>
      </c>
      <c r="O4" s="9" t="s">
        <v>579</v>
      </c>
      <c r="Q4" t="s">
        <v>571</v>
      </c>
      <c r="R4" t="s">
        <v>578</v>
      </c>
      <c r="S4" t="s">
        <v>579</v>
      </c>
    </row>
    <row r="5" spans="2:19" x14ac:dyDescent="0.3">
      <c r="D5" s="26" t="str">
        <f t="shared" ref="D5:D13" si="0">IF(AND(ISNUMBER(I5),I5&gt;0),"Demand","*")</f>
        <v>Demand</v>
      </c>
      <c r="E5" s="10">
        <f>2018+5</f>
        <v>2023</v>
      </c>
      <c r="F5" s="25" t="str">
        <f>INDATA_FILL_DEMAND!E4</f>
        <v>RHAPA</v>
      </c>
      <c r="I5" s="29">
        <f>IFERROR(ROUNDDOWN(VLOOKUP(F5,INDATA_FILL_DEMAND!$E$4:$F$251,2,FALSE)*IF(E5&lt;2043,1+$N$8,1+$O$8),4),"")</f>
        <v>7.7511999999999999</v>
      </c>
      <c r="L5" t="s">
        <v>176</v>
      </c>
      <c r="M5" s="10" t="str">
        <f>HLOOKUP(VLOOKUP(controller!$E$3,controller!$B$3:$C$32,2),Scenarios_Qualitative!$C$3:$AK$33,MATCH(L5,Scenarios_Qualitative!$C$3:$C$33,0),FALSE)</f>
        <v>High</v>
      </c>
      <c r="N5" s="9">
        <f>VLOOKUP(M5,$Q$5:$S$8,2,FALSE)</f>
        <v>0.05</v>
      </c>
      <c r="O5" s="9">
        <f>VLOOKUP(M5,$Q$5:$S$8,3,FALSE)</f>
        <v>0.05</v>
      </c>
      <c r="P5" s="10"/>
      <c r="Q5" s="27" t="s">
        <v>52</v>
      </c>
      <c r="R5" s="237">
        <v>0.01</v>
      </c>
      <c r="S5" s="237">
        <f>R5</f>
        <v>0.01</v>
      </c>
    </row>
    <row r="6" spans="2:19" x14ac:dyDescent="0.3">
      <c r="D6" s="26" t="str">
        <f t="shared" si="0"/>
        <v>Demand</v>
      </c>
      <c r="E6" s="10">
        <f>E5</f>
        <v>2023</v>
      </c>
      <c r="F6" s="25" t="str">
        <f>INDATA_FILL_DEMAND!E5</f>
        <v>RHAPB</v>
      </c>
      <c r="I6" s="29">
        <f>IFERROR(ROUNDDOWN(VLOOKUP(F6,INDATA_FILL_DEMAND!$E$4:$F$251,2,FALSE)*IF(E6&lt;2043,1+$N$8,1+$O$8),4),"")</f>
        <v>10.87</v>
      </c>
      <c r="L6" t="s">
        <v>179</v>
      </c>
      <c r="M6" s="10" t="str">
        <f>HLOOKUP(VLOOKUP(controller!$E$3,controller!$B$3:$C$32,2),Scenarios_Qualitative!$C$3:$AK$33,MATCH(L6,Scenarios_Qualitative!$C$3:$C$33,0),FALSE)</f>
        <v>High</v>
      </c>
      <c r="N6" s="9">
        <f>VLOOKUP(M6,$Q$5:$S$8,2,FALSE)</f>
        <v>0.05</v>
      </c>
      <c r="O6" s="9">
        <f>VLOOKUP(M6,$Q$5:$S$8,3,FALSE)</f>
        <v>0.05</v>
      </c>
      <c r="P6" s="10"/>
      <c r="Q6" s="27" t="s">
        <v>53</v>
      </c>
      <c r="R6" s="237">
        <v>2.5000000000000001E-2</v>
      </c>
      <c r="S6" s="237">
        <f t="shared" ref="S6:S7" si="1">R6</f>
        <v>2.5000000000000001E-2</v>
      </c>
    </row>
    <row r="7" spans="2:19" x14ac:dyDescent="0.3">
      <c r="D7" s="26" t="str">
        <f t="shared" si="0"/>
        <v>Demand</v>
      </c>
      <c r="E7" s="10">
        <f t="shared" ref="E7:E70" si="2">E6</f>
        <v>2023</v>
      </c>
      <c r="F7" s="25" t="str">
        <f>INDATA_FILL_DEMAND!E6</f>
        <v>RHAPC</v>
      </c>
      <c r="I7" s="29">
        <f>IFERROR(ROUNDDOWN(VLOOKUP(F7,INDATA_FILL_DEMAND!$E$4:$F$251,2,FALSE)*IF(E7&lt;2043,1+$N$8,1+$O$8),4),"")</f>
        <v>165.3903</v>
      </c>
      <c r="K7" t="s">
        <v>837</v>
      </c>
      <c r="L7" t="s">
        <v>183</v>
      </c>
      <c r="M7" s="10" t="str">
        <f>HLOOKUP(VLOOKUP(controller!$E$3,controller!$B$3:$C$32,2),Scenarios_Qualitative!$C$3:$AK$33,MATCH(L7,Scenarios_Qualitative!$C$3:$C$33,0),FALSE)</f>
        <v>High</v>
      </c>
      <c r="N7" s="238">
        <v>0</v>
      </c>
      <c r="O7" s="238">
        <v>0</v>
      </c>
      <c r="P7" s="10"/>
      <c r="Q7" s="27" t="s">
        <v>54</v>
      </c>
      <c r="R7" s="237">
        <v>0.05</v>
      </c>
      <c r="S7" s="237">
        <f t="shared" si="1"/>
        <v>0.05</v>
      </c>
    </row>
    <row r="8" spans="2:19" x14ac:dyDescent="0.3">
      <c r="D8" s="26" t="str">
        <f t="shared" si="0"/>
        <v>Demand</v>
      </c>
      <c r="E8" s="10">
        <f t="shared" si="2"/>
        <v>2023</v>
      </c>
      <c r="F8" s="25" t="str">
        <f>INDATA_FILL_DEMAND!E7</f>
        <v>RHAPE</v>
      </c>
      <c r="I8" s="29">
        <f>IFERROR(ROUNDDOWN(VLOOKUP(F8,INDATA_FILL_DEMAND!$E$4:$F$251,2,FALSE)*IF(E8&lt;2043,1+$N$8,1+$O$8),4),"")</f>
        <v>23.391200000000001</v>
      </c>
      <c r="M8" s="9" t="s">
        <v>580</v>
      </c>
      <c r="N8" s="9">
        <f>AVERAGE(N5:N6)</f>
        <v>0.05</v>
      </c>
      <c r="O8" s="9">
        <f>AVERAGE(O5:O6)</f>
        <v>0.05</v>
      </c>
      <c r="Q8" s="27" t="s">
        <v>182</v>
      </c>
      <c r="R8" s="237">
        <f>R5</f>
        <v>0.01</v>
      </c>
      <c r="S8" s="237">
        <f>R7</f>
        <v>0.05</v>
      </c>
    </row>
    <row r="9" spans="2:19" x14ac:dyDescent="0.3">
      <c r="D9" s="26" t="str">
        <f t="shared" si="0"/>
        <v>Demand</v>
      </c>
      <c r="E9" s="10">
        <f t="shared" si="2"/>
        <v>2023</v>
      </c>
      <c r="F9" s="25" t="str">
        <f>INDATA_FILL_DEMAND!E8</f>
        <v>RHHSA</v>
      </c>
      <c r="I9" s="29">
        <f>IFERROR(ROUNDDOWN(VLOOKUP(F9,INDATA_FILL_DEMAND!$E$4:$F$251,2,FALSE)*IF(E9&lt;2043,1+$N$8,1+$O$8),4),"")</f>
        <v>14.456</v>
      </c>
    </row>
    <row r="10" spans="2:19" x14ac:dyDescent="0.3">
      <c r="D10" s="26" t="str">
        <f t="shared" si="0"/>
        <v>Demand</v>
      </c>
      <c r="E10" s="10">
        <f t="shared" si="2"/>
        <v>2023</v>
      </c>
      <c r="F10" s="25" t="str">
        <f>INDATA_FILL_DEMAND!E9</f>
        <v>RHHSB</v>
      </c>
      <c r="I10" s="29">
        <f>IFERROR(ROUNDDOWN(VLOOKUP(F10,INDATA_FILL_DEMAND!$E$4:$F$251,2,FALSE)*IF(E10&lt;2043,1+$N$8,1+$O$8),4),"")</f>
        <v>57.163699999999999</v>
      </c>
    </row>
    <row r="11" spans="2:19" x14ac:dyDescent="0.3">
      <c r="D11" s="26" t="str">
        <f t="shared" si="0"/>
        <v>Demand</v>
      </c>
      <c r="E11" s="10">
        <f t="shared" si="2"/>
        <v>2023</v>
      </c>
      <c r="F11" s="25" t="str">
        <f>INDATA_FILL_DEMAND!E10</f>
        <v>RHHSC</v>
      </c>
      <c r="I11" s="29">
        <f>IFERROR(ROUNDDOWN(VLOOKUP(F11,INDATA_FILL_DEMAND!$E$4:$F$251,2,FALSE)*IF(E11&lt;2043,1+$N$8,1+$O$8),4),"")</f>
        <v>335.63119999999998</v>
      </c>
    </row>
    <row r="12" spans="2:19" ht="16.2" customHeight="1" x14ac:dyDescent="0.3">
      <c r="D12" s="26" t="str">
        <f t="shared" si="0"/>
        <v>Demand</v>
      </c>
      <c r="E12" s="10">
        <f t="shared" si="2"/>
        <v>2023</v>
      </c>
      <c r="F12" s="25" t="str">
        <f>INDATA_FILL_DEMAND!E11</f>
        <v>RHHSE</v>
      </c>
      <c r="I12" s="29">
        <f>IFERROR(ROUNDDOWN(VLOOKUP(F12,INDATA_FILL_DEMAND!$E$4:$F$251,2,FALSE)*IF(E12&lt;2043,1+$N$8,1+$O$8),4),"")</f>
        <v>39.408299999999997</v>
      </c>
    </row>
    <row r="13" spans="2:19" x14ac:dyDescent="0.3">
      <c r="D13" s="26" t="str">
        <f t="shared" si="0"/>
        <v>*</v>
      </c>
      <c r="E13" s="10">
        <f t="shared" si="2"/>
        <v>2023</v>
      </c>
      <c r="F13" s="25" t="str">
        <f>INDATA_FILL_DEMAND!E12</f>
        <v>RCAPA</v>
      </c>
      <c r="I13" s="29">
        <f>IFERROR(ROUNDDOWN(VLOOKUP(F13,INDATA_FILL_DEMAND!$E$4:$F$251,2,FALSE)*IF(E13&lt;2043,1+$N$8,1+$O$8),4),"")</f>
        <v>0</v>
      </c>
    </row>
    <row r="14" spans="2:19" ht="16.8" customHeight="1" x14ac:dyDescent="0.3">
      <c r="D14" s="26" t="str">
        <f t="shared" ref="D14:D77" si="3">IF(AND(ISNUMBER(I14),I14&gt;0),"Demand","*")</f>
        <v>*</v>
      </c>
      <c r="E14" s="10">
        <f t="shared" si="2"/>
        <v>2023</v>
      </c>
      <c r="F14" s="25" t="str">
        <f>INDATA_FILL_DEMAND!E13</f>
        <v>RCAPB</v>
      </c>
      <c r="I14" s="29">
        <f>IFERROR(ROUNDDOWN(VLOOKUP(F14,INDATA_FILL_DEMAND!$E$4:$F$251,2,FALSE)*IF(E14&lt;2043,1+$N$8,1+$O$8),4),"")</f>
        <v>0</v>
      </c>
    </row>
    <row r="15" spans="2:19" x14ac:dyDescent="0.3">
      <c r="D15" s="26" t="str">
        <f t="shared" si="3"/>
        <v>*</v>
      </c>
      <c r="E15" s="10">
        <f t="shared" si="2"/>
        <v>2023</v>
      </c>
      <c r="F15" s="25" t="str">
        <f>INDATA_FILL_DEMAND!E14</f>
        <v>RCAPC</v>
      </c>
      <c r="I15" s="29">
        <f>IFERROR(ROUNDDOWN(VLOOKUP(F15,INDATA_FILL_DEMAND!$E$4:$F$251,2,FALSE)*IF(E15&lt;2043,1+$N$8,1+$O$8),4),"")</f>
        <v>0</v>
      </c>
    </row>
    <row r="16" spans="2:19" x14ac:dyDescent="0.3">
      <c r="D16" s="26" t="str">
        <f t="shared" si="3"/>
        <v>*</v>
      </c>
      <c r="E16" s="10">
        <f t="shared" si="2"/>
        <v>2023</v>
      </c>
      <c r="F16" s="25" t="str">
        <f>INDATA_FILL_DEMAND!E15</f>
        <v>RCAPE</v>
      </c>
      <c r="I16" s="29">
        <f>IFERROR(ROUNDDOWN(VLOOKUP(F16,INDATA_FILL_DEMAND!$E$4:$F$251,2,FALSE)*IF(E16&lt;2043,1+$N$8,1+$O$8),4),"")</f>
        <v>0</v>
      </c>
    </row>
    <row r="17" spans="4:9" x14ac:dyDescent="0.3">
      <c r="D17" s="26" t="str">
        <f t="shared" si="3"/>
        <v>*</v>
      </c>
      <c r="E17" s="10">
        <f t="shared" si="2"/>
        <v>2023</v>
      </c>
      <c r="F17" s="25" t="str">
        <f>INDATA_FILL_DEMAND!E16</f>
        <v>RCHSA</v>
      </c>
      <c r="I17" s="29">
        <f>IFERROR(ROUNDDOWN(VLOOKUP(F17,INDATA_FILL_DEMAND!$E$4:$F$251,2,FALSE)*IF(E17&lt;2043,1+$N$8,1+$O$8),4),"")</f>
        <v>0</v>
      </c>
    </row>
    <row r="18" spans="4:9" x14ac:dyDescent="0.3">
      <c r="D18" s="26" t="str">
        <f t="shared" si="3"/>
        <v>*</v>
      </c>
      <c r="E18" s="10">
        <f t="shared" si="2"/>
        <v>2023</v>
      </c>
      <c r="F18" s="25" t="str">
        <f>INDATA_FILL_DEMAND!E17</f>
        <v>RCHSB</v>
      </c>
      <c r="I18" s="29">
        <f>IFERROR(ROUNDDOWN(VLOOKUP(F18,INDATA_FILL_DEMAND!$E$4:$F$251,2,FALSE)*IF(E18&lt;2043,1+$N$8,1+$O$8),4),"")</f>
        <v>0</v>
      </c>
    </row>
    <row r="19" spans="4:9" x14ac:dyDescent="0.3">
      <c r="D19" s="26" t="str">
        <f t="shared" si="3"/>
        <v>*</v>
      </c>
      <c r="E19" s="10">
        <f t="shared" si="2"/>
        <v>2023</v>
      </c>
      <c r="F19" s="25" t="str">
        <f>INDATA_FILL_DEMAND!E18</f>
        <v>RCHSC</v>
      </c>
      <c r="I19" s="29">
        <f>IFERROR(ROUNDDOWN(VLOOKUP(F19,INDATA_FILL_DEMAND!$E$4:$F$251,2,FALSE)*IF(E19&lt;2043,1+$N$8,1+$O$8),4),"")</f>
        <v>0</v>
      </c>
    </row>
    <row r="20" spans="4:9" x14ac:dyDescent="0.3">
      <c r="D20" s="26" t="str">
        <f t="shared" si="3"/>
        <v>*</v>
      </c>
      <c r="E20" s="10">
        <f t="shared" si="2"/>
        <v>2023</v>
      </c>
      <c r="F20" s="25" t="str">
        <f>INDATA_FILL_DEMAND!E19</f>
        <v>RCHSE</v>
      </c>
      <c r="I20" s="29">
        <f>IFERROR(ROUNDDOWN(VLOOKUP(F20,INDATA_FILL_DEMAND!$E$4:$F$251,2,FALSE)*IF(E20&lt;2043,1+$N$8,1+$O$8),4),"")</f>
        <v>0</v>
      </c>
    </row>
    <row r="21" spans="4:9" x14ac:dyDescent="0.3">
      <c r="D21" s="26" t="str">
        <f t="shared" si="3"/>
        <v>Demand</v>
      </c>
      <c r="E21" s="10">
        <f t="shared" si="2"/>
        <v>2023</v>
      </c>
      <c r="F21" s="25" t="str">
        <f>INDATA_FILL_DEMAND!E20</f>
        <v>RWAPA</v>
      </c>
      <c r="I21" s="29">
        <f>IFERROR(ROUNDDOWN(VLOOKUP(F21,INDATA_FILL_DEMAND!$E$4:$F$251,2,FALSE)*IF(E21&lt;2043,1+$N$8,1+$O$8),4),"")</f>
        <v>1.8964000000000001</v>
      </c>
    </row>
    <row r="22" spans="4:9" x14ac:dyDescent="0.3">
      <c r="D22" s="26" t="str">
        <f t="shared" si="3"/>
        <v>Demand</v>
      </c>
      <c r="E22" s="10">
        <f t="shared" si="2"/>
        <v>2023</v>
      </c>
      <c r="F22" s="25" t="str">
        <f>INDATA_FILL_DEMAND!E21</f>
        <v>RWAPB</v>
      </c>
      <c r="I22" s="29">
        <f>IFERROR(ROUNDDOWN(VLOOKUP(F22,INDATA_FILL_DEMAND!$E$4:$F$251,2,FALSE)*IF(E22&lt;2043,1+$N$8,1+$O$8),4),"")</f>
        <v>2.6595</v>
      </c>
    </row>
    <row r="23" spans="4:9" x14ac:dyDescent="0.3">
      <c r="D23" s="26" t="str">
        <f t="shared" si="3"/>
        <v>Demand</v>
      </c>
      <c r="E23" s="10">
        <f t="shared" si="2"/>
        <v>2023</v>
      </c>
      <c r="F23" s="25" t="str">
        <f>INDATA_FILL_DEMAND!E22</f>
        <v>RWAPC</v>
      </c>
      <c r="I23" s="29">
        <f>IFERROR(ROUNDDOWN(VLOOKUP(F23,INDATA_FILL_DEMAND!$E$4:$F$251,2,FALSE)*IF(E23&lt;2043,1+$N$8,1+$O$8),4),"")</f>
        <v>40.466000000000001</v>
      </c>
    </row>
    <row r="24" spans="4:9" x14ac:dyDescent="0.3">
      <c r="D24" s="26" t="str">
        <f t="shared" si="3"/>
        <v>Demand</v>
      </c>
      <c r="E24" s="10">
        <f t="shared" si="2"/>
        <v>2023</v>
      </c>
      <c r="F24" s="25" t="str">
        <f>INDATA_FILL_DEMAND!E23</f>
        <v>RWAPE</v>
      </c>
      <c r="I24" s="29">
        <f>IFERROR(ROUNDDOWN(VLOOKUP(F24,INDATA_FILL_DEMAND!$E$4:$F$251,2,FALSE)*IF(E24&lt;2043,1+$N$8,1+$O$8),4),"")</f>
        <v>5.7230999999999996</v>
      </c>
    </row>
    <row r="25" spans="4:9" x14ac:dyDescent="0.3">
      <c r="D25" s="26" t="str">
        <f t="shared" si="3"/>
        <v>Demand</v>
      </c>
      <c r="E25" s="10">
        <f t="shared" si="2"/>
        <v>2023</v>
      </c>
      <c r="F25" s="25" t="str">
        <f>INDATA_FILL_DEMAND!E24</f>
        <v>RWHSA</v>
      </c>
      <c r="I25" s="29">
        <f>IFERROR(ROUNDDOWN(VLOOKUP(F25,INDATA_FILL_DEMAND!$E$4:$F$251,2,FALSE)*IF(E25&lt;2043,1+$N$8,1+$O$8),4),"")</f>
        <v>1.6831</v>
      </c>
    </row>
    <row r="26" spans="4:9" x14ac:dyDescent="0.3">
      <c r="D26" s="26" t="str">
        <f t="shared" si="3"/>
        <v>Demand</v>
      </c>
      <c r="E26" s="10">
        <f t="shared" si="2"/>
        <v>2023</v>
      </c>
      <c r="F26" s="25" t="str">
        <f>INDATA_FILL_DEMAND!E25</f>
        <v>RWHSB</v>
      </c>
      <c r="I26" s="29">
        <f>IFERROR(ROUNDDOWN(VLOOKUP(F26,INDATA_FILL_DEMAND!$E$4:$F$251,2,FALSE)*IF(E26&lt;2043,1+$N$8,1+$O$8),4),"")</f>
        <v>6.6558000000000002</v>
      </c>
    </row>
    <row r="27" spans="4:9" x14ac:dyDescent="0.3">
      <c r="D27" s="26" t="str">
        <f t="shared" si="3"/>
        <v>Demand</v>
      </c>
      <c r="E27" s="10">
        <f t="shared" si="2"/>
        <v>2023</v>
      </c>
      <c r="F27" s="25" t="str">
        <f>INDATA_FILL_DEMAND!E26</f>
        <v>RWHSC</v>
      </c>
      <c r="I27" s="29">
        <f>IFERROR(ROUNDDOWN(VLOOKUP(F27,INDATA_FILL_DEMAND!$E$4:$F$251,2,FALSE)*IF(E27&lt;2043,1+$N$8,1+$O$8),4),"")</f>
        <v>39.078899999999997</v>
      </c>
    </row>
    <row r="28" spans="4:9" x14ac:dyDescent="0.3">
      <c r="D28" s="26" t="str">
        <f t="shared" si="3"/>
        <v>Demand</v>
      </c>
      <c r="E28" s="10">
        <f t="shared" si="2"/>
        <v>2023</v>
      </c>
      <c r="F28" s="25" t="str">
        <f>INDATA_FILL_DEMAND!E27</f>
        <v>RWHSE</v>
      </c>
      <c r="I28" s="29">
        <f>IFERROR(ROUNDDOWN(VLOOKUP(F28,INDATA_FILL_DEMAND!$E$4:$F$251,2,FALSE)*IF(E28&lt;2043,1+$N$8,1+$O$8),4),"")</f>
        <v>2.7730000000000001</v>
      </c>
    </row>
    <row r="29" spans="4:9" x14ac:dyDescent="0.3">
      <c r="D29" s="26" t="str">
        <f t="shared" si="3"/>
        <v>Demand</v>
      </c>
      <c r="E29" s="10">
        <f t="shared" si="2"/>
        <v>2023</v>
      </c>
      <c r="F29" s="25" t="str">
        <f>INDATA_FILL_DEMAND!E28</f>
        <v>RKAPA</v>
      </c>
      <c r="I29" s="29">
        <f>IFERROR(ROUNDDOWN(VLOOKUP(F29,INDATA_FILL_DEMAND!$E$4:$F$251,2,FALSE)*IF(E29&lt;2043,1+$N$8,1+$O$8),4),"")</f>
        <v>1.83E-2</v>
      </c>
    </row>
    <row r="30" spans="4:9" x14ac:dyDescent="0.3">
      <c r="D30" s="26" t="str">
        <f t="shared" si="3"/>
        <v>Demand</v>
      </c>
      <c r="E30" s="10">
        <f t="shared" si="2"/>
        <v>2023</v>
      </c>
      <c r="F30" s="25" t="str">
        <f>INDATA_FILL_DEMAND!E29</f>
        <v>RKAPB</v>
      </c>
      <c r="I30" s="29">
        <f>IFERROR(ROUNDDOWN(VLOOKUP(F30,INDATA_FILL_DEMAND!$E$4:$F$251,2,FALSE)*IF(E30&lt;2043,1+$N$8,1+$O$8),4),"")</f>
        <v>2.5700000000000001E-2</v>
      </c>
    </row>
    <row r="31" spans="4:9" x14ac:dyDescent="0.3">
      <c r="D31" s="26" t="str">
        <f t="shared" si="3"/>
        <v>Demand</v>
      </c>
      <c r="E31" s="10">
        <f t="shared" si="2"/>
        <v>2023</v>
      </c>
      <c r="F31" s="25" t="str">
        <f>INDATA_FILL_DEMAND!E30</f>
        <v>RKAPC</v>
      </c>
      <c r="I31" s="29">
        <f>IFERROR(ROUNDDOWN(VLOOKUP(F31,INDATA_FILL_DEMAND!$E$4:$F$251,2,FALSE)*IF(E31&lt;2043,1+$N$8,1+$O$8),4),"")</f>
        <v>0.39250000000000002</v>
      </c>
    </row>
    <row r="32" spans="4:9" x14ac:dyDescent="0.3">
      <c r="D32" s="26" t="str">
        <f t="shared" si="3"/>
        <v>Demand</v>
      </c>
      <c r="E32" s="10">
        <f t="shared" si="2"/>
        <v>2023</v>
      </c>
      <c r="F32" s="25" t="str">
        <f>INDATA_FILL_DEMAND!E31</f>
        <v>RKAPE</v>
      </c>
      <c r="I32" s="29">
        <f>IFERROR(ROUNDDOWN(VLOOKUP(F32,INDATA_FILL_DEMAND!$E$4:$F$251,2,FALSE)*IF(E32&lt;2043,1+$N$8,1+$O$8),4),"")</f>
        <v>5.5500000000000001E-2</v>
      </c>
    </row>
    <row r="33" spans="4:9" x14ac:dyDescent="0.3">
      <c r="D33" s="26" t="str">
        <f t="shared" si="3"/>
        <v>Demand</v>
      </c>
      <c r="E33" s="10">
        <f t="shared" si="2"/>
        <v>2023</v>
      </c>
      <c r="F33" s="25" t="str">
        <f>INDATA_FILL_DEMAND!E32</f>
        <v>RKHSA</v>
      </c>
      <c r="I33" s="29">
        <f>IFERROR(ROUNDDOWN(VLOOKUP(F33,INDATA_FILL_DEMAND!$E$4:$F$251,2,FALSE)*IF(E33&lt;2043,1+$N$8,1+$O$8),4),"")</f>
        <v>0.27979999999999999</v>
      </c>
    </row>
    <row r="34" spans="4:9" x14ac:dyDescent="0.3">
      <c r="D34" s="26" t="str">
        <f t="shared" si="3"/>
        <v>Demand</v>
      </c>
      <c r="E34" s="10">
        <f t="shared" si="2"/>
        <v>2023</v>
      </c>
      <c r="F34" s="25" t="str">
        <f>INDATA_FILL_DEMAND!E33</f>
        <v>RKHSB</v>
      </c>
      <c r="I34" s="29">
        <f>IFERROR(ROUNDDOWN(VLOOKUP(F34,INDATA_FILL_DEMAND!$E$4:$F$251,2,FALSE)*IF(E34&lt;2043,1+$N$8,1+$O$8),4),"")</f>
        <v>1.1067</v>
      </c>
    </row>
    <row r="35" spans="4:9" x14ac:dyDescent="0.3">
      <c r="D35" s="26" t="str">
        <f t="shared" si="3"/>
        <v>Demand</v>
      </c>
      <c r="E35" s="10">
        <f t="shared" si="2"/>
        <v>2023</v>
      </c>
      <c r="F35" s="25" t="str">
        <f>INDATA_FILL_DEMAND!E34</f>
        <v>RKHSC</v>
      </c>
      <c r="I35" s="29">
        <f>IFERROR(ROUNDDOWN(VLOOKUP(F35,INDATA_FILL_DEMAND!$E$4:$F$251,2,FALSE)*IF(E35&lt;2043,1+$N$8,1+$O$8),4),"")</f>
        <v>6.4977999999999998</v>
      </c>
    </row>
    <row r="36" spans="4:9" x14ac:dyDescent="0.3">
      <c r="D36" s="26" t="str">
        <f t="shared" si="3"/>
        <v>Demand</v>
      </c>
      <c r="E36" s="10">
        <f t="shared" si="2"/>
        <v>2023</v>
      </c>
      <c r="F36" s="25" t="str">
        <f>INDATA_FILL_DEMAND!E35</f>
        <v>RKHSE</v>
      </c>
      <c r="I36" s="29">
        <f>IFERROR(ROUNDDOWN(VLOOKUP(F36,INDATA_FILL_DEMAND!$E$4:$F$251,2,FALSE)*IF(E36&lt;2043,1+$N$8,1+$O$8),4),"")</f>
        <v>1.1240000000000001</v>
      </c>
    </row>
    <row r="37" spans="4:9" x14ac:dyDescent="0.3">
      <c r="D37" s="26" t="str">
        <f t="shared" si="3"/>
        <v>Demand</v>
      </c>
      <c r="E37" s="10">
        <f t="shared" si="2"/>
        <v>2023</v>
      </c>
      <c r="F37" s="25" t="str">
        <f>INDATA_FILL_DEMAND!E36</f>
        <v>RLAPA</v>
      </c>
      <c r="I37" s="29">
        <f>IFERROR(ROUNDDOWN(VLOOKUP(F37,INDATA_FILL_DEMAND!$E$4:$F$251,2,FALSE)*IF(E37&lt;2043,1+$N$8,1+$O$8),4),"")</f>
        <v>3.8E-3</v>
      </c>
    </row>
    <row r="38" spans="4:9" x14ac:dyDescent="0.3">
      <c r="D38" s="26" t="str">
        <f t="shared" si="3"/>
        <v>Demand</v>
      </c>
      <c r="E38" s="10">
        <f t="shared" si="2"/>
        <v>2023</v>
      </c>
      <c r="F38" s="25" t="str">
        <f>INDATA_FILL_DEMAND!E37</f>
        <v>RLAPB</v>
      </c>
      <c r="I38" s="29">
        <f>IFERROR(ROUNDDOWN(VLOOKUP(F38,INDATA_FILL_DEMAND!$E$4:$F$251,2,FALSE)*IF(E38&lt;2043,1+$N$8,1+$O$8),4),"")</f>
        <v>5.4000000000000003E-3</v>
      </c>
    </row>
    <row r="39" spans="4:9" x14ac:dyDescent="0.3">
      <c r="D39" s="26" t="str">
        <f t="shared" si="3"/>
        <v>Demand</v>
      </c>
      <c r="E39" s="10">
        <f t="shared" si="2"/>
        <v>2023</v>
      </c>
      <c r="F39" s="25" t="str">
        <f>INDATA_FILL_DEMAND!E38</f>
        <v>RLAPC</v>
      </c>
      <c r="I39" s="29">
        <f>IFERROR(ROUNDDOWN(VLOOKUP(F39,INDATA_FILL_DEMAND!$E$4:$F$251,2,FALSE)*IF(E39&lt;2043,1+$N$8,1+$O$8),4),"")</f>
        <v>8.2299999999999998E-2</v>
      </c>
    </row>
    <row r="40" spans="4:9" x14ac:dyDescent="0.3">
      <c r="D40" s="26" t="str">
        <f t="shared" si="3"/>
        <v>Demand</v>
      </c>
      <c r="E40" s="10">
        <f t="shared" si="2"/>
        <v>2023</v>
      </c>
      <c r="F40" s="25" t="str">
        <f>INDATA_FILL_DEMAND!E39</f>
        <v>RLAPE</v>
      </c>
      <c r="I40" s="29">
        <f>IFERROR(ROUNDDOWN(VLOOKUP(F40,INDATA_FILL_DEMAND!$E$4:$F$251,2,FALSE)*IF(E40&lt;2043,1+$N$8,1+$O$8),4),"")</f>
        <v>1.1599999999999999E-2</v>
      </c>
    </row>
    <row r="41" spans="4:9" x14ac:dyDescent="0.3">
      <c r="D41" s="26" t="str">
        <f t="shared" si="3"/>
        <v>Demand</v>
      </c>
      <c r="E41" s="10">
        <f t="shared" si="2"/>
        <v>2023</v>
      </c>
      <c r="F41" s="25" t="str">
        <f>INDATA_FILL_DEMAND!E40</f>
        <v>RLHSA</v>
      </c>
      <c r="I41" s="29">
        <f>IFERROR(ROUNDDOWN(VLOOKUP(F41,INDATA_FILL_DEMAND!$E$4:$F$251,2,FALSE)*IF(E41&lt;2043,1+$N$8,1+$O$8),4),"")</f>
        <v>5.8599999999999999E-2</v>
      </c>
    </row>
    <row r="42" spans="4:9" x14ac:dyDescent="0.3">
      <c r="D42" s="26" t="str">
        <f t="shared" si="3"/>
        <v>Demand</v>
      </c>
      <c r="E42" s="10">
        <f t="shared" si="2"/>
        <v>2023</v>
      </c>
      <c r="F42" s="25" t="str">
        <f>INDATA_FILL_DEMAND!E41</f>
        <v>RLHSB</v>
      </c>
      <c r="I42" s="29">
        <f>IFERROR(ROUNDDOWN(VLOOKUP(F42,INDATA_FILL_DEMAND!$E$4:$F$251,2,FALSE)*IF(E42&lt;2043,1+$N$8,1+$O$8),4),"")</f>
        <v>0.23200000000000001</v>
      </c>
    </row>
    <row r="43" spans="4:9" x14ac:dyDescent="0.3">
      <c r="D43" s="26" t="str">
        <f t="shared" si="3"/>
        <v>Demand</v>
      </c>
      <c r="E43" s="10">
        <f t="shared" si="2"/>
        <v>2023</v>
      </c>
      <c r="F43" s="25" t="str">
        <f>INDATA_FILL_DEMAND!E42</f>
        <v>RLHSC</v>
      </c>
      <c r="I43" s="29">
        <f>IFERROR(ROUNDDOWN(VLOOKUP(F43,INDATA_FILL_DEMAND!$E$4:$F$251,2,FALSE)*IF(E43&lt;2043,1+$N$8,1+$O$8),4),"")</f>
        <v>1.3625</v>
      </c>
    </row>
    <row r="44" spans="4:9" x14ac:dyDescent="0.3">
      <c r="D44" s="26" t="str">
        <f t="shared" si="3"/>
        <v>Demand</v>
      </c>
      <c r="E44" s="10">
        <f t="shared" si="2"/>
        <v>2023</v>
      </c>
      <c r="F44" s="25" t="str">
        <f>INDATA_FILL_DEMAND!E43</f>
        <v>RLHSE</v>
      </c>
      <c r="I44" s="29">
        <f>IFERROR(ROUNDDOWN(VLOOKUP(F44,INDATA_FILL_DEMAND!$E$4:$F$251,2,FALSE)*IF(E44&lt;2043,1+$N$8,1+$O$8),4),"")</f>
        <v>0.23569999999999999</v>
      </c>
    </row>
    <row r="45" spans="4:9" x14ac:dyDescent="0.3">
      <c r="D45" s="26" t="str">
        <f t="shared" si="3"/>
        <v>Demand</v>
      </c>
      <c r="E45" s="10">
        <f t="shared" si="2"/>
        <v>2023</v>
      </c>
      <c r="F45" s="25" t="str">
        <f>INDATA_FILL_DEMAND!E44</f>
        <v>ROAPA</v>
      </c>
      <c r="I45" s="29">
        <f>IFERROR(ROUNDDOWN(VLOOKUP(F45,INDATA_FILL_DEMAND!$E$4:$F$251,2,FALSE)*IF(E45&lt;2043,1+$N$8,1+$O$8),4),"")</f>
        <v>7.3499999999999996E-2</v>
      </c>
    </row>
    <row r="46" spans="4:9" x14ac:dyDescent="0.3">
      <c r="D46" s="26" t="str">
        <f t="shared" si="3"/>
        <v>Demand</v>
      </c>
      <c r="E46" s="10">
        <f t="shared" si="2"/>
        <v>2023</v>
      </c>
      <c r="F46" s="25" t="str">
        <f>INDATA_FILL_DEMAND!E45</f>
        <v>ROAPB</v>
      </c>
      <c r="I46" s="29">
        <f>IFERROR(ROUNDDOWN(VLOOKUP(F46,INDATA_FILL_DEMAND!$E$4:$F$251,2,FALSE)*IF(E46&lt;2043,1+$N$8,1+$O$8),4),"")</f>
        <v>0.10299999999999999</v>
      </c>
    </row>
    <row r="47" spans="4:9" x14ac:dyDescent="0.3">
      <c r="D47" s="26" t="str">
        <f t="shared" si="3"/>
        <v>Demand</v>
      </c>
      <c r="E47" s="10">
        <f t="shared" si="2"/>
        <v>2023</v>
      </c>
      <c r="F47" s="25" t="str">
        <f>INDATA_FILL_DEMAND!E46</f>
        <v>ROAPC</v>
      </c>
      <c r="I47" s="29">
        <f>IFERROR(ROUNDDOWN(VLOOKUP(F47,INDATA_FILL_DEMAND!$E$4:$F$251,2,FALSE)*IF(E47&lt;2043,1+$N$8,1+$O$8),4),"")</f>
        <v>1.5686</v>
      </c>
    </row>
    <row r="48" spans="4:9" x14ac:dyDescent="0.3">
      <c r="D48" s="26" t="str">
        <f t="shared" si="3"/>
        <v>Demand</v>
      </c>
      <c r="E48" s="10">
        <f t="shared" si="2"/>
        <v>2023</v>
      </c>
      <c r="F48" s="25" t="str">
        <f>INDATA_FILL_DEMAND!E47</f>
        <v>ROAPE</v>
      </c>
      <c r="I48" s="29">
        <f>IFERROR(ROUNDDOWN(VLOOKUP(F48,INDATA_FILL_DEMAND!$E$4:$F$251,2,FALSE)*IF(E48&lt;2043,1+$N$8,1+$O$8),4),"")</f>
        <v>0.2218</v>
      </c>
    </row>
    <row r="49" spans="4:9" x14ac:dyDescent="0.3">
      <c r="D49" s="26" t="str">
        <f t="shared" si="3"/>
        <v>Demand</v>
      </c>
      <c r="E49" s="10">
        <f t="shared" si="2"/>
        <v>2023</v>
      </c>
      <c r="F49" s="25" t="str">
        <f>INDATA_FILL_DEMAND!E48</f>
        <v>ROHSA</v>
      </c>
      <c r="I49" s="29">
        <f>IFERROR(ROUNDDOWN(VLOOKUP(F49,INDATA_FILL_DEMAND!$E$4:$F$251,2,FALSE)*IF(E49&lt;2043,1+$N$8,1+$O$8),4),"")</f>
        <v>1.1184000000000001</v>
      </c>
    </row>
    <row r="50" spans="4:9" x14ac:dyDescent="0.3">
      <c r="D50" s="26" t="str">
        <f t="shared" si="3"/>
        <v>Demand</v>
      </c>
      <c r="E50" s="10">
        <f t="shared" si="2"/>
        <v>2023</v>
      </c>
      <c r="F50" s="25" t="str">
        <f>INDATA_FILL_DEMAND!E49</f>
        <v>ROHSB</v>
      </c>
      <c r="I50" s="29">
        <f>IFERROR(ROUNDDOWN(VLOOKUP(F50,INDATA_FILL_DEMAND!$E$4:$F$251,2,FALSE)*IF(E50&lt;2043,1+$N$8,1+$O$8),4),"")</f>
        <v>4.4226999999999999</v>
      </c>
    </row>
    <row r="51" spans="4:9" x14ac:dyDescent="0.3">
      <c r="D51" s="26" t="str">
        <f t="shared" si="3"/>
        <v>Demand</v>
      </c>
      <c r="E51" s="10">
        <f t="shared" si="2"/>
        <v>2023</v>
      </c>
      <c r="F51" s="25" t="str">
        <f>INDATA_FILL_DEMAND!E50</f>
        <v>ROHSC</v>
      </c>
      <c r="I51" s="29">
        <f>IFERROR(ROUNDDOWN(VLOOKUP(F51,INDATA_FILL_DEMAND!$E$4:$F$251,2,FALSE)*IF(E51&lt;2043,1+$N$8,1+$O$8),4),"")</f>
        <v>25.967600000000001</v>
      </c>
    </row>
    <row r="52" spans="4:9" x14ac:dyDescent="0.3">
      <c r="D52" s="26" t="str">
        <f t="shared" si="3"/>
        <v>Demand</v>
      </c>
      <c r="E52" s="10">
        <f t="shared" si="2"/>
        <v>2023</v>
      </c>
      <c r="F52" s="25" t="str">
        <f>INDATA_FILL_DEMAND!E51</f>
        <v>ROHSE</v>
      </c>
      <c r="I52" s="29">
        <f>IFERROR(ROUNDDOWN(VLOOKUP(F52,INDATA_FILL_DEMAND!$E$4:$F$251,2,FALSE)*IF(E52&lt;2043,1+$N$8,1+$O$8),4),"")</f>
        <v>4.4922000000000004</v>
      </c>
    </row>
    <row r="53" spans="4:9" x14ac:dyDescent="0.3">
      <c r="D53" s="26" t="str">
        <f t="shared" si="3"/>
        <v>*</v>
      </c>
      <c r="E53" s="10">
        <f t="shared" si="2"/>
        <v>2023</v>
      </c>
      <c r="F53" s="25" t="str">
        <f>INDATA_FILL_DEMAND!E52</f>
        <v>REAPA</v>
      </c>
      <c r="I53" s="29">
        <f>IFERROR(ROUNDDOWN(VLOOKUP(F53,INDATA_FILL_DEMAND!$E$4:$F$251,2,FALSE)*IF(E53&lt;2043,1+$N$8,1+$O$8),4),"")</f>
        <v>0</v>
      </c>
    </row>
    <row r="54" spans="4:9" x14ac:dyDescent="0.3">
      <c r="D54" s="26" t="str">
        <f t="shared" si="3"/>
        <v>*</v>
      </c>
      <c r="E54" s="10">
        <f t="shared" si="2"/>
        <v>2023</v>
      </c>
      <c r="F54" s="25" t="str">
        <f>INDATA_FILL_DEMAND!E53</f>
        <v>REAPB</v>
      </c>
      <c r="I54" s="29">
        <f>IFERROR(ROUNDDOWN(VLOOKUP(F54,INDATA_FILL_DEMAND!$E$4:$F$251,2,FALSE)*IF(E54&lt;2043,1+$N$8,1+$O$8),4),"")</f>
        <v>0</v>
      </c>
    </row>
    <row r="55" spans="4:9" x14ac:dyDescent="0.3">
      <c r="D55" s="26" t="str">
        <f t="shared" si="3"/>
        <v>*</v>
      </c>
      <c r="E55" s="10">
        <f t="shared" si="2"/>
        <v>2023</v>
      </c>
      <c r="F55" s="25" t="str">
        <f>INDATA_FILL_DEMAND!E54</f>
        <v>REAPC</v>
      </c>
      <c r="I55" s="29">
        <f>IFERROR(ROUNDDOWN(VLOOKUP(F55,INDATA_FILL_DEMAND!$E$4:$F$251,2,FALSE)*IF(E55&lt;2043,1+$N$8,1+$O$8),4),"")</f>
        <v>0</v>
      </c>
    </row>
    <row r="56" spans="4:9" x14ac:dyDescent="0.3">
      <c r="D56" s="26" t="str">
        <f t="shared" si="3"/>
        <v>*</v>
      </c>
      <c r="E56" s="10">
        <f t="shared" si="2"/>
        <v>2023</v>
      </c>
      <c r="F56" s="25" t="str">
        <f>INDATA_FILL_DEMAND!E55</f>
        <v>REAPE</v>
      </c>
      <c r="I56" s="29">
        <f>IFERROR(ROUNDDOWN(VLOOKUP(F56,INDATA_FILL_DEMAND!$E$4:$F$251,2,FALSE)*IF(E56&lt;2043,1+$N$8,1+$O$8),4),"")</f>
        <v>0</v>
      </c>
    </row>
    <row r="57" spans="4:9" x14ac:dyDescent="0.3">
      <c r="D57" s="26" t="str">
        <f t="shared" si="3"/>
        <v>*</v>
      </c>
      <c r="E57" s="10">
        <f t="shared" si="2"/>
        <v>2023</v>
      </c>
      <c r="F57" s="25" t="str">
        <f>INDATA_FILL_DEMAND!E56</f>
        <v>REHSA</v>
      </c>
      <c r="I57" s="29">
        <f>IFERROR(ROUNDDOWN(VLOOKUP(F57,INDATA_FILL_DEMAND!$E$4:$F$251,2,FALSE)*IF(E57&lt;2043,1+$N$8,1+$O$8),4),"")</f>
        <v>0</v>
      </c>
    </row>
    <row r="58" spans="4:9" x14ac:dyDescent="0.3">
      <c r="D58" s="26" t="str">
        <f t="shared" si="3"/>
        <v>*</v>
      </c>
      <c r="E58" s="10">
        <f t="shared" si="2"/>
        <v>2023</v>
      </c>
      <c r="F58" s="25" t="str">
        <f>INDATA_FILL_DEMAND!E57</f>
        <v>REHSB</v>
      </c>
      <c r="I58" s="29">
        <f>IFERROR(ROUNDDOWN(VLOOKUP(F58,INDATA_FILL_DEMAND!$E$4:$F$251,2,FALSE)*IF(E58&lt;2043,1+$N$8,1+$O$8),4),"")</f>
        <v>0</v>
      </c>
    </row>
    <row r="59" spans="4:9" x14ac:dyDescent="0.3">
      <c r="D59" s="26" t="str">
        <f t="shared" si="3"/>
        <v>*</v>
      </c>
      <c r="E59" s="10">
        <f t="shared" si="2"/>
        <v>2023</v>
      </c>
      <c r="F59" s="25" t="str">
        <f>INDATA_FILL_DEMAND!E58</f>
        <v>REHSC</v>
      </c>
      <c r="I59" s="29">
        <f>IFERROR(ROUNDDOWN(VLOOKUP(F59,INDATA_FILL_DEMAND!$E$4:$F$251,2,FALSE)*IF(E59&lt;2043,1+$N$8,1+$O$8),4),"")</f>
        <v>0</v>
      </c>
    </row>
    <row r="60" spans="4:9" x14ac:dyDescent="0.3">
      <c r="D60" s="26" t="str">
        <f t="shared" si="3"/>
        <v>*</v>
      </c>
      <c r="E60" s="10">
        <f t="shared" si="2"/>
        <v>2023</v>
      </c>
      <c r="F60" s="25" t="str">
        <f>INDATA_FILL_DEMAND!E59</f>
        <v>REHSE</v>
      </c>
      <c r="I60" s="29">
        <f>IFERROR(ROUNDDOWN(VLOOKUP(F60,INDATA_FILL_DEMAND!$E$4:$F$251,2,FALSE)*IF(E60&lt;2043,1+$N$8,1+$O$8),4),"")</f>
        <v>0</v>
      </c>
    </row>
    <row r="61" spans="4:9" x14ac:dyDescent="0.3">
      <c r="D61" s="26" t="str">
        <f t="shared" si="3"/>
        <v>Demand</v>
      </c>
      <c r="E61" s="10">
        <f t="shared" si="2"/>
        <v>2023</v>
      </c>
      <c r="F61" s="25" t="str">
        <f>INDATA_FILL_DEMAND!E60</f>
        <v>CHCUL</v>
      </c>
      <c r="I61" s="29">
        <f>IFERROR(ROUNDDOWN(VLOOKUP(F61,INDATA_FILL_DEMAND!$E$4:$F$251,2,FALSE)*IF(E61&lt;2043,1+$N$8,1+$O$8),4),"")</f>
        <v>13.619899999999999</v>
      </c>
    </row>
    <row r="62" spans="4:9" x14ac:dyDescent="0.3">
      <c r="D62" s="26" t="str">
        <f t="shared" si="3"/>
        <v>Demand</v>
      </c>
      <c r="E62" s="10">
        <f t="shared" si="2"/>
        <v>2023</v>
      </c>
      <c r="F62" s="25" t="str">
        <f>INDATA_FILL_DEMAND!E61</f>
        <v>CHEDU</v>
      </c>
      <c r="I62" s="29">
        <f>IFERROR(ROUNDDOWN(VLOOKUP(F62,INDATA_FILL_DEMAND!$E$4:$F$251,2,FALSE)*IF(E62&lt;2043,1+$N$8,1+$O$8),4),"")</f>
        <v>32.6995</v>
      </c>
    </row>
    <row r="63" spans="4:9" x14ac:dyDescent="0.3">
      <c r="D63" s="26" t="str">
        <f t="shared" si="3"/>
        <v>Demand</v>
      </c>
      <c r="E63" s="10">
        <f t="shared" si="2"/>
        <v>2023</v>
      </c>
      <c r="F63" s="25" t="str">
        <f>INDATA_FILL_DEMAND!E62</f>
        <v>CHHLT</v>
      </c>
      <c r="I63" s="29">
        <f>IFERROR(ROUNDDOWN(VLOOKUP(F63,INDATA_FILL_DEMAND!$E$4:$F$251,2,FALSE)*IF(E63&lt;2043,1+$N$8,1+$O$8),4),"")</f>
        <v>2.4565999999999999</v>
      </c>
    </row>
    <row r="64" spans="4:9" x14ac:dyDescent="0.3">
      <c r="D64" s="26" t="str">
        <f t="shared" si="3"/>
        <v>Demand</v>
      </c>
      <c r="E64" s="10">
        <f t="shared" si="2"/>
        <v>2023</v>
      </c>
      <c r="F64" s="25" t="str">
        <f>INDATA_FILL_DEMAND!E63</f>
        <v>CHOFF</v>
      </c>
      <c r="I64" s="29">
        <f>IFERROR(ROUNDDOWN(VLOOKUP(F64,INDATA_FILL_DEMAND!$E$4:$F$251,2,FALSE)*IF(E64&lt;2043,1+$N$8,1+$O$8),4),"")</f>
        <v>3.4862000000000002</v>
      </c>
    </row>
    <row r="65" spans="4:9" x14ac:dyDescent="0.3">
      <c r="D65" s="26" t="str">
        <f t="shared" si="3"/>
        <v>Demand</v>
      </c>
      <c r="E65" s="10">
        <f t="shared" si="2"/>
        <v>2023</v>
      </c>
      <c r="F65" s="25" t="str">
        <f>INDATA_FILL_DEMAND!E64</f>
        <v>CHOTH</v>
      </c>
      <c r="I65" s="29">
        <f>IFERROR(ROUNDDOWN(VLOOKUP(F65,INDATA_FILL_DEMAND!$E$4:$F$251,2,FALSE)*IF(E65&lt;2043,1+$N$8,1+$O$8),4),"")</f>
        <v>20.754999999999999</v>
      </c>
    </row>
    <row r="66" spans="4:9" x14ac:dyDescent="0.3">
      <c r="D66" s="26" t="str">
        <f t="shared" si="3"/>
        <v>Demand</v>
      </c>
      <c r="E66" s="10">
        <f t="shared" si="2"/>
        <v>2023</v>
      </c>
      <c r="F66" s="25" t="str">
        <f>INDATA_FILL_DEMAND!E65</f>
        <v>CHRET</v>
      </c>
      <c r="I66" s="29">
        <f>IFERROR(ROUNDDOWN(VLOOKUP(F66,INDATA_FILL_DEMAND!$E$4:$F$251,2,FALSE)*IF(E66&lt;2043,1+$N$8,1+$O$8),4),"")</f>
        <v>4.2991000000000001</v>
      </c>
    </row>
    <row r="67" spans="4:9" x14ac:dyDescent="0.3">
      <c r="D67" s="26" t="str">
        <f t="shared" si="3"/>
        <v>Demand</v>
      </c>
      <c r="E67" s="10">
        <f t="shared" si="2"/>
        <v>2023</v>
      </c>
      <c r="F67" s="25" t="str">
        <f>INDATA_FILL_DEMAND!E66</f>
        <v>CHSPO</v>
      </c>
      <c r="I67" s="29">
        <f>IFERROR(ROUNDDOWN(VLOOKUP(F67,INDATA_FILL_DEMAND!$E$4:$F$251,2,FALSE)*IF(E67&lt;2043,1+$N$8,1+$O$8),4),"")</f>
        <v>9.2213999999999992</v>
      </c>
    </row>
    <row r="68" spans="4:9" x14ac:dyDescent="0.3">
      <c r="D68" s="26" t="str">
        <f t="shared" si="3"/>
        <v>Demand</v>
      </c>
      <c r="E68" s="10">
        <f t="shared" si="2"/>
        <v>2023</v>
      </c>
      <c r="F68" s="25" t="str">
        <f>INDATA_FILL_DEMAND!E67</f>
        <v>CHTUR</v>
      </c>
      <c r="I68" s="29">
        <f>IFERROR(ROUNDDOWN(VLOOKUP(F68,INDATA_FILL_DEMAND!$E$4:$F$251,2,FALSE)*IF(E68&lt;2043,1+$N$8,1+$O$8),4),"")</f>
        <v>2.6192000000000002</v>
      </c>
    </row>
    <row r="69" spans="4:9" x14ac:dyDescent="0.3">
      <c r="D69" s="26" t="str">
        <f t="shared" si="3"/>
        <v>*</v>
      </c>
      <c r="E69" s="10">
        <f t="shared" si="2"/>
        <v>2023</v>
      </c>
      <c r="F69" s="25" t="str">
        <f>INDATA_FILL_DEMAND!E68</f>
        <v>CCCUL</v>
      </c>
      <c r="I69" s="29">
        <f>IFERROR(ROUNDDOWN(VLOOKUP(F69,INDATA_FILL_DEMAND!$E$4:$F$251,2,FALSE)*IF(E69&lt;2043,1+$N$8,1+$O$8),4),"")</f>
        <v>0</v>
      </c>
    </row>
    <row r="70" spans="4:9" x14ac:dyDescent="0.3">
      <c r="D70" s="26" t="str">
        <f t="shared" si="3"/>
        <v>*</v>
      </c>
      <c r="E70" s="10">
        <f t="shared" si="2"/>
        <v>2023</v>
      </c>
      <c r="F70" s="25" t="str">
        <f>INDATA_FILL_DEMAND!E69</f>
        <v>CCEDU</v>
      </c>
      <c r="I70" s="29">
        <f>IFERROR(ROUNDDOWN(VLOOKUP(F70,INDATA_FILL_DEMAND!$E$4:$F$251,2,FALSE)*IF(E70&lt;2043,1+$N$8,1+$O$8),4),"")</f>
        <v>0</v>
      </c>
    </row>
    <row r="71" spans="4:9" x14ac:dyDescent="0.3">
      <c r="D71" s="26" t="str">
        <f t="shared" si="3"/>
        <v>*</v>
      </c>
      <c r="E71" s="10">
        <f t="shared" ref="E71:E134" si="4">E70</f>
        <v>2023</v>
      </c>
      <c r="F71" s="25" t="str">
        <f>INDATA_FILL_DEMAND!E70</f>
        <v>CCHLT</v>
      </c>
      <c r="I71" s="29">
        <f>IFERROR(ROUNDDOWN(VLOOKUP(F71,INDATA_FILL_DEMAND!$E$4:$F$251,2,FALSE)*IF(E71&lt;2043,1+$N$8,1+$O$8),4),"")</f>
        <v>0</v>
      </c>
    </row>
    <row r="72" spans="4:9" x14ac:dyDescent="0.3">
      <c r="D72" s="26" t="str">
        <f t="shared" si="3"/>
        <v>*</v>
      </c>
      <c r="E72" s="10">
        <f t="shared" si="4"/>
        <v>2023</v>
      </c>
      <c r="F72" s="25" t="str">
        <f>INDATA_FILL_DEMAND!E71</f>
        <v>CCOFF</v>
      </c>
      <c r="I72" s="29">
        <f>IFERROR(ROUNDDOWN(VLOOKUP(F72,INDATA_FILL_DEMAND!$E$4:$F$251,2,FALSE)*IF(E72&lt;2043,1+$N$8,1+$O$8),4),"")</f>
        <v>0</v>
      </c>
    </row>
    <row r="73" spans="4:9" x14ac:dyDescent="0.3">
      <c r="D73" s="26" t="str">
        <f t="shared" si="3"/>
        <v>*</v>
      </c>
      <c r="E73" s="10">
        <f t="shared" si="4"/>
        <v>2023</v>
      </c>
      <c r="F73" s="25" t="str">
        <f>INDATA_FILL_DEMAND!E72</f>
        <v>CCOTH</v>
      </c>
      <c r="I73" s="29">
        <f>IFERROR(ROUNDDOWN(VLOOKUP(F73,INDATA_FILL_DEMAND!$E$4:$F$251,2,FALSE)*IF(E73&lt;2043,1+$N$8,1+$O$8),4),"")</f>
        <v>0</v>
      </c>
    </row>
    <row r="74" spans="4:9" x14ac:dyDescent="0.3">
      <c r="D74" s="26" t="str">
        <f t="shared" si="3"/>
        <v>*</v>
      </c>
      <c r="E74" s="10">
        <f t="shared" si="4"/>
        <v>2023</v>
      </c>
      <c r="F74" s="25" t="str">
        <f>INDATA_FILL_DEMAND!E73</f>
        <v>CCRET</v>
      </c>
      <c r="I74" s="29">
        <f>IFERROR(ROUNDDOWN(VLOOKUP(F74,INDATA_FILL_DEMAND!$E$4:$F$251,2,FALSE)*IF(E74&lt;2043,1+$N$8,1+$O$8),4),"")</f>
        <v>0</v>
      </c>
    </row>
    <row r="75" spans="4:9" x14ac:dyDescent="0.3">
      <c r="D75" s="26" t="str">
        <f t="shared" si="3"/>
        <v>*</v>
      </c>
      <c r="E75" s="10">
        <f t="shared" si="4"/>
        <v>2023</v>
      </c>
      <c r="F75" s="25" t="str">
        <f>INDATA_FILL_DEMAND!E74</f>
        <v>CCSPO</v>
      </c>
      <c r="I75" s="29">
        <f>IFERROR(ROUNDDOWN(VLOOKUP(F75,INDATA_FILL_DEMAND!$E$4:$F$251,2,FALSE)*IF(E75&lt;2043,1+$N$8,1+$O$8),4),"")</f>
        <v>0</v>
      </c>
    </row>
    <row r="76" spans="4:9" x14ac:dyDescent="0.3">
      <c r="D76" s="26" t="str">
        <f t="shared" si="3"/>
        <v>*</v>
      </c>
      <c r="E76" s="10">
        <f t="shared" si="4"/>
        <v>2023</v>
      </c>
      <c r="F76" s="25" t="str">
        <f>INDATA_FILL_DEMAND!E75</f>
        <v>CCTUR</v>
      </c>
      <c r="I76" s="29">
        <f>IFERROR(ROUNDDOWN(VLOOKUP(F76,INDATA_FILL_DEMAND!$E$4:$F$251,2,FALSE)*IF(E76&lt;2043,1+$N$8,1+$O$8),4),"")</f>
        <v>0</v>
      </c>
    </row>
    <row r="77" spans="4:9" x14ac:dyDescent="0.3">
      <c r="D77" s="26" t="str">
        <f t="shared" si="3"/>
        <v>Demand</v>
      </c>
      <c r="E77" s="10">
        <f t="shared" si="4"/>
        <v>2023</v>
      </c>
      <c r="F77" s="25" t="str">
        <f>INDATA_FILL_DEMAND!E76</f>
        <v>CWCUL</v>
      </c>
      <c r="I77" s="29">
        <f>IFERROR(ROUNDDOWN(VLOOKUP(F77,INDATA_FILL_DEMAND!$E$4:$F$251,2,FALSE)*IF(E77&lt;2043,1+$N$8,1+$O$8),4),"")</f>
        <v>3.2229999999999999</v>
      </c>
    </row>
    <row r="78" spans="4:9" x14ac:dyDescent="0.3">
      <c r="D78" s="26" t="str">
        <f t="shared" ref="D78:D141" si="5">IF(AND(ISNUMBER(I78),I78&gt;0),"Demand","*")</f>
        <v>Demand</v>
      </c>
      <c r="E78" s="10">
        <f t="shared" si="4"/>
        <v>2023</v>
      </c>
      <c r="F78" s="25" t="str">
        <f>INDATA_FILL_DEMAND!E77</f>
        <v>CWEDU</v>
      </c>
      <c r="I78" s="29">
        <f>IFERROR(ROUNDDOWN(VLOOKUP(F78,INDATA_FILL_DEMAND!$E$4:$F$251,2,FALSE)*IF(E78&lt;2043,1+$N$8,1+$O$8),4),"")</f>
        <v>7.7381000000000002</v>
      </c>
    </row>
    <row r="79" spans="4:9" x14ac:dyDescent="0.3">
      <c r="D79" s="26" t="str">
        <f t="shared" si="5"/>
        <v>Demand</v>
      </c>
      <c r="E79" s="10">
        <f t="shared" si="4"/>
        <v>2023</v>
      </c>
      <c r="F79" s="25" t="str">
        <f>INDATA_FILL_DEMAND!E78</f>
        <v>CWHLT</v>
      </c>
      <c r="I79" s="29">
        <f>IFERROR(ROUNDDOWN(VLOOKUP(F79,INDATA_FILL_DEMAND!$E$4:$F$251,2,FALSE)*IF(E79&lt;2043,1+$N$8,1+$O$8),4),"")</f>
        <v>0.58130000000000004</v>
      </c>
    </row>
    <row r="80" spans="4:9" x14ac:dyDescent="0.3">
      <c r="D80" s="26" t="str">
        <f t="shared" si="5"/>
        <v>Demand</v>
      </c>
      <c r="E80" s="10">
        <f t="shared" si="4"/>
        <v>2023</v>
      </c>
      <c r="F80" s="25" t="str">
        <f>INDATA_FILL_DEMAND!E79</f>
        <v>CWOFF</v>
      </c>
      <c r="I80" s="29">
        <f>IFERROR(ROUNDDOWN(VLOOKUP(F80,INDATA_FILL_DEMAND!$E$4:$F$251,2,FALSE)*IF(E80&lt;2043,1+$N$8,1+$O$8),4),"")</f>
        <v>0.82499999999999996</v>
      </c>
    </row>
    <row r="81" spans="4:9" x14ac:dyDescent="0.3">
      <c r="D81" s="26" t="str">
        <f t="shared" si="5"/>
        <v>Demand</v>
      </c>
      <c r="E81" s="10">
        <f t="shared" si="4"/>
        <v>2023</v>
      </c>
      <c r="F81" s="25" t="str">
        <f>INDATA_FILL_DEMAND!E80</f>
        <v>CWOTH</v>
      </c>
      <c r="I81" s="29">
        <f>IFERROR(ROUNDDOWN(VLOOKUP(F81,INDATA_FILL_DEMAND!$E$4:$F$251,2,FALSE)*IF(E81&lt;2043,1+$N$8,1+$O$8),4),"")</f>
        <v>4.9115000000000002</v>
      </c>
    </row>
    <row r="82" spans="4:9" x14ac:dyDescent="0.3">
      <c r="D82" s="26" t="str">
        <f t="shared" si="5"/>
        <v>Demand</v>
      </c>
      <c r="E82" s="10">
        <f t="shared" si="4"/>
        <v>2023</v>
      </c>
      <c r="F82" s="25" t="str">
        <f>INDATA_FILL_DEMAND!E81</f>
        <v>CWRET</v>
      </c>
      <c r="I82" s="29">
        <f>IFERROR(ROUNDDOWN(VLOOKUP(F82,INDATA_FILL_DEMAND!$E$4:$F$251,2,FALSE)*IF(E82&lt;2043,1+$N$8,1+$O$8),4),"")</f>
        <v>1.0173000000000001</v>
      </c>
    </row>
    <row r="83" spans="4:9" x14ac:dyDescent="0.3">
      <c r="D83" s="26" t="str">
        <f t="shared" si="5"/>
        <v>Demand</v>
      </c>
      <c r="E83" s="10">
        <f t="shared" si="4"/>
        <v>2023</v>
      </c>
      <c r="F83" s="25" t="str">
        <f>INDATA_FILL_DEMAND!E82</f>
        <v>CWSPO</v>
      </c>
      <c r="I83" s="29">
        <f>IFERROR(ROUNDDOWN(VLOOKUP(F83,INDATA_FILL_DEMAND!$E$4:$F$251,2,FALSE)*IF(E83&lt;2043,1+$N$8,1+$O$8),4),"")</f>
        <v>2.1821000000000002</v>
      </c>
    </row>
    <row r="84" spans="4:9" x14ac:dyDescent="0.3">
      <c r="D84" s="26" t="str">
        <f t="shared" si="5"/>
        <v>Demand</v>
      </c>
      <c r="E84" s="10">
        <f t="shared" si="4"/>
        <v>2023</v>
      </c>
      <c r="F84" s="25" t="str">
        <f>INDATA_FILL_DEMAND!E83</f>
        <v>CWTUR</v>
      </c>
      <c r="I84" s="29">
        <f>IFERROR(ROUNDDOWN(VLOOKUP(F84,INDATA_FILL_DEMAND!$E$4:$F$251,2,FALSE)*IF(E84&lt;2043,1+$N$8,1+$O$8),4),"")</f>
        <v>0.61980000000000002</v>
      </c>
    </row>
    <row r="85" spans="4:9" x14ac:dyDescent="0.3">
      <c r="D85" s="26" t="str">
        <f t="shared" si="5"/>
        <v>Demand</v>
      </c>
      <c r="E85" s="10">
        <f t="shared" si="4"/>
        <v>2023</v>
      </c>
      <c r="F85" s="25" t="str">
        <f>INDATA_FILL_DEMAND!E84</f>
        <v>CKCUL</v>
      </c>
      <c r="I85" s="29">
        <f>IFERROR(ROUNDDOWN(VLOOKUP(F85,INDATA_FILL_DEMAND!$E$4:$F$251,2,FALSE)*IF(E85&lt;2043,1+$N$8,1+$O$8),4),"")</f>
        <v>0.68610000000000004</v>
      </c>
    </row>
    <row r="86" spans="4:9" x14ac:dyDescent="0.3">
      <c r="D86" s="26" t="str">
        <f t="shared" si="5"/>
        <v>Demand</v>
      </c>
      <c r="E86" s="10">
        <f t="shared" si="4"/>
        <v>2023</v>
      </c>
      <c r="F86" s="25" t="str">
        <f>INDATA_FILL_DEMAND!E85</f>
        <v>CKEDU</v>
      </c>
      <c r="I86" s="29">
        <f>IFERROR(ROUNDDOWN(VLOOKUP(F86,INDATA_FILL_DEMAND!$E$4:$F$251,2,FALSE)*IF(E86&lt;2043,1+$N$8,1+$O$8),4),"")</f>
        <v>1.6473</v>
      </c>
    </row>
    <row r="87" spans="4:9" x14ac:dyDescent="0.3">
      <c r="D87" s="26" t="str">
        <f t="shared" si="5"/>
        <v>Demand</v>
      </c>
      <c r="E87" s="10">
        <f t="shared" si="4"/>
        <v>2023</v>
      </c>
      <c r="F87" s="25" t="str">
        <f>INDATA_FILL_DEMAND!E86</f>
        <v>CKHLT</v>
      </c>
      <c r="I87" s="29">
        <f>IFERROR(ROUNDDOWN(VLOOKUP(F87,INDATA_FILL_DEMAND!$E$4:$F$251,2,FALSE)*IF(E87&lt;2043,1+$N$8,1+$O$8),4),"")</f>
        <v>0.1237</v>
      </c>
    </row>
    <row r="88" spans="4:9" x14ac:dyDescent="0.3">
      <c r="D88" s="26" t="str">
        <f t="shared" si="5"/>
        <v>Demand</v>
      </c>
      <c r="E88" s="10">
        <f t="shared" si="4"/>
        <v>2023</v>
      </c>
      <c r="F88" s="25" t="str">
        <f>INDATA_FILL_DEMAND!E87</f>
        <v>CKOFF</v>
      </c>
      <c r="I88" s="29">
        <f>IFERROR(ROUNDDOWN(VLOOKUP(F88,INDATA_FILL_DEMAND!$E$4:$F$251,2,FALSE)*IF(E88&lt;2043,1+$N$8,1+$O$8),4),"")</f>
        <v>0.17560000000000001</v>
      </c>
    </row>
    <row r="89" spans="4:9" x14ac:dyDescent="0.3">
      <c r="D89" s="26" t="str">
        <f t="shared" si="5"/>
        <v>Demand</v>
      </c>
      <c r="E89" s="10">
        <f t="shared" si="4"/>
        <v>2023</v>
      </c>
      <c r="F89" s="25" t="str">
        <f>INDATA_FILL_DEMAND!E88</f>
        <v>CKOTH</v>
      </c>
      <c r="I89" s="29">
        <f>IFERROR(ROUNDDOWN(VLOOKUP(F89,INDATA_FILL_DEMAND!$E$4:$F$251,2,FALSE)*IF(E89&lt;2043,1+$N$8,1+$O$8),4),"")</f>
        <v>1.0456000000000001</v>
      </c>
    </row>
    <row r="90" spans="4:9" x14ac:dyDescent="0.3">
      <c r="D90" s="26" t="str">
        <f t="shared" si="5"/>
        <v>Demand</v>
      </c>
      <c r="E90" s="10">
        <f t="shared" si="4"/>
        <v>2023</v>
      </c>
      <c r="F90" s="25" t="str">
        <f>INDATA_FILL_DEMAND!E89</f>
        <v>CKRET</v>
      </c>
      <c r="I90" s="29">
        <f>IFERROR(ROUNDDOWN(VLOOKUP(F90,INDATA_FILL_DEMAND!$E$4:$F$251,2,FALSE)*IF(E90&lt;2043,1+$N$8,1+$O$8),4),"")</f>
        <v>0.2165</v>
      </c>
    </row>
    <row r="91" spans="4:9" x14ac:dyDescent="0.3">
      <c r="D91" s="26" t="str">
        <f t="shared" si="5"/>
        <v>Demand</v>
      </c>
      <c r="E91" s="10">
        <f t="shared" si="4"/>
        <v>2023</v>
      </c>
      <c r="F91" s="25" t="str">
        <f>INDATA_FILL_DEMAND!E90</f>
        <v>CKSPO</v>
      </c>
      <c r="I91" s="29">
        <f>IFERROR(ROUNDDOWN(VLOOKUP(F91,INDATA_FILL_DEMAND!$E$4:$F$251,2,FALSE)*IF(E91&lt;2043,1+$N$8,1+$O$8),4),"")</f>
        <v>0.46450000000000002</v>
      </c>
    </row>
    <row r="92" spans="4:9" x14ac:dyDescent="0.3">
      <c r="D92" s="26" t="str">
        <f t="shared" si="5"/>
        <v>Demand</v>
      </c>
      <c r="E92" s="10">
        <f t="shared" si="4"/>
        <v>2023</v>
      </c>
      <c r="F92" s="25" t="str">
        <f>INDATA_FILL_DEMAND!E91</f>
        <v>CKTUR</v>
      </c>
      <c r="I92" s="29">
        <f>IFERROR(ROUNDDOWN(VLOOKUP(F92,INDATA_FILL_DEMAND!$E$4:$F$251,2,FALSE)*IF(E92&lt;2043,1+$N$8,1+$O$8),4),"")</f>
        <v>0.13189999999999999</v>
      </c>
    </row>
    <row r="93" spans="4:9" x14ac:dyDescent="0.3">
      <c r="D93" s="26" t="str">
        <f t="shared" si="5"/>
        <v>Demand</v>
      </c>
      <c r="E93" s="10">
        <f t="shared" si="4"/>
        <v>2023</v>
      </c>
      <c r="F93" s="25" t="str">
        <f>INDATA_FILL_DEMAND!E92</f>
        <v>CLCUL</v>
      </c>
      <c r="I93" s="29">
        <f>IFERROR(ROUNDDOWN(VLOOKUP(F93,INDATA_FILL_DEMAND!$E$4:$F$251,2,FALSE)*IF(E93&lt;2043,1+$N$8,1+$O$8),4),"")</f>
        <v>0.90800000000000003</v>
      </c>
    </row>
    <row r="94" spans="4:9" x14ac:dyDescent="0.3">
      <c r="D94" s="26" t="str">
        <f t="shared" si="5"/>
        <v>Demand</v>
      </c>
      <c r="E94" s="10">
        <f t="shared" si="4"/>
        <v>2023</v>
      </c>
      <c r="F94" s="25" t="str">
        <f>INDATA_FILL_DEMAND!E93</f>
        <v>CLEDU</v>
      </c>
      <c r="I94" s="29">
        <f>IFERROR(ROUNDDOWN(VLOOKUP(F94,INDATA_FILL_DEMAND!$E$4:$F$251,2,FALSE)*IF(E94&lt;2043,1+$N$8,1+$O$8),4),"")</f>
        <v>2.1800999999999999</v>
      </c>
    </row>
    <row r="95" spans="4:9" x14ac:dyDescent="0.3">
      <c r="D95" s="26" t="str">
        <f t="shared" si="5"/>
        <v>Demand</v>
      </c>
      <c r="E95" s="10">
        <f t="shared" si="4"/>
        <v>2023</v>
      </c>
      <c r="F95" s="25" t="str">
        <f>INDATA_FILL_DEMAND!E94</f>
        <v>CLHLT</v>
      </c>
      <c r="I95" s="29">
        <f>IFERROR(ROUNDDOWN(VLOOKUP(F95,INDATA_FILL_DEMAND!$E$4:$F$251,2,FALSE)*IF(E95&lt;2043,1+$N$8,1+$O$8),4),"")</f>
        <v>0.16370000000000001</v>
      </c>
    </row>
    <row r="96" spans="4:9" x14ac:dyDescent="0.3">
      <c r="D96" s="26" t="str">
        <f t="shared" si="5"/>
        <v>Demand</v>
      </c>
      <c r="E96" s="10">
        <f t="shared" si="4"/>
        <v>2023</v>
      </c>
      <c r="F96" s="25" t="str">
        <f>INDATA_FILL_DEMAND!E95</f>
        <v>CLOFF</v>
      </c>
      <c r="I96" s="29">
        <f>IFERROR(ROUNDDOWN(VLOOKUP(F96,INDATA_FILL_DEMAND!$E$4:$F$251,2,FALSE)*IF(E96&lt;2043,1+$N$8,1+$O$8),4),"")</f>
        <v>0.2324</v>
      </c>
    </row>
    <row r="97" spans="4:9" x14ac:dyDescent="0.3">
      <c r="D97" s="26" t="str">
        <f t="shared" si="5"/>
        <v>Demand</v>
      </c>
      <c r="E97" s="10">
        <f t="shared" si="4"/>
        <v>2023</v>
      </c>
      <c r="F97" s="25" t="str">
        <f>INDATA_FILL_DEMAND!E96</f>
        <v>CLOTH</v>
      </c>
      <c r="I97" s="29">
        <f>IFERROR(ROUNDDOWN(VLOOKUP(F97,INDATA_FILL_DEMAND!$E$4:$F$251,2,FALSE)*IF(E97&lt;2043,1+$N$8,1+$O$8),4),"")</f>
        <v>1.3836999999999999</v>
      </c>
    </row>
    <row r="98" spans="4:9" x14ac:dyDescent="0.3">
      <c r="D98" s="26" t="str">
        <f t="shared" si="5"/>
        <v>Demand</v>
      </c>
      <c r="E98" s="10">
        <f t="shared" si="4"/>
        <v>2023</v>
      </c>
      <c r="F98" s="25" t="str">
        <f>INDATA_FILL_DEMAND!E97</f>
        <v>CLRET</v>
      </c>
      <c r="I98" s="29">
        <f>IFERROR(ROUNDDOWN(VLOOKUP(F98,INDATA_FILL_DEMAND!$E$4:$F$251,2,FALSE)*IF(E98&lt;2043,1+$N$8,1+$O$8),4),"")</f>
        <v>0.28660000000000002</v>
      </c>
    </row>
    <row r="99" spans="4:9" x14ac:dyDescent="0.3">
      <c r="D99" s="26" t="str">
        <f t="shared" si="5"/>
        <v>Demand</v>
      </c>
      <c r="E99" s="10">
        <f t="shared" si="4"/>
        <v>2023</v>
      </c>
      <c r="F99" s="25" t="str">
        <f>INDATA_FILL_DEMAND!E98</f>
        <v>CLSPO</v>
      </c>
      <c r="I99" s="29">
        <f>IFERROR(ROUNDDOWN(VLOOKUP(F99,INDATA_FILL_DEMAND!$E$4:$F$251,2,FALSE)*IF(E99&lt;2043,1+$N$8,1+$O$8),4),"")</f>
        <v>0.61480000000000001</v>
      </c>
    </row>
    <row r="100" spans="4:9" x14ac:dyDescent="0.3">
      <c r="D100" s="26" t="str">
        <f t="shared" si="5"/>
        <v>Demand</v>
      </c>
      <c r="E100" s="10">
        <f t="shared" si="4"/>
        <v>2023</v>
      </c>
      <c r="F100" s="25" t="str">
        <f>INDATA_FILL_DEMAND!E99</f>
        <v>CLTUR</v>
      </c>
      <c r="I100" s="29">
        <f>IFERROR(ROUNDDOWN(VLOOKUP(F100,INDATA_FILL_DEMAND!$E$4:$F$251,2,FALSE)*IF(E100&lt;2043,1+$N$8,1+$O$8),4),"")</f>
        <v>0.17460000000000001</v>
      </c>
    </row>
    <row r="101" spans="4:9" x14ac:dyDescent="0.3">
      <c r="D101" s="26" t="str">
        <f t="shared" si="5"/>
        <v>Demand</v>
      </c>
      <c r="E101" s="10">
        <f t="shared" si="4"/>
        <v>2023</v>
      </c>
      <c r="F101" s="25" t="str">
        <f>INDATA_FILL_DEMAND!E100</f>
        <v>COCUL</v>
      </c>
      <c r="I101" s="29">
        <f>IFERROR(ROUNDDOWN(VLOOKUP(F101,INDATA_FILL_DEMAND!$E$4:$F$251,2,FALSE)*IF(E101&lt;2043,1+$N$8,1+$O$8),4),"")</f>
        <v>4.3029999999999999</v>
      </c>
    </row>
    <row r="102" spans="4:9" x14ac:dyDescent="0.3">
      <c r="D102" s="26" t="str">
        <f t="shared" si="5"/>
        <v>Demand</v>
      </c>
      <c r="E102" s="10">
        <f t="shared" si="4"/>
        <v>2023</v>
      </c>
      <c r="F102" s="25" t="str">
        <f>INDATA_FILL_DEMAND!E101</f>
        <v>COEDU</v>
      </c>
      <c r="I102" s="29">
        <f>IFERROR(ROUNDDOWN(VLOOKUP(F102,INDATA_FILL_DEMAND!$E$4:$F$251,2,FALSE)*IF(E102&lt;2043,1+$N$8,1+$O$8),4),"")</f>
        <v>10.331</v>
      </c>
    </row>
    <row r="103" spans="4:9" x14ac:dyDescent="0.3">
      <c r="D103" s="26" t="str">
        <f t="shared" si="5"/>
        <v>Demand</v>
      </c>
      <c r="E103" s="10">
        <f t="shared" si="4"/>
        <v>2023</v>
      </c>
      <c r="F103" s="25" t="str">
        <f>INDATA_FILL_DEMAND!E102</f>
        <v>COHLT</v>
      </c>
      <c r="I103" s="29">
        <f>IFERROR(ROUNDDOWN(VLOOKUP(F103,INDATA_FILL_DEMAND!$E$4:$F$251,2,FALSE)*IF(E103&lt;2043,1+$N$8,1+$O$8),4),"")</f>
        <v>0.77610000000000001</v>
      </c>
    </row>
    <row r="104" spans="4:9" x14ac:dyDescent="0.3">
      <c r="D104" s="26" t="str">
        <f t="shared" si="5"/>
        <v>Demand</v>
      </c>
      <c r="E104" s="10">
        <f t="shared" si="4"/>
        <v>2023</v>
      </c>
      <c r="F104" s="25" t="str">
        <f>INDATA_FILL_DEMAND!E103</f>
        <v>COOFF</v>
      </c>
      <c r="I104" s="29">
        <f>IFERROR(ROUNDDOWN(VLOOKUP(F104,INDATA_FILL_DEMAND!$E$4:$F$251,2,FALSE)*IF(E104&lt;2043,1+$N$8,1+$O$8),4),"")</f>
        <v>1.1013999999999999</v>
      </c>
    </row>
    <row r="105" spans="4:9" x14ac:dyDescent="0.3">
      <c r="D105" s="26" t="str">
        <f t="shared" si="5"/>
        <v>Demand</v>
      </c>
      <c r="E105" s="10">
        <f t="shared" si="4"/>
        <v>2023</v>
      </c>
      <c r="F105" s="25" t="str">
        <f>INDATA_FILL_DEMAND!E104</f>
        <v>COOTH</v>
      </c>
      <c r="I105" s="29">
        <f>IFERROR(ROUNDDOWN(VLOOKUP(F105,INDATA_FILL_DEMAND!$E$4:$F$251,2,FALSE)*IF(E105&lt;2043,1+$N$8,1+$O$8),4),"")</f>
        <v>6.5572999999999997</v>
      </c>
    </row>
    <row r="106" spans="4:9" x14ac:dyDescent="0.3">
      <c r="D106" s="26" t="str">
        <f t="shared" si="5"/>
        <v>Demand</v>
      </c>
      <c r="E106" s="10">
        <f t="shared" si="4"/>
        <v>2023</v>
      </c>
      <c r="F106" s="25" t="str">
        <f>INDATA_FILL_DEMAND!E105</f>
        <v>CORET</v>
      </c>
      <c r="I106" s="29">
        <f>IFERROR(ROUNDDOWN(VLOOKUP(F106,INDATA_FILL_DEMAND!$E$4:$F$251,2,FALSE)*IF(E106&lt;2043,1+$N$8,1+$O$8),4),"")</f>
        <v>1.3582000000000001</v>
      </c>
    </row>
    <row r="107" spans="4:9" x14ac:dyDescent="0.3">
      <c r="D107" s="26" t="str">
        <f t="shared" si="5"/>
        <v>Demand</v>
      </c>
      <c r="E107" s="10">
        <f t="shared" si="4"/>
        <v>2023</v>
      </c>
      <c r="F107" s="25" t="str">
        <f>INDATA_FILL_DEMAND!E106</f>
        <v>COSPO</v>
      </c>
      <c r="I107" s="29">
        <f>IFERROR(ROUNDDOWN(VLOOKUP(F107,INDATA_FILL_DEMAND!$E$4:$F$251,2,FALSE)*IF(E107&lt;2043,1+$N$8,1+$O$8),4),"")</f>
        <v>2.9134000000000002</v>
      </c>
    </row>
    <row r="108" spans="4:9" x14ac:dyDescent="0.3">
      <c r="D108" s="26" t="str">
        <f t="shared" si="5"/>
        <v>Demand</v>
      </c>
      <c r="E108" s="10">
        <f t="shared" si="4"/>
        <v>2023</v>
      </c>
      <c r="F108" s="25" t="str">
        <f>INDATA_FILL_DEMAND!E107</f>
        <v>COTUR</v>
      </c>
      <c r="I108" s="29">
        <f>IFERROR(ROUNDDOWN(VLOOKUP(F108,INDATA_FILL_DEMAND!$E$4:$F$251,2,FALSE)*IF(E108&lt;2043,1+$N$8,1+$O$8),4),"")</f>
        <v>0.82750000000000001</v>
      </c>
    </row>
    <row r="109" spans="4:9" x14ac:dyDescent="0.3">
      <c r="D109" s="26" t="str">
        <f t="shared" si="5"/>
        <v>*</v>
      </c>
      <c r="E109" s="10">
        <f t="shared" si="4"/>
        <v>2023</v>
      </c>
      <c r="F109" s="25" t="str">
        <f>INDATA_FILL_DEMAND!E108</f>
        <v>CECUL</v>
      </c>
      <c r="I109" s="29">
        <f>IFERROR(ROUNDDOWN(VLOOKUP(F109,INDATA_FILL_DEMAND!$E$4:$F$251,2,FALSE)*IF(E109&lt;2043,1+$N$8,1+$O$8),4),"")</f>
        <v>0</v>
      </c>
    </row>
    <row r="110" spans="4:9" x14ac:dyDescent="0.3">
      <c r="D110" s="26" t="str">
        <f t="shared" si="5"/>
        <v>*</v>
      </c>
      <c r="E110" s="10">
        <f t="shared" si="4"/>
        <v>2023</v>
      </c>
      <c r="F110" s="25" t="str">
        <f>INDATA_FILL_DEMAND!E109</f>
        <v>CEEDU</v>
      </c>
      <c r="I110" s="29">
        <f>IFERROR(ROUNDDOWN(VLOOKUP(F110,INDATA_FILL_DEMAND!$E$4:$F$251,2,FALSE)*IF(E110&lt;2043,1+$N$8,1+$O$8),4),"")</f>
        <v>0</v>
      </c>
    </row>
    <row r="111" spans="4:9" x14ac:dyDescent="0.3">
      <c r="D111" s="26" t="str">
        <f t="shared" si="5"/>
        <v>*</v>
      </c>
      <c r="E111" s="10">
        <f t="shared" si="4"/>
        <v>2023</v>
      </c>
      <c r="F111" s="25" t="str">
        <f>INDATA_FILL_DEMAND!E110</f>
        <v>CEHLT</v>
      </c>
      <c r="I111" s="29">
        <f>IFERROR(ROUNDDOWN(VLOOKUP(F111,INDATA_FILL_DEMAND!$E$4:$F$251,2,FALSE)*IF(E111&lt;2043,1+$N$8,1+$O$8),4),"")</f>
        <v>0</v>
      </c>
    </row>
    <row r="112" spans="4:9" x14ac:dyDescent="0.3">
      <c r="D112" s="26" t="str">
        <f t="shared" si="5"/>
        <v>*</v>
      </c>
      <c r="E112" s="10">
        <f t="shared" si="4"/>
        <v>2023</v>
      </c>
      <c r="F112" s="25" t="str">
        <f>INDATA_FILL_DEMAND!E111</f>
        <v>CEOFF</v>
      </c>
      <c r="I112" s="29">
        <f>IFERROR(ROUNDDOWN(VLOOKUP(F112,INDATA_FILL_DEMAND!$E$4:$F$251,2,FALSE)*IF(E112&lt;2043,1+$N$8,1+$O$8),4),"")</f>
        <v>0</v>
      </c>
    </row>
    <row r="113" spans="4:9" x14ac:dyDescent="0.3">
      <c r="D113" s="26" t="str">
        <f t="shared" si="5"/>
        <v>*</v>
      </c>
      <c r="E113" s="10">
        <f t="shared" si="4"/>
        <v>2023</v>
      </c>
      <c r="F113" s="25" t="str">
        <f>INDATA_FILL_DEMAND!E112</f>
        <v>CEOTH</v>
      </c>
      <c r="I113" s="29">
        <f>IFERROR(ROUNDDOWN(VLOOKUP(F113,INDATA_FILL_DEMAND!$E$4:$F$251,2,FALSE)*IF(E113&lt;2043,1+$N$8,1+$O$8),4),"")</f>
        <v>0</v>
      </c>
    </row>
    <row r="114" spans="4:9" x14ac:dyDescent="0.3">
      <c r="D114" s="26" t="str">
        <f t="shared" si="5"/>
        <v>*</v>
      </c>
      <c r="E114" s="10">
        <f t="shared" si="4"/>
        <v>2023</v>
      </c>
      <c r="F114" s="25" t="str">
        <f>INDATA_FILL_DEMAND!E113</f>
        <v>CERET</v>
      </c>
      <c r="I114" s="29">
        <f>IFERROR(ROUNDDOWN(VLOOKUP(F114,INDATA_FILL_DEMAND!$E$4:$F$251,2,FALSE)*IF(E114&lt;2043,1+$N$8,1+$O$8),4),"")</f>
        <v>0</v>
      </c>
    </row>
    <row r="115" spans="4:9" x14ac:dyDescent="0.3">
      <c r="D115" s="26" t="str">
        <f t="shared" si="5"/>
        <v>*</v>
      </c>
      <c r="E115" s="10">
        <f t="shared" si="4"/>
        <v>2023</v>
      </c>
      <c r="F115" s="25" t="str">
        <f>INDATA_FILL_DEMAND!E114</f>
        <v>CESPO</v>
      </c>
      <c r="I115" s="29">
        <f>IFERROR(ROUNDDOWN(VLOOKUP(F115,INDATA_FILL_DEMAND!$E$4:$F$251,2,FALSE)*IF(E115&lt;2043,1+$N$8,1+$O$8),4),"")</f>
        <v>0</v>
      </c>
    </row>
    <row r="116" spans="4:9" x14ac:dyDescent="0.3">
      <c r="D116" s="26" t="str">
        <f t="shared" si="5"/>
        <v>*</v>
      </c>
      <c r="E116" s="10">
        <f t="shared" si="4"/>
        <v>2023</v>
      </c>
      <c r="F116" s="25" t="str">
        <f>INDATA_FILL_DEMAND!E115</f>
        <v>CETUR</v>
      </c>
      <c r="I116" s="29">
        <f>IFERROR(ROUNDDOWN(VLOOKUP(F116,INDATA_FILL_DEMAND!$E$4:$F$251,2,FALSE)*IF(E116&lt;2043,1+$N$8,1+$O$8),4),"")</f>
        <v>0</v>
      </c>
    </row>
    <row r="117" spans="4:9" x14ac:dyDescent="0.3">
      <c r="D117" s="26" t="str">
        <f t="shared" si="5"/>
        <v>Demand</v>
      </c>
      <c r="E117" s="10">
        <f t="shared" si="4"/>
        <v>2023</v>
      </c>
      <c r="F117" s="25" t="str">
        <f>INDATA_FILL_DEMAND!E116</f>
        <v>MHCUL</v>
      </c>
      <c r="I117" s="29">
        <f>IFERROR(ROUNDDOWN(VLOOKUP(F117,INDATA_FILL_DEMAND!$E$4:$F$251,2,FALSE)*IF(E117&lt;2043,1+$N$8,1+$O$8),4),"")</f>
        <v>3.7602000000000002</v>
      </c>
    </row>
    <row r="118" spans="4:9" x14ac:dyDescent="0.3">
      <c r="D118" s="26" t="str">
        <f t="shared" si="5"/>
        <v>Demand</v>
      </c>
      <c r="E118" s="10">
        <f t="shared" si="4"/>
        <v>2023</v>
      </c>
      <c r="F118" s="25" t="str">
        <f>INDATA_FILL_DEMAND!E117</f>
        <v>MHEDU</v>
      </c>
      <c r="I118" s="29">
        <f>IFERROR(ROUNDDOWN(VLOOKUP(F118,INDATA_FILL_DEMAND!$E$4:$F$251,2,FALSE)*IF(E118&lt;2043,1+$N$8,1+$O$8),4),"")</f>
        <v>30.9392</v>
      </c>
    </row>
    <row r="119" spans="4:9" x14ac:dyDescent="0.3">
      <c r="D119" s="26" t="str">
        <f t="shared" si="5"/>
        <v>*</v>
      </c>
      <c r="E119" s="10">
        <f t="shared" si="4"/>
        <v>2023</v>
      </c>
      <c r="F119" s="25" t="str">
        <f>INDATA_FILL_DEMAND!E118</f>
        <v>MHHOU</v>
      </c>
      <c r="I119" s="29">
        <f>IFERROR(ROUNDDOWN(VLOOKUP(F119,INDATA_FILL_DEMAND!$E$4:$F$251,2,FALSE)*IF(E119&lt;2043,1+$N$8,1+$O$8),4),"")</f>
        <v>0</v>
      </c>
    </row>
    <row r="120" spans="4:9" x14ac:dyDescent="0.3">
      <c r="D120" s="26" t="str">
        <f t="shared" si="5"/>
        <v>Demand</v>
      </c>
      <c r="E120" s="10">
        <f t="shared" si="4"/>
        <v>2023</v>
      </c>
      <c r="F120" s="25" t="str">
        <f>INDATA_FILL_DEMAND!E119</f>
        <v>MHOFL</v>
      </c>
      <c r="I120" s="29">
        <f>IFERROR(ROUNDDOWN(VLOOKUP(F120,INDATA_FILL_DEMAND!$E$4:$F$251,2,FALSE)*IF(E120&lt;2043,1+$N$8,1+$O$8),4),"")</f>
        <v>3.7073999999999998</v>
      </c>
    </row>
    <row r="121" spans="4:9" x14ac:dyDescent="0.3">
      <c r="D121" s="26" t="str">
        <f t="shared" si="5"/>
        <v>Demand</v>
      </c>
      <c r="E121" s="10">
        <f t="shared" si="4"/>
        <v>2023</v>
      </c>
      <c r="F121" s="25" t="str">
        <f>INDATA_FILL_DEMAND!E120</f>
        <v>MHOFS</v>
      </c>
      <c r="I121" s="29">
        <f>IFERROR(ROUNDDOWN(VLOOKUP(F121,INDATA_FILL_DEMAND!$E$4:$F$251,2,FALSE)*IF(E121&lt;2043,1+$N$8,1+$O$8),4),"")</f>
        <v>3.8685999999999998</v>
      </c>
    </row>
    <row r="122" spans="4:9" x14ac:dyDescent="0.3">
      <c r="D122" s="26" t="str">
        <f t="shared" si="5"/>
        <v>Demand</v>
      </c>
      <c r="E122" s="10">
        <f t="shared" si="4"/>
        <v>2023</v>
      </c>
      <c r="F122" s="25" t="str">
        <f>INDATA_FILL_DEMAND!E121</f>
        <v>MHOTH</v>
      </c>
      <c r="I122" s="29">
        <f>IFERROR(ROUNDDOWN(VLOOKUP(F122,INDATA_FILL_DEMAND!$E$4:$F$251,2,FALSE)*IF(E122&lt;2043,1+$N$8,1+$O$8),4),"")</f>
        <v>5.3570000000000002</v>
      </c>
    </row>
    <row r="123" spans="4:9" x14ac:dyDescent="0.3">
      <c r="D123" s="26" t="str">
        <f t="shared" si="5"/>
        <v>Demand</v>
      </c>
      <c r="E123" s="10">
        <f t="shared" si="4"/>
        <v>2023</v>
      </c>
      <c r="F123" s="25" t="str">
        <f>INDATA_FILL_DEMAND!E122</f>
        <v>MHSPO</v>
      </c>
      <c r="I123" s="29">
        <f>IFERROR(ROUNDDOWN(VLOOKUP(F123,INDATA_FILL_DEMAND!$E$4:$F$251,2,FALSE)*IF(E123&lt;2043,1+$N$8,1+$O$8),4),"")</f>
        <v>12.138400000000001</v>
      </c>
    </row>
    <row r="124" spans="4:9" x14ac:dyDescent="0.3">
      <c r="D124" s="26" t="str">
        <f t="shared" si="5"/>
        <v>Demand</v>
      </c>
      <c r="E124" s="10">
        <f t="shared" si="4"/>
        <v>2023</v>
      </c>
      <c r="F124" s="25" t="str">
        <f>INDATA_FILL_DEMAND!E123</f>
        <v>MHTCH</v>
      </c>
      <c r="I124" s="29">
        <f>IFERROR(ROUNDDOWN(VLOOKUP(F124,INDATA_FILL_DEMAND!$E$4:$F$251,2,FALSE)*IF(E124&lt;2043,1+$N$8,1+$O$8),4),"")</f>
        <v>1.8236000000000001</v>
      </c>
    </row>
    <row r="125" spans="4:9" x14ac:dyDescent="0.3">
      <c r="D125" s="26" t="str">
        <f t="shared" si="5"/>
        <v>*</v>
      </c>
      <c r="E125" s="10">
        <f t="shared" si="4"/>
        <v>2023</v>
      </c>
      <c r="F125" s="25" t="str">
        <f>INDATA_FILL_DEMAND!E124</f>
        <v>MCCUL</v>
      </c>
      <c r="I125" s="29">
        <f>IFERROR(ROUNDDOWN(VLOOKUP(F125,INDATA_FILL_DEMAND!$E$4:$F$251,2,FALSE)*IF(E125&lt;2043,1+$N$8,1+$O$8),4),"")</f>
        <v>0</v>
      </c>
    </row>
    <row r="126" spans="4:9" x14ac:dyDescent="0.3">
      <c r="D126" s="26" t="str">
        <f t="shared" si="5"/>
        <v>*</v>
      </c>
      <c r="E126" s="10">
        <f t="shared" si="4"/>
        <v>2023</v>
      </c>
      <c r="F126" s="25" t="str">
        <f>INDATA_FILL_DEMAND!E125</f>
        <v>MCEDU</v>
      </c>
      <c r="I126" s="29">
        <f>IFERROR(ROUNDDOWN(VLOOKUP(F126,INDATA_FILL_DEMAND!$E$4:$F$251,2,FALSE)*IF(E126&lt;2043,1+$N$8,1+$O$8),4),"")</f>
        <v>0</v>
      </c>
    </row>
    <row r="127" spans="4:9" x14ac:dyDescent="0.3">
      <c r="D127" s="26" t="str">
        <f t="shared" si="5"/>
        <v>*</v>
      </c>
      <c r="E127" s="10">
        <f t="shared" si="4"/>
        <v>2023</v>
      </c>
      <c r="F127" s="25" t="str">
        <f>INDATA_FILL_DEMAND!E126</f>
        <v>MCHOU</v>
      </c>
      <c r="I127" s="29">
        <f>IFERROR(ROUNDDOWN(VLOOKUP(F127,INDATA_FILL_DEMAND!$E$4:$F$251,2,FALSE)*IF(E127&lt;2043,1+$N$8,1+$O$8),4),"")</f>
        <v>0</v>
      </c>
    </row>
    <row r="128" spans="4:9" x14ac:dyDescent="0.3">
      <c r="D128" s="26" t="str">
        <f t="shared" si="5"/>
        <v>*</v>
      </c>
      <c r="E128" s="10">
        <f t="shared" si="4"/>
        <v>2023</v>
      </c>
      <c r="F128" s="25" t="str">
        <f>INDATA_FILL_DEMAND!E127</f>
        <v>MCOFL</v>
      </c>
      <c r="I128" s="29">
        <f>IFERROR(ROUNDDOWN(VLOOKUP(F128,INDATA_FILL_DEMAND!$E$4:$F$251,2,FALSE)*IF(E128&lt;2043,1+$N$8,1+$O$8),4),"")</f>
        <v>0</v>
      </c>
    </row>
    <row r="129" spans="4:9" x14ac:dyDescent="0.3">
      <c r="D129" s="26" t="str">
        <f t="shared" si="5"/>
        <v>*</v>
      </c>
      <c r="E129" s="10">
        <f t="shared" si="4"/>
        <v>2023</v>
      </c>
      <c r="F129" s="25" t="str">
        <f>INDATA_FILL_DEMAND!E128</f>
        <v>MCOFS</v>
      </c>
      <c r="I129" s="29">
        <f>IFERROR(ROUNDDOWN(VLOOKUP(F129,INDATA_FILL_DEMAND!$E$4:$F$251,2,FALSE)*IF(E129&lt;2043,1+$N$8,1+$O$8),4),"")</f>
        <v>0</v>
      </c>
    </row>
    <row r="130" spans="4:9" x14ac:dyDescent="0.3">
      <c r="D130" s="26" t="str">
        <f t="shared" si="5"/>
        <v>*</v>
      </c>
      <c r="E130" s="10">
        <f t="shared" si="4"/>
        <v>2023</v>
      </c>
      <c r="F130" s="25" t="str">
        <f>INDATA_FILL_DEMAND!E129</f>
        <v>MCOTH</v>
      </c>
      <c r="I130" s="29">
        <f>IFERROR(ROUNDDOWN(VLOOKUP(F130,INDATA_FILL_DEMAND!$E$4:$F$251,2,FALSE)*IF(E130&lt;2043,1+$N$8,1+$O$8),4),"")</f>
        <v>0</v>
      </c>
    </row>
    <row r="131" spans="4:9" x14ac:dyDescent="0.3">
      <c r="D131" s="26" t="str">
        <f t="shared" si="5"/>
        <v>*</v>
      </c>
      <c r="E131" s="10">
        <f t="shared" si="4"/>
        <v>2023</v>
      </c>
      <c r="F131" s="25" t="str">
        <f>INDATA_FILL_DEMAND!E130</f>
        <v>MCSPO</v>
      </c>
      <c r="I131" s="29">
        <f>IFERROR(ROUNDDOWN(VLOOKUP(F131,INDATA_FILL_DEMAND!$E$4:$F$251,2,FALSE)*IF(E131&lt;2043,1+$N$8,1+$O$8),4),"")</f>
        <v>0</v>
      </c>
    </row>
    <row r="132" spans="4:9" x14ac:dyDescent="0.3">
      <c r="D132" s="26" t="str">
        <f t="shared" si="5"/>
        <v>*</v>
      </c>
      <c r="E132" s="10">
        <f t="shared" si="4"/>
        <v>2023</v>
      </c>
      <c r="F132" s="25" t="str">
        <f>INDATA_FILL_DEMAND!E131</f>
        <v>MCTCH</v>
      </c>
      <c r="I132" s="29">
        <f>IFERROR(ROUNDDOWN(VLOOKUP(F132,INDATA_FILL_DEMAND!$E$4:$F$251,2,FALSE)*IF(E132&lt;2043,1+$N$8,1+$O$8),4),"")</f>
        <v>0</v>
      </c>
    </row>
    <row r="133" spans="4:9" x14ac:dyDescent="0.3">
      <c r="D133" s="26" t="str">
        <f t="shared" si="5"/>
        <v>Demand</v>
      </c>
      <c r="E133" s="10">
        <f t="shared" si="4"/>
        <v>2023</v>
      </c>
      <c r="F133" s="25" t="str">
        <f>INDATA_FILL_DEMAND!E132</f>
        <v>MWCUL</v>
      </c>
      <c r="I133" s="29">
        <f>IFERROR(ROUNDDOWN(VLOOKUP(F133,INDATA_FILL_DEMAND!$E$4:$F$251,2,FALSE)*IF(E133&lt;2043,1+$N$8,1+$O$8),4),"")</f>
        <v>0.84809999999999997</v>
      </c>
    </row>
    <row r="134" spans="4:9" x14ac:dyDescent="0.3">
      <c r="D134" s="26" t="str">
        <f t="shared" si="5"/>
        <v>Demand</v>
      </c>
      <c r="E134" s="10">
        <f t="shared" si="4"/>
        <v>2023</v>
      </c>
      <c r="F134" s="25" t="str">
        <f>INDATA_FILL_DEMAND!E133</f>
        <v>MWEDU</v>
      </c>
      <c r="I134" s="29">
        <f>IFERROR(ROUNDDOWN(VLOOKUP(F134,INDATA_FILL_DEMAND!$E$4:$F$251,2,FALSE)*IF(E134&lt;2043,1+$N$8,1+$O$8),4),"")</f>
        <v>7.7447999999999997</v>
      </c>
    </row>
    <row r="135" spans="4:9" x14ac:dyDescent="0.3">
      <c r="D135" s="26" t="str">
        <f t="shared" si="5"/>
        <v>*</v>
      </c>
      <c r="E135" s="10">
        <f t="shared" ref="E135:E198" si="6">E134</f>
        <v>2023</v>
      </c>
      <c r="F135" s="25" t="str">
        <f>INDATA_FILL_DEMAND!E134</f>
        <v>MWHOU</v>
      </c>
      <c r="I135" s="29">
        <f>IFERROR(ROUNDDOWN(VLOOKUP(F135,INDATA_FILL_DEMAND!$E$4:$F$251,2,FALSE)*IF(E135&lt;2043,1+$N$8,1+$O$8),4),"")</f>
        <v>0</v>
      </c>
    </row>
    <row r="136" spans="4:9" x14ac:dyDescent="0.3">
      <c r="D136" s="26" t="str">
        <f t="shared" si="5"/>
        <v>Demand</v>
      </c>
      <c r="E136" s="10">
        <f t="shared" si="6"/>
        <v>2023</v>
      </c>
      <c r="F136" s="25" t="str">
        <f>INDATA_FILL_DEMAND!E135</f>
        <v>MWOFL</v>
      </c>
      <c r="I136" s="29">
        <f>IFERROR(ROUNDDOWN(VLOOKUP(F136,INDATA_FILL_DEMAND!$E$4:$F$251,2,FALSE)*IF(E136&lt;2043,1+$N$8,1+$O$8),4),"")</f>
        <v>0.93220000000000003</v>
      </c>
    </row>
    <row r="137" spans="4:9" x14ac:dyDescent="0.3">
      <c r="D137" s="26" t="str">
        <f t="shared" si="5"/>
        <v>Demand</v>
      </c>
      <c r="E137" s="10">
        <f t="shared" si="6"/>
        <v>2023</v>
      </c>
      <c r="F137" s="25" t="str">
        <f>INDATA_FILL_DEMAND!E136</f>
        <v>MWOFS</v>
      </c>
      <c r="I137" s="29">
        <f>IFERROR(ROUNDDOWN(VLOOKUP(F137,INDATA_FILL_DEMAND!$E$4:$F$251,2,FALSE)*IF(E137&lt;2043,1+$N$8,1+$O$8),4),"")</f>
        <v>0.8075</v>
      </c>
    </row>
    <row r="138" spans="4:9" x14ac:dyDescent="0.3">
      <c r="D138" s="26" t="str">
        <f t="shared" si="5"/>
        <v>Demand</v>
      </c>
      <c r="E138" s="10">
        <f t="shared" si="6"/>
        <v>2023</v>
      </c>
      <c r="F138" s="25" t="str">
        <f>INDATA_FILL_DEMAND!E137</f>
        <v>MWOTH</v>
      </c>
      <c r="I138" s="29">
        <f>IFERROR(ROUNDDOWN(VLOOKUP(F138,INDATA_FILL_DEMAND!$E$4:$F$251,2,FALSE)*IF(E138&lt;2043,1+$N$8,1+$O$8),4),"")</f>
        <v>1.3541000000000001</v>
      </c>
    </row>
    <row r="139" spans="4:9" x14ac:dyDescent="0.3">
      <c r="D139" s="26" t="str">
        <f t="shared" si="5"/>
        <v>Demand</v>
      </c>
      <c r="E139" s="10">
        <f t="shared" si="6"/>
        <v>2023</v>
      </c>
      <c r="F139" s="25" t="str">
        <f>INDATA_FILL_DEMAND!E138</f>
        <v>MWSPO</v>
      </c>
      <c r="I139" s="29">
        <f>IFERROR(ROUNDDOWN(VLOOKUP(F139,INDATA_FILL_DEMAND!$E$4:$F$251,2,FALSE)*IF(E139&lt;2043,1+$N$8,1+$O$8),4),"")</f>
        <v>3.0733000000000001</v>
      </c>
    </row>
    <row r="140" spans="4:9" x14ac:dyDescent="0.3">
      <c r="D140" s="26" t="str">
        <f t="shared" si="5"/>
        <v>Demand</v>
      </c>
      <c r="E140" s="10">
        <f t="shared" si="6"/>
        <v>2023</v>
      </c>
      <c r="F140" s="25" t="str">
        <f>INDATA_FILL_DEMAND!E139</f>
        <v>MWTCH</v>
      </c>
      <c r="I140" s="29">
        <f>IFERROR(ROUNDDOWN(VLOOKUP(F140,INDATA_FILL_DEMAND!$E$4:$F$251,2,FALSE)*IF(E140&lt;2043,1+$N$8,1+$O$8),4),"")</f>
        <v>0.44979999999999998</v>
      </c>
    </row>
    <row r="141" spans="4:9" x14ac:dyDescent="0.3">
      <c r="D141" s="26" t="str">
        <f t="shared" si="5"/>
        <v>Demand</v>
      </c>
      <c r="E141" s="10">
        <f t="shared" si="6"/>
        <v>2023</v>
      </c>
      <c r="F141" s="25" t="str">
        <f>INDATA_FILL_DEMAND!E140</f>
        <v>MKCUL</v>
      </c>
      <c r="I141" s="29">
        <f>IFERROR(ROUNDDOWN(VLOOKUP(F141,INDATA_FILL_DEMAND!$E$4:$F$251,2,FALSE)*IF(E141&lt;2043,1+$N$8,1+$O$8),4),"")</f>
        <v>0.27729999999999999</v>
      </c>
    </row>
    <row r="142" spans="4:9" x14ac:dyDescent="0.3">
      <c r="D142" s="26" t="str">
        <f t="shared" ref="D142:D205" si="7">IF(AND(ISNUMBER(I142),I142&gt;0),"Demand","*")</f>
        <v>Demand</v>
      </c>
      <c r="E142" s="10">
        <f t="shared" si="6"/>
        <v>2023</v>
      </c>
      <c r="F142" s="25" t="str">
        <f>INDATA_FILL_DEMAND!E141</f>
        <v>MKEDU</v>
      </c>
      <c r="I142" s="29">
        <f>IFERROR(ROUNDDOWN(VLOOKUP(F142,INDATA_FILL_DEMAND!$E$4:$F$251,2,FALSE)*IF(E142&lt;2043,1+$N$8,1+$O$8),4),"")</f>
        <v>0.66569999999999996</v>
      </c>
    </row>
    <row r="143" spans="4:9" x14ac:dyDescent="0.3">
      <c r="D143" s="26" t="str">
        <f t="shared" si="7"/>
        <v>*</v>
      </c>
      <c r="E143" s="10">
        <f t="shared" si="6"/>
        <v>2023</v>
      </c>
      <c r="F143" s="25" t="str">
        <f>INDATA_FILL_DEMAND!E142</f>
        <v>MKHOU</v>
      </c>
      <c r="I143" s="29">
        <f>IFERROR(ROUNDDOWN(VLOOKUP(F143,INDATA_FILL_DEMAND!$E$4:$F$251,2,FALSE)*IF(E143&lt;2043,1+$N$8,1+$O$8),4),"")</f>
        <v>0</v>
      </c>
    </row>
    <row r="144" spans="4:9" x14ac:dyDescent="0.3">
      <c r="D144" s="26" t="str">
        <f t="shared" si="7"/>
        <v>Demand</v>
      </c>
      <c r="E144" s="10">
        <f t="shared" si="6"/>
        <v>2023</v>
      </c>
      <c r="F144" s="25" t="str">
        <f>INDATA_FILL_DEMAND!E143</f>
        <v>MKOFL</v>
      </c>
      <c r="I144" s="29">
        <f>IFERROR(ROUNDDOWN(VLOOKUP(F144,INDATA_FILL_DEMAND!$E$4:$F$251,2,FALSE)*IF(E144&lt;2043,1+$N$8,1+$O$8),4),"")</f>
        <v>7.0900000000000005E-2</v>
      </c>
    </row>
    <row r="145" spans="4:9" x14ac:dyDescent="0.3">
      <c r="D145" s="26" t="str">
        <f t="shared" si="7"/>
        <v>Demand</v>
      </c>
      <c r="E145" s="10">
        <f t="shared" si="6"/>
        <v>2023</v>
      </c>
      <c r="F145" s="25" t="str">
        <f>INDATA_FILL_DEMAND!E144</f>
        <v>MKOFS</v>
      </c>
      <c r="I145" s="29">
        <f>IFERROR(ROUNDDOWN(VLOOKUP(F145,INDATA_FILL_DEMAND!$E$4:$F$251,2,FALSE)*IF(E145&lt;2043,1+$N$8,1+$O$8),4),"")</f>
        <v>0.42249999999999999</v>
      </c>
    </row>
    <row r="146" spans="4:9" x14ac:dyDescent="0.3">
      <c r="D146" s="26" t="str">
        <f t="shared" si="7"/>
        <v>Demand</v>
      </c>
      <c r="E146" s="10">
        <f t="shared" si="6"/>
        <v>2023</v>
      </c>
      <c r="F146" s="25" t="str">
        <f>INDATA_FILL_DEMAND!E145</f>
        <v>MKOTH</v>
      </c>
      <c r="I146" s="29">
        <f>IFERROR(ROUNDDOWN(VLOOKUP(F146,INDATA_FILL_DEMAND!$E$4:$F$251,2,FALSE)*IF(E146&lt;2043,1+$N$8,1+$O$8),4),"")</f>
        <v>8.7499999999999994E-2</v>
      </c>
    </row>
    <row r="147" spans="4:9" x14ac:dyDescent="0.3">
      <c r="D147" s="26" t="str">
        <f t="shared" si="7"/>
        <v>Demand</v>
      </c>
      <c r="E147" s="10">
        <f t="shared" si="6"/>
        <v>2023</v>
      </c>
      <c r="F147" s="25" t="str">
        <f>INDATA_FILL_DEMAND!E146</f>
        <v>MKSPO</v>
      </c>
      <c r="I147" s="29">
        <f>IFERROR(ROUNDDOWN(VLOOKUP(F147,INDATA_FILL_DEMAND!$E$4:$F$251,2,FALSE)*IF(E147&lt;2043,1+$N$8,1+$O$8),4),"")</f>
        <v>0.18770000000000001</v>
      </c>
    </row>
    <row r="148" spans="4:9" x14ac:dyDescent="0.3">
      <c r="D148" s="26" t="str">
        <f t="shared" si="7"/>
        <v>Demand</v>
      </c>
      <c r="E148" s="10">
        <f t="shared" si="6"/>
        <v>2023</v>
      </c>
      <c r="F148" s="25" t="str">
        <f>INDATA_FILL_DEMAND!E147</f>
        <v>MKTCH</v>
      </c>
      <c r="I148" s="29">
        <f>IFERROR(ROUNDDOWN(VLOOKUP(F148,INDATA_FILL_DEMAND!$E$4:$F$251,2,FALSE)*IF(E148&lt;2043,1+$N$8,1+$O$8),4),"")</f>
        <v>5.33E-2</v>
      </c>
    </row>
    <row r="149" spans="4:9" x14ac:dyDescent="0.3">
      <c r="D149" s="26" t="str">
        <f t="shared" si="7"/>
        <v>Demand</v>
      </c>
      <c r="E149" s="10">
        <f t="shared" si="6"/>
        <v>2023</v>
      </c>
      <c r="F149" s="25" t="str">
        <f>INDATA_FILL_DEMAND!E148</f>
        <v>MLCUL</v>
      </c>
      <c r="I149" s="29">
        <f>IFERROR(ROUNDDOWN(VLOOKUP(F149,INDATA_FILL_DEMAND!$E$4:$F$251,2,FALSE)*IF(E149&lt;2043,1+$N$8,1+$O$8),4),"")</f>
        <v>0.36699999999999999</v>
      </c>
    </row>
    <row r="150" spans="4:9" x14ac:dyDescent="0.3">
      <c r="D150" s="26" t="str">
        <f t="shared" si="7"/>
        <v>Demand</v>
      </c>
      <c r="E150" s="10">
        <f t="shared" si="6"/>
        <v>2023</v>
      </c>
      <c r="F150" s="25" t="str">
        <f>INDATA_FILL_DEMAND!E149</f>
        <v>MLEDU</v>
      </c>
      <c r="I150" s="29">
        <f>IFERROR(ROUNDDOWN(VLOOKUP(F150,INDATA_FILL_DEMAND!$E$4:$F$251,2,FALSE)*IF(E150&lt;2043,1+$N$8,1+$O$8),4),"")</f>
        <v>0.88109999999999999</v>
      </c>
    </row>
    <row r="151" spans="4:9" x14ac:dyDescent="0.3">
      <c r="D151" s="26" t="str">
        <f t="shared" si="7"/>
        <v>*</v>
      </c>
      <c r="E151" s="10">
        <f t="shared" si="6"/>
        <v>2023</v>
      </c>
      <c r="F151" s="25" t="str">
        <f>INDATA_FILL_DEMAND!E150</f>
        <v>MLHOU</v>
      </c>
      <c r="I151" s="29">
        <f>IFERROR(ROUNDDOWN(VLOOKUP(F151,INDATA_FILL_DEMAND!$E$4:$F$251,2,FALSE)*IF(E151&lt;2043,1+$N$8,1+$O$8),4),"")</f>
        <v>0</v>
      </c>
    </row>
    <row r="152" spans="4:9" x14ac:dyDescent="0.3">
      <c r="D152" s="26" t="str">
        <f t="shared" si="7"/>
        <v>Demand</v>
      </c>
      <c r="E152" s="10">
        <f t="shared" si="6"/>
        <v>2023</v>
      </c>
      <c r="F152" s="25" t="str">
        <f>INDATA_FILL_DEMAND!E151</f>
        <v>MLOFL</v>
      </c>
      <c r="I152" s="29">
        <f>IFERROR(ROUNDDOWN(VLOOKUP(F152,INDATA_FILL_DEMAND!$E$4:$F$251,2,FALSE)*IF(E152&lt;2043,1+$N$8,1+$O$8),4),"")</f>
        <v>9.3899999999999997E-2</v>
      </c>
    </row>
    <row r="153" spans="4:9" x14ac:dyDescent="0.3">
      <c r="D153" s="26" t="str">
        <f t="shared" si="7"/>
        <v>Demand</v>
      </c>
      <c r="E153" s="10">
        <f t="shared" si="6"/>
        <v>2023</v>
      </c>
      <c r="F153" s="25" t="str">
        <f>INDATA_FILL_DEMAND!E152</f>
        <v>MLOFS</v>
      </c>
      <c r="I153" s="29">
        <f>IFERROR(ROUNDDOWN(VLOOKUP(F153,INDATA_FILL_DEMAND!$E$4:$F$251,2,FALSE)*IF(E153&lt;2043,1+$N$8,1+$O$8),4),"")</f>
        <v>0.55920000000000003</v>
      </c>
    </row>
    <row r="154" spans="4:9" x14ac:dyDescent="0.3">
      <c r="D154" s="26" t="str">
        <f t="shared" si="7"/>
        <v>Demand</v>
      </c>
      <c r="E154" s="10">
        <f t="shared" si="6"/>
        <v>2023</v>
      </c>
      <c r="F154" s="25" t="str">
        <f>INDATA_FILL_DEMAND!E153</f>
        <v>MLOTH</v>
      </c>
      <c r="I154" s="29">
        <f>IFERROR(ROUNDDOWN(VLOOKUP(F154,INDATA_FILL_DEMAND!$E$4:$F$251,2,FALSE)*IF(E154&lt;2043,1+$N$8,1+$O$8),4),"")</f>
        <v>0.1158</v>
      </c>
    </row>
    <row r="155" spans="4:9" x14ac:dyDescent="0.3">
      <c r="D155" s="26" t="str">
        <f t="shared" si="7"/>
        <v>Demand</v>
      </c>
      <c r="E155" s="10">
        <f t="shared" si="6"/>
        <v>2023</v>
      </c>
      <c r="F155" s="25" t="str">
        <f>INDATA_FILL_DEMAND!E154</f>
        <v>MLSPO</v>
      </c>
      <c r="I155" s="29">
        <f>IFERROR(ROUNDDOWN(VLOOKUP(F155,INDATA_FILL_DEMAND!$E$4:$F$251,2,FALSE)*IF(E155&lt;2043,1+$N$8,1+$O$8),4),"")</f>
        <v>0.24840000000000001</v>
      </c>
    </row>
    <row r="156" spans="4:9" x14ac:dyDescent="0.3">
      <c r="D156" s="26" t="str">
        <f t="shared" si="7"/>
        <v>Demand</v>
      </c>
      <c r="E156" s="10">
        <f t="shared" si="6"/>
        <v>2023</v>
      </c>
      <c r="F156" s="25" t="str">
        <f>INDATA_FILL_DEMAND!E155</f>
        <v>MLTCH</v>
      </c>
      <c r="I156" s="29">
        <f>IFERROR(ROUNDDOWN(VLOOKUP(F156,INDATA_FILL_DEMAND!$E$4:$F$251,2,FALSE)*IF(E156&lt;2043,1+$N$8,1+$O$8),4),"")</f>
        <v>7.0499999999999993E-2</v>
      </c>
    </row>
    <row r="157" spans="4:9" x14ac:dyDescent="0.3">
      <c r="D157" s="26" t="str">
        <f t="shared" si="7"/>
        <v>Demand</v>
      </c>
      <c r="E157" s="10">
        <f t="shared" si="6"/>
        <v>2023</v>
      </c>
      <c r="F157" s="25" t="str">
        <f>INDATA_FILL_DEMAND!E156</f>
        <v>MOCUL</v>
      </c>
      <c r="I157" s="29">
        <f>IFERROR(ROUNDDOWN(VLOOKUP(F157,INDATA_FILL_DEMAND!$E$4:$F$251,2,FALSE)*IF(E157&lt;2043,1+$N$8,1+$O$8),4),"")</f>
        <v>1.7391000000000001</v>
      </c>
    </row>
    <row r="158" spans="4:9" x14ac:dyDescent="0.3">
      <c r="D158" s="26" t="str">
        <f t="shared" si="7"/>
        <v>Demand</v>
      </c>
      <c r="E158" s="10">
        <f t="shared" si="6"/>
        <v>2023</v>
      </c>
      <c r="F158" s="25" t="str">
        <f>INDATA_FILL_DEMAND!E157</f>
        <v>MOEDU</v>
      </c>
      <c r="I158" s="29">
        <f>IFERROR(ROUNDDOWN(VLOOKUP(F158,INDATA_FILL_DEMAND!$E$4:$F$251,2,FALSE)*IF(E158&lt;2043,1+$N$8,1+$O$8),4),"")</f>
        <v>4.1753999999999998</v>
      </c>
    </row>
    <row r="159" spans="4:9" x14ac:dyDescent="0.3">
      <c r="D159" s="26" t="str">
        <f t="shared" si="7"/>
        <v>*</v>
      </c>
      <c r="E159" s="10">
        <f t="shared" si="6"/>
        <v>2023</v>
      </c>
      <c r="F159" s="25" t="str">
        <f>INDATA_FILL_DEMAND!E158</f>
        <v>MOHOU</v>
      </c>
      <c r="I159" s="29">
        <f>IFERROR(ROUNDDOWN(VLOOKUP(F159,INDATA_FILL_DEMAND!$E$4:$F$251,2,FALSE)*IF(E159&lt;2043,1+$N$8,1+$O$8),4),"")</f>
        <v>0</v>
      </c>
    </row>
    <row r="160" spans="4:9" x14ac:dyDescent="0.3">
      <c r="D160" s="26" t="str">
        <f t="shared" si="7"/>
        <v>Demand</v>
      </c>
      <c r="E160" s="10">
        <f t="shared" si="6"/>
        <v>2023</v>
      </c>
      <c r="F160" s="25" t="str">
        <f>INDATA_FILL_DEMAND!E159</f>
        <v>MOOFL</v>
      </c>
      <c r="I160" s="29">
        <f>IFERROR(ROUNDDOWN(VLOOKUP(F160,INDATA_FILL_DEMAND!$E$4:$F$251,2,FALSE)*IF(E160&lt;2043,1+$N$8,1+$O$8),4),"")</f>
        <v>0.4451</v>
      </c>
    </row>
    <row r="161" spans="4:9" x14ac:dyDescent="0.3">
      <c r="D161" s="26" t="str">
        <f t="shared" si="7"/>
        <v>Demand</v>
      </c>
      <c r="E161" s="10">
        <f t="shared" si="6"/>
        <v>2023</v>
      </c>
      <c r="F161" s="25" t="str">
        <f>INDATA_FILL_DEMAND!E160</f>
        <v>MOOFS</v>
      </c>
      <c r="I161" s="29">
        <f>IFERROR(ROUNDDOWN(VLOOKUP(F161,INDATA_FILL_DEMAND!$E$4:$F$251,2,FALSE)*IF(E161&lt;2043,1+$N$8,1+$O$8),4),"")</f>
        <v>2.6501999999999999</v>
      </c>
    </row>
    <row r="162" spans="4:9" x14ac:dyDescent="0.3">
      <c r="D162" s="26" t="str">
        <f t="shared" si="7"/>
        <v>Demand</v>
      </c>
      <c r="E162" s="10">
        <f t="shared" si="6"/>
        <v>2023</v>
      </c>
      <c r="F162" s="25" t="str">
        <f>INDATA_FILL_DEMAND!E161</f>
        <v>MOOTH</v>
      </c>
      <c r="I162" s="29">
        <f>IFERROR(ROUNDDOWN(VLOOKUP(F162,INDATA_FILL_DEMAND!$E$4:$F$251,2,FALSE)*IF(E162&lt;2043,1+$N$8,1+$O$8),4),"")</f>
        <v>0.54890000000000005</v>
      </c>
    </row>
    <row r="163" spans="4:9" x14ac:dyDescent="0.3">
      <c r="D163" s="26" t="str">
        <f t="shared" si="7"/>
        <v>Demand</v>
      </c>
      <c r="E163" s="10">
        <f t="shared" si="6"/>
        <v>2023</v>
      </c>
      <c r="F163" s="25" t="str">
        <f>INDATA_FILL_DEMAND!E162</f>
        <v>MOSPO</v>
      </c>
      <c r="I163" s="29">
        <f>IFERROR(ROUNDDOWN(VLOOKUP(F163,INDATA_FILL_DEMAND!$E$4:$F$251,2,FALSE)*IF(E163&lt;2043,1+$N$8,1+$O$8),4),"")</f>
        <v>1.1774</v>
      </c>
    </row>
    <row r="164" spans="4:9" x14ac:dyDescent="0.3">
      <c r="D164" s="26" t="str">
        <f t="shared" si="7"/>
        <v>Demand</v>
      </c>
      <c r="E164" s="10">
        <f t="shared" si="6"/>
        <v>2023</v>
      </c>
      <c r="F164" s="25" t="str">
        <f>INDATA_FILL_DEMAND!E163</f>
        <v>MOTCH</v>
      </c>
      <c r="I164" s="29">
        <f>IFERROR(ROUNDDOWN(VLOOKUP(F164,INDATA_FILL_DEMAND!$E$4:$F$251,2,FALSE)*IF(E164&lt;2043,1+$N$8,1+$O$8),4),"")</f>
        <v>0.33439999999999998</v>
      </c>
    </row>
    <row r="165" spans="4:9" x14ac:dyDescent="0.3">
      <c r="D165" s="26" t="str">
        <f t="shared" si="7"/>
        <v>*</v>
      </c>
      <c r="E165" s="10">
        <f t="shared" si="6"/>
        <v>2023</v>
      </c>
      <c r="F165" s="25" t="str">
        <f>INDATA_FILL_DEMAND!E164</f>
        <v>MECUL</v>
      </c>
      <c r="I165" s="29">
        <f>IFERROR(ROUNDDOWN(VLOOKUP(F165,INDATA_FILL_DEMAND!$E$4:$F$251,2,FALSE)*IF(E165&lt;2043,1+$N$8,1+$O$8),4),"")</f>
        <v>0</v>
      </c>
    </row>
    <row r="166" spans="4:9" x14ac:dyDescent="0.3">
      <c r="D166" s="26" t="str">
        <f t="shared" si="7"/>
        <v>*</v>
      </c>
      <c r="E166" s="10">
        <f t="shared" si="6"/>
        <v>2023</v>
      </c>
      <c r="F166" s="25" t="str">
        <f>INDATA_FILL_DEMAND!E165</f>
        <v>MEEDU</v>
      </c>
      <c r="I166" s="29">
        <f>IFERROR(ROUNDDOWN(VLOOKUP(F166,INDATA_FILL_DEMAND!$E$4:$F$251,2,FALSE)*IF(E166&lt;2043,1+$N$8,1+$O$8),4),"")</f>
        <v>0</v>
      </c>
    </row>
    <row r="167" spans="4:9" x14ac:dyDescent="0.3">
      <c r="D167" s="26" t="str">
        <f t="shared" si="7"/>
        <v>*</v>
      </c>
      <c r="E167" s="10">
        <f t="shared" si="6"/>
        <v>2023</v>
      </c>
      <c r="F167" s="25" t="str">
        <f>INDATA_FILL_DEMAND!E166</f>
        <v>MEHOU</v>
      </c>
      <c r="I167" s="29">
        <f>IFERROR(ROUNDDOWN(VLOOKUP(F167,INDATA_FILL_DEMAND!$E$4:$F$251,2,FALSE)*IF(E167&lt;2043,1+$N$8,1+$O$8),4),"")</f>
        <v>0</v>
      </c>
    </row>
    <row r="168" spans="4:9" x14ac:dyDescent="0.3">
      <c r="D168" s="26" t="str">
        <f t="shared" si="7"/>
        <v>*</v>
      </c>
      <c r="E168" s="10">
        <f t="shared" si="6"/>
        <v>2023</v>
      </c>
      <c r="F168" s="25" t="str">
        <f>INDATA_FILL_DEMAND!E167</f>
        <v>MEOFL</v>
      </c>
      <c r="I168" s="29">
        <f>IFERROR(ROUNDDOWN(VLOOKUP(F168,INDATA_FILL_DEMAND!$E$4:$F$251,2,FALSE)*IF(E168&lt;2043,1+$N$8,1+$O$8),4),"")</f>
        <v>0</v>
      </c>
    </row>
    <row r="169" spans="4:9" x14ac:dyDescent="0.3">
      <c r="D169" s="26" t="str">
        <f t="shared" si="7"/>
        <v>*</v>
      </c>
      <c r="E169" s="10">
        <f t="shared" si="6"/>
        <v>2023</v>
      </c>
      <c r="F169" s="25" t="str">
        <f>INDATA_FILL_DEMAND!E168</f>
        <v>MEOFS</v>
      </c>
      <c r="I169" s="29">
        <f>IFERROR(ROUNDDOWN(VLOOKUP(F169,INDATA_FILL_DEMAND!$E$4:$F$251,2,FALSE)*IF(E169&lt;2043,1+$N$8,1+$O$8),4),"")</f>
        <v>0</v>
      </c>
    </row>
    <row r="170" spans="4:9" x14ac:dyDescent="0.3">
      <c r="D170" s="26" t="str">
        <f t="shared" si="7"/>
        <v>*</v>
      </c>
      <c r="E170" s="10">
        <f t="shared" si="6"/>
        <v>2023</v>
      </c>
      <c r="F170" s="25" t="str">
        <f>INDATA_FILL_DEMAND!E169</f>
        <v>MEOTH</v>
      </c>
      <c r="I170" s="29">
        <f>IFERROR(ROUNDDOWN(VLOOKUP(F170,INDATA_FILL_DEMAND!$E$4:$F$251,2,FALSE)*IF(E170&lt;2043,1+$N$8,1+$O$8),4),"")</f>
        <v>0</v>
      </c>
    </row>
    <row r="171" spans="4:9" x14ac:dyDescent="0.3">
      <c r="D171" s="26" t="str">
        <f t="shared" si="7"/>
        <v>*</v>
      </c>
      <c r="E171" s="10">
        <f t="shared" si="6"/>
        <v>2023</v>
      </c>
      <c r="F171" s="25" t="str">
        <f>INDATA_FILL_DEMAND!E170</f>
        <v>MESPO</v>
      </c>
      <c r="I171" s="29">
        <f>IFERROR(ROUNDDOWN(VLOOKUP(F171,INDATA_FILL_DEMAND!$E$4:$F$251,2,FALSE)*IF(E171&lt;2043,1+$N$8,1+$O$8),4),"")</f>
        <v>0</v>
      </c>
    </row>
    <row r="172" spans="4:9" x14ac:dyDescent="0.3">
      <c r="D172" s="26" t="str">
        <f t="shared" si="7"/>
        <v>*</v>
      </c>
      <c r="E172" s="10">
        <f t="shared" si="6"/>
        <v>2023</v>
      </c>
      <c r="F172" s="25" t="str">
        <f>INDATA_FILL_DEMAND!E171</f>
        <v>METCH</v>
      </c>
      <c r="I172" s="29">
        <f>IFERROR(ROUNDDOWN(VLOOKUP(F172,INDATA_FILL_DEMAND!$E$4:$F$251,2,FALSE)*IF(E172&lt;2043,1+$N$8,1+$O$8),4),"")</f>
        <v>0</v>
      </c>
    </row>
    <row r="173" spans="4:9" x14ac:dyDescent="0.3">
      <c r="D173" s="26" t="str">
        <f t="shared" si="7"/>
        <v>*</v>
      </c>
      <c r="E173" s="10">
        <f t="shared" si="6"/>
        <v>2023</v>
      </c>
      <c r="F173" s="25" t="str">
        <f>INDATA_FILL_DEMAND!E172</f>
        <v>TAI</v>
      </c>
      <c r="I173" s="29">
        <f>IFERROR(ROUNDDOWN(VLOOKUP(F173,INDATA_FILL_DEMAND!$E$4:$F$251,2,FALSE)*IF(E173&lt;2043,1+$N$8,1+$O$8),4),"")</f>
        <v>0</v>
      </c>
    </row>
    <row r="174" spans="4:9" x14ac:dyDescent="0.3">
      <c r="D174" s="26" t="str">
        <f t="shared" si="7"/>
        <v>*</v>
      </c>
      <c r="E174" s="10">
        <f t="shared" si="6"/>
        <v>2023</v>
      </c>
      <c r="F174" s="25" t="str">
        <f>INDATA_FILL_DEMAND!E173</f>
        <v>TAI-C</v>
      </c>
      <c r="I174" s="29">
        <f>IFERROR(ROUNDDOWN(VLOOKUP(F174,INDATA_FILL_DEMAND!$E$4:$F$251,2,FALSE)*IF(E174&lt;2043,1+$N$8,1+$O$8),4),"")</f>
        <v>0</v>
      </c>
    </row>
    <row r="175" spans="4:9" x14ac:dyDescent="0.3">
      <c r="D175" s="26" t="str">
        <f t="shared" si="7"/>
        <v>*</v>
      </c>
      <c r="E175" s="10">
        <f t="shared" si="6"/>
        <v>2023</v>
      </c>
      <c r="F175" s="25" t="str">
        <f>INDATA_FILL_DEMAND!E174</f>
        <v>TAV</v>
      </c>
      <c r="I175" s="29">
        <f>IFERROR(ROUNDDOWN(VLOOKUP(F175,INDATA_FILL_DEMAND!$E$4:$F$251,2,FALSE)*IF(E175&lt;2043,1+$N$8,1+$O$8),4),"")</f>
        <v>0</v>
      </c>
    </row>
    <row r="176" spans="4:9" x14ac:dyDescent="0.3">
      <c r="D176" s="26" t="str">
        <f t="shared" si="7"/>
        <v>*</v>
      </c>
      <c r="E176" s="10">
        <f t="shared" si="6"/>
        <v>2023</v>
      </c>
      <c r="F176" s="25" t="str">
        <f>INDATA_FILL_DEMAND!E175</f>
        <v>TAV-C</v>
      </c>
      <c r="I176" s="29">
        <f>IFERROR(ROUNDDOWN(VLOOKUP(F176,INDATA_FILL_DEMAND!$E$4:$F$251,2,FALSE)*IF(E176&lt;2043,1+$N$8,1+$O$8),4),"")</f>
        <v>0</v>
      </c>
    </row>
    <row r="177" spans="4:9" x14ac:dyDescent="0.3">
      <c r="D177" s="26" t="str">
        <f t="shared" si="7"/>
        <v>*</v>
      </c>
      <c r="E177" s="10">
        <f t="shared" si="6"/>
        <v>2023</v>
      </c>
      <c r="F177" s="25" t="str">
        <f>INDATA_FILL_DEMAND!E176</f>
        <v>TBI</v>
      </c>
      <c r="I177" s="29">
        <f>IFERROR(ROUNDDOWN(VLOOKUP(F177,INDATA_FILL_DEMAND!$E$4:$F$251,2,FALSE)*IF(E177&lt;2043,1+$N$8,1+$O$8),4),"")</f>
        <v>0</v>
      </c>
    </row>
    <row r="178" spans="4:9" x14ac:dyDescent="0.3">
      <c r="D178" s="26" t="str">
        <f t="shared" si="7"/>
        <v>*</v>
      </c>
      <c r="E178" s="10">
        <f t="shared" si="6"/>
        <v>2023</v>
      </c>
      <c r="F178" s="25" t="str">
        <f>INDATA_FILL_DEMAND!E177</f>
        <v>TBI-C</v>
      </c>
      <c r="I178" s="29">
        <f>IFERROR(ROUNDDOWN(VLOOKUP(F178,INDATA_FILL_DEMAND!$E$4:$F$251,2,FALSE)*IF(E178&lt;2043,1+$N$8,1+$O$8),4),"")</f>
        <v>0</v>
      </c>
    </row>
    <row r="179" spans="4:9" x14ac:dyDescent="0.3">
      <c r="D179" s="26" t="str">
        <f t="shared" si="7"/>
        <v>*</v>
      </c>
      <c r="E179" s="10">
        <f t="shared" si="6"/>
        <v>2023</v>
      </c>
      <c r="F179" s="25" t="str">
        <f>INDATA_FILL_DEMAND!E178</f>
        <v>TBU</v>
      </c>
      <c r="I179" s="29">
        <f>IFERROR(ROUNDDOWN(VLOOKUP(F179,INDATA_FILL_DEMAND!$E$4:$F$251,2,FALSE)*IF(E179&lt;2043,1+$N$8,1+$O$8),4),"")</f>
        <v>0</v>
      </c>
    </row>
    <row r="180" spans="4:9" x14ac:dyDescent="0.3">
      <c r="D180" s="26" t="str">
        <f t="shared" si="7"/>
        <v>*</v>
      </c>
      <c r="E180" s="10">
        <f t="shared" si="6"/>
        <v>2023</v>
      </c>
      <c r="F180" s="25" t="str">
        <f>INDATA_FILL_DEMAND!E179</f>
        <v>TBU-C</v>
      </c>
      <c r="I180" s="29">
        <f>IFERROR(ROUNDDOWN(VLOOKUP(F180,INDATA_FILL_DEMAND!$E$4:$F$251,2,FALSE)*IF(E180&lt;2043,1+$N$8,1+$O$8),4),"")</f>
        <v>0</v>
      </c>
    </row>
    <row r="181" spans="4:9" x14ac:dyDescent="0.3">
      <c r="D181" s="26" t="str">
        <f t="shared" si="7"/>
        <v>*</v>
      </c>
      <c r="E181" s="10">
        <f t="shared" si="6"/>
        <v>2023</v>
      </c>
      <c r="F181" s="25" t="str">
        <f>INDATA_FILL_DEMAND!E180</f>
        <v>TCL</v>
      </c>
      <c r="I181" s="29">
        <f>IFERROR(ROUNDDOWN(VLOOKUP(F181,INDATA_FILL_DEMAND!$E$4:$F$251,2,FALSE)*IF(E181&lt;2043,1+$N$8,1+$O$8),4),"")</f>
        <v>0</v>
      </c>
    </row>
    <row r="182" spans="4:9" x14ac:dyDescent="0.3">
      <c r="D182" s="26" t="str">
        <f t="shared" si="7"/>
        <v>*</v>
      </c>
      <c r="E182" s="10">
        <f t="shared" si="6"/>
        <v>2023</v>
      </c>
      <c r="F182" s="25" t="str">
        <f>INDATA_FILL_DEMAND!E181</f>
        <v>TCL-C</v>
      </c>
      <c r="I182" s="29">
        <f>IFERROR(ROUNDDOWN(VLOOKUP(F182,INDATA_FILL_DEMAND!$E$4:$F$251,2,FALSE)*IF(E182&lt;2043,1+$N$8,1+$O$8),4),"")</f>
        <v>0</v>
      </c>
    </row>
    <row r="183" spans="4:9" x14ac:dyDescent="0.3">
      <c r="D183" s="26" t="str">
        <f t="shared" si="7"/>
        <v>*</v>
      </c>
      <c r="E183" s="10">
        <f t="shared" si="6"/>
        <v>2023</v>
      </c>
      <c r="F183" s="25" t="str">
        <f>INDATA_FILL_DEMAND!E182</f>
        <v>TCL-P</v>
      </c>
      <c r="I183" s="29">
        <f>IFERROR(ROUNDDOWN(VLOOKUP(F183,INDATA_FILL_DEMAND!$E$4:$F$251,2,FALSE)*IF(E183&lt;2043,1+$N$8,1+$O$8),4),"")</f>
        <v>0</v>
      </c>
    </row>
    <row r="184" spans="4:9" x14ac:dyDescent="0.3">
      <c r="D184" s="26" t="str">
        <f t="shared" si="7"/>
        <v>*</v>
      </c>
      <c r="E184" s="10">
        <f t="shared" si="6"/>
        <v>2023</v>
      </c>
      <c r="F184" s="25" t="str">
        <f>INDATA_FILL_DEMAND!E183</f>
        <v>TCS</v>
      </c>
      <c r="I184" s="29">
        <f>IFERROR(ROUNDDOWN(VLOOKUP(F184,INDATA_FILL_DEMAND!$E$4:$F$251,2,FALSE)*IF(E184&lt;2043,1+$N$8,1+$O$8),4),"")</f>
        <v>0</v>
      </c>
    </row>
    <row r="185" spans="4:9" x14ac:dyDescent="0.3">
      <c r="D185" s="26" t="str">
        <f t="shared" si="7"/>
        <v>*</v>
      </c>
      <c r="E185" s="10">
        <f t="shared" si="6"/>
        <v>2023</v>
      </c>
      <c r="F185" s="25" t="str">
        <f>INDATA_FILL_DEMAND!E184</f>
        <v>TCS-C</v>
      </c>
      <c r="I185" s="29">
        <f>IFERROR(ROUNDDOWN(VLOOKUP(F185,INDATA_FILL_DEMAND!$E$4:$F$251,2,FALSE)*IF(E185&lt;2043,1+$N$8,1+$O$8),4),"")</f>
        <v>0</v>
      </c>
    </row>
    <row r="186" spans="4:9" x14ac:dyDescent="0.3">
      <c r="D186" s="26" t="str">
        <f t="shared" si="7"/>
        <v>*</v>
      </c>
      <c r="E186" s="10">
        <f t="shared" si="6"/>
        <v>2023</v>
      </c>
      <c r="F186" s="25" t="str">
        <f>INDATA_FILL_DEMAND!E185</f>
        <v>TCS-P</v>
      </c>
      <c r="I186" s="29">
        <f>IFERROR(ROUNDDOWN(VLOOKUP(F186,INDATA_FILL_DEMAND!$E$4:$F$251,2,FALSE)*IF(E186&lt;2043,1+$N$8,1+$O$8),4),"")</f>
        <v>0</v>
      </c>
    </row>
    <row r="187" spans="4:9" x14ac:dyDescent="0.3">
      <c r="D187" s="26" t="str">
        <f t="shared" si="7"/>
        <v>*</v>
      </c>
      <c r="E187" s="10">
        <f t="shared" si="6"/>
        <v>2023</v>
      </c>
      <c r="F187" s="25" t="str">
        <f>INDATA_FILL_DEMAND!E186</f>
        <v>TLEP</v>
      </c>
      <c r="I187" s="29">
        <f>IFERROR(ROUNDDOWN(VLOOKUP(F187,INDATA_FILL_DEMAND!$E$4:$F$251,2,FALSE)*IF(E187&lt;2043,1+$N$8,1+$O$8),4),"")</f>
        <v>0</v>
      </c>
    </row>
    <row r="188" spans="4:9" x14ac:dyDescent="0.3">
      <c r="D188" s="26" t="str">
        <f t="shared" si="7"/>
        <v>*</v>
      </c>
      <c r="E188" s="10">
        <f t="shared" si="6"/>
        <v>2023</v>
      </c>
      <c r="F188" s="25" t="str">
        <f>INDATA_FILL_DEMAND!E187</f>
        <v>TLEP-C</v>
      </c>
      <c r="I188" s="29">
        <f>IFERROR(ROUNDDOWN(VLOOKUP(F188,INDATA_FILL_DEMAND!$E$4:$F$251,2,FALSE)*IF(E188&lt;2043,1+$N$8,1+$O$8),4),"")</f>
        <v>0</v>
      </c>
    </row>
    <row r="189" spans="4:9" x14ac:dyDescent="0.3">
      <c r="D189" s="26" t="str">
        <f t="shared" si="7"/>
        <v>*</v>
      </c>
      <c r="E189" s="10">
        <f t="shared" si="6"/>
        <v>2023</v>
      </c>
      <c r="F189" s="25" t="str">
        <f>INDATA_FILL_DEMAND!E188</f>
        <v>TMO</v>
      </c>
      <c r="I189" s="29">
        <f>IFERROR(ROUNDDOWN(VLOOKUP(F189,INDATA_FILL_DEMAND!$E$4:$F$251,2,FALSE)*IF(E189&lt;2043,1+$N$8,1+$O$8),4),"")</f>
        <v>0</v>
      </c>
    </row>
    <row r="190" spans="4:9" x14ac:dyDescent="0.3">
      <c r="D190" s="26" t="str">
        <f t="shared" si="7"/>
        <v>*</v>
      </c>
      <c r="E190" s="10">
        <f t="shared" si="6"/>
        <v>2023</v>
      </c>
      <c r="F190" s="25" t="str">
        <f>INDATA_FILL_DEMAND!E189</f>
        <v>TMO-C</v>
      </c>
      <c r="I190" s="29">
        <f>IFERROR(ROUNDDOWN(VLOOKUP(F190,INDATA_FILL_DEMAND!$E$4:$F$251,2,FALSE)*IF(E190&lt;2043,1+$N$8,1+$O$8),4),"")</f>
        <v>0</v>
      </c>
    </row>
    <row r="191" spans="4:9" x14ac:dyDescent="0.3">
      <c r="D191" s="26" t="str">
        <f t="shared" si="7"/>
        <v>*</v>
      </c>
      <c r="E191" s="10">
        <f t="shared" si="6"/>
        <v>2023</v>
      </c>
      <c r="F191" s="25" t="str">
        <f>INDATA_FILL_DEMAND!E190</f>
        <v>TNA</v>
      </c>
      <c r="I191" s="29">
        <f>IFERROR(ROUNDDOWN(VLOOKUP(F191,INDATA_FILL_DEMAND!$E$4:$F$251,2,FALSE)*IF(E191&lt;2043,1+$N$8,1+$O$8),4),"")</f>
        <v>0</v>
      </c>
    </row>
    <row r="192" spans="4:9" x14ac:dyDescent="0.3">
      <c r="D192" s="26" t="str">
        <f t="shared" si="7"/>
        <v>*</v>
      </c>
      <c r="E192" s="10">
        <f t="shared" si="6"/>
        <v>2023</v>
      </c>
      <c r="F192" s="25" t="str">
        <f>INDATA_FILL_DEMAND!E191</f>
        <v>TNA-C</v>
      </c>
      <c r="I192" s="29">
        <f>IFERROR(ROUNDDOWN(VLOOKUP(F192,INDATA_FILL_DEMAND!$E$4:$F$251,2,FALSE)*IF(E192&lt;2043,1+$N$8,1+$O$8),4),"")</f>
        <v>0</v>
      </c>
    </row>
    <row r="193" spans="4:9" x14ac:dyDescent="0.3">
      <c r="D193" s="26" t="str">
        <f t="shared" si="7"/>
        <v>*</v>
      </c>
      <c r="E193" s="10">
        <f t="shared" si="6"/>
        <v>2023</v>
      </c>
      <c r="F193" s="25" t="str">
        <f>INDATA_FILL_DEMAND!E192</f>
        <v>TNC</v>
      </c>
      <c r="I193" s="29">
        <f>IFERROR(ROUNDDOWN(VLOOKUP(F193,INDATA_FILL_DEMAND!$E$4:$F$251,2,FALSE)*IF(E193&lt;2043,1+$N$8,1+$O$8),4),"")</f>
        <v>0</v>
      </c>
    </row>
    <row r="194" spans="4:9" x14ac:dyDescent="0.3">
      <c r="D194" s="26" t="str">
        <f t="shared" si="7"/>
        <v>*</v>
      </c>
      <c r="E194" s="10">
        <f t="shared" si="6"/>
        <v>2023</v>
      </c>
      <c r="F194" s="25" t="str">
        <f>INDATA_FILL_DEMAND!E193</f>
        <v>TNC-C</v>
      </c>
      <c r="I194" s="29">
        <f>IFERROR(ROUNDDOWN(VLOOKUP(F194,INDATA_FILL_DEMAND!$E$4:$F$251,2,FALSE)*IF(E194&lt;2043,1+$N$8,1+$O$8),4),"")</f>
        <v>0</v>
      </c>
    </row>
    <row r="195" spans="4:9" x14ac:dyDescent="0.3">
      <c r="D195" s="26" t="str">
        <f t="shared" si="7"/>
        <v>*</v>
      </c>
      <c r="E195" s="10">
        <f t="shared" si="6"/>
        <v>2023</v>
      </c>
      <c r="F195" s="25" t="str">
        <f>INDATA_FILL_DEMAND!E194</f>
        <v>TNO</v>
      </c>
      <c r="I195" s="29">
        <f>IFERROR(ROUNDDOWN(VLOOKUP(F195,INDATA_FILL_DEMAND!$E$4:$F$251,2,FALSE)*IF(E195&lt;2043,1+$N$8,1+$O$8),4),"")</f>
        <v>0</v>
      </c>
    </row>
    <row r="196" spans="4:9" x14ac:dyDescent="0.3">
      <c r="D196" s="26" t="str">
        <f t="shared" si="7"/>
        <v>*</v>
      </c>
      <c r="E196" s="10">
        <f t="shared" si="6"/>
        <v>2023</v>
      </c>
      <c r="F196" s="25" t="str">
        <f>INDATA_FILL_DEMAND!E195</f>
        <v>TNO-C</v>
      </c>
      <c r="I196" s="29">
        <f>IFERROR(ROUNDDOWN(VLOOKUP(F196,INDATA_FILL_DEMAND!$E$4:$F$251,2,FALSE)*IF(E196&lt;2043,1+$N$8,1+$O$8),4),"")</f>
        <v>0</v>
      </c>
    </row>
    <row r="197" spans="4:9" x14ac:dyDescent="0.3">
      <c r="D197" s="26" t="str">
        <f t="shared" si="7"/>
        <v>*</v>
      </c>
      <c r="E197" s="10">
        <f t="shared" si="6"/>
        <v>2023</v>
      </c>
      <c r="F197" s="25" t="str">
        <f>INDATA_FILL_DEMAND!E196</f>
        <v>TTH</v>
      </c>
      <c r="I197" s="29">
        <f>IFERROR(ROUNDDOWN(VLOOKUP(F197,INDATA_FILL_DEMAND!$E$4:$F$251,2,FALSE)*IF(E197&lt;2043,1+$N$8,1+$O$8),4),"")</f>
        <v>0</v>
      </c>
    </row>
    <row r="198" spans="4:9" x14ac:dyDescent="0.3">
      <c r="D198" s="26" t="str">
        <f t="shared" si="7"/>
        <v>*</v>
      </c>
      <c r="E198" s="10">
        <f t="shared" si="6"/>
        <v>2023</v>
      </c>
      <c r="F198" s="25" t="str">
        <f>INDATA_FILL_DEMAND!E197</f>
        <v>TTH-C</v>
      </c>
      <c r="I198" s="29">
        <f>IFERROR(ROUNDDOWN(VLOOKUP(F198,INDATA_FILL_DEMAND!$E$4:$F$251,2,FALSE)*IF(E198&lt;2043,1+$N$8,1+$O$8),4),"")</f>
        <v>0</v>
      </c>
    </row>
    <row r="199" spans="4:9" x14ac:dyDescent="0.3">
      <c r="D199" s="26" t="str">
        <f t="shared" si="7"/>
        <v>*</v>
      </c>
      <c r="E199" s="10">
        <f t="shared" ref="E199:E252" si="8">E198</f>
        <v>2023</v>
      </c>
      <c r="F199" s="25" t="str">
        <f>INDATA_FILL_DEMAND!E198</f>
        <v>TTL</v>
      </c>
      <c r="I199" s="29">
        <f>IFERROR(ROUNDDOWN(VLOOKUP(F199,INDATA_FILL_DEMAND!$E$4:$F$251,2,FALSE)*IF(E199&lt;2043,1+$N$8,1+$O$8),4),"")</f>
        <v>0</v>
      </c>
    </row>
    <row r="200" spans="4:9" x14ac:dyDescent="0.3">
      <c r="D200" s="26" t="str">
        <f t="shared" si="7"/>
        <v>*</v>
      </c>
      <c r="E200" s="10">
        <f t="shared" si="8"/>
        <v>2023</v>
      </c>
      <c r="F200" s="25" t="str">
        <f>INDATA_FILL_DEMAND!E199</f>
        <v>TTL-C</v>
      </c>
      <c r="I200" s="29">
        <f>IFERROR(ROUNDDOWN(VLOOKUP(F200,INDATA_FILL_DEMAND!$E$4:$F$251,2,FALSE)*IF(E200&lt;2043,1+$N$8,1+$O$8),4),"")</f>
        <v>0</v>
      </c>
    </row>
    <row r="201" spans="4:9" x14ac:dyDescent="0.3">
      <c r="D201" s="26" t="str">
        <f t="shared" si="7"/>
        <v>*</v>
      </c>
      <c r="E201" s="10">
        <f t="shared" si="8"/>
        <v>2023</v>
      </c>
      <c r="F201" s="25" t="str">
        <f>INDATA_FILL_DEMAND!E200</f>
        <v>TTM</v>
      </c>
      <c r="I201" s="29">
        <f>IFERROR(ROUNDDOWN(VLOOKUP(F201,INDATA_FILL_DEMAND!$E$4:$F$251,2,FALSE)*IF(E201&lt;2043,1+$N$8,1+$O$8),4),"")</f>
        <v>0</v>
      </c>
    </row>
    <row r="202" spans="4:9" x14ac:dyDescent="0.3">
      <c r="D202" s="26" t="str">
        <f t="shared" si="7"/>
        <v>*</v>
      </c>
      <c r="E202" s="10">
        <f t="shared" si="8"/>
        <v>2023</v>
      </c>
      <c r="F202" s="25" t="str">
        <f>INDATA_FILL_DEMAND!E201</f>
        <v>TTM-C</v>
      </c>
      <c r="I202" s="29">
        <f>IFERROR(ROUNDDOWN(VLOOKUP(F202,INDATA_FILL_DEMAND!$E$4:$F$251,2,FALSE)*IF(E202&lt;2043,1+$N$8,1+$O$8),4),"")</f>
        <v>0</v>
      </c>
    </row>
    <row r="203" spans="4:9" x14ac:dyDescent="0.3">
      <c r="D203" s="26" t="str">
        <f t="shared" si="7"/>
        <v>*</v>
      </c>
      <c r="E203" s="10">
        <f t="shared" si="8"/>
        <v>2023</v>
      </c>
      <c r="F203" s="25" t="str">
        <f>INDATA_FILL_DEMAND!E202</f>
        <v>TTP</v>
      </c>
      <c r="I203" s="29">
        <f>IFERROR(ROUNDDOWN(VLOOKUP(F203,INDATA_FILL_DEMAND!$E$4:$F$251,2,FALSE)*IF(E203&lt;2043,1+$N$8,1+$O$8),4),"")</f>
        <v>0</v>
      </c>
    </row>
    <row r="204" spans="4:9" x14ac:dyDescent="0.3">
      <c r="D204" s="26" t="str">
        <f t="shared" si="7"/>
        <v>*</v>
      </c>
      <c r="E204" s="10">
        <f t="shared" si="8"/>
        <v>2023</v>
      </c>
      <c r="F204" s="25" t="str">
        <f>INDATA_FILL_DEMAND!E203</f>
        <v>TTP-C</v>
      </c>
      <c r="I204" s="29">
        <f>IFERROR(ROUNDDOWN(VLOOKUP(F204,INDATA_FILL_DEMAND!$E$4:$F$251,2,FALSE)*IF(E204&lt;2043,1+$N$8,1+$O$8),4),"")</f>
        <v>0</v>
      </c>
    </row>
    <row r="205" spans="4:9" x14ac:dyDescent="0.3">
      <c r="D205" s="26" t="str">
        <f t="shared" si="7"/>
        <v>*</v>
      </c>
      <c r="E205" s="10">
        <f t="shared" si="8"/>
        <v>2023</v>
      </c>
      <c r="F205" s="25" t="str">
        <f>INDATA_FILL_DEMAND!E204</f>
        <v>TWN</v>
      </c>
      <c r="I205" s="29">
        <f>IFERROR(ROUNDDOWN(VLOOKUP(F205,INDATA_FILL_DEMAND!$E$4:$F$251,2,FALSE)*IF(E205&lt;2043,1+$N$8,1+$O$8),4),"")</f>
        <v>0</v>
      </c>
    </row>
    <row r="206" spans="4:9" x14ac:dyDescent="0.3">
      <c r="D206" s="26" t="str">
        <f t="shared" ref="D206:D269" si="9">IF(AND(ISNUMBER(I206),I206&gt;0),"Demand","*")</f>
        <v>*</v>
      </c>
      <c r="E206" s="10">
        <f t="shared" si="8"/>
        <v>2023</v>
      </c>
      <c r="F206" s="25" t="str">
        <f>INDATA_FILL_DEMAND!E205</f>
        <v>TWN-C</v>
      </c>
      <c r="I206" s="29">
        <f>IFERROR(ROUNDDOWN(VLOOKUP(F206,INDATA_FILL_DEMAND!$E$4:$F$251,2,FALSE)*IF(E206&lt;2043,1+$N$8,1+$O$8),4),"")</f>
        <v>0</v>
      </c>
    </row>
    <row r="207" spans="4:9" x14ac:dyDescent="0.3">
      <c r="D207" s="26" t="str">
        <f t="shared" si="9"/>
        <v>*</v>
      </c>
      <c r="E207" s="10">
        <f t="shared" si="8"/>
        <v>2023</v>
      </c>
      <c r="F207" s="25" t="str">
        <f>INDATA_FILL_DEMAND!E206</f>
        <v>TYEP</v>
      </c>
      <c r="I207" s="29">
        <f>IFERROR(ROUNDDOWN(VLOOKUP(F207,INDATA_FILL_DEMAND!$E$4:$F$251,2,FALSE)*IF(E207&lt;2043,1+$N$8,1+$O$8),4),"")</f>
        <v>0</v>
      </c>
    </row>
    <row r="208" spans="4:9" x14ac:dyDescent="0.3">
      <c r="D208" s="26" t="str">
        <f t="shared" si="9"/>
        <v>*</v>
      </c>
      <c r="E208" s="10">
        <f t="shared" si="8"/>
        <v>2023</v>
      </c>
      <c r="F208" s="25" t="str">
        <f>INDATA_FILL_DEMAND!E207</f>
        <v>TYEP-C</v>
      </c>
      <c r="I208" s="29">
        <f>IFERROR(ROUNDDOWN(VLOOKUP(F208,INDATA_FILL_DEMAND!$E$4:$F$251,2,FALSE)*IF(E208&lt;2043,1+$N$8,1+$O$8),4),"")</f>
        <v>0</v>
      </c>
    </row>
    <row r="209" spans="4:9" x14ac:dyDescent="0.3">
      <c r="D209" s="26" t="str">
        <f t="shared" si="9"/>
        <v>*</v>
      </c>
      <c r="E209" s="10">
        <f t="shared" si="8"/>
        <v>2023</v>
      </c>
      <c r="F209" s="25" t="str">
        <f>INDATA_FILL_DEMAND!E208</f>
        <v>TYNP</v>
      </c>
      <c r="I209" s="29">
        <f>IFERROR(ROUNDDOWN(VLOOKUP(F209,INDATA_FILL_DEMAND!$E$4:$F$251,2,FALSE)*IF(E209&lt;2043,1+$N$8,1+$O$8),4),"")</f>
        <v>0</v>
      </c>
    </row>
    <row r="210" spans="4:9" x14ac:dyDescent="0.3">
      <c r="D210" s="26" t="str">
        <f t="shared" si="9"/>
        <v>*</v>
      </c>
      <c r="E210" s="10">
        <f t="shared" si="8"/>
        <v>2023</v>
      </c>
      <c r="F210" s="25" t="str">
        <f>INDATA_FILL_DEMAND!E209</f>
        <v>TYNP-C</v>
      </c>
      <c r="I210" s="29">
        <f>IFERROR(ROUNDDOWN(VLOOKUP(F210,INDATA_FILL_DEMAND!$E$4:$F$251,2,FALSE)*IF(E210&lt;2043,1+$N$8,1+$O$8),4),"")</f>
        <v>0</v>
      </c>
    </row>
    <row r="211" spans="4:9" x14ac:dyDescent="0.3">
      <c r="D211" s="26" t="str">
        <f t="shared" si="9"/>
        <v>*</v>
      </c>
      <c r="E211" s="10">
        <f t="shared" si="8"/>
        <v>2023</v>
      </c>
      <c r="F211" s="25" t="str">
        <f>INDATA_FILL_DEMAND!E210</f>
        <v>TLEF</v>
      </c>
      <c r="I211" s="29">
        <f>IFERROR(ROUNDDOWN(VLOOKUP(F211,INDATA_FILL_DEMAND!$E$4:$F$251,2,FALSE)*IF(E211&lt;2043,1+$N$8,1+$O$8),4),"")</f>
        <v>0</v>
      </c>
    </row>
    <row r="212" spans="4:9" x14ac:dyDescent="0.3">
      <c r="D212" s="26" t="str">
        <f t="shared" si="9"/>
        <v>*</v>
      </c>
      <c r="E212" s="10">
        <f t="shared" si="8"/>
        <v>2023</v>
      </c>
      <c r="F212" s="25" t="str">
        <f>INDATA_FILL_DEMAND!E211</f>
        <v>TLEF-C</v>
      </c>
      <c r="I212" s="29">
        <f>IFERROR(ROUNDDOWN(VLOOKUP(F212,INDATA_FILL_DEMAND!$E$4:$F$251,2,FALSE)*IF(E212&lt;2043,1+$N$8,1+$O$8),4),"")</f>
        <v>0</v>
      </c>
    </row>
    <row r="213" spans="4:9" x14ac:dyDescent="0.3">
      <c r="D213" s="26" t="str">
        <f t="shared" si="9"/>
        <v>*</v>
      </c>
      <c r="E213" s="10">
        <f t="shared" si="8"/>
        <v>2023</v>
      </c>
      <c r="F213" s="25" t="str">
        <f>INDATA_FILL_DEMAND!E212</f>
        <v>TFLL</v>
      </c>
      <c r="I213" s="29">
        <f>IFERROR(ROUNDDOWN(VLOOKUP(F213,INDATA_FILL_DEMAND!$E$4:$F$251,2,FALSE)*IF(E213&lt;2043,1+$N$8,1+$O$8),4),"")</f>
        <v>0</v>
      </c>
    </row>
    <row r="214" spans="4:9" x14ac:dyDescent="0.3">
      <c r="D214" s="26" t="str">
        <f t="shared" si="9"/>
        <v>*</v>
      </c>
      <c r="E214" s="10">
        <f t="shared" si="8"/>
        <v>2023</v>
      </c>
      <c r="F214" s="25" t="str">
        <f>INDATA_FILL_DEMAND!E213</f>
        <v>TFLL-C</v>
      </c>
      <c r="I214" s="29">
        <f>IFERROR(ROUNDDOWN(VLOOKUP(F214,INDATA_FILL_DEMAND!$E$4:$F$251,2,FALSE)*IF(E214&lt;2043,1+$N$8,1+$O$8),4),"")</f>
        <v>0</v>
      </c>
    </row>
    <row r="215" spans="4:9" x14ac:dyDescent="0.3">
      <c r="D215" s="26" t="str">
        <f t="shared" si="9"/>
        <v>*</v>
      </c>
      <c r="E215" s="10">
        <f t="shared" si="8"/>
        <v>2023</v>
      </c>
      <c r="F215" s="25" t="str">
        <f>INDATA_FILL_DEMAND!E214</f>
        <v>TFLS</v>
      </c>
      <c r="I215" s="29">
        <f>IFERROR(ROUNDDOWN(VLOOKUP(F215,INDATA_FILL_DEMAND!$E$4:$F$251,2,FALSE)*IF(E215&lt;2043,1+$N$8,1+$O$8),4),"")</f>
        <v>0</v>
      </c>
    </row>
    <row r="216" spans="4:9" x14ac:dyDescent="0.3">
      <c r="D216" s="26" t="str">
        <f t="shared" si="9"/>
        <v>*</v>
      </c>
      <c r="E216" s="10">
        <f t="shared" si="8"/>
        <v>2023</v>
      </c>
      <c r="F216" s="25" t="str">
        <f>INDATA_FILL_DEMAND!E215</f>
        <v>TFLS-C</v>
      </c>
      <c r="I216" s="29">
        <f>IFERROR(ROUNDDOWN(VLOOKUP(F216,INDATA_FILL_DEMAND!$E$4:$F$251,2,FALSE)*IF(E216&lt;2043,1+$N$8,1+$O$8),4),"")</f>
        <v>0</v>
      </c>
    </row>
    <row r="217" spans="4:9" x14ac:dyDescent="0.3">
      <c r="D217" s="26" t="str">
        <f t="shared" si="9"/>
        <v>*</v>
      </c>
      <c r="E217" s="10">
        <f t="shared" si="8"/>
        <v>2023</v>
      </c>
      <c r="F217" s="25" t="str">
        <f>INDATA_FILL_DEMAND!E216</f>
        <v>TFML</v>
      </c>
      <c r="I217" s="29">
        <f>IFERROR(ROUNDDOWN(VLOOKUP(F217,INDATA_FILL_DEMAND!$E$4:$F$251,2,FALSE)*IF(E217&lt;2043,1+$N$8,1+$O$8),4),"")</f>
        <v>0</v>
      </c>
    </row>
    <row r="218" spans="4:9" x14ac:dyDescent="0.3">
      <c r="D218" s="26" t="str">
        <f t="shared" si="9"/>
        <v>*</v>
      </c>
      <c r="E218" s="10">
        <f t="shared" si="8"/>
        <v>2023</v>
      </c>
      <c r="F218" s="25" t="str">
        <f>INDATA_FILL_DEMAND!E217</f>
        <v>TFML-C</v>
      </c>
      <c r="I218" s="29">
        <f>IFERROR(ROUNDDOWN(VLOOKUP(F218,INDATA_FILL_DEMAND!$E$4:$F$251,2,FALSE)*IF(E218&lt;2043,1+$N$8,1+$O$8),4),"")</f>
        <v>0</v>
      </c>
    </row>
    <row r="219" spans="4:9" x14ac:dyDescent="0.3">
      <c r="D219" s="26" t="str">
        <f t="shared" si="9"/>
        <v>*</v>
      </c>
      <c r="E219" s="10">
        <f t="shared" si="8"/>
        <v>2023</v>
      </c>
      <c r="F219" s="25" t="str">
        <f>INDATA_FILL_DEMAND!E218</f>
        <v>TFMS</v>
      </c>
      <c r="I219" s="29">
        <f>IFERROR(ROUNDDOWN(VLOOKUP(F219,INDATA_FILL_DEMAND!$E$4:$F$251,2,FALSE)*IF(E219&lt;2043,1+$N$8,1+$O$8),4),"")</f>
        <v>0</v>
      </c>
    </row>
    <row r="220" spans="4:9" x14ac:dyDescent="0.3">
      <c r="D220" s="26" t="str">
        <f t="shared" si="9"/>
        <v>*</v>
      </c>
      <c r="E220" s="10">
        <f t="shared" si="8"/>
        <v>2023</v>
      </c>
      <c r="F220" s="25" t="str">
        <f>INDATA_FILL_DEMAND!E219</f>
        <v>TFMS-C</v>
      </c>
      <c r="I220" s="29">
        <f>IFERROR(ROUNDDOWN(VLOOKUP(F220,INDATA_FILL_DEMAND!$E$4:$F$251,2,FALSE)*IF(E220&lt;2043,1+$N$8,1+$O$8),4),"")</f>
        <v>0</v>
      </c>
    </row>
    <row r="221" spans="4:9" x14ac:dyDescent="0.3">
      <c r="D221" s="26" t="str">
        <f t="shared" si="9"/>
        <v>*</v>
      </c>
      <c r="E221" s="10">
        <f t="shared" si="8"/>
        <v>2023</v>
      </c>
      <c r="F221" s="25" t="str">
        <f>INDATA_FILL_DEMAND!E220</f>
        <v>TFRL</v>
      </c>
      <c r="I221" s="29">
        <f>IFERROR(ROUNDDOWN(VLOOKUP(F221,INDATA_FILL_DEMAND!$E$4:$F$251,2,FALSE)*IF(E221&lt;2043,1+$N$8,1+$O$8),4),"")</f>
        <v>0</v>
      </c>
    </row>
    <row r="222" spans="4:9" x14ac:dyDescent="0.3">
      <c r="D222" s="26" t="str">
        <f t="shared" si="9"/>
        <v>*</v>
      </c>
      <c r="E222" s="10">
        <f t="shared" si="8"/>
        <v>2023</v>
      </c>
      <c r="F222" s="25" t="str">
        <f>INDATA_FILL_DEMAND!E221</f>
        <v>TFRL-C</v>
      </c>
      <c r="I222" s="29">
        <f>IFERROR(ROUNDDOWN(VLOOKUP(F222,INDATA_FILL_DEMAND!$E$4:$F$251,2,FALSE)*IF(E222&lt;2043,1+$N$8,1+$O$8),4),"")</f>
        <v>0</v>
      </c>
    </row>
    <row r="223" spans="4:9" x14ac:dyDescent="0.3">
      <c r="D223" s="26" t="str">
        <f t="shared" si="9"/>
        <v>*</v>
      </c>
      <c r="E223" s="10">
        <f t="shared" si="8"/>
        <v>2023</v>
      </c>
      <c r="F223" s="25" t="str">
        <f>INDATA_FILL_DEMAND!E222</f>
        <v>TFRS</v>
      </c>
      <c r="I223" s="29">
        <f>IFERROR(ROUNDDOWN(VLOOKUP(F223,INDATA_FILL_DEMAND!$E$4:$F$251,2,FALSE)*IF(E223&lt;2043,1+$N$8,1+$O$8),4),"")</f>
        <v>0</v>
      </c>
    </row>
    <row r="224" spans="4:9" x14ac:dyDescent="0.3">
      <c r="D224" s="26" t="str">
        <f t="shared" si="9"/>
        <v>*</v>
      </c>
      <c r="E224" s="10">
        <f t="shared" si="8"/>
        <v>2023</v>
      </c>
      <c r="F224" s="25" t="str">
        <f>INDATA_FILL_DEMAND!E223</f>
        <v>TFRS-C</v>
      </c>
      <c r="I224" s="29">
        <f>IFERROR(ROUNDDOWN(VLOOKUP(F224,INDATA_FILL_DEMAND!$E$4:$F$251,2,FALSE)*IF(E224&lt;2043,1+$N$8,1+$O$8),4),"")</f>
        <v>0</v>
      </c>
    </row>
    <row r="225" spans="4:9" x14ac:dyDescent="0.3">
      <c r="D225" s="26" t="str">
        <f t="shared" si="9"/>
        <v>*</v>
      </c>
      <c r="E225" s="10">
        <f t="shared" si="8"/>
        <v>2023</v>
      </c>
      <c r="F225" s="25" t="str">
        <f>INDATA_FILL_DEMAND!E224</f>
        <v>TNB</v>
      </c>
      <c r="I225" s="29">
        <f>IFERROR(ROUNDDOWN(VLOOKUP(F225,INDATA_FILL_DEMAND!$E$4:$F$251,2,FALSE)*IF(E225&lt;2043,1+$N$8,1+$O$8),4),"")</f>
        <v>0</v>
      </c>
    </row>
    <row r="226" spans="4:9" x14ac:dyDescent="0.3">
      <c r="D226" s="26" t="str">
        <f t="shared" si="9"/>
        <v>*</v>
      </c>
      <c r="E226" s="10">
        <f t="shared" si="8"/>
        <v>2023</v>
      </c>
      <c r="F226" s="25" t="str">
        <f>INDATA_FILL_DEMAND!E225</f>
        <v>TNB-C</v>
      </c>
      <c r="I226" s="29">
        <f>IFERROR(ROUNDDOWN(VLOOKUP(F226,INDATA_FILL_DEMAND!$E$4:$F$251,2,FALSE)*IF(E226&lt;2043,1+$N$8,1+$O$8),4),"")</f>
        <v>0</v>
      </c>
    </row>
    <row r="227" spans="4:9" x14ac:dyDescent="0.3">
      <c r="D227" s="26" t="str">
        <f t="shared" si="9"/>
        <v>*</v>
      </c>
      <c r="E227" s="10">
        <f t="shared" si="8"/>
        <v>2023</v>
      </c>
      <c r="F227" s="25" t="str">
        <f>INDATA_FILL_DEMAND!E226</f>
        <v>TOV</v>
      </c>
      <c r="I227" s="29">
        <f>IFERROR(ROUNDDOWN(VLOOKUP(F227,INDATA_FILL_DEMAND!$E$4:$F$251,2,FALSE)*IF(E227&lt;2043,1+$N$8,1+$O$8),4),"")</f>
        <v>0</v>
      </c>
    </row>
    <row r="228" spans="4:9" x14ac:dyDescent="0.3">
      <c r="D228" s="26" t="str">
        <f t="shared" si="9"/>
        <v>*</v>
      </c>
      <c r="E228" s="10">
        <f t="shared" si="8"/>
        <v>2023</v>
      </c>
      <c r="F228" s="25" t="str">
        <f>INDATA_FILL_DEMAND!E227</f>
        <v>TOV-C</v>
      </c>
      <c r="I228" s="29">
        <f>IFERROR(ROUNDDOWN(VLOOKUP(F228,INDATA_FILL_DEMAND!$E$4:$F$251,2,FALSE)*IF(E228&lt;2043,1+$N$8,1+$O$8),4),"")</f>
        <v>0</v>
      </c>
    </row>
    <row r="229" spans="4:9" x14ac:dyDescent="0.3">
      <c r="D229" s="26" t="str">
        <f t="shared" si="9"/>
        <v>*</v>
      </c>
      <c r="E229" s="10">
        <f t="shared" si="8"/>
        <v>2023</v>
      </c>
      <c r="F229" s="25" t="str">
        <f>INDATA_FILL_DEMAND!E228</f>
        <v>TTF</v>
      </c>
      <c r="I229" s="29">
        <f>IFERROR(ROUNDDOWN(VLOOKUP(F229,INDATA_FILL_DEMAND!$E$4:$F$251,2,FALSE)*IF(E229&lt;2043,1+$N$8,1+$O$8),4),"")</f>
        <v>0</v>
      </c>
    </row>
    <row r="230" spans="4:9" x14ac:dyDescent="0.3">
      <c r="D230" s="26" t="str">
        <f t="shared" si="9"/>
        <v>*</v>
      </c>
      <c r="E230" s="10">
        <f t="shared" si="8"/>
        <v>2023</v>
      </c>
      <c r="F230" s="25" t="str">
        <f>INDATA_FILL_DEMAND!E229</f>
        <v>TTF-C</v>
      </c>
      <c r="I230" s="29">
        <f>IFERROR(ROUNDDOWN(VLOOKUP(F230,INDATA_FILL_DEMAND!$E$4:$F$251,2,FALSE)*IF(E230&lt;2043,1+$N$8,1+$O$8),4),"")</f>
        <v>0</v>
      </c>
    </row>
    <row r="231" spans="4:9" x14ac:dyDescent="0.3">
      <c r="D231" s="26" t="str">
        <f t="shared" si="9"/>
        <v>*</v>
      </c>
      <c r="E231" s="10">
        <f t="shared" si="8"/>
        <v>2023</v>
      </c>
      <c r="F231" s="25" t="str">
        <f>INDATA_FILL_DEMAND!E230</f>
        <v>TYEF</v>
      </c>
      <c r="I231" s="29">
        <f>IFERROR(ROUNDDOWN(VLOOKUP(F231,INDATA_FILL_DEMAND!$E$4:$F$251,2,FALSE)*IF(E231&lt;2043,1+$N$8,1+$O$8),4),"")</f>
        <v>0</v>
      </c>
    </row>
    <row r="232" spans="4:9" x14ac:dyDescent="0.3">
      <c r="D232" s="26" t="str">
        <f t="shared" si="9"/>
        <v>*</v>
      </c>
      <c r="E232" s="10">
        <f t="shared" si="8"/>
        <v>2023</v>
      </c>
      <c r="F232" s="25" t="str">
        <f>INDATA_FILL_DEMAND!E231</f>
        <v>TYEF-C</v>
      </c>
      <c r="I232" s="29">
        <f>IFERROR(ROUNDDOWN(VLOOKUP(F232,INDATA_FILL_DEMAND!$E$4:$F$251,2,FALSE)*IF(E232&lt;2043,1+$N$8,1+$O$8),4),"")</f>
        <v>0</v>
      </c>
    </row>
    <row r="233" spans="4:9" x14ac:dyDescent="0.3">
      <c r="D233" s="26" t="str">
        <f t="shared" si="9"/>
        <v>*</v>
      </c>
      <c r="E233" s="10">
        <f t="shared" si="8"/>
        <v>2023</v>
      </c>
      <c r="F233" s="25" t="str">
        <f>INDATA_FILL_DEMAND!E232</f>
        <v>TYNF</v>
      </c>
      <c r="I233" s="29">
        <f>IFERROR(ROUNDDOWN(VLOOKUP(F233,INDATA_FILL_DEMAND!$E$4:$F$251,2,FALSE)*IF(E233&lt;2043,1+$N$8,1+$O$8),4),"")</f>
        <v>0</v>
      </c>
    </row>
    <row r="234" spans="4:9" x14ac:dyDescent="0.3">
      <c r="D234" s="26" t="str">
        <f t="shared" si="9"/>
        <v>*</v>
      </c>
      <c r="E234" s="10">
        <f t="shared" si="8"/>
        <v>2023</v>
      </c>
      <c r="F234" s="25" t="str">
        <f>INDATA_FILL_DEMAND!E233</f>
        <v>TYNF-C</v>
      </c>
      <c r="I234" s="29">
        <f>IFERROR(ROUNDDOWN(VLOOKUP(F234,INDATA_FILL_DEMAND!$E$4:$F$251,2,FALSE)*IF(E234&lt;2043,1+$N$8,1+$O$8),4),"")</f>
        <v>0</v>
      </c>
    </row>
    <row r="235" spans="4:9" x14ac:dyDescent="0.3">
      <c r="D235" s="26" t="str">
        <f t="shared" si="9"/>
        <v>Demand</v>
      </c>
      <c r="E235" s="10">
        <f t="shared" si="8"/>
        <v>2023</v>
      </c>
      <c r="F235" s="25" t="str">
        <f>INDATA_FILL_DEMAND!E234</f>
        <v>PLIG</v>
      </c>
      <c r="I235" s="29">
        <f>IFERROR(ROUNDDOWN(VLOOKUP(F235,INDATA_FILL_DEMAND!$E$4:$F$251,2,FALSE)*IF(E235&lt;2043,1+$N$8,1+$O$8),4),"")</f>
        <v>13.234999999999999</v>
      </c>
    </row>
    <row r="236" spans="4:9" x14ac:dyDescent="0.3">
      <c r="D236" s="26" t="str">
        <f t="shared" si="9"/>
        <v>*</v>
      </c>
      <c r="E236" s="10">
        <f t="shared" si="8"/>
        <v>2023</v>
      </c>
      <c r="F236" s="25" t="str">
        <f>INDATA_FILL_DEMAND!E235</f>
        <v>IDA</v>
      </c>
      <c r="I236" s="29">
        <f>IFERROR(ROUNDDOWN(VLOOKUP(F236,INDATA_FILL_DEMAND!$E$4:$F$251,2,FALSE)*IF(E236&lt;2043,1+$N$8,1+$O$8),4),"")</f>
        <v>0</v>
      </c>
    </row>
    <row r="237" spans="4:9" x14ac:dyDescent="0.3">
      <c r="D237" s="26" t="str">
        <f t="shared" si="9"/>
        <v>*</v>
      </c>
      <c r="E237" s="10">
        <f t="shared" si="8"/>
        <v>2023</v>
      </c>
      <c r="F237" s="25" t="str">
        <f>INDATA_FILL_DEMAND!E236</f>
        <v>IDB</v>
      </c>
      <c r="I237" s="29">
        <f>IFERROR(ROUNDDOWN(VLOOKUP(F237,INDATA_FILL_DEMAND!$E$4:$F$251,2,FALSE)*IF(E237&lt;2043,1+$N$8,1+$O$8),4),"")</f>
        <v>0</v>
      </c>
    </row>
    <row r="238" spans="4:9" x14ac:dyDescent="0.3">
      <c r="D238" s="26" t="str">
        <f t="shared" si="9"/>
        <v>*</v>
      </c>
      <c r="E238" s="10">
        <f t="shared" si="8"/>
        <v>2023</v>
      </c>
      <c r="F238" s="25" t="str">
        <f>INDATA_FILL_DEMAND!E237</f>
        <v>IDC</v>
      </c>
      <c r="I238" s="29">
        <f>IFERROR(ROUNDDOWN(VLOOKUP(F238,INDATA_FILL_DEMAND!$E$4:$F$251,2,FALSE)*IF(E238&lt;2043,1+$N$8,1+$O$8),4),"")</f>
        <v>0</v>
      </c>
    </row>
    <row r="239" spans="4:9" x14ac:dyDescent="0.3">
      <c r="D239" s="26" t="str">
        <f t="shared" si="9"/>
        <v>*</v>
      </c>
      <c r="E239" s="10">
        <f t="shared" si="8"/>
        <v>2023</v>
      </c>
      <c r="F239" s="25" t="str">
        <f>INDATA_FILL_DEMAND!E238</f>
        <v>IDD</v>
      </c>
      <c r="I239" s="29">
        <f>IFERROR(ROUNDDOWN(VLOOKUP(F239,INDATA_FILL_DEMAND!$E$4:$F$251,2,FALSE)*IF(E239&lt;2043,1+$N$8,1+$O$8),4),"")</f>
        <v>0</v>
      </c>
    </row>
    <row r="240" spans="4:9" x14ac:dyDescent="0.3">
      <c r="D240" s="26" t="str">
        <f t="shared" si="9"/>
        <v>*</v>
      </c>
      <c r="E240" s="10">
        <f t="shared" si="8"/>
        <v>2023</v>
      </c>
      <c r="F240" s="25" t="str">
        <f>INDATA_FILL_DEMAND!E239</f>
        <v>IDE</v>
      </c>
      <c r="I240" s="29">
        <f>IFERROR(ROUNDDOWN(VLOOKUP(F240,INDATA_FILL_DEMAND!$E$4:$F$251,2,FALSE)*IF(E240&lt;2043,1+$N$8,1+$O$8),4),"")</f>
        <v>0</v>
      </c>
    </row>
    <row r="241" spans="4:16" x14ac:dyDescent="0.3">
      <c r="D241" s="26" t="str">
        <f t="shared" si="9"/>
        <v>*</v>
      </c>
      <c r="E241" s="10">
        <f t="shared" si="8"/>
        <v>2023</v>
      </c>
      <c r="F241" s="25" t="str">
        <f>INDATA_FILL_DEMAND!E240</f>
        <v>IDF</v>
      </c>
      <c r="I241" s="29">
        <f>IFERROR(ROUNDDOWN(VLOOKUP(F241,INDATA_FILL_DEMAND!$E$4:$F$251,2,FALSE)*IF(E241&lt;2043,1+$N$8,1+$O$8),4),"")</f>
        <v>0</v>
      </c>
    </row>
    <row r="242" spans="4:16" x14ac:dyDescent="0.3">
      <c r="D242" s="26" t="str">
        <f t="shared" si="9"/>
        <v>*</v>
      </c>
      <c r="E242" s="10">
        <f t="shared" si="8"/>
        <v>2023</v>
      </c>
      <c r="F242" s="25" t="str">
        <f>INDATA_FILL_DEMAND!E241</f>
        <v>IDG</v>
      </c>
      <c r="I242" s="29">
        <f>IFERROR(ROUNDDOWN(VLOOKUP(F242,INDATA_FILL_DEMAND!$E$4:$F$251,2,FALSE)*IF(E242&lt;2043,1+$N$8,1+$O$8),4),"")</f>
        <v>0</v>
      </c>
    </row>
    <row r="243" spans="4:16" x14ac:dyDescent="0.3">
      <c r="D243" s="26" t="str">
        <f t="shared" si="9"/>
        <v>*</v>
      </c>
      <c r="E243" s="10">
        <f t="shared" si="8"/>
        <v>2023</v>
      </c>
      <c r="F243" s="25" t="str">
        <f>INDATA_FILL_DEMAND!E242</f>
        <v>IDH</v>
      </c>
      <c r="I243" s="29">
        <f>IFERROR(ROUNDDOWN(VLOOKUP(F243,INDATA_FILL_DEMAND!$E$4:$F$251,2,FALSE)*IF(E243&lt;2043,1+$N$8,1+$O$8),4),"")</f>
        <v>0</v>
      </c>
    </row>
    <row r="244" spans="4:16" x14ac:dyDescent="0.3">
      <c r="D244" s="26" t="str">
        <f t="shared" si="9"/>
        <v>*</v>
      </c>
      <c r="E244" s="10">
        <f t="shared" si="8"/>
        <v>2023</v>
      </c>
      <c r="F244" s="25" t="str">
        <f>INDATA_FILL_DEMAND!E243</f>
        <v>WAT</v>
      </c>
      <c r="I244" s="29">
        <f>IFERROR(ROUNDDOWN(VLOOKUP(F244,INDATA_FILL_DEMAND!$E$4:$F$251,2,FALSE)*IF(E244&lt;2043,1+$N$8,1+$O$8),4),"")</f>
        <v>0</v>
      </c>
    </row>
    <row r="245" spans="4:16" x14ac:dyDescent="0.3">
      <c r="D245" s="26" t="str">
        <f t="shared" si="9"/>
        <v>*</v>
      </c>
      <c r="E245" s="10">
        <f t="shared" si="8"/>
        <v>2023</v>
      </c>
      <c r="F245" s="25" t="str">
        <f>INDATA_FILL_DEMAND!E244</f>
        <v>WMSU</v>
      </c>
      <c r="I245" s="29">
        <f>IFERROR(ROUNDDOWN(VLOOKUP(F245,INDATA_FILL_DEMAND!$E$4:$F$251,2,FALSE)*IF(E245&lt;2043,1+$N$8,1+$O$8),4),"")</f>
        <v>0</v>
      </c>
    </row>
    <row r="246" spans="4:16" x14ac:dyDescent="0.3">
      <c r="D246" s="26" t="str">
        <f t="shared" si="9"/>
        <v>*</v>
      </c>
      <c r="E246" s="10">
        <f t="shared" si="8"/>
        <v>2023</v>
      </c>
      <c r="F246" s="25" t="str">
        <f>INDATA_FILL_DEMAND!E245</f>
        <v>WMSR</v>
      </c>
      <c r="I246" s="29">
        <f>IFERROR(ROUNDDOWN(VLOOKUP(F246,INDATA_FILL_DEMAND!$E$4:$F$251,2,FALSE)*IF(E246&lt;2043,1+$N$8,1+$O$8),4),"")</f>
        <v>0</v>
      </c>
    </row>
    <row r="247" spans="4:16" x14ac:dyDescent="0.3">
      <c r="D247" s="26" t="str">
        <f t="shared" si="9"/>
        <v>*</v>
      </c>
      <c r="E247" s="10">
        <f t="shared" si="8"/>
        <v>2023</v>
      </c>
      <c r="F247" s="25" t="str">
        <f>INDATA_FILL_DEMAND!E246</f>
        <v>WMSRPL</v>
      </c>
      <c r="I247" s="29">
        <f>IFERROR(ROUNDDOWN(VLOOKUP(F247,INDATA_FILL_DEMAND!$E$4:$F$251,2,FALSE)*IF(E247&lt;2043,1+$N$8,1+$O$8),4),"")</f>
        <v>0</v>
      </c>
    </row>
    <row r="248" spans="4:16" x14ac:dyDescent="0.3">
      <c r="D248" s="26" t="str">
        <f t="shared" si="9"/>
        <v>*</v>
      </c>
      <c r="E248" s="10">
        <f t="shared" si="8"/>
        <v>2023</v>
      </c>
      <c r="F248" s="25" t="str">
        <f>INDATA_FILL_DEMAND!E247</f>
        <v>WMSRM</v>
      </c>
      <c r="I248" s="29">
        <f>IFERROR(ROUNDDOWN(VLOOKUP(F248,INDATA_FILL_DEMAND!$E$4:$F$251,2,FALSE)*IF(E248&lt;2043,1+$N$8,1+$O$8),4),"")</f>
        <v>0</v>
      </c>
    </row>
    <row r="249" spans="4:16" x14ac:dyDescent="0.3">
      <c r="D249" s="26" t="str">
        <f t="shared" si="9"/>
        <v>*</v>
      </c>
      <c r="E249" s="10">
        <f t="shared" si="8"/>
        <v>2023</v>
      </c>
      <c r="F249" s="25" t="str">
        <f>INDATA_FILL_DEMAND!E248</f>
        <v>WMSRPA</v>
      </c>
      <c r="I249" s="29">
        <f>IFERROR(ROUNDDOWN(VLOOKUP(F249,INDATA_FILL_DEMAND!$E$4:$F$251,2,FALSE)*IF(E249&lt;2043,1+$N$8,1+$O$8),4),"")</f>
        <v>0</v>
      </c>
    </row>
    <row r="250" spans="4:16" x14ac:dyDescent="0.3">
      <c r="D250" s="26" t="str">
        <f t="shared" si="9"/>
        <v>*</v>
      </c>
      <c r="E250" s="10">
        <f t="shared" si="8"/>
        <v>2023</v>
      </c>
      <c r="F250" s="25" t="str">
        <f>INDATA_FILL_DEMAND!E249</f>
        <v>WMSRG</v>
      </c>
      <c r="I250" s="29">
        <f>IFERROR(ROUNDDOWN(VLOOKUP(F250,INDATA_FILL_DEMAND!$E$4:$F$251,2,FALSE)*IF(E250&lt;2043,1+$N$8,1+$O$8),4),"")</f>
        <v>0</v>
      </c>
    </row>
    <row r="251" spans="4:16" x14ac:dyDescent="0.3">
      <c r="D251" s="26" t="str">
        <f t="shared" si="9"/>
        <v>*</v>
      </c>
      <c r="E251" s="10">
        <f t="shared" si="8"/>
        <v>2023</v>
      </c>
      <c r="F251" s="25" t="str">
        <f>INDATA_FILL_DEMAND!E250</f>
        <v>WMSO</v>
      </c>
      <c r="I251" s="29">
        <f>IFERROR(ROUNDDOWN(VLOOKUP(F251,INDATA_FILL_DEMAND!$E$4:$F$251,2,FALSE)*IF(E251&lt;2043,1+$N$8,1+$O$8),4),"")</f>
        <v>0</v>
      </c>
    </row>
    <row r="252" spans="4:16" x14ac:dyDescent="0.3">
      <c r="D252" s="26" t="str">
        <f t="shared" si="9"/>
        <v>*</v>
      </c>
      <c r="E252" s="10">
        <f t="shared" si="8"/>
        <v>2023</v>
      </c>
      <c r="F252" s="25" t="str">
        <f>INDATA_FILL_DEMAND!E251</f>
        <v>WWT</v>
      </c>
      <c r="I252" s="29">
        <f>IFERROR(ROUNDDOWN(VLOOKUP(F252,INDATA_FILL_DEMAND!$E$4:$F$251,2,FALSE)*IF(E252&lt;2043,1+$N$8,1+$O$8),4),"")</f>
        <v>0</v>
      </c>
    </row>
    <row r="253" spans="4:16" x14ac:dyDescent="0.3">
      <c r="D253" s="26" t="str">
        <f t="shared" si="9"/>
        <v>Demand</v>
      </c>
      <c r="E253" s="10">
        <f>E252+10</f>
        <v>2033</v>
      </c>
      <c r="F253" s="25" t="str">
        <f>F5</f>
        <v>RHAPA</v>
      </c>
      <c r="I253" s="29">
        <f>IFERROR(ROUNDDOWN(VLOOKUP(F253,INDATA_FILL_DEMAND!$E$4:$F$251,2,FALSE)*IF(E253&lt;2043,1+$N$8,1+$O$8),4),"")</f>
        <v>7.7511999999999999</v>
      </c>
      <c r="J253" s="28"/>
      <c r="K253" s="28"/>
      <c r="L253" s="28"/>
      <c r="M253" s="28"/>
      <c r="N253" s="28"/>
      <c r="O253" s="28"/>
      <c r="P253" s="28"/>
    </row>
    <row r="254" spans="4:16" x14ac:dyDescent="0.3">
      <c r="D254" s="26" t="str">
        <f t="shared" si="9"/>
        <v>Demand</v>
      </c>
      <c r="E254" s="10">
        <f>E253</f>
        <v>2033</v>
      </c>
      <c r="F254" s="25" t="str">
        <f t="shared" ref="F254:F317" si="10">F6</f>
        <v>RHAPB</v>
      </c>
      <c r="I254" s="29">
        <f>IFERROR(ROUNDDOWN(VLOOKUP(F254,INDATA_FILL_DEMAND!$E$4:$F$251,2,FALSE)*IF(E254&lt;2043,1+$N$8,1+$O$8),4),"")</f>
        <v>10.87</v>
      </c>
    </row>
    <row r="255" spans="4:16" x14ac:dyDescent="0.3">
      <c r="D255" s="26" t="str">
        <f t="shared" si="9"/>
        <v>Demand</v>
      </c>
      <c r="E255" s="10">
        <f t="shared" ref="E255:E318" si="11">E254</f>
        <v>2033</v>
      </c>
      <c r="F255" s="25" t="str">
        <f t="shared" si="10"/>
        <v>RHAPC</v>
      </c>
      <c r="I255" s="29">
        <f>IFERROR(ROUNDDOWN(VLOOKUP(F255,INDATA_FILL_DEMAND!$E$4:$F$251,2,FALSE)*IF(E255&lt;2043,1+$N$8,1+$O$8),4),"")</f>
        <v>165.3903</v>
      </c>
    </row>
    <row r="256" spans="4:16" x14ac:dyDescent="0.3">
      <c r="D256" s="26" t="str">
        <f t="shared" si="9"/>
        <v>Demand</v>
      </c>
      <c r="E256" s="10">
        <f t="shared" si="11"/>
        <v>2033</v>
      </c>
      <c r="F256" s="25" t="str">
        <f t="shared" si="10"/>
        <v>RHAPE</v>
      </c>
      <c r="I256" s="29">
        <f>IFERROR(ROUNDDOWN(VLOOKUP(F256,INDATA_FILL_DEMAND!$E$4:$F$251,2,FALSE)*IF(E256&lt;2043,1+$N$8,1+$O$8),4),"")</f>
        <v>23.391200000000001</v>
      </c>
    </row>
    <row r="257" spans="4:9" x14ac:dyDescent="0.3">
      <c r="D257" s="26" t="str">
        <f t="shared" si="9"/>
        <v>Demand</v>
      </c>
      <c r="E257" s="10">
        <f t="shared" si="11"/>
        <v>2033</v>
      </c>
      <c r="F257" s="25" t="str">
        <f t="shared" si="10"/>
        <v>RHHSA</v>
      </c>
      <c r="I257" s="29">
        <f>IFERROR(ROUNDDOWN(VLOOKUP(F257,INDATA_FILL_DEMAND!$E$4:$F$251,2,FALSE)*IF(E257&lt;2043,1+$N$8,1+$O$8),4),"")</f>
        <v>14.456</v>
      </c>
    </row>
    <row r="258" spans="4:9" x14ac:dyDescent="0.3">
      <c r="D258" s="26" t="str">
        <f t="shared" si="9"/>
        <v>Demand</v>
      </c>
      <c r="E258" s="10">
        <f t="shared" si="11"/>
        <v>2033</v>
      </c>
      <c r="F258" s="25" t="str">
        <f t="shared" si="10"/>
        <v>RHHSB</v>
      </c>
      <c r="I258" s="29">
        <f>IFERROR(ROUNDDOWN(VLOOKUP(F258,INDATA_FILL_DEMAND!$E$4:$F$251,2,FALSE)*IF(E258&lt;2043,1+$N$8,1+$O$8),4),"")</f>
        <v>57.163699999999999</v>
      </c>
    </row>
    <row r="259" spans="4:9" x14ac:dyDescent="0.3">
      <c r="D259" s="26" t="str">
        <f t="shared" si="9"/>
        <v>Demand</v>
      </c>
      <c r="E259" s="10">
        <f t="shared" si="11"/>
        <v>2033</v>
      </c>
      <c r="F259" s="25" t="str">
        <f t="shared" si="10"/>
        <v>RHHSC</v>
      </c>
      <c r="I259" s="29">
        <f>IFERROR(ROUNDDOWN(VLOOKUP(F259,INDATA_FILL_DEMAND!$E$4:$F$251,2,FALSE)*IF(E259&lt;2043,1+$N$8,1+$O$8),4),"")</f>
        <v>335.63119999999998</v>
      </c>
    </row>
    <row r="260" spans="4:9" x14ac:dyDescent="0.3">
      <c r="D260" s="26" t="str">
        <f t="shared" si="9"/>
        <v>Demand</v>
      </c>
      <c r="E260" s="10">
        <f t="shared" si="11"/>
        <v>2033</v>
      </c>
      <c r="F260" s="25" t="str">
        <f t="shared" si="10"/>
        <v>RHHSE</v>
      </c>
      <c r="I260" s="29">
        <f>IFERROR(ROUNDDOWN(VLOOKUP(F260,INDATA_FILL_DEMAND!$E$4:$F$251,2,FALSE)*IF(E260&lt;2043,1+$N$8,1+$O$8),4),"")</f>
        <v>39.408299999999997</v>
      </c>
    </row>
    <row r="261" spans="4:9" x14ac:dyDescent="0.3">
      <c r="D261" s="26" t="str">
        <f t="shared" si="9"/>
        <v>*</v>
      </c>
      <c r="E261" s="10">
        <f t="shared" si="11"/>
        <v>2033</v>
      </c>
      <c r="F261" s="25" t="str">
        <f t="shared" si="10"/>
        <v>RCAPA</v>
      </c>
      <c r="I261" s="29">
        <f>IFERROR(ROUNDDOWN(VLOOKUP(F261,INDATA_FILL_DEMAND!$E$4:$F$251,2,FALSE)*IF(E261&lt;2043,1+$N$8,1+$O$8),4),"")</f>
        <v>0</v>
      </c>
    </row>
    <row r="262" spans="4:9" x14ac:dyDescent="0.3">
      <c r="D262" s="26" t="str">
        <f t="shared" si="9"/>
        <v>*</v>
      </c>
      <c r="E262" s="10">
        <f t="shared" si="11"/>
        <v>2033</v>
      </c>
      <c r="F262" s="25" t="str">
        <f t="shared" si="10"/>
        <v>RCAPB</v>
      </c>
      <c r="I262" s="29">
        <f>IFERROR(ROUNDDOWN(VLOOKUP(F262,INDATA_FILL_DEMAND!$E$4:$F$251,2,FALSE)*IF(E262&lt;2043,1+$N$8,1+$O$8),4),"")</f>
        <v>0</v>
      </c>
    </row>
    <row r="263" spans="4:9" x14ac:dyDescent="0.3">
      <c r="D263" s="26" t="str">
        <f t="shared" si="9"/>
        <v>*</v>
      </c>
      <c r="E263" s="10">
        <f t="shared" si="11"/>
        <v>2033</v>
      </c>
      <c r="F263" s="25" t="str">
        <f t="shared" si="10"/>
        <v>RCAPC</v>
      </c>
      <c r="I263" s="29">
        <f>IFERROR(ROUNDDOWN(VLOOKUP(F263,INDATA_FILL_DEMAND!$E$4:$F$251,2,FALSE)*IF(E263&lt;2043,1+$N$8,1+$O$8),4),"")</f>
        <v>0</v>
      </c>
    </row>
    <row r="264" spans="4:9" x14ac:dyDescent="0.3">
      <c r="D264" s="26" t="str">
        <f t="shared" si="9"/>
        <v>*</v>
      </c>
      <c r="E264" s="10">
        <f t="shared" si="11"/>
        <v>2033</v>
      </c>
      <c r="F264" s="25" t="str">
        <f t="shared" si="10"/>
        <v>RCAPE</v>
      </c>
      <c r="I264" s="29">
        <f>IFERROR(ROUNDDOWN(VLOOKUP(F264,INDATA_FILL_DEMAND!$E$4:$F$251,2,FALSE)*IF(E264&lt;2043,1+$N$8,1+$O$8),4),"")</f>
        <v>0</v>
      </c>
    </row>
    <row r="265" spans="4:9" x14ac:dyDescent="0.3">
      <c r="D265" s="26" t="str">
        <f t="shared" si="9"/>
        <v>*</v>
      </c>
      <c r="E265" s="10">
        <f t="shared" si="11"/>
        <v>2033</v>
      </c>
      <c r="F265" s="25" t="str">
        <f t="shared" si="10"/>
        <v>RCHSA</v>
      </c>
      <c r="I265" s="29">
        <f>IFERROR(ROUNDDOWN(VLOOKUP(F265,INDATA_FILL_DEMAND!$E$4:$F$251,2,FALSE)*IF(E265&lt;2043,1+$N$8,1+$O$8),4),"")</f>
        <v>0</v>
      </c>
    </row>
    <row r="266" spans="4:9" x14ac:dyDescent="0.3">
      <c r="D266" s="26" t="str">
        <f t="shared" si="9"/>
        <v>*</v>
      </c>
      <c r="E266" s="10">
        <f t="shared" si="11"/>
        <v>2033</v>
      </c>
      <c r="F266" s="25" t="str">
        <f t="shared" si="10"/>
        <v>RCHSB</v>
      </c>
      <c r="I266" s="29">
        <f>IFERROR(ROUNDDOWN(VLOOKUP(F266,INDATA_FILL_DEMAND!$E$4:$F$251,2,FALSE)*IF(E266&lt;2043,1+$N$8,1+$O$8),4),"")</f>
        <v>0</v>
      </c>
    </row>
    <row r="267" spans="4:9" x14ac:dyDescent="0.3">
      <c r="D267" s="26" t="str">
        <f t="shared" si="9"/>
        <v>*</v>
      </c>
      <c r="E267" s="10">
        <f t="shared" si="11"/>
        <v>2033</v>
      </c>
      <c r="F267" s="25" t="str">
        <f t="shared" si="10"/>
        <v>RCHSC</v>
      </c>
      <c r="I267" s="29">
        <f>IFERROR(ROUNDDOWN(VLOOKUP(F267,INDATA_FILL_DEMAND!$E$4:$F$251,2,FALSE)*IF(E267&lt;2043,1+$N$8,1+$O$8),4),"")</f>
        <v>0</v>
      </c>
    </row>
    <row r="268" spans="4:9" x14ac:dyDescent="0.3">
      <c r="D268" s="26" t="str">
        <f t="shared" si="9"/>
        <v>*</v>
      </c>
      <c r="E268" s="10">
        <f t="shared" si="11"/>
        <v>2033</v>
      </c>
      <c r="F268" s="25" t="str">
        <f t="shared" si="10"/>
        <v>RCHSE</v>
      </c>
      <c r="I268" s="29">
        <f>IFERROR(ROUNDDOWN(VLOOKUP(F268,INDATA_FILL_DEMAND!$E$4:$F$251,2,FALSE)*IF(E268&lt;2043,1+$N$8,1+$O$8),4),"")</f>
        <v>0</v>
      </c>
    </row>
    <row r="269" spans="4:9" x14ac:dyDescent="0.3">
      <c r="D269" s="26" t="str">
        <f t="shared" si="9"/>
        <v>Demand</v>
      </c>
      <c r="E269" s="10">
        <f t="shared" si="11"/>
        <v>2033</v>
      </c>
      <c r="F269" s="25" t="str">
        <f t="shared" si="10"/>
        <v>RWAPA</v>
      </c>
      <c r="I269" s="29">
        <f>IFERROR(ROUNDDOWN(VLOOKUP(F269,INDATA_FILL_DEMAND!$E$4:$F$251,2,FALSE)*IF(E269&lt;2043,1+$N$8,1+$O$8),4),"")</f>
        <v>1.8964000000000001</v>
      </c>
    </row>
    <row r="270" spans="4:9" x14ac:dyDescent="0.3">
      <c r="D270" s="26" t="str">
        <f t="shared" ref="D270:D333" si="12">IF(AND(ISNUMBER(I270),I270&gt;0),"Demand","*")</f>
        <v>Demand</v>
      </c>
      <c r="E270" s="10">
        <f t="shared" si="11"/>
        <v>2033</v>
      </c>
      <c r="F270" s="25" t="str">
        <f t="shared" si="10"/>
        <v>RWAPB</v>
      </c>
      <c r="I270" s="29">
        <f>IFERROR(ROUNDDOWN(VLOOKUP(F270,INDATA_FILL_DEMAND!$E$4:$F$251,2,FALSE)*IF(E270&lt;2043,1+$N$8,1+$O$8),4),"")</f>
        <v>2.6595</v>
      </c>
    </row>
    <row r="271" spans="4:9" x14ac:dyDescent="0.3">
      <c r="D271" s="26" t="str">
        <f t="shared" si="12"/>
        <v>Demand</v>
      </c>
      <c r="E271" s="10">
        <f t="shared" si="11"/>
        <v>2033</v>
      </c>
      <c r="F271" s="25" t="str">
        <f t="shared" si="10"/>
        <v>RWAPC</v>
      </c>
      <c r="I271" s="29">
        <f>IFERROR(ROUNDDOWN(VLOOKUP(F271,INDATA_FILL_DEMAND!$E$4:$F$251,2,FALSE)*IF(E271&lt;2043,1+$N$8,1+$O$8),4),"")</f>
        <v>40.466000000000001</v>
      </c>
    </row>
    <row r="272" spans="4:9" x14ac:dyDescent="0.3">
      <c r="D272" s="26" t="str">
        <f t="shared" si="12"/>
        <v>Demand</v>
      </c>
      <c r="E272" s="10">
        <f t="shared" si="11"/>
        <v>2033</v>
      </c>
      <c r="F272" s="25" t="str">
        <f t="shared" si="10"/>
        <v>RWAPE</v>
      </c>
      <c r="I272" s="29">
        <f>IFERROR(ROUNDDOWN(VLOOKUP(F272,INDATA_FILL_DEMAND!$E$4:$F$251,2,FALSE)*IF(E272&lt;2043,1+$N$8,1+$O$8),4),"")</f>
        <v>5.7230999999999996</v>
      </c>
    </row>
    <row r="273" spans="4:9" x14ac:dyDescent="0.3">
      <c r="D273" s="26" t="str">
        <f t="shared" si="12"/>
        <v>Demand</v>
      </c>
      <c r="E273" s="10">
        <f t="shared" si="11"/>
        <v>2033</v>
      </c>
      <c r="F273" s="25" t="str">
        <f t="shared" si="10"/>
        <v>RWHSA</v>
      </c>
      <c r="I273" s="29">
        <f>IFERROR(ROUNDDOWN(VLOOKUP(F273,INDATA_FILL_DEMAND!$E$4:$F$251,2,FALSE)*IF(E273&lt;2043,1+$N$8,1+$O$8),4),"")</f>
        <v>1.6831</v>
      </c>
    </row>
    <row r="274" spans="4:9" x14ac:dyDescent="0.3">
      <c r="D274" s="26" t="str">
        <f t="shared" si="12"/>
        <v>Demand</v>
      </c>
      <c r="E274" s="10">
        <f t="shared" si="11"/>
        <v>2033</v>
      </c>
      <c r="F274" s="25" t="str">
        <f t="shared" si="10"/>
        <v>RWHSB</v>
      </c>
      <c r="I274" s="29">
        <f>IFERROR(ROUNDDOWN(VLOOKUP(F274,INDATA_FILL_DEMAND!$E$4:$F$251,2,FALSE)*IF(E274&lt;2043,1+$N$8,1+$O$8),4),"")</f>
        <v>6.6558000000000002</v>
      </c>
    </row>
    <row r="275" spans="4:9" x14ac:dyDescent="0.3">
      <c r="D275" s="26" t="str">
        <f t="shared" si="12"/>
        <v>Demand</v>
      </c>
      <c r="E275" s="10">
        <f t="shared" si="11"/>
        <v>2033</v>
      </c>
      <c r="F275" s="25" t="str">
        <f t="shared" si="10"/>
        <v>RWHSC</v>
      </c>
      <c r="I275" s="29">
        <f>IFERROR(ROUNDDOWN(VLOOKUP(F275,INDATA_FILL_DEMAND!$E$4:$F$251,2,FALSE)*IF(E275&lt;2043,1+$N$8,1+$O$8),4),"")</f>
        <v>39.078899999999997</v>
      </c>
    </row>
    <row r="276" spans="4:9" x14ac:dyDescent="0.3">
      <c r="D276" s="26" t="str">
        <f t="shared" si="12"/>
        <v>Demand</v>
      </c>
      <c r="E276" s="10">
        <f t="shared" si="11"/>
        <v>2033</v>
      </c>
      <c r="F276" s="25" t="str">
        <f t="shared" si="10"/>
        <v>RWHSE</v>
      </c>
      <c r="I276" s="29">
        <f>IFERROR(ROUNDDOWN(VLOOKUP(F276,INDATA_FILL_DEMAND!$E$4:$F$251,2,FALSE)*IF(E276&lt;2043,1+$N$8,1+$O$8),4),"")</f>
        <v>2.7730000000000001</v>
      </c>
    </row>
    <row r="277" spans="4:9" x14ac:dyDescent="0.3">
      <c r="D277" s="26" t="str">
        <f t="shared" si="12"/>
        <v>Demand</v>
      </c>
      <c r="E277" s="10">
        <f t="shared" si="11"/>
        <v>2033</v>
      </c>
      <c r="F277" s="25" t="str">
        <f t="shared" si="10"/>
        <v>RKAPA</v>
      </c>
      <c r="I277" s="29">
        <f>IFERROR(ROUNDDOWN(VLOOKUP(F277,INDATA_FILL_DEMAND!$E$4:$F$251,2,FALSE)*IF(E277&lt;2043,1+$N$8,1+$O$8),4),"")</f>
        <v>1.83E-2</v>
      </c>
    </row>
    <row r="278" spans="4:9" x14ac:dyDescent="0.3">
      <c r="D278" s="26" t="str">
        <f t="shared" si="12"/>
        <v>Demand</v>
      </c>
      <c r="E278" s="10">
        <f t="shared" si="11"/>
        <v>2033</v>
      </c>
      <c r="F278" s="25" t="str">
        <f t="shared" si="10"/>
        <v>RKAPB</v>
      </c>
      <c r="I278" s="29">
        <f>IFERROR(ROUNDDOWN(VLOOKUP(F278,INDATA_FILL_DEMAND!$E$4:$F$251,2,FALSE)*IF(E278&lt;2043,1+$N$8,1+$O$8),4),"")</f>
        <v>2.5700000000000001E-2</v>
      </c>
    </row>
    <row r="279" spans="4:9" x14ac:dyDescent="0.3">
      <c r="D279" s="26" t="str">
        <f t="shared" si="12"/>
        <v>Demand</v>
      </c>
      <c r="E279" s="10">
        <f t="shared" si="11"/>
        <v>2033</v>
      </c>
      <c r="F279" s="25" t="str">
        <f t="shared" si="10"/>
        <v>RKAPC</v>
      </c>
      <c r="I279" s="29">
        <f>IFERROR(ROUNDDOWN(VLOOKUP(F279,INDATA_FILL_DEMAND!$E$4:$F$251,2,FALSE)*IF(E279&lt;2043,1+$N$8,1+$O$8),4),"")</f>
        <v>0.39250000000000002</v>
      </c>
    </row>
    <row r="280" spans="4:9" x14ac:dyDescent="0.3">
      <c r="D280" s="26" t="str">
        <f t="shared" si="12"/>
        <v>Demand</v>
      </c>
      <c r="E280" s="10">
        <f t="shared" si="11"/>
        <v>2033</v>
      </c>
      <c r="F280" s="25" t="str">
        <f t="shared" si="10"/>
        <v>RKAPE</v>
      </c>
      <c r="I280" s="29">
        <f>IFERROR(ROUNDDOWN(VLOOKUP(F280,INDATA_FILL_DEMAND!$E$4:$F$251,2,FALSE)*IF(E280&lt;2043,1+$N$8,1+$O$8),4),"")</f>
        <v>5.5500000000000001E-2</v>
      </c>
    </row>
    <row r="281" spans="4:9" x14ac:dyDescent="0.3">
      <c r="D281" s="26" t="str">
        <f t="shared" si="12"/>
        <v>Demand</v>
      </c>
      <c r="E281" s="10">
        <f t="shared" si="11"/>
        <v>2033</v>
      </c>
      <c r="F281" s="25" t="str">
        <f t="shared" si="10"/>
        <v>RKHSA</v>
      </c>
      <c r="I281" s="29">
        <f>IFERROR(ROUNDDOWN(VLOOKUP(F281,INDATA_FILL_DEMAND!$E$4:$F$251,2,FALSE)*IF(E281&lt;2043,1+$N$8,1+$O$8),4),"")</f>
        <v>0.27979999999999999</v>
      </c>
    </row>
    <row r="282" spans="4:9" x14ac:dyDescent="0.3">
      <c r="D282" s="26" t="str">
        <f t="shared" si="12"/>
        <v>Demand</v>
      </c>
      <c r="E282" s="10">
        <f t="shared" si="11"/>
        <v>2033</v>
      </c>
      <c r="F282" s="25" t="str">
        <f t="shared" si="10"/>
        <v>RKHSB</v>
      </c>
      <c r="I282" s="29">
        <f>IFERROR(ROUNDDOWN(VLOOKUP(F282,INDATA_FILL_DEMAND!$E$4:$F$251,2,FALSE)*IF(E282&lt;2043,1+$N$8,1+$O$8),4),"")</f>
        <v>1.1067</v>
      </c>
    </row>
    <row r="283" spans="4:9" x14ac:dyDescent="0.3">
      <c r="D283" s="26" t="str">
        <f t="shared" si="12"/>
        <v>Demand</v>
      </c>
      <c r="E283" s="10">
        <f t="shared" si="11"/>
        <v>2033</v>
      </c>
      <c r="F283" s="25" t="str">
        <f t="shared" si="10"/>
        <v>RKHSC</v>
      </c>
      <c r="I283" s="29">
        <f>IFERROR(ROUNDDOWN(VLOOKUP(F283,INDATA_FILL_DEMAND!$E$4:$F$251,2,FALSE)*IF(E283&lt;2043,1+$N$8,1+$O$8),4),"")</f>
        <v>6.4977999999999998</v>
      </c>
    </row>
    <row r="284" spans="4:9" x14ac:dyDescent="0.3">
      <c r="D284" s="26" t="str">
        <f t="shared" si="12"/>
        <v>Demand</v>
      </c>
      <c r="E284" s="10">
        <f t="shared" si="11"/>
        <v>2033</v>
      </c>
      <c r="F284" s="25" t="str">
        <f t="shared" si="10"/>
        <v>RKHSE</v>
      </c>
      <c r="I284" s="29">
        <f>IFERROR(ROUNDDOWN(VLOOKUP(F284,INDATA_FILL_DEMAND!$E$4:$F$251,2,FALSE)*IF(E284&lt;2043,1+$N$8,1+$O$8),4),"")</f>
        <v>1.1240000000000001</v>
      </c>
    </row>
    <row r="285" spans="4:9" x14ac:dyDescent="0.3">
      <c r="D285" s="26" t="str">
        <f t="shared" si="12"/>
        <v>Demand</v>
      </c>
      <c r="E285" s="10">
        <f t="shared" si="11"/>
        <v>2033</v>
      </c>
      <c r="F285" s="25" t="str">
        <f t="shared" si="10"/>
        <v>RLAPA</v>
      </c>
      <c r="I285" s="29">
        <f>IFERROR(ROUNDDOWN(VLOOKUP(F285,INDATA_FILL_DEMAND!$E$4:$F$251,2,FALSE)*IF(E285&lt;2043,1+$N$8,1+$O$8),4),"")</f>
        <v>3.8E-3</v>
      </c>
    </row>
    <row r="286" spans="4:9" x14ac:dyDescent="0.3">
      <c r="D286" s="26" t="str">
        <f t="shared" si="12"/>
        <v>Demand</v>
      </c>
      <c r="E286" s="10">
        <f t="shared" si="11"/>
        <v>2033</v>
      </c>
      <c r="F286" s="25" t="str">
        <f t="shared" si="10"/>
        <v>RLAPB</v>
      </c>
      <c r="I286" s="29">
        <f>IFERROR(ROUNDDOWN(VLOOKUP(F286,INDATA_FILL_DEMAND!$E$4:$F$251,2,FALSE)*IF(E286&lt;2043,1+$N$8,1+$O$8),4),"")</f>
        <v>5.4000000000000003E-3</v>
      </c>
    </row>
    <row r="287" spans="4:9" x14ac:dyDescent="0.3">
      <c r="D287" s="26" t="str">
        <f t="shared" si="12"/>
        <v>Demand</v>
      </c>
      <c r="E287" s="10">
        <f t="shared" si="11"/>
        <v>2033</v>
      </c>
      <c r="F287" s="25" t="str">
        <f t="shared" si="10"/>
        <v>RLAPC</v>
      </c>
      <c r="I287" s="29">
        <f>IFERROR(ROUNDDOWN(VLOOKUP(F287,INDATA_FILL_DEMAND!$E$4:$F$251,2,FALSE)*IF(E287&lt;2043,1+$N$8,1+$O$8),4),"")</f>
        <v>8.2299999999999998E-2</v>
      </c>
    </row>
    <row r="288" spans="4:9" x14ac:dyDescent="0.3">
      <c r="D288" s="26" t="str">
        <f t="shared" si="12"/>
        <v>Demand</v>
      </c>
      <c r="E288" s="10">
        <f t="shared" si="11"/>
        <v>2033</v>
      </c>
      <c r="F288" s="25" t="str">
        <f t="shared" si="10"/>
        <v>RLAPE</v>
      </c>
      <c r="I288" s="29">
        <f>IFERROR(ROUNDDOWN(VLOOKUP(F288,INDATA_FILL_DEMAND!$E$4:$F$251,2,FALSE)*IF(E288&lt;2043,1+$N$8,1+$O$8),4),"")</f>
        <v>1.1599999999999999E-2</v>
      </c>
    </row>
    <row r="289" spans="4:9" x14ac:dyDescent="0.3">
      <c r="D289" s="26" t="str">
        <f t="shared" si="12"/>
        <v>Demand</v>
      </c>
      <c r="E289" s="10">
        <f t="shared" si="11"/>
        <v>2033</v>
      </c>
      <c r="F289" s="25" t="str">
        <f t="shared" si="10"/>
        <v>RLHSA</v>
      </c>
      <c r="I289" s="29">
        <f>IFERROR(ROUNDDOWN(VLOOKUP(F289,INDATA_FILL_DEMAND!$E$4:$F$251,2,FALSE)*IF(E289&lt;2043,1+$N$8,1+$O$8),4),"")</f>
        <v>5.8599999999999999E-2</v>
      </c>
    </row>
    <row r="290" spans="4:9" x14ac:dyDescent="0.3">
      <c r="D290" s="26" t="str">
        <f t="shared" si="12"/>
        <v>Demand</v>
      </c>
      <c r="E290" s="10">
        <f t="shared" si="11"/>
        <v>2033</v>
      </c>
      <c r="F290" s="25" t="str">
        <f t="shared" si="10"/>
        <v>RLHSB</v>
      </c>
      <c r="I290" s="29">
        <f>IFERROR(ROUNDDOWN(VLOOKUP(F290,INDATA_FILL_DEMAND!$E$4:$F$251,2,FALSE)*IF(E290&lt;2043,1+$N$8,1+$O$8),4),"")</f>
        <v>0.23200000000000001</v>
      </c>
    </row>
    <row r="291" spans="4:9" x14ac:dyDescent="0.3">
      <c r="D291" s="26" t="str">
        <f t="shared" si="12"/>
        <v>Demand</v>
      </c>
      <c r="E291" s="10">
        <f t="shared" si="11"/>
        <v>2033</v>
      </c>
      <c r="F291" s="25" t="str">
        <f t="shared" si="10"/>
        <v>RLHSC</v>
      </c>
      <c r="I291" s="29">
        <f>IFERROR(ROUNDDOWN(VLOOKUP(F291,INDATA_FILL_DEMAND!$E$4:$F$251,2,FALSE)*IF(E291&lt;2043,1+$N$8,1+$O$8),4),"")</f>
        <v>1.3625</v>
      </c>
    </row>
    <row r="292" spans="4:9" x14ac:dyDescent="0.3">
      <c r="D292" s="26" t="str">
        <f t="shared" si="12"/>
        <v>Demand</v>
      </c>
      <c r="E292" s="10">
        <f t="shared" si="11"/>
        <v>2033</v>
      </c>
      <c r="F292" s="25" t="str">
        <f t="shared" si="10"/>
        <v>RLHSE</v>
      </c>
      <c r="I292" s="29">
        <f>IFERROR(ROUNDDOWN(VLOOKUP(F292,INDATA_FILL_DEMAND!$E$4:$F$251,2,FALSE)*IF(E292&lt;2043,1+$N$8,1+$O$8),4),"")</f>
        <v>0.23569999999999999</v>
      </c>
    </row>
    <row r="293" spans="4:9" x14ac:dyDescent="0.3">
      <c r="D293" s="26" t="str">
        <f t="shared" si="12"/>
        <v>Demand</v>
      </c>
      <c r="E293" s="10">
        <f t="shared" si="11"/>
        <v>2033</v>
      </c>
      <c r="F293" s="25" t="str">
        <f t="shared" si="10"/>
        <v>ROAPA</v>
      </c>
      <c r="I293" s="29">
        <f>IFERROR(ROUNDDOWN(VLOOKUP(F293,INDATA_FILL_DEMAND!$E$4:$F$251,2,FALSE)*IF(E293&lt;2043,1+$N$8,1+$O$8),4),"")</f>
        <v>7.3499999999999996E-2</v>
      </c>
    </row>
    <row r="294" spans="4:9" x14ac:dyDescent="0.3">
      <c r="D294" s="26" t="str">
        <f t="shared" si="12"/>
        <v>Demand</v>
      </c>
      <c r="E294" s="10">
        <f t="shared" si="11"/>
        <v>2033</v>
      </c>
      <c r="F294" s="25" t="str">
        <f t="shared" si="10"/>
        <v>ROAPB</v>
      </c>
      <c r="I294" s="29">
        <f>IFERROR(ROUNDDOWN(VLOOKUP(F294,INDATA_FILL_DEMAND!$E$4:$F$251,2,FALSE)*IF(E294&lt;2043,1+$N$8,1+$O$8),4),"")</f>
        <v>0.10299999999999999</v>
      </c>
    </row>
    <row r="295" spans="4:9" x14ac:dyDescent="0.3">
      <c r="D295" s="26" t="str">
        <f t="shared" si="12"/>
        <v>Demand</v>
      </c>
      <c r="E295" s="10">
        <f t="shared" si="11"/>
        <v>2033</v>
      </c>
      <c r="F295" s="25" t="str">
        <f t="shared" si="10"/>
        <v>ROAPC</v>
      </c>
      <c r="I295" s="29">
        <f>IFERROR(ROUNDDOWN(VLOOKUP(F295,INDATA_FILL_DEMAND!$E$4:$F$251,2,FALSE)*IF(E295&lt;2043,1+$N$8,1+$O$8),4),"")</f>
        <v>1.5686</v>
      </c>
    </row>
    <row r="296" spans="4:9" x14ac:dyDescent="0.3">
      <c r="D296" s="26" t="str">
        <f t="shared" si="12"/>
        <v>Demand</v>
      </c>
      <c r="E296" s="10">
        <f t="shared" si="11"/>
        <v>2033</v>
      </c>
      <c r="F296" s="25" t="str">
        <f t="shared" si="10"/>
        <v>ROAPE</v>
      </c>
      <c r="I296" s="29">
        <f>IFERROR(ROUNDDOWN(VLOOKUP(F296,INDATA_FILL_DEMAND!$E$4:$F$251,2,FALSE)*IF(E296&lt;2043,1+$N$8,1+$O$8),4),"")</f>
        <v>0.2218</v>
      </c>
    </row>
    <row r="297" spans="4:9" x14ac:dyDescent="0.3">
      <c r="D297" s="26" t="str">
        <f t="shared" si="12"/>
        <v>Demand</v>
      </c>
      <c r="E297" s="10">
        <f t="shared" si="11"/>
        <v>2033</v>
      </c>
      <c r="F297" s="25" t="str">
        <f t="shared" si="10"/>
        <v>ROHSA</v>
      </c>
      <c r="I297" s="29">
        <f>IFERROR(ROUNDDOWN(VLOOKUP(F297,INDATA_FILL_DEMAND!$E$4:$F$251,2,FALSE)*IF(E297&lt;2043,1+$N$8,1+$O$8),4),"")</f>
        <v>1.1184000000000001</v>
      </c>
    </row>
    <row r="298" spans="4:9" x14ac:dyDescent="0.3">
      <c r="D298" s="26" t="str">
        <f t="shared" si="12"/>
        <v>Demand</v>
      </c>
      <c r="E298" s="10">
        <f t="shared" si="11"/>
        <v>2033</v>
      </c>
      <c r="F298" s="25" t="str">
        <f t="shared" si="10"/>
        <v>ROHSB</v>
      </c>
      <c r="I298" s="29">
        <f>IFERROR(ROUNDDOWN(VLOOKUP(F298,INDATA_FILL_DEMAND!$E$4:$F$251,2,FALSE)*IF(E298&lt;2043,1+$N$8,1+$O$8),4),"")</f>
        <v>4.4226999999999999</v>
      </c>
    </row>
    <row r="299" spans="4:9" x14ac:dyDescent="0.3">
      <c r="D299" s="26" t="str">
        <f t="shared" si="12"/>
        <v>Demand</v>
      </c>
      <c r="E299" s="10">
        <f t="shared" si="11"/>
        <v>2033</v>
      </c>
      <c r="F299" s="25" t="str">
        <f t="shared" si="10"/>
        <v>ROHSC</v>
      </c>
      <c r="I299" s="29">
        <f>IFERROR(ROUNDDOWN(VLOOKUP(F299,INDATA_FILL_DEMAND!$E$4:$F$251,2,FALSE)*IF(E299&lt;2043,1+$N$8,1+$O$8),4),"")</f>
        <v>25.967600000000001</v>
      </c>
    </row>
    <row r="300" spans="4:9" x14ac:dyDescent="0.3">
      <c r="D300" s="26" t="str">
        <f t="shared" si="12"/>
        <v>Demand</v>
      </c>
      <c r="E300" s="10">
        <f t="shared" si="11"/>
        <v>2033</v>
      </c>
      <c r="F300" s="25" t="str">
        <f t="shared" si="10"/>
        <v>ROHSE</v>
      </c>
      <c r="I300" s="29">
        <f>IFERROR(ROUNDDOWN(VLOOKUP(F300,INDATA_FILL_DEMAND!$E$4:$F$251,2,FALSE)*IF(E300&lt;2043,1+$N$8,1+$O$8),4),"")</f>
        <v>4.4922000000000004</v>
      </c>
    </row>
    <row r="301" spans="4:9" x14ac:dyDescent="0.3">
      <c r="D301" s="26" t="str">
        <f t="shared" si="12"/>
        <v>*</v>
      </c>
      <c r="E301" s="10">
        <f t="shared" si="11"/>
        <v>2033</v>
      </c>
      <c r="F301" s="25" t="str">
        <f t="shared" si="10"/>
        <v>REAPA</v>
      </c>
      <c r="I301" s="29">
        <f>IFERROR(ROUNDDOWN(VLOOKUP(F301,INDATA_FILL_DEMAND!$E$4:$F$251,2,FALSE)*IF(E301&lt;2043,1+$N$8,1+$O$8),4),"")</f>
        <v>0</v>
      </c>
    </row>
    <row r="302" spans="4:9" x14ac:dyDescent="0.3">
      <c r="D302" s="26" t="str">
        <f t="shared" si="12"/>
        <v>*</v>
      </c>
      <c r="E302" s="10">
        <f t="shared" si="11"/>
        <v>2033</v>
      </c>
      <c r="F302" s="25" t="str">
        <f t="shared" si="10"/>
        <v>REAPB</v>
      </c>
      <c r="I302" s="29">
        <f>IFERROR(ROUNDDOWN(VLOOKUP(F302,INDATA_FILL_DEMAND!$E$4:$F$251,2,FALSE)*IF(E302&lt;2043,1+$N$8,1+$O$8),4),"")</f>
        <v>0</v>
      </c>
    </row>
    <row r="303" spans="4:9" x14ac:dyDescent="0.3">
      <c r="D303" s="26" t="str">
        <f t="shared" si="12"/>
        <v>*</v>
      </c>
      <c r="E303" s="10">
        <f t="shared" si="11"/>
        <v>2033</v>
      </c>
      <c r="F303" s="25" t="str">
        <f t="shared" si="10"/>
        <v>REAPC</v>
      </c>
      <c r="I303" s="29">
        <f>IFERROR(ROUNDDOWN(VLOOKUP(F303,INDATA_FILL_DEMAND!$E$4:$F$251,2,FALSE)*IF(E303&lt;2043,1+$N$8,1+$O$8),4),"")</f>
        <v>0</v>
      </c>
    </row>
    <row r="304" spans="4:9" x14ac:dyDescent="0.3">
      <c r="D304" s="26" t="str">
        <f t="shared" si="12"/>
        <v>*</v>
      </c>
      <c r="E304" s="10">
        <f t="shared" si="11"/>
        <v>2033</v>
      </c>
      <c r="F304" s="25" t="str">
        <f t="shared" si="10"/>
        <v>REAPE</v>
      </c>
      <c r="I304" s="29">
        <f>IFERROR(ROUNDDOWN(VLOOKUP(F304,INDATA_FILL_DEMAND!$E$4:$F$251,2,FALSE)*IF(E304&lt;2043,1+$N$8,1+$O$8),4),"")</f>
        <v>0</v>
      </c>
    </row>
    <row r="305" spans="4:9" x14ac:dyDescent="0.3">
      <c r="D305" s="26" t="str">
        <f t="shared" si="12"/>
        <v>*</v>
      </c>
      <c r="E305" s="10">
        <f t="shared" si="11"/>
        <v>2033</v>
      </c>
      <c r="F305" s="25" t="str">
        <f t="shared" si="10"/>
        <v>REHSA</v>
      </c>
      <c r="I305" s="29">
        <f>IFERROR(ROUNDDOWN(VLOOKUP(F305,INDATA_FILL_DEMAND!$E$4:$F$251,2,FALSE)*IF(E305&lt;2043,1+$N$8,1+$O$8),4),"")</f>
        <v>0</v>
      </c>
    </row>
    <row r="306" spans="4:9" x14ac:dyDescent="0.3">
      <c r="D306" s="26" t="str">
        <f t="shared" si="12"/>
        <v>*</v>
      </c>
      <c r="E306" s="10">
        <f t="shared" si="11"/>
        <v>2033</v>
      </c>
      <c r="F306" s="25" t="str">
        <f t="shared" si="10"/>
        <v>REHSB</v>
      </c>
      <c r="I306" s="29">
        <f>IFERROR(ROUNDDOWN(VLOOKUP(F306,INDATA_FILL_DEMAND!$E$4:$F$251,2,FALSE)*IF(E306&lt;2043,1+$N$8,1+$O$8),4),"")</f>
        <v>0</v>
      </c>
    </row>
    <row r="307" spans="4:9" x14ac:dyDescent="0.3">
      <c r="D307" s="26" t="str">
        <f t="shared" si="12"/>
        <v>*</v>
      </c>
      <c r="E307" s="10">
        <f t="shared" si="11"/>
        <v>2033</v>
      </c>
      <c r="F307" s="25" t="str">
        <f t="shared" si="10"/>
        <v>REHSC</v>
      </c>
      <c r="I307" s="29">
        <f>IFERROR(ROUNDDOWN(VLOOKUP(F307,INDATA_FILL_DEMAND!$E$4:$F$251,2,FALSE)*IF(E307&lt;2043,1+$N$8,1+$O$8),4),"")</f>
        <v>0</v>
      </c>
    </row>
    <row r="308" spans="4:9" x14ac:dyDescent="0.3">
      <c r="D308" s="26" t="str">
        <f t="shared" si="12"/>
        <v>*</v>
      </c>
      <c r="E308" s="10">
        <f t="shared" si="11"/>
        <v>2033</v>
      </c>
      <c r="F308" s="25" t="str">
        <f t="shared" si="10"/>
        <v>REHSE</v>
      </c>
      <c r="I308" s="29">
        <f>IFERROR(ROUNDDOWN(VLOOKUP(F308,INDATA_FILL_DEMAND!$E$4:$F$251,2,FALSE)*IF(E308&lt;2043,1+$N$8,1+$O$8),4),"")</f>
        <v>0</v>
      </c>
    </row>
    <row r="309" spans="4:9" x14ac:dyDescent="0.3">
      <c r="D309" s="26" t="str">
        <f t="shared" si="12"/>
        <v>Demand</v>
      </c>
      <c r="E309" s="10">
        <f t="shared" si="11"/>
        <v>2033</v>
      </c>
      <c r="F309" s="25" t="str">
        <f t="shared" si="10"/>
        <v>CHCUL</v>
      </c>
      <c r="I309" s="29">
        <f>IFERROR(ROUNDDOWN(VLOOKUP(F309,INDATA_FILL_DEMAND!$E$4:$F$251,2,FALSE)*IF(E309&lt;2043,1+$N$8,1+$O$8),4),"")</f>
        <v>13.619899999999999</v>
      </c>
    </row>
    <row r="310" spans="4:9" x14ac:dyDescent="0.3">
      <c r="D310" s="26" t="str">
        <f t="shared" si="12"/>
        <v>Demand</v>
      </c>
      <c r="E310" s="10">
        <f t="shared" si="11"/>
        <v>2033</v>
      </c>
      <c r="F310" s="25" t="str">
        <f t="shared" si="10"/>
        <v>CHEDU</v>
      </c>
      <c r="I310" s="29">
        <f>IFERROR(ROUNDDOWN(VLOOKUP(F310,INDATA_FILL_DEMAND!$E$4:$F$251,2,FALSE)*IF(E310&lt;2043,1+$N$8,1+$O$8),4),"")</f>
        <v>32.6995</v>
      </c>
    </row>
    <row r="311" spans="4:9" x14ac:dyDescent="0.3">
      <c r="D311" s="26" t="str">
        <f t="shared" si="12"/>
        <v>Demand</v>
      </c>
      <c r="E311" s="10">
        <f t="shared" si="11"/>
        <v>2033</v>
      </c>
      <c r="F311" s="25" t="str">
        <f t="shared" si="10"/>
        <v>CHHLT</v>
      </c>
      <c r="I311" s="29">
        <f>IFERROR(ROUNDDOWN(VLOOKUP(F311,INDATA_FILL_DEMAND!$E$4:$F$251,2,FALSE)*IF(E311&lt;2043,1+$N$8,1+$O$8),4),"")</f>
        <v>2.4565999999999999</v>
      </c>
    </row>
    <row r="312" spans="4:9" x14ac:dyDescent="0.3">
      <c r="D312" s="26" t="str">
        <f t="shared" si="12"/>
        <v>Demand</v>
      </c>
      <c r="E312" s="10">
        <f t="shared" si="11"/>
        <v>2033</v>
      </c>
      <c r="F312" s="25" t="str">
        <f t="shared" si="10"/>
        <v>CHOFF</v>
      </c>
      <c r="I312" s="29">
        <f>IFERROR(ROUNDDOWN(VLOOKUP(F312,INDATA_FILL_DEMAND!$E$4:$F$251,2,FALSE)*IF(E312&lt;2043,1+$N$8,1+$O$8),4),"")</f>
        <v>3.4862000000000002</v>
      </c>
    </row>
    <row r="313" spans="4:9" x14ac:dyDescent="0.3">
      <c r="D313" s="26" t="str">
        <f t="shared" si="12"/>
        <v>Demand</v>
      </c>
      <c r="E313" s="10">
        <f t="shared" si="11"/>
        <v>2033</v>
      </c>
      <c r="F313" s="25" t="str">
        <f t="shared" si="10"/>
        <v>CHOTH</v>
      </c>
      <c r="I313" s="29">
        <f>IFERROR(ROUNDDOWN(VLOOKUP(F313,INDATA_FILL_DEMAND!$E$4:$F$251,2,FALSE)*IF(E313&lt;2043,1+$N$8,1+$O$8),4),"")</f>
        <v>20.754999999999999</v>
      </c>
    </row>
    <row r="314" spans="4:9" x14ac:dyDescent="0.3">
      <c r="D314" s="26" t="str">
        <f t="shared" si="12"/>
        <v>Demand</v>
      </c>
      <c r="E314" s="10">
        <f t="shared" si="11"/>
        <v>2033</v>
      </c>
      <c r="F314" s="25" t="str">
        <f t="shared" si="10"/>
        <v>CHRET</v>
      </c>
      <c r="I314" s="29">
        <f>IFERROR(ROUNDDOWN(VLOOKUP(F314,INDATA_FILL_DEMAND!$E$4:$F$251,2,FALSE)*IF(E314&lt;2043,1+$N$8,1+$O$8),4),"")</f>
        <v>4.2991000000000001</v>
      </c>
    </row>
    <row r="315" spans="4:9" x14ac:dyDescent="0.3">
      <c r="D315" s="26" t="str">
        <f t="shared" si="12"/>
        <v>Demand</v>
      </c>
      <c r="E315" s="10">
        <f t="shared" si="11"/>
        <v>2033</v>
      </c>
      <c r="F315" s="25" t="str">
        <f t="shared" si="10"/>
        <v>CHSPO</v>
      </c>
      <c r="I315" s="29">
        <f>IFERROR(ROUNDDOWN(VLOOKUP(F315,INDATA_FILL_DEMAND!$E$4:$F$251,2,FALSE)*IF(E315&lt;2043,1+$N$8,1+$O$8),4),"")</f>
        <v>9.2213999999999992</v>
      </c>
    </row>
    <row r="316" spans="4:9" x14ac:dyDescent="0.3">
      <c r="D316" s="26" t="str">
        <f t="shared" si="12"/>
        <v>Demand</v>
      </c>
      <c r="E316" s="10">
        <f t="shared" si="11"/>
        <v>2033</v>
      </c>
      <c r="F316" s="25" t="str">
        <f t="shared" si="10"/>
        <v>CHTUR</v>
      </c>
      <c r="I316" s="29">
        <f>IFERROR(ROUNDDOWN(VLOOKUP(F316,INDATA_FILL_DEMAND!$E$4:$F$251,2,FALSE)*IF(E316&lt;2043,1+$N$8,1+$O$8),4),"")</f>
        <v>2.6192000000000002</v>
      </c>
    </row>
    <row r="317" spans="4:9" x14ac:dyDescent="0.3">
      <c r="D317" s="26" t="str">
        <f t="shared" si="12"/>
        <v>*</v>
      </c>
      <c r="E317" s="10">
        <f t="shared" si="11"/>
        <v>2033</v>
      </c>
      <c r="F317" s="25" t="str">
        <f t="shared" si="10"/>
        <v>CCCUL</v>
      </c>
      <c r="I317" s="29">
        <f>IFERROR(ROUNDDOWN(VLOOKUP(F317,INDATA_FILL_DEMAND!$E$4:$F$251,2,FALSE)*IF(E317&lt;2043,1+$N$8,1+$O$8),4),"")</f>
        <v>0</v>
      </c>
    </row>
    <row r="318" spans="4:9" x14ac:dyDescent="0.3">
      <c r="D318" s="26" t="str">
        <f t="shared" si="12"/>
        <v>*</v>
      </c>
      <c r="E318" s="10">
        <f t="shared" si="11"/>
        <v>2033</v>
      </c>
      <c r="F318" s="25" t="str">
        <f t="shared" ref="F318:F381" si="13">F70</f>
        <v>CCEDU</v>
      </c>
      <c r="I318" s="29">
        <f>IFERROR(ROUNDDOWN(VLOOKUP(F318,INDATA_FILL_DEMAND!$E$4:$F$251,2,FALSE)*IF(E318&lt;2043,1+$N$8,1+$O$8),4),"")</f>
        <v>0</v>
      </c>
    </row>
    <row r="319" spans="4:9" x14ac:dyDescent="0.3">
      <c r="D319" s="26" t="str">
        <f t="shared" si="12"/>
        <v>*</v>
      </c>
      <c r="E319" s="10">
        <f t="shared" ref="E319:E382" si="14">E318</f>
        <v>2033</v>
      </c>
      <c r="F319" s="25" t="str">
        <f t="shared" si="13"/>
        <v>CCHLT</v>
      </c>
      <c r="I319" s="29">
        <f>IFERROR(ROUNDDOWN(VLOOKUP(F319,INDATA_FILL_DEMAND!$E$4:$F$251,2,FALSE)*IF(E319&lt;2043,1+$N$8,1+$O$8),4),"")</f>
        <v>0</v>
      </c>
    </row>
    <row r="320" spans="4:9" x14ac:dyDescent="0.3">
      <c r="D320" s="26" t="str">
        <f t="shared" si="12"/>
        <v>*</v>
      </c>
      <c r="E320" s="10">
        <f t="shared" si="14"/>
        <v>2033</v>
      </c>
      <c r="F320" s="25" t="str">
        <f t="shared" si="13"/>
        <v>CCOFF</v>
      </c>
      <c r="I320" s="29">
        <f>IFERROR(ROUNDDOWN(VLOOKUP(F320,INDATA_FILL_DEMAND!$E$4:$F$251,2,FALSE)*IF(E320&lt;2043,1+$N$8,1+$O$8),4),"")</f>
        <v>0</v>
      </c>
    </row>
    <row r="321" spans="4:9" x14ac:dyDescent="0.3">
      <c r="D321" s="26" t="str">
        <f t="shared" si="12"/>
        <v>*</v>
      </c>
      <c r="E321" s="10">
        <f t="shared" si="14"/>
        <v>2033</v>
      </c>
      <c r="F321" s="25" t="str">
        <f t="shared" si="13"/>
        <v>CCOTH</v>
      </c>
      <c r="I321" s="29">
        <f>IFERROR(ROUNDDOWN(VLOOKUP(F321,INDATA_FILL_DEMAND!$E$4:$F$251,2,FALSE)*IF(E321&lt;2043,1+$N$8,1+$O$8),4),"")</f>
        <v>0</v>
      </c>
    </row>
    <row r="322" spans="4:9" x14ac:dyDescent="0.3">
      <c r="D322" s="26" t="str">
        <f t="shared" si="12"/>
        <v>*</v>
      </c>
      <c r="E322" s="10">
        <f t="shared" si="14"/>
        <v>2033</v>
      </c>
      <c r="F322" s="25" t="str">
        <f t="shared" si="13"/>
        <v>CCRET</v>
      </c>
      <c r="I322" s="29">
        <f>IFERROR(ROUNDDOWN(VLOOKUP(F322,INDATA_FILL_DEMAND!$E$4:$F$251,2,FALSE)*IF(E322&lt;2043,1+$N$8,1+$O$8),4),"")</f>
        <v>0</v>
      </c>
    </row>
    <row r="323" spans="4:9" x14ac:dyDescent="0.3">
      <c r="D323" s="26" t="str">
        <f t="shared" si="12"/>
        <v>*</v>
      </c>
      <c r="E323" s="10">
        <f t="shared" si="14"/>
        <v>2033</v>
      </c>
      <c r="F323" s="25" t="str">
        <f t="shared" si="13"/>
        <v>CCSPO</v>
      </c>
      <c r="I323" s="29">
        <f>IFERROR(ROUNDDOWN(VLOOKUP(F323,INDATA_FILL_DEMAND!$E$4:$F$251,2,FALSE)*IF(E323&lt;2043,1+$N$8,1+$O$8),4),"")</f>
        <v>0</v>
      </c>
    </row>
    <row r="324" spans="4:9" x14ac:dyDescent="0.3">
      <c r="D324" s="26" t="str">
        <f t="shared" si="12"/>
        <v>*</v>
      </c>
      <c r="E324" s="10">
        <f t="shared" si="14"/>
        <v>2033</v>
      </c>
      <c r="F324" s="25" t="str">
        <f t="shared" si="13"/>
        <v>CCTUR</v>
      </c>
      <c r="I324" s="29">
        <f>IFERROR(ROUNDDOWN(VLOOKUP(F324,INDATA_FILL_DEMAND!$E$4:$F$251,2,FALSE)*IF(E324&lt;2043,1+$N$8,1+$O$8),4),"")</f>
        <v>0</v>
      </c>
    </row>
    <row r="325" spans="4:9" x14ac:dyDescent="0.3">
      <c r="D325" s="26" t="str">
        <f t="shared" si="12"/>
        <v>Demand</v>
      </c>
      <c r="E325" s="10">
        <f t="shared" si="14"/>
        <v>2033</v>
      </c>
      <c r="F325" s="25" t="str">
        <f t="shared" si="13"/>
        <v>CWCUL</v>
      </c>
      <c r="I325" s="29">
        <f>IFERROR(ROUNDDOWN(VLOOKUP(F325,INDATA_FILL_DEMAND!$E$4:$F$251,2,FALSE)*IF(E325&lt;2043,1+$N$8,1+$O$8),4),"")</f>
        <v>3.2229999999999999</v>
      </c>
    </row>
    <row r="326" spans="4:9" x14ac:dyDescent="0.3">
      <c r="D326" s="26" t="str">
        <f t="shared" si="12"/>
        <v>Demand</v>
      </c>
      <c r="E326" s="10">
        <f t="shared" si="14"/>
        <v>2033</v>
      </c>
      <c r="F326" s="25" t="str">
        <f t="shared" si="13"/>
        <v>CWEDU</v>
      </c>
      <c r="I326" s="29">
        <f>IFERROR(ROUNDDOWN(VLOOKUP(F326,INDATA_FILL_DEMAND!$E$4:$F$251,2,FALSE)*IF(E326&lt;2043,1+$N$8,1+$O$8),4),"")</f>
        <v>7.7381000000000002</v>
      </c>
    </row>
    <row r="327" spans="4:9" x14ac:dyDescent="0.3">
      <c r="D327" s="26" t="str">
        <f t="shared" si="12"/>
        <v>Demand</v>
      </c>
      <c r="E327" s="10">
        <f t="shared" si="14"/>
        <v>2033</v>
      </c>
      <c r="F327" s="25" t="str">
        <f t="shared" si="13"/>
        <v>CWHLT</v>
      </c>
      <c r="I327" s="29">
        <f>IFERROR(ROUNDDOWN(VLOOKUP(F327,INDATA_FILL_DEMAND!$E$4:$F$251,2,FALSE)*IF(E327&lt;2043,1+$N$8,1+$O$8),4),"")</f>
        <v>0.58130000000000004</v>
      </c>
    </row>
    <row r="328" spans="4:9" x14ac:dyDescent="0.3">
      <c r="D328" s="26" t="str">
        <f t="shared" si="12"/>
        <v>Demand</v>
      </c>
      <c r="E328" s="10">
        <f t="shared" si="14"/>
        <v>2033</v>
      </c>
      <c r="F328" s="25" t="str">
        <f t="shared" si="13"/>
        <v>CWOFF</v>
      </c>
      <c r="I328" s="29">
        <f>IFERROR(ROUNDDOWN(VLOOKUP(F328,INDATA_FILL_DEMAND!$E$4:$F$251,2,FALSE)*IF(E328&lt;2043,1+$N$8,1+$O$8),4),"")</f>
        <v>0.82499999999999996</v>
      </c>
    </row>
    <row r="329" spans="4:9" x14ac:dyDescent="0.3">
      <c r="D329" s="26" t="str">
        <f t="shared" si="12"/>
        <v>Demand</v>
      </c>
      <c r="E329" s="10">
        <f t="shared" si="14"/>
        <v>2033</v>
      </c>
      <c r="F329" s="25" t="str">
        <f t="shared" si="13"/>
        <v>CWOTH</v>
      </c>
      <c r="I329" s="29">
        <f>IFERROR(ROUNDDOWN(VLOOKUP(F329,INDATA_FILL_DEMAND!$E$4:$F$251,2,FALSE)*IF(E329&lt;2043,1+$N$8,1+$O$8),4),"")</f>
        <v>4.9115000000000002</v>
      </c>
    </row>
    <row r="330" spans="4:9" x14ac:dyDescent="0.3">
      <c r="D330" s="26" t="str">
        <f t="shared" si="12"/>
        <v>Demand</v>
      </c>
      <c r="E330" s="10">
        <f t="shared" si="14"/>
        <v>2033</v>
      </c>
      <c r="F330" s="25" t="str">
        <f t="shared" si="13"/>
        <v>CWRET</v>
      </c>
      <c r="I330" s="29">
        <f>IFERROR(ROUNDDOWN(VLOOKUP(F330,INDATA_FILL_DEMAND!$E$4:$F$251,2,FALSE)*IF(E330&lt;2043,1+$N$8,1+$O$8),4),"")</f>
        <v>1.0173000000000001</v>
      </c>
    </row>
    <row r="331" spans="4:9" x14ac:dyDescent="0.3">
      <c r="D331" s="26" t="str">
        <f t="shared" si="12"/>
        <v>Demand</v>
      </c>
      <c r="E331" s="10">
        <f t="shared" si="14"/>
        <v>2033</v>
      </c>
      <c r="F331" s="25" t="str">
        <f t="shared" si="13"/>
        <v>CWSPO</v>
      </c>
      <c r="I331" s="29">
        <f>IFERROR(ROUNDDOWN(VLOOKUP(F331,INDATA_FILL_DEMAND!$E$4:$F$251,2,FALSE)*IF(E331&lt;2043,1+$N$8,1+$O$8),4),"")</f>
        <v>2.1821000000000002</v>
      </c>
    </row>
    <row r="332" spans="4:9" x14ac:dyDescent="0.3">
      <c r="D332" s="26" t="str">
        <f t="shared" si="12"/>
        <v>Demand</v>
      </c>
      <c r="E332" s="10">
        <f t="shared" si="14"/>
        <v>2033</v>
      </c>
      <c r="F332" s="25" t="str">
        <f t="shared" si="13"/>
        <v>CWTUR</v>
      </c>
      <c r="I332" s="29">
        <f>IFERROR(ROUNDDOWN(VLOOKUP(F332,INDATA_FILL_DEMAND!$E$4:$F$251,2,FALSE)*IF(E332&lt;2043,1+$N$8,1+$O$8),4),"")</f>
        <v>0.61980000000000002</v>
      </c>
    </row>
    <row r="333" spans="4:9" x14ac:dyDescent="0.3">
      <c r="D333" s="26" t="str">
        <f t="shared" si="12"/>
        <v>Demand</v>
      </c>
      <c r="E333" s="10">
        <f t="shared" si="14"/>
        <v>2033</v>
      </c>
      <c r="F333" s="25" t="str">
        <f t="shared" si="13"/>
        <v>CKCUL</v>
      </c>
      <c r="I333" s="29">
        <f>IFERROR(ROUNDDOWN(VLOOKUP(F333,INDATA_FILL_DEMAND!$E$4:$F$251,2,FALSE)*IF(E333&lt;2043,1+$N$8,1+$O$8),4),"")</f>
        <v>0.68610000000000004</v>
      </c>
    </row>
    <row r="334" spans="4:9" x14ac:dyDescent="0.3">
      <c r="D334" s="26" t="str">
        <f t="shared" ref="D334:D397" si="15">IF(AND(ISNUMBER(I334),I334&gt;0),"Demand","*")</f>
        <v>Demand</v>
      </c>
      <c r="E334" s="10">
        <f t="shared" si="14"/>
        <v>2033</v>
      </c>
      <c r="F334" s="25" t="str">
        <f t="shared" si="13"/>
        <v>CKEDU</v>
      </c>
      <c r="I334" s="29">
        <f>IFERROR(ROUNDDOWN(VLOOKUP(F334,INDATA_FILL_DEMAND!$E$4:$F$251,2,FALSE)*IF(E334&lt;2043,1+$N$8,1+$O$8),4),"")</f>
        <v>1.6473</v>
      </c>
    </row>
    <row r="335" spans="4:9" x14ac:dyDescent="0.3">
      <c r="D335" s="26" t="str">
        <f t="shared" si="15"/>
        <v>Demand</v>
      </c>
      <c r="E335" s="10">
        <f t="shared" si="14"/>
        <v>2033</v>
      </c>
      <c r="F335" s="25" t="str">
        <f t="shared" si="13"/>
        <v>CKHLT</v>
      </c>
      <c r="I335" s="29">
        <f>IFERROR(ROUNDDOWN(VLOOKUP(F335,INDATA_FILL_DEMAND!$E$4:$F$251,2,FALSE)*IF(E335&lt;2043,1+$N$8,1+$O$8),4),"")</f>
        <v>0.1237</v>
      </c>
    </row>
    <row r="336" spans="4:9" x14ac:dyDescent="0.3">
      <c r="D336" s="26" t="str">
        <f t="shared" si="15"/>
        <v>Demand</v>
      </c>
      <c r="E336" s="10">
        <f t="shared" si="14"/>
        <v>2033</v>
      </c>
      <c r="F336" s="25" t="str">
        <f t="shared" si="13"/>
        <v>CKOFF</v>
      </c>
      <c r="I336" s="29">
        <f>IFERROR(ROUNDDOWN(VLOOKUP(F336,INDATA_FILL_DEMAND!$E$4:$F$251,2,FALSE)*IF(E336&lt;2043,1+$N$8,1+$O$8),4),"")</f>
        <v>0.17560000000000001</v>
      </c>
    </row>
    <row r="337" spans="4:9" x14ac:dyDescent="0.3">
      <c r="D337" s="26" t="str">
        <f t="shared" si="15"/>
        <v>Demand</v>
      </c>
      <c r="E337" s="10">
        <f t="shared" si="14"/>
        <v>2033</v>
      </c>
      <c r="F337" s="25" t="str">
        <f t="shared" si="13"/>
        <v>CKOTH</v>
      </c>
      <c r="I337" s="29">
        <f>IFERROR(ROUNDDOWN(VLOOKUP(F337,INDATA_FILL_DEMAND!$E$4:$F$251,2,FALSE)*IF(E337&lt;2043,1+$N$8,1+$O$8),4),"")</f>
        <v>1.0456000000000001</v>
      </c>
    </row>
    <row r="338" spans="4:9" x14ac:dyDescent="0.3">
      <c r="D338" s="26" t="str">
        <f t="shared" si="15"/>
        <v>Demand</v>
      </c>
      <c r="E338" s="10">
        <f t="shared" si="14"/>
        <v>2033</v>
      </c>
      <c r="F338" s="25" t="str">
        <f t="shared" si="13"/>
        <v>CKRET</v>
      </c>
      <c r="I338" s="29">
        <f>IFERROR(ROUNDDOWN(VLOOKUP(F338,INDATA_FILL_DEMAND!$E$4:$F$251,2,FALSE)*IF(E338&lt;2043,1+$N$8,1+$O$8),4),"")</f>
        <v>0.2165</v>
      </c>
    </row>
    <row r="339" spans="4:9" x14ac:dyDescent="0.3">
      <c r="D339" s="26" t="str">
        <f t="shared" si="15"/>
        <v>Demand</v>
      </c>
      <c r="E339" s="10">
        <f t="shared" si="14"/>
        <v>2033</v>
      </c>
      <c r="F339" s="25" t="str">
        <f t="shared" si="13"/>
        <v>CKSPO</v>
      </c>
      <c r="I339" s="29">
        <f>IFERROR(ROUNDDOWN(VLOOKUP(F339,INDATA_FILL_DEMAND!$E$4:$F$251,2,FALSE)*IF(E339&lt;2043,1+$N$8,1+$O$8),4),"")</f>
        <v>0.46450000000000002</v>
      </c>
    </row>
    <row r="340" spans="4:9" x14ac:dyDescent="0.3">
      <c r="D340" s="26" t="str">
        <f t="shared" si="15"/>
        <v>Demand</v>
      </c>
      <c r="E340" s="10">
        <f t="shared" si="14"/>
        <v>2033</v>
      </c>
      <c r="F340" s="25" t="str">
        <f t="shared" si="13"/>
        <v>CKTUR</v>
      </c>
      <c r="I340" s="29">
        <f>IFERROR(ROUNDDOWN(VLOOKUP(F340,INDATA_FILL_DEMAND!$E$4:$F$251,2,FALSE)*IF(E340&lt;2043,1+$N$8,1+$O$8),4),"")</f>
        <v>0.13189999999999999</v>
      </c>
    </row>
    <row r="341" spans="4:9" x14ac:dyDescent="0.3">
      <c r="D341" s="26" t="str">
        <f t="shared" si="15"/>
        <v>Demand</v>
      </c>
      <c r="E341" s="10">
        <f t="shared" si="14"/>
        <v>2033</v>
      </c>
      <c r="F341" s="25" t="str">
        <f t="shared" si="13"/>
        <v>CLCUL</v>
      </c>
      <c r="I341" s="29">
        <f>IFERROR(ROUNDDOWN(VLOOKUP(F341,INDATA_FILL_DEMAND!$E$4:$F$251,2,FALSE)*IF(E341&lt;2043,1+$N$8,1+$O$8),4),"")</f>
        <v>0.90800000000000003</v>
      </c>
    </row>
    <row r="342" spans="4:9" x14ac:dyDescent="0.3">
      <c r="D342" s="26" t="str">
        <f t="shared" si="15"/>
        <v>Demand</v>
      </c>
      <c r="E342" s="10">
        <f t="shared" si="14"/>
        <v>2033</v>
      </c>
      <c r="F342" s="25" t="str">
        <f t="shared" si="13"/>
        <v>CLEDU</v>
      </c>
      <c r="I342" s="29">
        <f>IFERROR(ROUNDDOWN(VLOOKUP(F342,INDATA_FILL_DEMAND!$E$4:$F$251,2,FALSE)*IF(E342&lt;2043,1+$N$8,1+$O$8),4),"")</f>
        <v>2.1800999999999999</v>
      </c>
    </row>
    <row r="343" spans="4:9" x14ac:dyDescent="0.3">
      <c r="D343" s="26" t="str">
        <f t="shared" si="15"/>
        <v>Demand</v>
      </c>
      <c r="E343" s="10">
        <f t="shared" si="14"/>
        <v>2033</v>
      </c>
      <c r="F343" s="25" t="str">
        <f t="shared" si="13"/>
        <v>CLHLT</v>
      </c>
      <c r="I343" s="29">
        <f>IFERROR(ROUNDDOWN(VLOOKUP(F343,INDATA_FILL_DEMAND!$E$4:$F$251,2,FALSE)*IF(E343&lt;2043,1+$N$8,1+$O$8),4),"")</f>
        <v>0.16370000000000001</v>
      </c>
    </row>
    <row r="344" spans="4:9" x14ac:dyDescent="0.3">
      <c r="D344" s="26" t="str">
        <f t="shared" si="15"/>
        <v>Demand</v>
      </c>
      <c r="E344" s="10">
        <f t="shared" si="14"/>
        <v>2033</v>
      </c>
      <c r="F344" s="25" t="str">
        <f t="shared" si="13"/>
        <v>CLOFF</v>
      </c>
      <c r="I344" s="29">
        <f>IFERROR(ROUNDDOWN(VLOOKUP(F344,INDATA_FILL_DEMAND!$E$4:$F$251,2,FALSE)*IF(E344&lt;2043,1+$N$8,1+$O$8),4),"")</f>
        <v>0.2324</v>
      </c>
    </row>
    <row r="345" spans="4:9" x14ac:dyDescent="0.3">
      <c r="D345" s="26" t="str">
        <f t="shared" si="15"/>
        <v>Demand</v>
      </c>
      <c r="E345" s="10">
        <f t="shared" si="14"/>
        <v>2033</v>
      </c>
      <c r="F345" s="25" t="str">
        <f t="shared" si="13"/>
        <v>CLOTH</v>
      </c>
      <c r="I345" s="29">
        <f>IFERROR(ROUNDDOWN(VLOOKUP(F345,INDATA_FILL_DEMAND!$E$4:$F$251,2,FALSE)*IF(E345&lt;2043,1+$N$8,1+$O$8),4),"")</f>
        <v>1.3836999999999999</v>
      </c>
    </row>
    <row r="346" spans="4:9" x14ac:dyDescent="0.3">
      <c r="D346" s="26" t="str">
        <f t="shared" si="15"/>
        <v>Demand</v>
      </c>
      <c r="E346" s="10">
        <f t="shared" si="14"/>
        <v>2033</v>
      </c>
      <c r="F346" s="25" t="str">
        <f t="shared" si="13"/>
        <v>CLRET</v>
      </c>
      <c r="I346" s="29">
        <f>IFERROR(ROUNDDOWN(VLOOKUP(F346,INDATA_FILL_DEMAND!$E$4:$F$251,2,FALSE)*IF(E346&lt;2043,1+$N$8,1+$O$8),4),"")</f>
        <v>0.28660000000000002</v>
      </c>
    </row>
    <row r="347" spans="4:9" x14ac:dyDescent="0.3">
      <c r="D347" s="26" t="str">
        <f t="shared" si="15"/>
        <v>Demand</v>
      </c>
      <c r="E347" s="10">
        <f t="shared" si="14"/>
        <v>2033</v>
      </c>
      <c r="F347" s="25" t="str">
        <f t="shared" si="13"/>
        <v>CLSPO</v>
      </c>
      <c r="I347" s="29">
        <f>IFERROR(ROUNDDOWN(VLOOKUP(F347,INDATA_FILL_DEMAND!$E$4:$F$251,2,FALSE)*IF(E347&lt;2043,1+$N$8,1+$O$8),4),"")</f>
        <v>0.61480000000000001</v>
      </c>
    </row>
    <row r="348" spans="4:9" x14ac:dyDescent="0.3">
      <c r="D348" s="26" t="str">
        <f t="shared" si="15"/>
        <v>Demand</v>
      </c>
      <c r="E348" s="10">
        <f t="shared" si="14"/>
        <v>2033</v>
      </c>
      <c r="F348" s="25" t="str">
        <f t="shared" si="13"/>
        <v>CLTUR</v>
      </c>
      <c r="I348" s="29">
        <f>IFERROR(ROUNDDOWN(VLOOKUP(F348,INDATA_FILL_DEMAND!$E$4:$F$251,2,FALSE)*IF(E348&lt;2043,1+$N$8,1+$O$8),4),"")</f>
        <v>0.17460000000000001</v>
      </c>
    </row>
    <row r="349" spans="4:9" x14ac:dyDescent="0.3">
      <c r="D349" s="26" t="str">
        <f t="shared" si="15"/>
        <v>Demand</v>
      </c>
      <c r="E349" s="10">
        <f t="shared" si="14"/>
        <v>2033</v>
      </c>
      <c r="F349" s="25" t="str">
        <f t="shared" si="13"/>
        <v>COCUL</v>
      </c>
      <c r="I349" s="29">
        <f>IFERROR(ROUNDDOWN(VLOOKUP(F349,INDATA_FILL_DEMAND!$E$4:$F$251,2,FALSE)*IF(E349&lt;2043,1+$N$8,1+$O$8),4),"")</f>
        <v>4.3029999999999999</v>
      </c>
    </row>
    <row r="350" spans="4:9" x14ac:dyDescent="0.3">
      <c r="D350" s="26" t="str">
        <f t="shared" si="15"/>
        <v>Demand</v>
      </c>
      <c r="E350" s="10">
        <f t="shared" si="14"/>
        <v>2033</v>
      </c>
      <c r="F350" s="25" t="str">
        <f t="shared" si="13"/>
        <v>COEDU</v>
      </c>
      <c r="I350" s="29">
        <f>IFERROR(ROUNDDOWN(VLOOKUP(F350,INDATA_FILL_DEMAND!$E$4:$F$251,2,FALSE)*IF(E350&lt;2043,1+$N$8,1+$O$8),4),"")</f>
        <v>10.331</v>
      </c>
    </row>
    <row r="351" spans="4:9" x14ac:dyDescent="0.3">
      <c r="D351" s="26" t="str">
        <f t="shared" si="15"/>
        <v>Demand</v>
      </c>
      <c r="E351" s="10">
        <f t="shared" si="14"/>
        <v>2033</v>
      </c>
      <c r="F351" s="25" t="str">
        <f t="shared" si="13"/>
        <v>COHLT</v>
      </c>
      <c r="I351" s="29">
        <f>IFERROR(ROUNDDOWN(VLOOKUP(F351,INDATA_FILL_DEMAND!$E$4:$F$251,2,FALSE)*IF(E351&lt;2043,1+$N$8,1+$O$8),4),"")</f>
        <v>0.77610000000000001</v>
      </c>
    </row>
    <row r="352" spans="4:9" x14ac:dyDescent="0.3">
      <c r="D352" s="26" t="str">
        <f t="shared" si="15"/>
        <v>Demand</v>
      </c>
      <c r="E352" s="10">
        <f t="shared" si="14"/>
        <v>2033</v>
      </c>
      <c r="F352" s="25" t="str">
        <f t="shared" si="13"/>
        <v>COOFF</v>
      </c>
      <c r="I352" s="29">
        <f>IFERROR(ROUNDDOWN(VLOOKUP(F352,INDATA_FILL_DEMAND!$E$4:$F$251,2,FALSE)*IF(E352&lt;2043,1+$N$8,1+$O$8),4),"")</f>
        <v>1.1013999999999999</v>
      </c>
    </row>
    <row r="353" spans="4:9" x14ac:dyDescent="0.3">
      <c r="D353" s="26" t="str">
        <f t="shared" si="15"/>
        <v>Demand</v>
      </c>
      <c r="E353" s="10">
        <f t="shared" si="14"/>
        <v>2033</v>
      </c>
      <c r="F353" s="25" t="str">
        <f t="shared" si="13"/>
        <v>COOTH</v>
      </c>
      <c r="I353" s="29">
        <f>IFERROR(ROUNDDOWN(VLOOKUP(F353,INDATA_FILL_DEMAND!$E$4:$F$251,2,FALSE)*IF(E353&lt;2043,1+$N$8,1+$O$8),4),"")</f>
        <v>6.5572999999999997</v>
      </c>
    </row>
    <row r="354" spans="4:9" x14ac:dyDescent="0.3">
      <c r="D354" s="26" t="str">
        <f t="shared" si="15"/>
        <v>Demand</v>
      </c>
      <c r="E354" s="10">
        <f t="shared" si="14"/>
        <v>2033</v>
      </c>
      <c r="F354" s="25" t="str">
        <f t="shared" si="13"/>
        <v>CORET</v>
      </c>
      <c r="I354" s="29">
        <f>IFERROR(ROUNDDOWN(VLOOKUP(F354,INDATA_FILL_DEMAND!$E$4:$F$251,2,FALSE)*IF(E354&lt;2043,1+$N$8,1+$O$8),4),"")</f>
        <v>1.3582000000000001</v>
      </c>
    </row>
    <row r="355" spans="4:9" x14ac:dyDescent="0.3">
      <c r="D355" s="26" t="str">
        <f t="shared" si="15"/>
        <v>Demand</v>
      </c>
      <c r="E355" s="10">
        <f t="shared" si="14"/>
        <v>2033</v>
      </c>
      <c r="F355" s="25" t="str">
        <f t="shared" si="13"/>
        <v>COSPO</v>
      </c>
      <c r="I355" s="29">
        <f>IFERROR(ROUNDDOWN(VLOOKUP(F355,INDATA_FILL_DEMAND!$E$4:$F$251,2,FALSE)*IF(E355&lt;2043,1+$N$8,1+$O$8),4),"")</f>
        <v>2.9134000000000002</v>
      </c>
    </row>
    <row r="356" spans="4:9" x14ac:dyDescent="0.3">
      <c r="D356" s="26" t="str">
        <f t="shared" si="15"/>
        <v>Demand</v>
      </c>
      <c r="E356" s="10">
        <f t="shared" si="14"/>
        <v>2033</v>
      </c>
      <c r="F356" s="25" t="str">
        <f t="shared" si="13"/>
        <v>COTUR</v>
      </c>
      <c r="I356" s="29">
        <f>IFERROR(ROUNDDOWN(VLOOKUP(F356,INDATA_FILL_DEMAND!$E$4:$F$251,2,FALSE)*IF(E356&lt;2043,1+$N$8,1+$O$8),4),"")</f>
        <v>0.82750000000000001</v>
      </c>
    </row>
    <row r="357" spans="4:9" x14ac:dyDescent="0.3">
      <c r="D357" s="26" t="str">
        <f t="shared" si="15"/>
        <v>*</v>
      </c>
      <c r="E357" s="10">
        <f t="shared" si="14"/>
        <v>2033</v>
      </c>
      <c r="F357" s="25" t="str">
        <f t="shared" si="13"/>
        <v>CECUL</v>
      </c>
      <c r="I357" s="29">
        <f>IFERROR(ROUNDDOWN(VLOOKUP(F357,INDATA_FILL_DEMAND!$E$4:$F$251,2,FALSE)*IF(E357&lt;2043,1+$N$8,1+$O$8),4),"")</f>
        <v>0</v>
      </c>
    </row>
    <row r="358" spans="4:9" x14ac:dyDescent="0.3">
      <c r="D358" s="26" t="str">
        <f t="shared" si="15"/>
        <v>*</v>
      </c>
      <c r="E358" s="10">
        <f t="shared" si="14"/>
        <v>2033</v>
      </c>
      <c r="F358" s="25" t="str">
        <f t="shared" si="13"/>
        <v>CEEDU</v>
      </c>
      <c r="I358" s="29">
        <f>IFERROR(ROUNDDOWN(VLOOKUP(F358,INDATA_FILL_DEMAND!$E$4:$F$251,2,FALSE)*IF(E358&lt;2043,1+$N$8,1+$O$8),4),"")</f>
        <v>0</v>
      </c>
    </row>
    <row r="359" spans="4:9" x14ac:dyDescent="0.3">
      <c r="D359" s="26" t="str">
        <f t="shared" si="15"/>
        <v>*</v>
      </c>
      <c r="E359" s="10">
        <f t="shared" si="14"/>
        <v>2033</v>
      </c>
      <c r="F359" s="25" t="str">
        <f t="shared" si="13"/>
        <v>CEHLT</v>
      </c>
      <c r="I359" s="29">
        <f>IFERROR(ROUNDDOWN(VLOOKUP(F359,INDATA_FILL_DEMAND!$E$4:$F$251,2,FALSE)*IF(E359&lt;2043,1+$N$8,1+$O$8),4),"")</f>
        <v>0</v>
      </c>
    </row>
    <row r="360" spans="4:9" x14ac:dyDescent="0.3">
      <c r="D360" s="26" t="str">
        <f t="shared" si="15"/>
        <v>*</v>
      </c>
      <c r="E360" s="10">
        <f t="shared" si="14"/>
        <v>2033</v>
      </c>
      <c r="F360" s="25" t="str">
        <f t="shared" si="13"/>
        <v>CEOFF</v>
      </c>
      <c r="I360" s="29">
        <f>IFERROR(ROUNDDOWN(VLOOKUP(F360,INDATA_FILL_DEMAND!$E$4:$F$251,2,FALSE)*IF(E360&lt;2043,1+$N$8,1+$O$8),4),"")</f>
        <v>0</v>
      </c>
    </row>
    <row r="361" spans="4:9" x14ac:dyDescent="0.3">
      <c r="D361" s="26" t="str">
        <f t="shared" si="15"/>
        <v>*</v>
      </c>
      <c r="E361" s="10">
        <f t="shared" si="14"/>
        <v>2033</v>
      </c>
      <c r="F361" s="25" t="str">
        <f t="shared" si="13"/>
        <v>CEOTH</v>
      </c>
      <c r="I361" s="29">
        <f>IFERROR(ROUNDDOWN(VLOOKUP(F361,INDATA_FILL_DEMAND!$E$4:$F$251,2,FALSE)*IF(E361&lt;2043,1+$N$8,1+$O$8),4),"")</f>
        <v>0</v>
      </c>
    </row>
    <row r="362" spans="4:9" x14ac:dyDescent="0.3">
      <c r="D362" s="26" t="str">
        <f t="shared" si="15"/>
        <v>*</v>
      </c>
      <c r="E362" s="10">
        <f t="shared" si="14"/>
        <v>2033</v>
      </c>
      <c r="F362" s="25" t="str">
        <f t="shared" si="13"/>
        <v>CERET</v>
      </c>
      <c r="I362" s="29">
        <f>IFERROR(ROUNDDOWN(VLOOKUP(F362,INDATA_FILL_DEMAND!$E$4:$F$251,2,FALSE)*IF(E362&lt;2043,1+$N$8,1+$O$8),4),"")</f>
        <v>0</v>
      </c>
    </row>
    <row r="363" spans="4:9" x14ac:dyDescent="0.3">
      <c r="D363" s="26" t="str">
        <f t="shared" si="15"/>
        <v>*</v>
      </c>
      <c r="E363" s="10">
        <f t="shared" si="14"/>
        <v>2033</v>
      </c>
      <c r="F363" s="25" t="str">
        <f t="shared" si="13"/>
        <v>CESPO</v>
      </c>
      <c r="I363" s="29">
        <f>IFERROR(ROUNDDOWN(VLOOKUP(F363,INDATA_FILL_DEMAND!$E$4:$F$251,2,FALSE)*IF(E363&lt;2043,1+$N$8,1+$O$8),4),"")</f>
        <v>0</v>
      </c>
    </row>
    <row r="364" spans="4:9" x14ac:dyDescent="0.3">
      <c r="D364" s="26" t="str">
        <f t="shared" si="15"/>
        <v>*</v>
      </c>
      <c r="E364" s="10">
        <f t="shared" si="14"/>
        <v>2033</v>
      </c>
      <c r="F364" s="25" t="str">
        <f t="shared" si="13"/>
        <v>CETUR</v>
      </c>
      <c r="I364" s="29">
        <f>IFERROR(ROUNDDOWN(VLOOKUP(F364,INDATA_FILL_DEMAND!$E$4:$F$251,2,FALSE)*IF(E364&lt;2043,1+$N$8,1+$O$8),4),"")</f>
        <v>0</v>
      </c>
    </row>
    <row r="365" spans="4:9" x14ac:dyDescent="0.3">
      <c r="D365" s="26" t="str">
        <f t="shared" si="15"/>
        <v>Demand</v>
      </c>
      <c r="E365" s="10">
        <f t="shared" si="14"/>
        <v>2033</v>
      </c>
      <c r="F365" s="25" t="str">
        <f t="shared" si="13"/>
        <v>MHCUL</v>
      </c>
      <c r="I365" s="29">
        <f>IFERROR(ROUNDDOWN(VLOOKUP(F365,INDATA_FILL_DEMAND!$E$4:$F$251,2,FALSE)*IF(E365&lt;2043,1+$N$8,1+$O$8),4),"")</f>
        <v>3.7602000000000002</v>
      </c>
    </row>
    <row r="366" spans="4:9" x14ac:dyDescent="0.3">
      <c r="D366" s="26" t="str">
        <f t="shared" si="15"/>
        <v>Demand</v>
      </c>
      <c r="E366" s="10">
        <f t="shared" si="14"/>
        <v>2033</v>
      </c>
      <c r="F366" s="25" t="str">
        <f t="shared" si="13"/>
        <v>MHEDU</v>
      </c>
      <c r="I366" s="29">
        <f>IFERROR(ROUNDDOWN(VLOOKUP(F366,INDATA_FILL_DEMAND!$E$4:$F$251,2,FALSE)*IF(E366&lt;2043,1+$N$8,1+$O$8),4),"")</f>
        <v>30.9392</v>
      </c>
    </row>
    <row r="367" spans="4:9" x14ac:dyDescent="0.3">
      <c r="D367" s="26" t="str">
        <f t="shared" si="15"/>
        <v>*</v>
      </c>
      <c r="E367" s="10">
        <f t="shared" si="14"/>
        <v>2033</v>
      </c>
      <c r="F367" s="25" t="str">
        <f t="shared" si="13"/>
        <v>MHHOU</v>
      </c>
      <c r="I367" s="29">
        <f>IFERROR(ROUNDDOWN(VLOOKUP(F367,INDATA_FILL_DEMAND!$E$4:$F$251,2,FALSE)*IF(E367&lt;2043,1+$N$8,1+$O$8),4),"")</f>
        <v>0</v>
      </c>
    </row>
    <row r="368" spans="4:9" x14ac:dyDescent="0.3">
      <c r="D368" s="26" t="str">
        <f t="shared" si="15"/>
        <v>Demand</v>
      </c>
      <c r="E368" s="10">
        <f t="shared" si="14"/>
        <v>2033</v>
      </c>
      <c r="F368" s="25" t="str">
        <f t="shared" si="13"/>
        <v>MHOFL</v>
      </c>
      <c r="I368" s="29">
        <f>IFERROR(ROUNDDOWN(VLOOKUP(F368,INDATA_FILL_DEMAND!$E$4:$F$251,2,FALSE)*IF(E368&lt;2043,1+$N$8,1+$O$8),4),"")</f>
        <v>3.7073999999999998</v>
      </c>
    </row>
    <row r="369" spans="4:9" x14ac:dyDescent="0.3">
      <c r="D369" s="26" t="str">
        <f t="shared" si="15"/>
        <v>Demand</v>
      </c>
      <c r="E369" s="10">
        <f t="shared" si="14"/>
        <v>2033</v>
      </c>
      <c r="F369" s="25" t="str">
        <f t="shared" si="13"/>
        <v>MHOFS</v>
      </c>
      <c r="I369" s="29">
        <f>IFERROR(ROUNDDOWN(VLOOKUP(F369,INDATA_FILL_DEMAND!$E$4:$F$251,2,FALSE)*IF(E369&lt;2043,1+$N$8,1+$O$8),4),"")</f>
        <v>3.8685999999999998</v>
      </c>
    </row>
    <row r="370" spans="4:9" x14ac:dyDescent="0.3">
      <c r="D370" s="26" t="str">
        <f t="shared" si="15"/>
        <v>Demand</v>
      </c>
      <c r="E370" s="10">
        <f t="shared" si="14"/>
        <v>2033</v>
      </c>
      <c r="F370" s="25" t="str">
        <f t="shared" si="13"/>
        <v>MHOTH</v>
      </c>
      <c r="I370" s="29">
        <f>IFERROR(ROUNDDOWN(VLOOKUP(F370,INDATA_FILL_DEMAND!$E$4:$F$251,2,FALSE)*IF(E370&lt;2043,1+$N$8,1+$O$8),4),"")</f>
        <v>5.3570000000000002</v>
      </c>
    </row>
    <row r="371" spans="4:9" x14ac:dyDescent="0.3">
      <c r="D371" s="26" t="str">
        <f t="shared" si="15"/>
        <v>Demand</v>
      </c>
      <c r="E371" s="10">
        <f t="shared" si="14"/>
        <v>2033</v>
      </c>
      <c r="F371" s="25" t="str">
        <f t="shared" si="13"/>
        <v>MHSPO</v>
      </c>
      <c r="I371" s="29">
        <f>IFERROR(ROUNDDOWN(VLOOKUP(F371,INDATA_FILL_DEMAND!$E$4:$F$251,2,FALSE)*IF(E371&lt;2043,1+$N$8,1+$O$8),4),"")</f>
        <v>12.138400000000001</v>
      </c>
    </row>
    <row r="372" spans="4:9" x14ac:dyDescent="0.3">
      <c r="D372" s="26" t="str">
        <f t="shared" si="15"/>
        <v>Demand</v>
      </c>
      <c r="E372" s="10">
        <f t="shared" si="14"/>
        <v>2033</v>
      </c>
      <c r="F372" s="25" t="str">
        <f t="shared" si="13"/>
        <v>MHTCH</v>
      </c>
      <c r="I372" s="29">
        <f>IFERROR(ROUNDDOWN(VLOOKUP(F372,INDATA_FILL_DEMAND!$E$4:$F$251,2,FALSE)*IF(E372&lt;2043,1+$N$8,1+$O$8),4),"")</f>
        <v>1.8236000000000001</v>
      </c>
    </row>
    <row r="373" spans="4:9" x14ac:dyDescent="0.3">
      <c r="D373" s="26" t="str">
        <f t="shared" si="15"/>
        <v>*</v>
      </c>
      <c r="E373" s="10">
        <f t="shared" si="14"/>
        <v>2033</v>
      </c>
      <c r="F373" s="25" t="str">
        <f t="shared" si="13"/>
        <v>MCCUL</v>
      </c>
      <c r="I373" s="29">
        <f>IFERROR(ROUNDDOWN(VLOOKUP(F373,INDATA_FILL_DEMAND!$E$4:$F$251,2,FALSE)*IF(E373&lt;2043,1+$N$8,1+$O$8),4),"")</f>
        <v>0</v>
      </c>
    </row>
    <row r="374" spans="4:9" x14ac:dyDescent="0.3">
      <c r="D374" s="26" t="str">
        <f t="shared" si="15"/>
        <v>*</v>
      </c>
      <c r="E374" s="10">
        <f t="shared" si="14"/>
        <v>2033</v>
      </c>
      <c r="F374" s="25" t="str">
        <f t="shared" si="13"/>
        <v>MCEDU</v>
      </c>
      <c r="I374" s="29">
        <f>IFERROR(ROUNDDOWN(VLOOKUP(F374,INDATA_FILL_DEMAND!$E$4:$F$251,2,FALSE)*IF(E374&lt;2043,1+$N$8,1+$O$8),4),"")</f>
        <v>0</v>
      </c>
    </row>
    <row r="375" spans="4:9" x14ac:dyDescent="0.3">
      <c r="D375" s="26" t="str">
        <f t="shared" si="15"/>
        <v>*</v>
      </c>
      <c r="E375" s="10">
        <f t="shared" si="14"/>
        <v>2033</v>
      </c>
      <c r="F375" s="25" t="str">
        <f t="shared" si="13"/>
        <v>MCHOU</v>
      </c>
      <c r="I375" s="29">
        <f>IFERROR(ROUNDDOWN(VLOOKUP(F375,INDATA_FILL_DEMAND!$E$4:$F$251,2,FALSE)*IF(E375&lt;2043,1+$N$8,1+$O$8),4),"")</f>
        <v>0</v>
      </c>
    </row>
    <row r="376" spans="4:9" x14ac:dyDescent="0.3">
      <c r="D376" s="26" t="str">
        <f t="shared" si="15"/>
        <v>*</v>
      </c>
      <c r="E376" s="10">
        <f t="shared" si="14"/>
        <v>2033</v>
      </c>
      <c r="F376" s="25" t="str">
        <f t="shared" si="13"/>
        <v>MCOFL</v>
      </c>
      <c r="I376" s="29">
        <f>IFERROR(ROUNDDOWN(VLOOKUP(F376,INDATA_FILL_DEMAND!$E$4:$F$251,2,FALSE)*IF(E376&lt;2043,1+$N$8,1+$O$8),4),"")</f>
        <v>0</v>
      </c>
    </row>
    <row r="377" spans="4:9" x14ac:dyDescent="0.3">
      <c r="D377" s="26" t="str">
        <f t="shared" si="15"/>
        <v>*</v>
      </c>
      <c r="E377" s="10">
        <f t="shared" si="14"/>
        <v>2033</v>
      </c>
      <c r="F377" s="25" t="str">
        <f t="shared" si="13"/>
        <v>MCOFS</v>
      </c>
      <c r="I377" s="29">
        <f>IFERROR(ROUNDDOWN(VLOOKUP(F377,INDATA_FILL_DEMAND!$E$4:$F$251,2,FALSE)*IF(E377&lt;2043,1+$N$8,1+$O$8),4),"")</f>
        <v>0</v>
      </c>
    </row>
    <row r="378" spans="4:9" x14ac:dyDescent="0.3">
      <c r="D378" s="26" t="str">
        <f t="shared" si="15"/>
        <v>*</v>
      </c>
      <c r="E378" s="10">
        <f t="shared" si="14"/>
        <v>2033</v>
      </c>
      <c r="F378" s="25" t="str">
        <f t="shared" si="13"/>
        <v>MCOTH</v>
      </c>
      <c r="I378" s="29">
        <f>IFERROR(ROUNDDOWN(VLOOKUP(F378,INDATA_FILL_DEMAND!$E$4:$F$251,2,FALSE)*IF(E378&lt;2043,1+$N$8,1+$O$8),4),"")</f>
        <v>0</v>
      </c>
    </row>
    <row r="379" spans="4:9" x14ac:dyDescent="0.3">
      <c r="D379" s="26" t="str">
        <f t="shared" si="15"/>
        <v>*</v>
      </c>
      <c r="E379" s="10">
        <f t="shared" si="14"/>
        <v>2033</v>
      </c>
      <c r="F379" s="25" t="str">
        <f t="shared" si="13"/>
        <v>MCSPO</v>
      </c>
      <c r="I379" s="29">
        <f>IFERROR(ROUNDDOWN(VLOOKUP(F379,INDATA_FILL_DEMAND!$E$4:$F$251,2,FALSE)*IF(E379&lt;2043,1+$N$8,1+$O$8),4),"")</f>
        <v>0</v>
      </c>
    </row>
    <row r="380" spans="4:9" x14ac:dyDescent="0.3">
      <c r="D380" s="26" t="str">
        <f t="shared" si="15"/>
        <v>*</v>
      </c>
      <c r="E380" s="10">
        <f t="shared" si="14"/>
        <v>2033</v>
      </c>
      <c r="F380" s="25" t="str">
        <f t="shared" si="13"/>
        <v>MCTCH</v>
      </c>
      <c r="I380" s="29">
        <f>IFERROR(ROUNDDOWN(VLOOKUP(F380,INDATA_FILL_DEMAND!$E$4:$F$251,2,FALSE)*IF(E380&lt;2043,1+$N$8,1+$O$8),4),"")</f>
        <v>0</v>
      </c>
    </row>
    <row r="381" spans="4:9" x14ac:dyDescent="0.3">
      <c r="D381" s="26" t="str">
        <f t="shared" si="15"/>
        <v>Demand</v>
      </c>
      <c r="E381" s="10">
        <f t="shared" si="14"/>
        <v>2033</v>
      </c>
      <c r="F381" s="25" t="str">
        <f t="shared" si="13"/>
        <v>MWCUL</v>
      </c>
      <c r="I381" s="29">
        <f>IFERROR(ROUNDDOWN(VLOOKUP(F381,INDATA_FILL_DEMAND!$E$4:$F$251,2,FALSE)*IF(E381&lt;2043,1+$N$8,1+$O$8),4),"")</f>
        <v>0.84809999999999997</v>
      </c>
    </row>
    <row r="382" spans="4:9" x14ac:dyDescent="0.3">
      <c r="D382" s="26" t="str">
        <f t="shared" si="15"/>
        <v>Demand</v>
      </c>
      <c r="E382" s="10">
        <f t="shared" si="14"/>
        <v>2033</v>
      </c>
      <c r="F382" s="25" t="str">
        <f t="shared" ref="F382:F445" si="16">F134</f>
        <v>MWEDU</v>
      </c>
      <c r="I382" s="29">
        <f>IFERROR(ROUNDDOWN(VLOOKUP(F382,INDATA_FILL_DEMAND!$E$4:$F$251,2,FALSE)*IF(E382&lt;2043,1+$N$8,1+$O$8),4),"")</f>
        <v>7.7447999999999997</v>
      </c>
    </row>
    <row r="383" spans="4:9" x14ac:dyDescent="0.3">
      <c r="D383" s="26" t="str">
        <f t="shared" si="15"/>
        <v>*</v>
      </c>
      <c r="E383" s="10">
        <f t="shared" ref="E383:E446" si="17">E382</f>
        <v>2033</v>
      </c>
      <c r="F383" s="25" t="str">
        <f t="shared" si="16"/>
        <v>MWHOU</v>
      </c>
      <c r="I383" s="29">
        <f>IFERROR(ROUNDDOWN(VLOOKUP(F383,INDATA_FILL_DEMAND!$E$4:$F$251,2,FALSE)*IF(E383&lt;2043,1+$N$8,1+$O$8),4),"")</f>
        <v>0</v>
      </c>
    </row>
    <row r="384" spans="4:9" x14ac:dyDescent="0.3">
      <c r="D384" s="26" t="str">
        <f t="shared" si="15"/>
        <v>Demand</v>
      </c>
      <c r="E384" s="10">
        <f t="shared" si="17"/>
        <v>2033</v>
      </c>
      <c r="F384" s="25" t="str">
        <f t="shared" si="16"/>
        <v>MWOFL</v>
      </c>
      <c r="I384" s="29">
        <f>IFERROR(ROUNDDOWN(VLOOKUP(F384,INDATA_FILL_DEMAND!$E$4:$F$251,2,FALSE)*IF(E384&lt;2043,1+$N$8,1+$O$8),4),"")</f>
        <v>0.93220000000000003</v>
      </c>
    </row>
    <row r="385" spans="4:9" x14ac:dyDescent="0.3">
      <c r="D385" s="26" t="str">
        <f t="shared" si="15"/>
        <v>Demand</v>
      </c>
      <c r="E385" s="10">
        <f t="shared" si="17"/>
        <v>2033</v>
      </c>
      <c r="F385" s="25" t="str">
        <f t="shared" si="16"/>
        <v>MWOFS</v>
      </c>
      <c r="I385" s="29">
        <f>IFERROR(ROUNDDOWN(VLOOKUP(F385,INDATA_FILL_DEMAND!$E$4:$F$251,2,FALSE)*IF(E385&lt;2043,1+$N$8,1+$O$8),4),"")</f>
        <v>0.8075</v>
      </c>
    </row>
    <row r="386" spans="4:9" x14ac:dyDescent="0.3">
      <c r="D386" s="26" t="str">
        <f t="shared" si="15"/>
        <v>Demand</v>
      </c>
      <c r="E386" s="10">
        <f t="shared" si="17"/>
        <v>2033</v>
      </c>
      <c r="F386" s="25" t="str">
        <f t="shared" si="16"/>
        <v>MWOTH</v>
      </c>
      <c r="I386" s="29">
        <f>IFERROR(ROUNDDOWN(VLOOKUP(F386,INDATA_FILL_DEMAND!$E$4:$F$251,2,FALSE)*IF(E386&lt;2043,1+$N$8,1+$O$8),4),"")</f>
        <v>1.3541000000000001</v>
      </c>
    </row>
    <row r="387" spans="4:9" x14ac:dyDescent="0.3">
      <c r="D387" s="26" t="str">
        <f t="shared" si="15"/>
        <v>Demand</v>
      </c>
      <c r="E387" s="10">
        <f t="shared" si="17"/>
        <v>2033</v>
      </c>
      <c r="F387" s="25" t="str">
        <f t="shared" si="16"/>
        <v>MWSPO</v>
      </c>
      <c r="I387" s="29">
        <f>IFERROR(ROUNDDOWN(VLOOKUP(F387,INDATA_FILL_DEMAND!$E$4:$F$251,2,FALSE)*IF(E387&lt;2043,1+$N$8,1+$O$8),4),"")</f>
        <v>3.0733000000000001</v>
      </c>
    </row>
    <row r="388" spans="4:9" x14ac:dyDescent="0.3">
      <c r="D388" s="26" t="str">
        <f t="shared" si="15"/>
        <v>Demand</v>
      </c>
      <c r="E388" s="10">
        <f t="shared" si="17"/>
        <v>2033</v>
      </c>
      <c r="F388" s="25" t="str">
        <f t="shared" si="16"/>
        <v>MWTCH</v>
      </c>
      <c r="I388" s="29">
        <f>IFERROR(ROUNDDOWN(VLOOKUP(F388,INDATA_FILL_DEMAND!$E$4:$F$251,2,FALSE)*IF(E388&lt;2043,1+$N$8,1+$O$8),4),"")</f>
        <v>0.44979999999999998</v>
      </c>
    </row>
    <row r="389" spans="4:9" x14ac:dyDescent="0.3">
      <c r="D389" s="26" t="str">
        <f t="shared" si="15"/>
        <v>Demand</v>
      </c>
      <c r="E389" s="10">
        <f t="shared" si="17"/>
        <v>2033</v>
      </c>
      <c r="F389" s="25" t="str">
        <f t="shared" si="16"/>
        <v>MKCUL</v>
      </c>
      <c r="I389" s="29">
        <f>IFERROR(ROUNDDOWN(VLOOKUP(F389,INDATA_FILL_DEMAND!$E$4:$F$251,2,FALSE)*IF(E389&lt;2043,1+$N$8,1+$O$8),4),"")</f>
        <v>0.27729999999999999</v>
      </c>
    </row>
    <row r="390" spans="4:9" x14ac:dyDescent="0.3">
      <c r="D390" s="26" t="str">
        <f t="shared" si="15"/>
        <v>Demand</v>
      </c>
      <c r="E390" s="10">
        <f t="shared" si="17"/>
        <v>2033</v>
      </c>
      <c r="F390" s="25" t="str">
        <f t="shared" si="16"/>
        <v>MKEDU</v>
      </c>
      <c r="I390" s="29">
        <f>IFERROR(ROUNDDOWN(VLOOKUP(F390,INDATA_FILL_DEMAND!$E$4:$F$251,2,FALSE)*IF(E390&lt;2043,1+$N$8,1+$O$8),4),"")</f>
        <v>0.66569999999999996</v>
      </c>
    </row>
    <row r="391" spans="4:9" x14ac:dyDescent="0.3">
      <c r="D391" s="26" t="str">
        <f t="shared" si="15"/>
        <v>*</v>
      </c>
      <c r="E391" s="10">
        <f t="shared" si="17"/>
        <v>2033</v>
      </c>
      <c r="F391" s="25" t="str">
        <f t="shared" si="16"/>
        <v>MKHOU</v>
      </c>
      <c r="I391" s="29">
        <f>IFERROR(ROUNDDOWN(VLOOKUP(F391,INDATA_FILL_DEMAND!$E$4:$F$251,2,FALSE)*IF(E391&lt;2043,1+$N$8,1+$O$8),4),"")</f>
        <v>0</v>
      </c>
    </row>
    <row r="392" spans="4:9" x14ac:dyDescent="0.3">
      <c r="D392" s="26" t="str">
        <f t="shared" si="15"/>
        <v>Demand</v>
      </c>
      <c r="E392" s="10">
        <f t="shared" si="17"/>
        <v>2033</v>
      </c>
      <c r="F392" s="25" t="str">
        <f t="shared" si="16"/>
        <v>MKOFL</v>
      </c>
      <c r="I392" s="29">
        <f>IFERROR(ROUNDDOWN(VLOOKUP(F392,INDATA_FILL_DEMAND!$E$4:$F$251,2,FALSE)*IF(E392&lt;2043,1+$N$8,1+$O$8),4),"")</f>
        <v>7.0900000000000005E-2</v>
      </c>
    </row>
    <row r="393" spans="4:9" x14ac:dyDescent="0.3">
      <c r="D393" s="26" t="str">
        <f t="shared" si="15"/>
        <v>Demand</v>
      </c>
      <c r="E393" s="10">
        <f t="shared" si="17"/>
        <v>2033</v>
      </c>
      <c r="F393" s="25" t="str">
        <f t="shared" si="16"/>
        <v>MKOFS</v>
      </c>
      <c r="I393" s="29">
        <f>IFERROR(ROUNDDOWN(VLOOKUP(F393,INDATA_FILL_DEMAND!$E$4:$F$251,2,FALSE)*IF(E393&lt;2043,1+$N$8,1+$O$8),4),"")</f>
        <v>0.42249999999999999</v>
      </c>
    </row>
    <row r="394" spans="4:9" x14ac:dyDescent="0.3">
      <c r="D394" s="26" t="str">
        <f t="shared" si="15"/>
        <v>Demand</v>
      </c>
      <c r="E394" s="10">
        <f t="shared" si="17"/>
        <v>2033</v>
      </c>
      <c r="F394" s="25" t="str">
        <f t="shared" si="16"/>
        <v>MKOTH</v>
      </c>
      <c r="I394" s="29">
        <f>IFERROR(ROUNDDOWN(VLOOKUP(F394,INDATA_FILL_DEMAND!$E$4:$F$251,2,FALSE)*IF(E394&lt;2043,1+$N$8,1+$O$8),4),"")</f>
        <v>8.7499999999999994E-2</v>
      </c>
    </row>
    <row r="395" spans="4:9" x14ac:dyDescent="0.3">
      <c r="D395" s="26" t="str">
        <f t="shared" si="15"/>
        <v>Demand</v>
      </c>
      <c r="E395" s="10">
        <f t="shared" si="17"/>
        <v>2033</v>
      </c>
      <c r="F395" s="25" t="str">
        <f t="shared" si="16"/>
        <v>MKSPO</v>
      </c>
      <c r="I395" s="29">
        <f>IFERROR(ROUNDDOWN(VLOOKUP(F395,INDATA_FILL_DEMAND!$E$4:$F$251,2,FALSE)*IF(E395&lt;2043,1+$N$8,1+$O$8),4),"")</f>
        <v>0.18770000000000001</v>
      </c>
    </row>
    <row r="396" spans="4:9" x14ac:dyDescent="0.3">
      <c r="D396" s="26" t="str">
        <f t="shared" si="15"/>
        <v>Demand</v>
      </c>
      <c r="E396" s="10">
        <f t="shared" si="17"/>
        <v>2033</v>
      </c>
      <c r="F396" s="25" t="str">
        <f t="shared" si="16"/>
        <v>MKTCH</v>
      </c>
      <c r="I396" s="29">
        <f>IFERROR(ROUNDDOWN(VLOOKUP(F396,INDATA_FILL_DEMAND!$E$4:$F$251,2,FALSE)*IF(E396&lt;2043,1+$N$8,1+$O$8),4),"")</f>
        <v>5.33E-2</v>
      </c>
    </row>
    <row r="397" spans="4:9" x14ac:dyDescent="0.3">
      <c r="D397" s="26" t="str">
        <f t="shared" si="15"/>
        <v>Demand</v>
      </c>
      <c r="E397" s="10">
        <f t="shared" si="17"/>
        <v>2033</v>
      </c>
      <c r="F397" s="25" t="str">
        <f t="shared" si="16"/>
        <v>MLCUL</v>
      </c>
      <c r="I397" s="29">
        <f>IFERROR(ROUNDDOWN(VLOOKUP(F397,INDATA_FILL_DEMAND!$E$4:$F$251,2,FALSE)*IF(E397&lt;2043,1+$N$8,1+$O$8),4),"")</f>
        <v>0.36699999999999999</v>
      </c>
    </row>
    <row r="398" spans="4:9" x14ac:dyDescent="0.3">
      <c r="D398" s="26" t="str">
        <f t="shared" ref="D398:D461" si="18">IF(AND(ISNUMBER(I398),I398&gt;0),"Demand","*")</f>
        <v>Demand</v>
      </c>
      <c r="E398" s="10">
        <f t="shared" si="17"/>
        <v>2033</v>
      </c>
      <c r="F398" s="25" t="str">
        <f t="shared" si="16"/>
        <v>MLEDU</v>
      </c>
      <c r="I398" s="29">
        <f>IFERROR(ROUNDDOWN(VLOOKUP(F398,INDATA_FILL_DEMAND!$E$4:$F$251,2,FALSE)*IF(E398&lt;2043,1+$N$8,1+$O$8),4),"")</f>
        <v>0.88109999999999999</v>
      </c>
    </row>
    <row r="399" spans="4:9" x14ac:dyDescent="0.3">
      <c r="D399" s="26" t="str">
        <f t="shared" si="18"/>
        <v>*</v>
      </c>
      <c r="E399" s="10">
        <f t="shared" si="17"/>
        <v>2033</v>
      </c>
      <c r="F399" s="25" t="str">
        <f t="shared" si="16"/>
        <v>MLHOU</v>
      </c>
      <c r="I399" s="29">
        <f>IFERROR(ROUNDDOWN(VLOOKUP(F399,INDATA_FILL_DEMAND!$E$4:$F$251,2,FALSE)*IF(E399&lt;2043,1+$N$8,1+$O$8),4),"")</f>
        <v>0</v>
      </c>
    </row>
    <row r="400" spans="4:9" x14ac:dyDescent="0.3">
      <c r="D400" s="26" t="str">
        <f t="shared" si="18"/>
        <v>Demand</v>
      </c>
      <c r="E400" s="10">
        <f t="shared" si="17"/>
        <v>2033</v>
      </c>
      <c r="F400" s="25" t="str">
        <f t="shared" si="16"/>
        <v>MLOFL</v>
      </c>
      <c r="I400" s="29">
        <f>IFERROR(ROUNDDOWN(VLOOKUP(F400,INDATA_FILL_DEMAND!$E$4:$F$251,2,FALSE)*IF(E400&lt;2043,1+$N$8,1+$O$8),4),"")</f>
        <v>9.3899999999999997E-2</v>
      </c>
    </row>
    <row r="401" spans="4:9" x14ac:dyDescent="0.3">
      <c r="D401" s="26" t="str">
        <f t="shared" si="18"/>
        <v>Demand</v>
      </c>
      <c r="E401" s="10">
        <f t="shared" si="17"/>
        <v>2033</v>
      </c>
      <c r="F401" s="25" t="str">
        <f t="shared" si="16"/>
        <v>MLOFS</v>
      </c>
      <c r="I401" s="29">
        <f>IFERROR(ROUNDDOWN(VLOOKUP(F401,INDATA_FILL_DEMAND!$E$4:$F$251,2,FALSE)*IF(E401&lt;2043,1+$N$8,1+$O$8),4),"")</f>
        <v>0.55920000000000003</v>
      </c>
    </row>
    <row r="402" spans="4:9" x14ac:dyDescent="0.3">
      <c r="D402" s="26" t="str">
        <f t="shared" si="18"/>
        <v>Demand</v>
      </c>
      <c r="E402" s="10">
        <f t="shared" si="17"/>
        <v>2033</v>
      </c>
      <c r="F402" s="25" t="str">
        <f t="shared" si="16"/>
        <v>MLOTH</v>
      </c>
      <c r="I402" s="29">
        <f>IFERROR(ROUNDDOWN(VLOOKUP(F402,INDATA_FILL_DEMAND!$E$4:$F$251,2,FALSE)*IF(E402&lt;2043,1+$N$8,1+$O$8),4),"")</f>
        <v>0.1158</v>
      </c>
    </row>
    <row r="403" spans="4:9" x14ac:dyDescent="0.3">
      <c r="D403" s="26" t="str">
        <f t="shared" si="18"/>
        <v>Demand</v>
      </c>
      <c r="E403" s="10">
        <f t="shared" si="17"/>
        <v>2033</v>
      </c>
      <c r="F403" s="25" t="str">
        <f t="shared" si="16"/>
        <v>MLSPO</v>
      </c>
      <c r="I403" s="29">
        <f>IFERROR(ROUNDDOWN(VLOOKUP(F403,INDATA_FILL_DEMAND!$E$4:$F$251,2,FALSE)*IF(E403&lt;2043,1+$N$8,1+$O$8),4),"")</f>
        <v>0.24840000000000001</v>
      </c>
    </row>
    <row r="404" spans="4:9" x14ac:dyDescent="0.3">
      <c r="D404" s="26" t="str">
        <f t="shared" si="18"/>
        <v>Demand</v>
      </c>
      <c r="E404" s="10">
        <f t="shared" si="17"/>
        <v>2033</v>
      </c>
      <c r="F404" s="25" t="str">
        <f t="shared" si="16"/>
        <v>MLTCH</v>
      </c>
      <c r="I404" s="29">
        <f>IFERROR(ROUNDDOWN(VLOOKUP(F404,INDATA_FILL_DEMAND!$E$4:$F$251,2,FALSE)*IF(E404&lt;2043,1+$N$8,1+$O$8),4),"")</f>
        <v>7.0499999999999993E-2</v>
      </c>
    </row>
    <row r="405" spans="4:9" x14ac:dyDescent="0.3">
      <c r="D405" s="26" t="str">
        <f t="shared" si="18"/>
        <v>Demand</v>
      </c>
      <c r="E405" s="10">
        <f t="shared" si="17"/>
        <v>2033</v>
      </c>
      <c r="F405" s="25" t="str">
        <f t="shared" si="16"/>
        <v>MOCUL</v>
      </c>
      <c r="I405" s="29">
        <f>IFERROR(ROUNDDOWN(VLOOKUP(F405,INDATA_FILL_DEMAND!$E$4:$F$251,2,FALSE)*IF(E405&lt;2043,1+$N$8,1+$O$8),4),"")</f>
        <v>1.7391000000000001</v>
      </c>
    </row>
    <row r="406" spans="4:9" x14ac:dyDescent="0.3">
      <c r="D406" s="26" t="str">
        <f t="shared" si="18"/>
        <v>Demand</v>
      </c>
      <c r="E406" s="10">
        <f t="shared" si="17"/>
        <v>2033</v>
      </c>
      <c r="F406" s="25" t="str">
        <f t="shared" si="16"/>
        <v>MOEDU</v>
      </c>
      <c r="I406" s="29">
        <f>IFERROR(ROUNDDOWN(VLOOKUP(F406,INDATA_FILL_DEMAND!$E$4:$F$251,2,FALSE)*IF(E406&lt;2043,1+$N$8,1+$O$8),4),"")</f>
        <v>4.1753999999999998</v>
      </c>
    </row>
    <row r="407" spans="4:9" x14ac:dyDescent="0.3">
      <c r="D407" s="26" t="str">
        <f t="shared" si="18"/>
        <v>*</v>
      </c>
      <c r="E407" s="10">
        <f t="shared" si="17"/>
        <v>2033</v>
      </c>
      <c r="F407" s="25" t="str">
        <f t="shared" si="16"/>
        <v>MOHOU</v>
      </c>
      <c r="I407" s="29">
        <f>IFERROR(ROUNDDOWN(VLOOKUP(F407,INDATA_FILL_DEMAND!$E$4:$F$251,2,FALSE)*IF(E407&lt;2043,1+$N$8,1+$O$8),4),"")</f>
        <v>0</v>
      </c>
    </row>
    <row r="408" spans="4:9" x14ac:dyDescent="0.3">
      <c r="D408" s="26" t="str">
        <f t="shared" si="18"/>
        <v>Demand</v>
      </c>
      <c r="E408" s="10">
        <f t="shared" si="17"/>
        <v>2033</v>
      </c>
      <c r="F408" s="25" t="str">
        <f t="shared" si="16"/>
        <v>MOOFL</v>
      </c>
      <c r="I408" s="29">
        <f>IFERROR(ROUNDDOWN(VLOOKUP(F408,INDATA_FILL_DEMAND!$E$4:$F$251,2,FALSE)*IF(E408&lt;2043,1+$N$8,1+$O$8),4),"")</f>
        <v>0.4451</v>
      </c>
    </row>
    <row r="409" spans="4:9" x14ac:dyDescent="0.3">
      <c r="D409" s="26" t="str">
        <f t="shared" si="18"/>
        <v>Demand</v>
      </c>
      <c r="E409" s="10">
        <f t="shared" si="17"/>
        <v>2033</v>
      </c>
      <c r="F409" s="25" t="str">
        <f t="shared" si="16"/>
        <v>MOOFS</v>
      </c>
      <c r="I409" s="29">
        <f>IFERROR(ROUNDDOWN(VLOOKUP(F409,INDATA_FILL_DEMAND!$E$4:$F$251,2,FALSE)*IF(E409&lt;2043,1+$N$8,1+$O$8),4),"")</f>
        <v>2.6501999999999999</v>
      </c>
    </row>
    <row r="410" spans="4:9" x14ac:dyDescent="0.3">
      <c r="D410" s="26" t="str">
        <f t="shared" si="18"/>
        <v>Demand</v>
      </c>
      <c r="E410" s="10">
        <f t="shared" si="17"/>
        <v>2033</v>
      </c>
      <c r="F410" s="25" t="str">
        <f t="shared" si="16"/>
        <v>MOOTH</v>
      </c>
      <c r="I410" s="29">
        <f>IFERROR(ROUNDDOWN(VLOOKUP(F410,INDATA_FILL_DEMAND!$E$4:$F$251,2,FALSE)*IF(E410&lt;2043,1+$N$8,1+$O$8),4),"")</f>
        <v>0.54890000000000005</v>
      </c>
    </row>
    <row r="411" spans="4:9" x14ac:dyDescent="0.3">
      <c r="D411" s="26" t="str">
        <f t="shared" si="18"/>
        <v>Demand</v>
      </c>
      <c r="E411" s="10">
        <f t="shared" si="17"/>
        <v>2033</v>
      </c>
      <c r="F411" s="25" t="str">
        <f t="shared" si="16"/>
        <v>MOSPO</v>
      </c>
      <c r="I411" s="29">
        <f>IFERROR(ROUNDDOWN(VLOOKUP(F411,INDATA_FILL_DEMAND!$E$4:$F$251,2,FALSE)*IF(E411&lt;2043,1+$N$8,1+$O$8),4),"")</f>
        <v>1.1774</v>
      </c>
    </row>
    <row r="412" spans="4:9" x14ac:dyDescent="0.3">
      <c r="D412" s="26" t="str">
        <f t="shared" si="18"/>
        <v>Demand</v>
      </c>
      <c r="E412" s="10">
        <f t="shared" si="17"/>
        <v>2033</v>
      </c>
      <c r="F412" s="25" t="str">
        <f t="shared" si="16"/>
        <v>MOTCH</v>
      </c>
      <c r="I412" s="29">
        <f>IFERROR(ROUNDDOWN(VLOOKUP(F412,INDATA_FILL_DEMAND!$E$4:$F$251,2,FALSE)*IF(E412&lt;2043,1+$N$8,1+$O$8),4),"")</f>
        <v>0.33439999999999998</v>
      </c>
    </row>
    <row r="413" spans="4:9" x14ac:dyDescent="0.3">
      <c r="D413" s="26" t="str">
        <f t="shared" si="18"/>
        <v>*</v>
      </c>
      <c r="E413" s="10">
        <f t="shared" si="17"/>
        <v>2033</v>
      </c>
      <c r="F413" s="25" t="str">
        <f t="shared" si="16"/>
        <v>MECUL</v>
      </c>
      <c r="I413" s="29">
        <f>IFERROR(ROUNDDOWN(VLOOKUP(F413,INDATA_FILL_DEMAND!$E$4:$F$251,2,FALSE)*IF(E413&lt;2043,1+$N$8,1+$O$8),4),"")</f>
        <v>0</v>
      </c>
    </row>
    <row r="414" spans="4:9" x14ac:dyDescent="0.3">
      <c r="D414" s="26" t="str">
        <f t="shared" si="18"/>
        <v>*</v>
      </c>
      <c r="E414" s="10">
        <f t="shared" si="17"/>
        <v>2033</v>
      </c>
      <c r="F414" s="25" t="str">
        <f t="shared" si="16"/>
        <v>MEEDU</v>
      </c>
      <c r="I414" s="29">
        <f>IFERROR(ROUNDDOWN(VLOOKUP(F414,INDATA_FILL_DEMAND!$E$4:$F$251,2,FALSE)*IF(E414&lt;2043,1+$N$8,1+$O$8),4),"")</f>
        <v>0</v>
      </c>
    </row>
    <row r="415" spans="4:9" x14ac:dyDescent="0.3">
      <c r="D415" s="26" t="str">
        <f t="shared" si="18"/>
        <v>*</v>
      </c>
      <c r="E415" s="10">
        <f t="shared" si="17"/>
        <v>2033</v>
      </c>
      <c r="F415" s="25" t="str">
        <f t="shared" si="16"/>
        <v>MEHOU</v>
      </c>
      <c r="I415" s="29">
        <f>IFERROR(ROUNDDOWN(VLOOKUP(F415,INDATA_FILL_DEMAND!$E$4:$F$251,2,FALSE)*IF(E415&lt;2043,1+$N$8,1+$O$8),4),"")</f>
        <v>0</v>
      </c>
    </row>
    <row r="416" spans="4:9" x14ac:dyDescent="0.3">
      <c r="D416" s="26" t="str">
        <f t="shared" si="18"/>
        <v>*</v>
      </c>
      <c r="E416" s="10">
        <f t="shared" si="17"/>
        <v>2033</v>
      </c>
      <c r="F416" s="25" t="str">
        <f t="shared" si="16"/>
        <v>MEOFL</v>
      </c>
      <c r="I416" s="29">
        <f>IFERROR(ROUNDDOWN(VLOOKUP(F416,INDATA_FILL_DEMAND!$E$4:$F$251,2,FALSE)*IF(E416&lt;2043,1+$N$8,1+$O$8),4),"")</f>
        <v>0</v>
      </c>
    </row>
    <row r="417" spans="4:9" x14ac:dyDescent="0.3">
      <c r="D417" s="26" t="str">
        <f t="shared" si="18"/>
        <v>*</v>
      </c>
      <c r="E417" s="10">
        <f t="shared" si="17"/>
        <v>2033</v>
      </c>
      <c r="F417" s="25" t="str">
        <f t="shared" si="16"/>
        <v>MEOFS</v>
      </c>
      <c r="I417" s="29">
        <f>IFERROR(ROUNDDOWN(VLOOKUP(F417,INDATA_FILL_DEMAND!$E$4:$F$251,2,FALSE)*IF(E417&lt;2043,1+$N$8,1+$O$8),4),"")</f>
        <v>0</v>
      </c>
    </row>
    <row r="418" spans="4:9" x14ac:dyDescent="0.3">
      <c r="D418" s="26" t="str">
        <f t="shared" si="18"/>
        <v>*</v>
      </c>
      <c r="E418" s="10">
        <f t="shared" si="17"/>
        <v>2033</v>
      </c>
      <c r="F418" s="25" t="str">
        <f t="shared" si="16"/>
        <v>MEOTH</v>
      </c>
      <c r="I418" s="29">
        <f>IFERROR(ROUNDDOWN(VLOOKUP(F418,INDATA_FILL_DEMAND!$E$4:$F$251,2,FALSE)*IF(E418&lt;2043,1+$N$8,1+$O$8),4),"")</f>
        <v>0</v>
      </c>
    </row>
    <row r="419" spans="4:9" x14ac:dyDescent="0.3">
      <c r="D419" s="26" t="str">
        <f t="shared" si="18"/>
        <v>*</v>
      </c>
      <c r="E419" s="10">
        <f t="shared" si="17"/>
        <v>2033</v>
      </c>
      <c r="F419" s="25" t="str">
        <f t="shared" si="16"/>
        <v>MESPO</v>
      </c>
      <c r="I419" s="29">
        <f>IFERROR(ROUNDDOWN(VLOOKUP(F419,INDATA_FILL_DEMAND!$E$4:$F$251,2,FALSE)*IF(E419&lt;2043,1+$N$8,1+$O$8),4),"")</f>
        <v>0</v>
      </c>
    </row>
    <row r="420" spans="4:9" x14ac:dyDescent="0.3">
      <c r="D420" s="26" t="str">
        <f t="shared" si="18"/>
        <v>*</v>
      </c>
      <c r="E420" s="10">
        <f t="shared" si="17"/>
        <v>2033</v>
      </c>
      <c r="F420" s="25" t="str">
        <f t="shared" si="16"/>
        <v>METCH</v>
      </c>
      <c r="I420" s="29">
        <f>IFERROR(ROUNDDOWN(VLOOKUP(F420,INDATA_FILL_DEMAND!$E$4:$F$251,2,FALSE)*IF(E420&lt;2043,1+$N$8,1+$O$8),4),"")</f>
        <v>0</v>
      </c>
    </row>
    <row r="421" spans="4:9" x14ac:dyDescent="0.3">
      <c r="D421" s="26" t="str">
        <f t="shared" si="18"/>
        <v>*</v>
      </c>
      <c r="E421" s="10">
        <f t="shared" si="17"/>
        <v>2033</v>
      </c>
      <c r="F421" s="25" t="str">
        <f t="shared" si="16"/>
        <v>TAI</v>
      </c>
      <c r="I421" s="29">
        <f>IFERROR(ROUNDDOWN(VLOOKUP(F421,INDATA_FILL_DEMAND!$E$4:$F$251,2,FALSE)*IF(E421&lt;2043,1+$N$8,1+$O$8),4),"")</f>
        <v>0</v>
      </c>
    </row>
    <row r="422" spans="4:9" x14ac:dyDescent="0.3">
      <c r="D422" s="26" t="str">
        <f t="shared" si="18"/>
        <v>*</v>
      </c>
      <c r="E422" s="10">
        <f t="shared" si="17"/>
        <v>2033</v>
      </c>
      <c r="F422" s="25" t="str">
        <f t="shared" si="16"/>
        <v>TAI-C</v>
      </c>
      <c r="I422" s="29">
        <f>IFERROR(ROUNDDOWN(VLOOKUP(F422,INDATA_FILL_DEMAND!$E$4:$F$251,2,FALSE)*IF(E422&lt;2043,1+$N$8,1+$O$8),4),"")</f>
        <v>0</v>
      </c>
    </row>
    <row r="423" spans="4:9" x14ac:dyDescent="0.3">
      <c r="D423" s="26" t="str">
        <f t="shared" si="18"/>
        <v>*</v>
      </c>
      <c r="E423" s="10">
        <f t="shared" si="17"/>
        <v>2033</v>
      </c>
      <c r="F423" s="25" t="str">
        <f t="shared" si="16"/>
        <v>TAV</v>
      </c>
      <c r="I423" s="29">
        <f>IFERROR(ROUNDDOWN(VLOOKUP(F423,INDATA_FILL_DEMAND!$E$4:$F$251,2,FALSE)*IF(E423&lt;2043,1+$N$8,1+$O$8),4),"")</f>
        <v>0</v>
      </c>
    </row>
    <row r="424" spans="4:9" x14ac:dyDescent="0.3">
      <c r="D424" s="26" t="str">
        <f t="shared" si="18"/>
        <v>*</v>
      </c>
      <c r="E424" s="10">
        <f t="shared" si="17"/>
        <v>2033</v>
      </c>
      <c r="F424" s="25" t="str">
        <f t="shared" si="16"/>
        <v>TAV-C</v>
      </c>
      <c r="I424" s="29">
        <f>IFERROR(ROUNDDOWN(VLOOKUP(F424,INDATA_FILL_DEMAND!$E$4:$F$251,2,FALSE)*IF(E424&lt;2043,1+$N$8,1+$O$8),4),"")</f>
        <v>0</v>
      </c>
    </row>
    <row r="425" spans="4:9" x14ac:dyDescent="0.3">
      <c r="D425" s="26" t="str">
        <f t="shared" si="18"/>
        <v>*</v>
      </c>
      <c r="E425" s="10">
        <f t="shared" si="17"/>
        <v>2033</v>
      </c>
      <c r="F425" s="25" t="str">
        <f t="shared" si="16"/>
        <v>TBI</v>
      </c>
      <c r="I425" s="29">
        <f>IFERROR(ROUNDDOWN(VLOOKUP(F425,INDATA_FILL_DEMAND!$E$4:$F$251,2,FALSE)*IF(E425&lt;2043,1+$N$8,1+$O$8),4),"")</f>
        <v>0</v>
      </c>
    </row>
    <row r="426" spans="4:9" x14ac:dyDescent="0.3">
      <c r="D426" s="26" t="str">
        <f t="shared" si="18"/>
        <v>*</v>
      </c>
      <c r="E426" s="10">
        <f t="shared" si="17"/>
        <v>2033</v>
      </c>
      <c r="F426" s="25" t="str">
        <f t="shared" si="16"/>
        <v>TBI-C</v>
      </c>
      <c r="I426" s="29">
        <f>IFERROR(ROUNDDOWN(VLOOKUP(F426,INDATA_FILL_DEMAND!$E$4:$F$251,2,FALSE)*IF(E426&lt;2043,1+$N$8,1+$O$8),4),"")</f>
        <v>0</v>
      </c>
    </row>
    <row r="427" spans="4:9" x14ac:dyDescent="0.3">
      <c r="D427" s="26" t="str">
        <f t="shared" si="18"/>
        <v>*</v>
      </c>
      <c r="E427" s="10">
        <f t="shared" si="17"/>
        <v>2033</v>
      </c>
      <c r="F427" s="25" t="str">
        <f t="shared" si="16"/>
        <v>TBU</v>
      </c>
      <c r="I427" s="29">
        <f>IFERROR(ROUNDDOWN(VLOOKUP(F427,INDATA_FILL_DEMAND!$E$4:$F$251,2,FALSE)*IF(E427&lt;2043,1+$N$8,1+$O$8),4),"")</f>
        <v>0</v>
      </c>
    </row>
    <row r="428" spans="4:9" x14ac:dyDescent="0.3">
      <c r="D428" s="26" t="str">
        <f t="shared" si="18"/>
        <v>*</v>
      </c>
      <c r="E428" s="10">
        <f t="shared" si="17"/>
        <v>2033</v>
      </c>
      <c r="F428" s="25" t="str">
        <f t="shared" si="16"/>
        <v>TBU-C</v>
      </c>
      <c r="I428" s="29">
        <f>IFERROR(ROUNDDOWN(VLOOKUP(F428,INDATA_FILL_DEMAND!$E$4:$F$251,2,FALSE)*IF(E428&lt;2043,1+$N$8,1+$O$8),4),"")</f>
        <v>0</v>
      </c>
    </row>
    <row r="429" spans="4:9" x14ac:dyDescent="0.3">
      <c r="D429" s="26" t="str">
        <f t="shared" si="18"/>
        <v>*</v>
      </c>
      <c r="E429" s="10">
        <f t="shared" si="17"/>
        <v>2033</v>
      </c>
      <c r="F429" s="25" t="str">
        <f t="shared" si="16"/>
        <v>TCL</v>
      </c>
      <c r="I429" s="29">
        <f>IFERROR(ROUNDDOWN(VLOOKUP(F429,INDATA_FILL_DEMAND!$E$4:$F$251,2,FALSE)*IF(E429&lt;2043,1+$N$8,1+$O$8),4),"")</f>
        <v>0</v>
      </c>
    </row>
    <row r="430" spans="4:9" x14ac:dyDescent="0.3">
      <c r="D430" s="26" t="str">
        <f t="shared" si="18"/>
        <v>*</v>
      </c>
      <c r="E430" s="10">
        <f t="shared" si="17"/>
        <v>2033</v>
      </c>
      <c r="F430" s="25" t="str">
        <f t="shared" si="16"/>
        <v>TCL-C</v>
      </c>
      <c r="I430" s="29">
        <f>IFERROR(ROUNDDOWN(VLOOKUP(F430,INDATA_FILL_DEMAND!$E$4:$F$251,2,FALSE)*IF(E430&lt;2043,1+$N$8,1+$O$8),4),"")</f>
        <v>0</v>
      </c>
    </row>
    <row r="431" spans="4:9" x14ac:dyDescent="0.3">
      <c r="D431" s="26" t="str">
        <f t="shared" si="18"/>
        <v>*</v>
      </c>
      <c r="E431" s="10">
        <f t="shared" si="17"/>
        <v>2033</v>
      </c>
      <c r="F431" s="25" t="str">
        <f t="shared" si="16"/>
        <v>TCL-P</v>
      </c>
      <c r="I431" s="29">
        <f>IFERROR(ROUNDDOWN(VLOOKUP(F431,INDATA_FILL_DEMAND!$E$4:$F$251,2,FALSE)*IF(E431&lt;2043,1+$N$8,1+$O$8),4),"")</f>
        <v>0</v>
      </c>
    </row>
    <row r="432" spans="4:9" x14ac:dyDescent="0.3">
      <c r="D432" s="26" t="str">
        <f t="shared" si="18"/>
        <v>*</v>
      </c>
      <c r="E432" s="10">
        <f t="shared" si="17"/>
        <v>2033</v>
      </c>
      <c r="F432" s="25" t="str">
        <f t="shared" si="16"/>
        <v>TCS</v>
      </c>
      <c r="I432" s="29">
        <f>IFERROR(ROUNDDOWN(VLOOKUP(F432,INDATA_FILL_DEMAND!$E$4:$F$251,2,FALSE)*IF(E432&lt;2043,1+$N$8,1+$O$8),4),"")</f>
        <v>0</v>
      </c>
    </row>
    <row r="433" spans="4:9" x14ac:dyDescent="0.3">
      <c r="D433" s="26" t="str">
        <f t="shared" si="18"/>
        <v>*</v>
      </c>
      <c r="E433" s="10">
        <f t="shared" si="17"/>
        <v>2033</v>
      </c>
      <c r="F433" s="25" t="str">
        <f t="shared" si="16"/>
        <v>TCS-C</v>
      </c>
      <c r="I433" s="29">
        <f>IFERROR(ROUNDDOWN(VLOOKUP(F433,INDATA_FILL_DEMAND!$E$4:$F$251,2,FALSE)*IF(E433&lt;2043,1+$N$8,1+$O$8),4),"")</f>
        <v>0</v>
      </c>
    </row>
    <row r="434" spans="4:9" x14ac:dyDescent="0.3">
      <c r="D434" s="26" t="str">
        <f t="shared" si="18"/>
        <v>*</v>
      </c>
      <c r="E434" s="10">
        <f t="shared" si="17"/>
        <v>2033</v>
      </c>
      <c r="F434" s="25" t="str">
        <f t="shared" si="16"/>
        <v>TCS-P</v>
      </c>
      <c r="I434" s="29">
        <f>IFERROR(ROUNDDOWN(VLOOKUP(F434,INDATA_FILL_DEMAND!$E$4:$F$251,2,FALSE)*IF(E434&lt;2043,1+$N$8,1+$O$8),4),"")</f>
        <v>0</v>
      </c>
    </row>
    <row r="435" spans="4:9" x14ac:dyDescent="0.3">
      <c r="D435" s="26" t="str">
        <f t="shared" si="18"/>
        <v>*</v>
      </c>
      <c r="E435" s="10">
        <f t="shared" si="17"/>
        <v>2033</v>
      </c>
      <c r="F435" s="25" t="str">
        <f t="shared" si="16"/>
        <v>TLEP</v>
      </c>
      <c r="I435" s="29">
        <f>IFERROR(ROUNDDOWN(VLOOKUP(F435,INDATA_FILL_DEMAND!$E$4:$F$251,2,FALSE)*IF(E435&lt;2043,1+$N$8,1+$O$8),4),"")</f>
        <v>0</v>
      </c>
    </row>
    <row r="436" spans="4:9" x14ac:dyDescent="0.3">
      <c r="D436" s="26" t="str">
        <f t="shared" si="18"/>
        <v>*</v>
      </c>
      <c r="E436" s="10">
        <f t="shared" si="17"/>
        <v>2033</v>
      </c>
      <c r="F436" s="25" t="str">
        <f t="shared" si="16"/>
        <v>TLEP-C</v>
      </c>
      <c r="I436" s="29">
        <f>IFERROR(ROUNDDOWN(VLOOKUP(F436,INDATA_FILL_DEMAND!$E$4:$F$251,2,FALSE)*IF(E436&lt;2043,1+$N$8,1+$O$8),4),"")</f>
        <v>0</v>
      </c>
    </row>
    <row r="437" spans="4:9" x14ac:dyDescent="0.3">
      <c r="D437" s="26" t="str">
        <f t="shared" si="18"/>
        <v>*</v>
      </c>
      <c r="E437" s="10">
        <f t="shared" si="17"/>
        <v>2033</v>
      </c>
      <c r="F437" s="25" t="str">
        <f t="shared" si="16"/>
        <v>TMO</v>
      </c>
      <c r="I437" s="29">
        <f>IFERROR(ROUNDDOWN(VLOOKUP(F437,INDATA_FILL_DEMAND!$E$4:$F$251,2,FALSE)*IF(E437&lt;2043,1+$N$8,1+$O$8),4),"")</f>
        <v>0</v>
      </c>
    </row>
    <row r="438" spans="4:9" x14ac:dyDescent="0.3">
      <c r="D438" s="26" t="str">
        <f t="shared" si="18"/>
        <v>*</v>
      </c>
      <c r="E438" s="10">
        <f t="shared" si="17"/>
        <v>2033</v>
      </c>
      <c r="F438" s="25" t="str">
        <f t="shared" si="16"/>
        <v>TMO-C</v>
      </c>
      <c r="I438" s="29">
        <f>IFERROR(ROUNDDOWN(VLOOKUP(F438,INDATA_FILL_DEMAND!$E$4:$F$251,2,FALSE)*IF(E438&lt;2043,1+$N$8,1+$O$8),4),"")</f>
        <v>0</v>
      </c>
    </row>
    <row r="439" spans="4:9" x14ac:dyDescent="0.3">
      <c r="D439" s="26" t="str">
        <f t="shared" si="18"/>
        <v>*</v>
      </c>
      <c r="E439" s="10">
        <f t="shared" si="17"/>
        <v>2033</v>
      </c>
      <c r="F439" s="25" t="str">
        <f t="shared" si="16"/>
        <v>TNA</v>
      </c>
      <c r="I439" s="29">
        <f>IFERROR(ROUNDDOWN(VLOOKUP(F439,INDATA_FILL_DEMAND!$E$4:$F$251,2,FALSE)*IF(E439&lt;2043,1+$N$8,1+$O$8),4),"")</f>
        <v>0</v>
      </c>
    </row>
    <row r="440" spans="4:9" x14ac:dyDescent="0.3">
      <c r="D440" s="26" t="str">
        <f t="shared" si="18"/>
        <v>*</v>
      </c>
      <c r="E440" s="10">
        <f t="shared" si="17"/>
        <v>2033</v>
      </c>
      <c r="F440" s="25" t="str">
        <f t="shared" si="16"/>
        <v>TNA-C</v>
      </c>
      <c r="I440" s="29">
        <f>IFERROR(ROUNDDOWN(VLOOKUP(F440,INDATA_FILL_DEMAND!$E$4:$F$251,2,FALSE)*IF(E440&lt;2043,1+$N$8,1+$O$8),4),"")</f>
        <v>0</v>
      </c>
    </row>
    <row r="441" spans="4:9" x14ac:dyDescent="0.3">
      <c r="D441" s="26" t="str">
        <f t="shared" si="18"/>
        <v>*</v>
      </c>
      <c r="E441" s="10">
        <f t="shared" si="17"/>
        <v>2033</v>
      </c>
      <c r="F441" s="25" t="str">
        <f t="shared" si="16"/>
        <v>TNC</v>
      </c>
      <c r="I441" s="29">
        <f>IFERROR(ROUNDDOWN(VLOOKUP(F441,INDATA_FILL_DEMAND!$E$4:$F$251,2,FALSE)*IF(E441&lt;2043,1+$N$8,1+$O$8),4),"")</f>
        <v>0</v>
      </c>
    </row>
    <row r="442" spans="4:9" x14ac:dyDescent="0.3">
      <c r="D442" s="26" t="str">
        <f t="shared" si="18"/>
        <v>*</v>
      </c>
      <c r="E442" s="10">
        <f t="shared" si="17"/>
        <v>2033</v>
      </c>
      <c r="F442" s="25" t="str">
        <f t="shared" si="16"/>
        <v>TNC-C</v>
      </c>
      <c r="I442" s="29">
        <f>IFERROR(ROUNDDOWN(VLOOKUP(F442,INDATA_FILL_DEMAND!$E$4:$F$251,2,FALSE)*IF(E442&lt;2043,1+$N$8,1+$O$8),4),"")</f>
        <v>0</v>
      </c>
    </row>
    <row r="443" spans="4:9" x14ac:dyDescent="0.3">
      <c r="D443" s="26" t="str">
        <f t="shared" si="18"/>
        <v>*</v>
      </c>
      <c r="E443" s="10">
        <f t="shared" si="17"/>
        <v>2033</v>
      </c>
      <c r="F443" s="25" t="str">
        <f t="shared" si="16"/>
        <v>TNO</v>
      </c>
      <c r="I443" s="29">
        <f>IFERROR(ROUNDDOWN(VLOOKUP(F443,INDATA_FILL_DEMAND!$E$4:$F$251,2,FALSE)*IF(E443&lt;2043,1+$N$8,1+$O$8),4),"")</f>
        <v>0</v>
      </c>
    </row>
    <row r="444" spans="4:9" x14ac:dyDescent="0.3">
      <c r="D444" s="26" t="str">
        <f t="shared" si="18"/>
        <v>*</v>
      </c>
      <c r="E444" s="10">
        <f t="shared" si="17"/>
        <v>2033</v>
      </c>
      <c r="F444" s="25" t="str">
        <f t="shared" si="16"/>
        <v>TNO-C</v>
      </c>
      <c r="I444" s="29">
        <f>IFERROR(ROUNDDOWN(VLOOKUP(F444,INDATA_FILL_DEMAND!$E$4:$F$251,2,FALSE)*IF(E444&lt;2043,1+$N$8,1+$O$8),4),"")</f>
        <v>0</v>
      </c>
    </row>
    <row r="445" spans="4:9" x14ac:dyDescent="0.3">
      <c r="D445" s="26" t="str">
        <f t="shared" si="18"/>
        <v>*</v>
      </c>
      <c r="E445" s="10">
        <f t="shared" si="17"/>
        <v>2033</v>
      </c>
      <c r="F445" s="25" t="str">
        <f t="shared" si="16"/>
        <v>TTH</v>
      </c>
      <c r="I445" s="29">
        <f>IFERROR(ROUNDDOWN(VLOOKUP(F445,INDATA_FILL_DEMAND!$E$4:$F$251,2,FALSE)*IF(E445&lt;2043,1+$N$8,1+$O$8),4),"")</f>
        <v>0</v>
      </c>
    </row>
    <row r="446" spans="4:9" x14ac:dyDescent="0.3">
      <c r="D446" s="26" t="str">
        <f t="shared" si="18"/>
        <v>*</v>
      </c>
      <c r="E446" s="10">
        <f t="shared" si="17"/>
        <v>2033</v>
      </c>
      <c r="F446" s="25" t="str">
        <f t="shared" ref="F446:F509" si="19">F198</f>
        <v>TTH-C</v>
      </c>
      <c r="I446" s="29">
        <f>IFERROR(ROUNDDOWN(VLOOKUP(F446,INDATA_FILL_DEMAND!$E$4:$F$251,2,FALSE)*IF(E446&lt;2043,1+$N$8,1+$O$8),4),"")</f>
        <v>0</v>
      </c>
    </row>
    <row r="447" spans="4:9" x14ac:dyDescent="0.3">
      <c r="D447" s="26" t="str">
        <f t="shared" si="18"/>
        <v>*</v>
      </c>
      <c r="E447" s="10">
        <f t="shared" ref="E447:E500" si="20">E446</f>
        <v>2033</v>
      </c>
      <c r="F447" s="25" t="str">
        <f t="shared" si="19"/>
        <v>TTL</v>
      </c>
      <c r="I447" s="29">
        <f>IFERROR(ROUNDDOWN(VLOOKUP(F447,INDATA_FILL_DEMAND!$E$4:$F$251,2,FALSE)*IF(E447&lt;2043,1+$N$8,1+$O$8),4),"")</f>
        <v>0</v>
      </c>
    </row>
    <row r="448" spans="4:9" x14ac:dyDescent="0.3">
      <c r="D448" s="26" t="str">
        <f t="shared" si="18"/>
        <v>*</v>
      </c>
      <c r="E448" s="10">
        <f t="shared" si="20"/>
        <v>2033</v>
      </c>
      <c r="F448" s="25" t="str">
        <f t="shared" si="19"/>
        <v>TTL-C</v>
      </c>
      <c r="I448" s="29">
        <f>IFERROR(ROUNDDOWN(VLOOKUP(F448,INDATA_FILL_DEMAND!$E$4:$F$251,2,FALSE)*IF(E448&lt;2043,1+$N$8,1+$O$8),4),"")</f>
        <v>0</v>
      </c>
    </row>
    <row r="449" spans="4:9" x14ac:dyDescent="0.3">
      <c r="D449" s="26" t="str">
        <f t="shared" si="18"/>
        <v>*</v>
      </c>
      <c r="E449" s="10">
        <f t="shared" si="20"/>
        <v>2033</v>
      </c>
      <c r="F449" s="25" t="str">
        <f t="shared" si="19"/>
        <v>TTM</v>
      </c>
      <c r="I449" s="29">
        <f>IFERROR(ROUNDDOWN(VLOOKUP(F449,INDATA_FILL_DEMAND!$E$4:$F$251,2,FALSE)*IF(E449&lt;2043,1+$N$8,1+$O$8),4),"")</f>
        <v>0</v>
      </c>
    </row>
    <row r="450" spans="4:9" x14ac:dyDescent="0.3">
      <c r="D450" s="26" t="str">
        <f t="shared" si="18"/>
        <v>*</v>
      </c>
      <c r="E450" s="10">
        <f t="shared" si="20"/>
        <v>2033</v>
      </c>
      <c r="F450" s="25" t="str">
        <f t="shared" si="19"/>
        <v>TTM-C</v>
      </c>
      <c r="I450" s="29">
        <f>IFERROR(ROUNDDOWN(VLOOKUP(F450,INDATA_FILL_DEMAND!$E$4:$F$251,2,FALSE)*IF(E450&lt;2043,1+$N$8,1+$O$8),4),"")</f>
        <v>0</v>
      </c>
    </row>
    <row r="451" spans="4:9" x14ac:dyDescent="0.3">
      <c r="D451" s="26" t="str">
        <f t="shared" si="18"/>
        <v>*</v>
      </c>
      <c r="E451" s="10">
        <f t="shared" si="20"/>
        <v>2033</v>
      </c>
      <c r="F451" s="25" t="str">
        <f t="shared" si="19"/>
        <v>TTP</v>
      </c>
      <c r="I451" s="29">
        <f>IFERROR(ROUNDDOWN(VLOOKUP(F451,INDATA_FILL_DEMAND!$E$4:$F$251,2,FALSE)*IF(E451&lt;2043,1+$N$8,1+$O$8),4),"")</f>
        <v>0</v>
      </c>
    </row>
    <row r="452" spans="4:9" x14ac:dyDescent="0.3">
      <c r="D452" s="26" t="str">
        <f t="shared" si="18"/>
        <v>*</v>
      </c>
      <c r="E452" s="10">
        <f t="shared" si="20"/>
        <v>2033</v>
      </c>
      <c r="F452" s="25" t="str">
        <f t="shared" si="19"/>
        <v>TTP-C</v>
      </c>
      <c r="I452" s="29">
        <f>IFERROR(ROUNDDOWN(VLOOKUP(F452,INDATA_FILL_DEMAND!$E$4:$F$251,2,FALSE)*IF(E452&lt;2043,1+$N$8,1+$O$8),4),"")</f>
        <v>0</v>
      </c>
    </row>
    <row r="453" spans="4:9" x14ac:dyDescent="0.3">
      <c r="D453" s="26" t="str">
        <f t="shared" si="18"/>
        <v>*</v>
      </c>
      <c r="E453" s="10">
        <f t="shared" si="20"/>
        <v>2033</v>
      </c>
      <c r="F453" s="25" t="str">
        <f t="shared" si="19"/>
        <v>TWN</v>
      </c>
      <c r="I453" s="29">
        <f>IFERROR(ROUNDDOWN(VLOOKUP(F453,INDATA_FILL_DEMAND!$E$4:$F$251,2,FALSE)*IF(E453&lt;2043,1+$N$8,1+$O$8),4),"")</f>
        <v>0</v>
      </c>
    </row>
    <row r="454" spans="4:9" x14ac:dyDescent="0.3">
      <c r="D454" s="26" t="str">
        <f t="shared" si="18"/>
        <v>*</v>
      </c>
      <c r="E454" s="10">
        <f t="shared" si="20"/>
        <v>2033</v>
      </c>
      <c r="F454" s="25" t="str">
        <f t="shared" si="19"/>
        <v>TWN-C</v>
      </c>
      <c r="I454" s="29">
        <f>IFERROR(ROUNDDOWN(VLOOKUP(F454,INDATA_FILL_DEMAND!$E$4:$F$251,2,FALSE)*IF(E454&lt;2043,1+$N$8,1+$O$8),4),"")</f>
        <v>0</v>
      </c>
    </row>
    <row r="455" spans="4:9" x14ac:dyDescent="0.3">
      <c r="D455" s="26" t="str">
        <f t="shared" si="18"/>
        <v>*</v>
      </c>
      <c r="E455" s="10">
        <f t="shared" si="20"/>
        <v>2033</v>
      </c>
      <c r="F455" s="25" t="str">
        <f t="shared" si="19"/>
        <v>TYEP</v>
      </c>
      <c r="I455" s="29">
        <f>IFERROR(ROUNDDOWN(VLOOKUP(F455,INDATA_FILL_DEMAND!$E$4:$F$251,2,FALSE)*IF(E455&lt;2043,1+$N$8,1+$O$8),4),"")</f>
        <v>0</v>
      </c>
    </row>
    <row r="456" spans="4:9" x14ac:dyDescent="0.3">
      <c r="D456" s="26" t="str">
        <f t="shared" si="18"/>
        <v>*</v>
      </c>
      <c r="E456" s="10">
        <f t="shared" si="20"/>
        <v>2033</v>
      </c>
      <c r="F456" s="25" t="str">
        <f t="shared" si="19"/>
        <v>TYEP-C</v>
      </c>
      <c r="I456" s="29">
        <f>IFERROR(ROUNDDOWN(VLOOKUP(F456,INDATA_FILL_DEMAND!$E$4:$F$251,2,FALSE)*IF(E456&lt;2043,1+$N$8,1+$O$8),4),"")</f>
        <v>0</v>
      </c>
    </row>
    <row r="457" spans="4:9" x14ac:dyDescent="0.3">
      <c r="D457" s="26" t="str">
        <f t="shared" si="18"/>
        <v>*</v>
      </c>
      <c r="E457" s="10">
        <f t="shared" si="20"/>
        <v>2033</v>
      </c>
      <c r="F457" s="25" t="str">
        <f t="shared" si="19"/>
        <v>TYNP</v>
      </c>
      <c r="I457" s="29">
        <f>IFERROR(ROUNDDOWN(VLOOKUP(F457,INDATA_FILL_DEMAND!$E$4:$F$251,2,FALSE)*IF(E457&lt;2043,1+$N$8,1+$O$8),4),"")</f>
        <v>0</v>
      </c>
    </row>
    <row r="458" spans="4:9" x14ac:dyDescent="0.3">
      <c r="D458" s="26" t="str">
        <f t="shared" si="18"/>
        <v>*</v>
      </c>
      <c r="E458" s="10">
        <f t="shared" si="20"/>
        <v>2033</v>
      </c>
      <c r="F458" s="25" t="str">
        <f t="shared" si="19"/>
        <v>TYNP-C</v>
      </c>
      <c r="I458" s="29">
        <f>IFERROR(ROUNDDOWN(VLOOKUP(F458,INDATA_FILL_DEMAND!$E$4:$F$251,2,FALSE)*IF(E458&lt;2043,1+$N$8,1+$O$8),4),"")</f>
        <v>0</v>
      </c>
    </row>
    <row r="459" spans="4:9" x14ac:dyDescent="0.3">
      <c r="D459" s="26" t="str">
        <f t="shared" si="18"/>
        <v>*</v>
      </c>
      <c r="E459" s="10">
        <f t="shared" si="20"/>
        <v>2033</v>
      </c>
      <c r="F459" s="25" t="str">
        <f t="shared" si="19"/>
        <v>TLEF</v>
      </c>
      <c r="I459" s="29">
        <f>IFERROR(ROUNDDOWN(VLOOKUP(F459,INDATA_FILL_DEMAND!$E$4:$F$251,2,FALSE)*IF(E459&lt;2043,1+$N$8,1+$O$8),4),"")</f>
        <v>0</v>
      </c>
    </row>
    <row r="460" spans="4:9" x14ac:dyDescent="0.3">
      <c r="D460" s="26" t="str">
        <f t="shared" si="18"/>
        <v>*</v>
      </c>
      <c r="E460" s="10">
        <f t="shared" si="20"/>
        <v>2033</v>
      </c>
      <c r="F460" s="25" t="str">
        <f t="shared" si="19"/>
        <v>TLEF-C</v>
      </c>
      <c r="I460" s="29">
        <f>IFERROR(ROUNDDOWN(VLOOKUP(F460,INDATA_FILL_DEMAND!$E$4:$F$251,2,FALSE)*IF(E460&lt;2043,1+$N$8,1+$O$8),4),"")</f>
        <v>0</v>
      </c>
    </row>
    <row r="461" spans="4:9" x14ac:dyDescent="0.3">
      <c r="D461" s="26" t="str">
        <f t="shared" si="18"/>
        <v>*</v>
      </c>
      <c r="E461" s="10">
        <f t="shared" si="20"/>
        <v>2033</v>
      </c>
      <c r="F461" s="25" t="str">
        <f t="shared" si="19"/>
        <v>TFLL</v>
      </c>
      <c r="I461" s="29">
        <f>IFERROR(ROUNDDOWN(VLOOKUP(F461,INDATA_FILL_DEMAND!$E$4:$F$251,2,FALSE)*IF(E461&lt;2043,1+$N$8,1+$O$8),4),"")</f>
        <v>0</v>
      </c>
    </row>
    <row r="462" spans="4:9" x14ac:dyDescent="0.3">
      <c r="D462" s="26" t="str">
        <f t="shared" ref="D462:D525" si="21">IF(AND(ISNUMBER(I462),I462&gt;0),"Demand","*")</f>
        <v>*</v>
      </c>
      <c r="E462" s="10">
        <f t="shared" si="20"/>
        <v>2033</v>
      </c>
      <c r="F462" s="25" t="str">
        <f t="shared" si="19"/>
        <v>TFLL-C</v>
      </c>
      <c r="I462" s="29">
        <f>IFERROR(ROUNDDOWN(VLOOKUP(F462,INDATA_FILL_DEMAND!$E$4:$F$251,2,FALSE)*IF(E462&lt;2043,1+$N$8,1+$O$8),4),"")</f>
        <v>0</v>
      </c>
    </row>
    <row r="463" spans="4:9" x14ac:dyDescent="0.3">
      <c r="D463" s="26" t="str">
        <f t="shared" si="21"/>
        <v>*</v>
      </c>
      <c r="E463" s="10">
        <f t="shared" si="20"/>
        <v>2033</v>
      </c>
      <c r="F463" s="25" t="str">
        <f t="shared" si="19"/>
        <v>TFLS</v>
      </c>
      <c r="I463" s="29">
        <f>IFERROR(ROUNDDOWN(VLOOKUP(F463,INDATA_FILL_DEMAND!$E$4:$F$251,2,FALSE)*IF(E463&lt;2043,1+$N$8,1+$O$8),4),"")</f>
        <v>0</v>
      </c>
    </row>
    <row r="464" spans="4:9" x14ac:dyDescent="0.3">
      <c r="D464" s="26" t="str">
        <f t="shared" si="21"/>
        <v>*</v>
      </c>
      <c r="E464" s="10">
        <f t="shared" si="20"/>
        <v>2033</v>
      </c>
      <c r="F464" s="25" t="str">
        <f t="shared" si="19"/>
        <v>TFLS-C</v>
      </c>
      <c r="I464" s="29">
        <f>IFERROR(ROUNDDOWN(VLOOKUP(F464,INDATA_FILL_DEMAND!$E$4:$F$251,2,FALSE)*IF(E464&lt;2043,1+$N$8,1+$O$8),4),"")</f>
        <v>0</v>
      </c>
    </row>
    <row r="465" spans="4:9" x14ac:dyDescent="0.3">
      <c r="D465" s="26" t="str">
        <f t="shared" si="21"/>
        <v>*</v>
      </c>
      <c r="E465" s="10">
        <f t="shared" si="20"/>
        <v>2033</v>
      </c>
      <c r="F465" s="25" t="str">
        <f t="shared" si="19"/>
        <v>TFML</v>
      </c>
      <c r="I465" s="29">
        <f>IFERROR(ROUNDDOWN(VLOOKUP(F465,INDATA_FILL_DEMAND!$E$4:$F$251,2,FALSE)*IF(E465&lt;2043,1+$N$8,1+$O$8),4),"")</f>
        <v>0</v>
      </c>
    </row>
    <row r="466" spans="4:9" x14ac:dyDescent="0.3">
      <c r="D466" s="26" t="str">
        <f t="shared" si="21"/>
        <v>*</v>
      </c>
      <c r="E466" s="10">
        <f t="shared" si="20"/>
        <v>2033</v>
      </c>
      <c r="F466" s="25" t="str">
        <f t="shared" si="19"/>
        <v>TFML-C</v>
      </c>
      <c r="I466" s="29">
        <f>IFERROR(ROUNDDOWN(VLOOKUP(F466,INDATA_FILL_DEMAND!$E$4:$F$251,2,FALSE)*IF(E466&lt;2043,1+$N$8,1+$O$8),4),"")</f>
        <v>0</v>
      </c>
    </row>
    <row r="467" spans="4:9" x14ac:dyDescent="0.3">
      <c r="D467" s="26" t="str">
        <f t="shared" si="21"/>
        <v>*</v>
      </c>
      <c r="E467" s="10">
        <f t="shared" si="20"/>
        <v>2033</v>
      </c>
      <c r="F467" s="25" t="str">
        <f t="shared" si="19"/>
        <v>TFMS</v>
      </c>
      <c r="I467" s="29">
        <f>IFERROR(ROUNDDOWN(VLOOKUP(F467,INDATA_FILL_DEMAND!$E$4:$F$251,2,FALSE)*IF(E467&lt;2043,1+$N$8,1+$O$8),4),"")</f>
        <v>0</v>
      </c>
    </row>
    <row r="468" spans="4:9" x14ac:dyDescent="0.3">
      <c r="D468" s="26" t="str">
        <f t="shared" si="21"/>
        <v>*</v>
      </c>
      <c r="E468" s="10">
        <f t="shared" si="20"/>
        <v>2033</v>
      </c>
      <c r="F468" s="25" t="str">
        <f t="shared" si="19"/>
        <v>TFMS-C</v>
      </c>
      <c r="I468" s="29">
        <f>IFERROR(ROUNDDOWN(VLOOKUP(F468,INDATA_FILL_DEMAND!$E$4:$F$251,2,FALSE)*IF(E468&lt;2043,1+$N$8,1+$O$8),4),"")</f>
        <v>0</v>
      </c>
    </row>
    <row r="469" spans="4:9" x14ac:dyDescent="0.3">
      <c r="D469" s="26" t="str">
        <f t="shared" si="21"/>
        <v>*</v>
      </c>
      <c r="E469" s="10">
        <f t="shared" si="20"/>
        <v>2033</v>
      </c>
      <c r="F469" s="25" t="str">
        <f t="shared" si="19"/>
        <v>TFRL</v>
      </c>
      <c r="I469" s="29">
        <f>IFERROR(ROUNDDOWN(VLOOKUP(F469,INDATA_FILL_DEMAND!$E$4:$F$251,2,FALSE)*IF(E469&lt;2043,1+$N$8,1+$O$8),4),"")</f>
        <v>0</v>
      </c>
    </row>
    <row r="470" spans="4:9" x14ac:dyDescent="0.3">
      <c r="D470" s="26" t="str">
        <f t="shared" si="21"/>
        <v>*</v>
      </c>
      <c r="E470" s="10">
        <f t="shared" si="20"/>
        <v>2033</v>
      </c>
      <c r="F470" s="25" t="str">
        <f t="shared" si="19"/>
        <v>TFRL-C</v>
      </c>
      <c r="I470" s="29">
        <f>IFERROR(ROUNDDOWN(VLOOKUP(F470,INDATA_FILL_DEMAND!$E$4:$F$251,2,FALSE)*IF(E470&lt;2043,1+$N$8,1+$O$8),4),"")</f>
        <v>0</v>
      </c>
    </row>
    <row r="471" spans="4:9" x14ac:dyDescent="0.3">
      <c r="D471" s="26" t="str">
        <f t="shared" si="21"/>
        <v>*</v>
      </c>
      <c r="E471" s="10">
        <f t="shared" si="20"/>
        <v>2033</v>
      </c>
      <c r="F471" s="25" t="str">
        <f t="shared" si="19"/>
        <v>TFRS</v>
      </c>
      <c r="I471" s="29">
        <f>IFERROR(ROUNDDOWN(VLOOKUP(F471,INDATA_FILL_DEMAND!$E$4:$F$251,2,FALSE)*IF(E471&lt;2043,1+$N$8,1+$O$8),4),"")</f>
        <v>0</v>
      </c>
    </row>
    <row r="472" spans="4:9" x14ac:dyDescent="0.3">
      <c r="D472" s="26" t="str">
        <f t="shared" si="21"/>
        <v>*</v>
      </c>
      <c r="E472" s="10">
        <f t="shared" si="20"/>
        <v>2033</v>
      </c>
      <c r="F472" s="25" t="str">
        <f t="shared" si="19"/>
        <v>TFRS-C</v>
      </c>
      <c r="I472" s="29">
        <f>IFERROR(ROUNDDOWN(VLOOKUP(F472,INDATA_FILL_DEMAND!$E$4:$F$251,2,FALSE)*IF(E472&lt;2043,1+$N$8,1+$O$8),4),"")</f>
        <v>0</v>
      </c>
    </row>
    <row r="473" spans="4:9" x14ac:dyDescent="0.3">
      <c r="D473" s="26" t="str">
        <f t="shared" si="21"/>
        <v>*</v>
      </c>
      <c r="E473" s="10">
        <f t="shared" si="20"/>
        <v>2033</v>
      </c>
      <c r="F473" s="25" t="str">
        <f t="shared" si="19"/>
        <v>TNB</v>
      </c>
      <c r="I473" s="29">
        <f>IFERROR(ROUNDDOWN(VLOOKUP(F473,INDATA_FILL_DEMAND!$E$4:$F$251,2,FALSE)*IF(E473&lt;2043,1+$N$8,1+$O$8),4),"")</f>
        <v>0</v>
      </c>
    </row>
    <row r="474" spans="4:9" x14ac:dyDescent="0.3">
      <c r="D474" s="26" t="str">
        <f t="shared" si="21"/>
        <v>*</v>
      </c>
      <c r="E474" s="10">
        <f t="shared" si="20"/>
        <v>2033</v>
      </c>
      <c r="F474" s="25" t="str">
        <f t="shared" si="19"/>
        <v>TNB-C</v>
      </c>
      <c r="I474" s="29">
        <f>IFERROR(ROUNDDOWN(VLOOKUP(F474,INDATA_FILL_DEMAND!$E$4:$F$251,2,FALSE)*IF(E474&lt;2043,1+$N$8,1+$O$8),4),"")</f>
        <v>0</v>
      </c>
    </row>
    <row r="475" spans="4:9" x14ac:dyDescent="0.3">
      <c r="D475" s="26" t="str">
        <f t="shared" si="21"/>
        <v>*</v>
      </c>
      <c r="E475" s="10">
        <f t="shared" si="20"/>
        <v>2033</v>
      </c>
      <c r="F475" s="25" t="str">
        <f t="shared" si="19"/>
        <v>TOV</v>
      </c>
      <c r="I475" s="29">
        <f>IFERROR(ROUNDDOWN(VLOOKUP(F475,INDATA_FILL_DEMAND!$E$4:$F$251,2,FALSE)*IF(E475&lt;2043,1+$N$8,1+$O$8),4),"")</f>
        <v>0</v>
      </c>
    </row>
    <row r="476" spans="4:9" x14ac:dyDescent="0.3">
      <c r="D476" s="26" t="str">
        <f t="shared" si="21"/>
        <v>*</v>
      </c>
      <c r="E476" s="10">
        <f t="shared" si="20"/>
        <v>2033</v>
      </c>
      <c r="F476" s="25" t="str">
        <f t="shared" si="19"/>
        <v>TOV-C</v>
      </c>
      <c r="I476" s="29">
        <f>IFERROR(ROUNDDOWN(VLOOKUP(F476,INDATA_FILL_DEMAND!$E$4:$F$251,2,FALSE)*IF(E476&lt;2043,1+$N$8,1+$O$8),4),"")</f>
        <v>0</v>
      </c>
    </row>
    <row r="477" spans="4:9" x14ac:dyDescent="0.3">
      <c r="D477" s="26" t="str">
        <f t="shared" si="21"/>
        <v>*</v>
      </c>
      <c r="E477" s="10">
        <f t="shared" si="20"/>
        <v>2033</v>
      </c>
      <c r="F477" s="25" t="str">
        <f t="shared" si="19"/>
        <v>TTF</v>
      </c>
      <c r="I477" s="29">
        <f>IFERROR(ROUNDDOWN(VLOOKUP(F477,INDATA_FILL_DEMAND!$E$4:$F$251,2,FALSE)*IF(E477&lt;2043,1+$N$8,1+$O$8),4),"")</f>
        <v>0</v>
      </c>
    </row>
    <row r="478" spans="4:9" x14ac:dyDescent="0.3">
      <c r="D478" s="26" t="str">
        <f t="shared" si="21"/>
        <v>*</v>
      </c>
      <c r="E478" s="10">
        <f t="shared" si="20"/>
        <v>2033</v>
      </c>
      <c r="F478" s="25" t="str">
        <f t="shared" si="19"/>
        <v>TTF-C</v>
      </c>
      <c r="I478" s="29">
        <f>IFERROR(ROUNDDOWN(VLOOKUP(F478,INDATA_FILL_DEMAND!$E$4:$F$251,2,FALSE)*IF(E478&lt;2043,1+$N$8,1+$O$8),4),"")</f>
        <v>0</v>
      </c>
    </row>
    <row r="479" spans="4:9" x14ac:dyDescent="0.3">
      <c r="D479" s="26" t="str">
        <f t="shared" si="21"/>
        <v>*</v>
      </c>
      <c r="E479" s="10">
        <f t="shared" si="20"/>
        <v>2033</v>
      </c>
      <c r="F479" s="25" t="str">
        <f t="shared" si="19"/>
        <v>TYEF</v>
      </c>
      <c r="I479" s="29">
        <f>IFERROR(ROUNDDOWN(VLOOKUP(F479,INDATA_FILL_DEMAND!$E$4:$F$251,2,FALSE)*IF(E479&lt;2043,1+$N$8,1+$O$8),4),"")</f>
        <v>0</v>
      </c>
    </row>
    <row r="480" spans="4:9" x14ac:dyDescent="0.3">
      <c r="D480" s="26" t="str">
        <f t="shared" si="21"/>
        <v>*</v>
      </c>
      <c r="E480" s="10">
        <f t="shared" si="20"/>
        <v>2033</v>
      </c>
      <c r="F480" s="25" t="str">
        <f t="shared" si="19"/>
        <v>TYEF-C</v>
      </c>
      <c r="I480" s="29">
        <f>IFERROR(ROUNDDOWN(VLOOKUP(F480,INDATA_FILL_DEMAND!$E$4:$F$251,2,FALSE)*IF(E480&lt;2043,1+$N$8,1+$O$8),4),"")</f>
        <v>0</v>
      </c>
    </row>
    <row r="481" spans="4:9" x14ac:dyDescent="0.3">
      <c r="D481" s="26" t="str">
        <f t="shared" si="21"/>
        <v>*</v>
      </c>
      <c r="E481" s="10">
        <f t="shared" si="20"/>
        <v>2033</v>
      </c>
      <c r="F481" s="25" t="str">
        <f t="shared" si="19"/>
        <v>TYNF</v>
      </c>
      <c r="I481" s="29">
        <f>IFERROR(ROUNDDOWN(VLOOKUP(F481,INDATA_FILL_DEMAND!$E$4:$F$251,2,FALSE)*IF(E481&lt;2043,1+$N$8,1+$O$8),4),"")</f>
        <v>0</v>
      </c>
    </row>
    <row r="482" spans="4:9" x14ac:dyDescent="0.3">
      <c r="D482" s="26" t="str">
        <f t="shared" si="21"/>
        <v>*</v>
      </c>
      <c r="E482" s="10">
        <f t="shared" si="20"/>
        <v>2033</v>
      </c>
      <c r="F482" s="25" t="str">
        <f t="shared" si="19"/>
        <v>TYNF-C</v>
      </c>
      <c r="I482" s="29">
        <f>IFERROR(ROUNDDOWN(VLOOKUP(F482,INDATA_FILL_DEMAND!$E$4:$F$251,2,FALSE)*IF(E482&lt;2043,1+$N$8,1+$O$8),4),"")</f>
        <v>0</v>
      </c>
    </row>
    <row r="483" spans="4:9" x14ac:dyDescent="0.3">
      <c r="D483" s="26" t="str">
        <f t="shared" si="21"/>
        <v>Demand</v>
      </c>
      <c r="E483" s="10">
        <f t="shared" si="20"/>
        <v>2033</v>
      </c>
      <c r="F483" s="25" t="str">
        <f t="shared" si="19"/>
        <v>PLIG</v>
      </c>
      <c r="I483" s="29">
        <f>IFERROR(ROUNDDOWN(VLOOKUP(F483,INDATA_FILL_DEMAND!$E$4:$F$251,2,FALSE)*IF(E483&lt;2043,1+$N$8,1+$O$8),4),"")</f>
        <v>13.234999999999999</v>
      </c>
    </row>
    <row r="484" spans="4:9" x14ac:dyDescent="0.3">
      <c r="D484" s="26" t="str">
        <f t="shared" si="21"/>
        <v>*</v>
      </c>
      <c r="E484" s="10">
        <f t="shared" si="20"/>
        <v>2033</v>
      </c>
      <c r="F484" s="25" t="str">
        <f t="shared" si="19"/>
        <v>IDA</v>
      </c>
      <c r="I484" s="29">
        <f>IFERROR(ROUNDDOWN(VLOOKUP(F484,INDATA_FILL_DEMAND!$E$4:$F$251,2,FALSE)*IF(E484&lt;2043,1+$N$8,1+$O$8),4),"")</f>
        <v>0</v>
      </c>
    </row>
    <row r="485" spans="4:9" x14ac:dyDescent="0.3">
      <c r="D485" s="26" t="str">
        <f t="shared" si="21"/>
        <v>*</v>
      </c>
      <c r="E485" s="10">
        <f t="shared" si="20"/>
        <v>2033</v>
      </c>
      <c r="F485" s="25" t="str">
        <f t="shared" si="19"/>
        <v>IDB</v>
      </c>
      <c r="I485" s="29">
        <f>IFERROR(ROUNDDOWN(VLOOKUP(F485,INDATA_FILL_DEMAND!$E$4:$F$251,2,FALSE)*IF(E485&lt;2043,1+$N$8,1+$O$8),4),"")</f>
        <v>0</v>
      </c>
    </row>
    <row r="486" spans="4:9" x14ac:dyDescent="0.3">
      <c r="D486" s="26" t="str">
        <f t="shared" si="21"/>
        <v>*</v>
      </c>
      <c r="E486" s="10">
        <f t="shared" si="20"/>
        <v>2033</v>
      </c>
      <c r="F486" s="25" t="str">
        <f t="shared" si="19"/>
        <v>IDC</v>
      </c>
      <c r="I486" s="29">
        <f>IFERROR(ROUNDDOWN(VLOOKUP(F486,INDATA_FILL_DEMAND!$E$4:$F$251,2,FALSE)*IF(E486&lt;2043,1+$N$8,1+$O$8),4),"")</f>
        <v>0</v>
      </c>
    </row>
    <row r="487" spans="4:9" x14ac:dyDescent="0.3">
      <c r="D487" s="26" t="str">
        <f t="shared" si="21"/>
        <v>*</v>
      </c>
      <c r="E487" s="10">
        <f t="shared" si="20"/>
        <v>2033</v>
      </c>
      <c r="F487" s="25" t="str">
        <f t="shared" si="19"/>
        <v>IDD</v>
      </c>
      <c r="I487" s="29">
        <f>IFERROR(ROUNDDOWN(VLOOKUP(F487,INDATA_FILL_DEMAND!$E$4:$F$251,2,FALSE)*IF(E487&lt;2043,1+$N$8,1+$O$8),4),"")</f>
        <v>0</v>
      </c>
    </row>
    <row r="488" spans="4:9" x14ac:dyDescent="0.3">
      <c r="D488" s="26" t="str">
        <f t="shared" si="21"/>
        <v>*</v>
      </c>
      <c r="E488" s="10">
        <f t="shared" si="20"/>
        <v>2033</v>
      </c>
      <c r="F488" s="25" t="str">
        <f t="shared" si="19"/>
        <v>IDE</v>
      </c>
      <c r="I488" s="29">
        <f>IFERROR(ROUNDDOWN(VLOOKUP(F488,INDATA_FILL_DEMAND!$E$4:$F$251,2,FALSE)*IF(E488&lt;2043,1+$N$8,1+$O$8),4),"")</f>
        <v>0</v>
      </c>
    </row>
    <row r="489" spans="4:9" x14ac:dyDescent="0.3">
      <c r="D489" s="26" t="str">
        <f t="shared" si="21"/>
        <v>*</v>
      </c>
      <c r="E489" s="10">
        <f t="shared" si="20"/>
        <v>2033</v>
      </c>
      <c r="F489" s="25" t="str">
        <f t="shared" si="19"/>
        <v>IDF</v>
      </c>
      <c r="I489" s="29">
        <f>IFERROR(ROUNDDOWN(VLOOKUP(F489,INDATA_FILL_DEMAND!$E$4:$F$251,2,FALSE)*IF(E489&lt;2043,1+$N$8,1+$O$8),4),"")</f>
        <v>0</v>
      </c>
    </row>
    <row r="490" spans="4:9" x14ac:dyDescent="0.3">
      <c r="D490" s="26" t="str">
        <f t="shared" si="21"/>
        <v>*</v>
      </c>
      <c r="E490" s="10">
        <f t="shared" si="20"/>
        <v>2033</v>
      </c>
      <c r="F490" s="25" t="str">
        <f t="shared" si="19"/>
        <v>IDG</v>
      </c>
      <c r="I490" s="29">
        <f>IFERROR(ROUNDDOWN(VLOOKUP(F490,INDATA_FILL_DEMAND!$E$4:$F$251,2,FALSE)*IF(E490&lt;2043,1+$N$8,1+$O$8),4),"")</f>
        <v>0</v>
      </c>
    </row>
    <row r="491" spans="4:9" x14ac:dyDescent="0.3">
      <c r="D491" s="26" t="str">
        <f t="shared" si="21"/>
        <v>*</v>
      </c>
      <c r="E491" s="10">
        <f t="shared" si="20"/>
        <v>2033</v>
      </c>
      <c r="F491" s="25" t="str">
        <f t="shared" si="19"/>
        <v>IDH</v>
      </c>
      <c r="I491" s="29">
        <f>IFERROR(ROUNDDOWN(VLOOKUP(F491,INDATA_FILL_DEMAND!$E$4:$F$251,2,FALSE)*IF(E491&lt;2043,1+$N$8,1+$O$8),4),"")</f>
        <v>0</v>
      </c>
    </row>
    <row r="492" spans="4:9" x14ac:dyDescent="0.3">
      <c r="D492" s="26" t="str">
        <f t="shared" si="21"/>
        <v>*</v>
      </c>
      <c r="E492" s="10">
        <f t="shared" si="20"/>
        <v>2033</v>
      </c>
      <c r="F492" s="25" t="str">
        <f t="shared" si="19"/>
        <v>WAT</v>
      </c>
      <c r="I492" s="29">
        <f>IFERROR(ROUNDDOWN(VLOOKUP(F492,INDATA_FILL_DEMAND!$E$4:$F$251,2,FALSE)*IF(E492&lt;2043,1+$N$8,1+$O$8),4),"")</f>
        <v>0</v>
      </c>
    </row>
    <row r="493" spans="4:9" x14ac:dyDescent="0.3">
      <c r="D493" s="26" t="str">
        <f t="shared" si="21"/>
        <v>*</v>
      </c>
      <c r="E493" s="10">
        <f t="shared" si="20"/>
        <v>2033</v>
      </c>
      <c r="F493" s="25" t="str">
        <f t="shared" si="19"/>
        <v>WMSU</v>
      </c>
      <c r="I493" s="29">
        <f>IFERROR(ROUNDDOWN(VLOOKUP(F493,INDATA_FILL_DEMAND!$E$4:$F$251,2,FALSE)*IF(E493&lt;2043,1+$N$8,1+$O$8),4),"")</f>
        <v>0</v>
      </c>
    </row>
    <row r="494" spans="4:9" x14ac:dyDescent="0.3">
      <c r="D494" s="26" t="str">
        <f t="shared" si="21"/>
        <v>*</v>
      </c>
      <c r="E494" s="10">
        <f t="shared" si="20"/>
        <v>2033</v>
      </c>
      <c r="F494" s="25" t="str">
        <f t="shared" si="19"/>
        <v>WMSR</v>
      </c>
      <c r="I494" s="29">
        <f>IFERROR(ROUNDDOWN(VLOOKUP(F494,INDATA_FILL_DEMAND!$E$4:$F$251,2,FALSE)*IF(E494&lt;2043,1+$N$8,1+$O$8),4),"")</f>
        <v>0</v>
      </c>
    </row>
    <row r="495" spans="4:9" x14ac:dyDescent="0.3">
      <c r="D495" s="26" t="str">
        <f t="shared" si="21"/>
        <v>*</v>
      </c>
      <c r="E495" s="10">
        <f t="shared" si="20"/>
        <v>2033</v>
      </c>
      <c r="F495" s="25" t="str">
        <f t="shared" si="19"/>
        <v>WMSRPL</v>
      </c>
      <c r="I495" s="29">
        <f>IFERROR(ROUNDDOWN(VLOOKUP(F495,INDATA_FILL_DEMAND!$E$4:$F$251,2,FALSE)*IF(E495&lt;2043,1+$N$8,1+$O$8),4),"")</f>
        <v>0</v>
      </c>
    </row>
    <row r="496" spans="4:9" x14ac:dyDescent="0.3">
      <c r="D496" s="26" t="str">
        <f t="shared" si="21"/>
        <v>*</v>
      </c>
      <c r="E496" s="10">
        <f t="shared" si="20"/>
        <v>2033</v>
      </c>
      <c r="F496" s="25" t="str">
        <f t="shared" si="19"/>
        <v>WMSRM</v>
      </c>
      <c r="I496" s="29">
        <f>IFERROR(ROUNDDOWN(VLOOKUP(F496,INDATA_FILL_DEMAND!$E$4:$F$251,2,FALSE)*IF(E496&lt;2043,1+$N$8,1+$O$8),4),"")</f>
        <v>0</v>
      </c>
    </row>
    <row r="497" spans="4:9" x14ac:dyDescent="0.3">
      <c r="D497" s="26" t="str">
        <f t="shared" si="21"/>
        <v>*</v>
      </c>
      <c r="E497" s="10">
        <f t="shared" si="20"/>
        <v>2033</v>
      </c>
      <c r="F497" s="25" t="str">
        <f t="shared" si="19"/>
        <v>WMSRPA</v>
      </c>
      <c r="I497" s="29">
        <f>IFERROR(ROUNDDOWN(VLOOKUP(F497,INDATA_FILL_DEMAND!$E$4:$F$251,2,FALSE)*IF(E497&lt;2043,1+$N$8,1+$O$8),4),"")</f>
        <v>0</v>
      </c>
    </row>
    <row r="498" spans="4:9" x14ac:dyDescent="0.3">
      <c r="D498" s="26" t="str">
        <f t="shared" si="21"/>
        <v>*</v>
      </c>
      <c r="E498" s="10">
        <f t="shared" si="20"/>
        <v>2033</v>
      </c>
      <c r="F498" s="25" t="str">
        <f t="shared" si="19"/>
        <v>WMSRG</v>
      </c>
      <c r="I498" s="29">
        <f>IFERROR(ROUNDDOWN(VLOOKUP(F498,INDATA_FILL_DEMAND!$E$4:$F$251,2,FALSE)*IF(E498&lt;2043,1+$N$8,1+$O$8),4),"")</f>
        <v>0</v>
      </c>
    </row>
    <row r="499" spans="4:9" x14ac:dyDescent="0.3">
      <c r="D499" s="26" t="str">
        <f t="shared" si="21"/>
        <v>*</v>
      </c>
      <c r="E499" s="10">
        <f t="shared" si="20"/>
        <v>2033</v>
      </c>
      <c r="F499" s="25" t="str">
        <f t="shared" si="19"/>
        <v>WMSO</v>
      </c>
      <c r="I499" s="29">
        <f>IFERROR(ROUNDDOWN(VLOOKUP(F499,INDATA_FILL_DEMAND!$E$4:$F$251,2,FALSE)*IF(E499&lt;2043,1+$N$8,1+$O$8),4),"")</f>
        <v>0</v>
      </c>
    </row>
    <row r="500" spans="4:9" x14ac:dyDescent="0.3">
      <c r="D500" s="26" t="str">
        <f t="shared" si="21"/>
        <v>*</v>
      </c>
      <c r="E500" s="10">
        <f t="shared" si="20"/>
        <v>2033</v>
      </c>
      <c r="F500" s="25" t="str">
        <f t="shared" si="19"/>
        <v>WWT</v>
      </c>
      <c r="I500" s="29">
        <f>IFERROR(ROUNDDOWN(VLOOKUP(F500,INDATA_FILL_DEMAND!$E$4:$F$251,2,FALSE)*IF(E500&lt;2043,1+$N$8,1+$O$8),4),"")</f>
        <v>0</v>
      </c>
    </row>
    <row r="501" spans="4:9" x14ac:dyDescent="0.3">
      <c r="D501" s="26" t="str">
        <f t="shared" si="21"/>
        <v>Demand</v>
      </c>
      <c r="E501" s="10">
        <f>E500+10</f>
        <v>2043</v>
      </c>
      <c r="F501" s="25" t="str">
        <f t="shared" si="19"/>
        <v>RHAPA</v>
      </c>
      <c r="I501" s="29">
        <f>IFERROR(ROUNDDOWN(VLOOKUP(F501,INDATA_FILL_DEMAND!$E$4:$F$251,2,FALSE)*IF(E501&lt;2043,1+$N$8,1+$O$8),4),"")</f>
        <v>7.7511999999999999</v>
      </c>
    </row>
    <row r="502" spans="4:9" x14ac:dyDescent="0.3">
      <c r="D502" s="26" t="str">
        <f t="shared" si="21"/>
        <v>Demand</v>
      </c>
      <c r="E502" s="10">
        <f>E501</f>
        <v>2043</v>
      </c>
      <c r="F502" s="25" t="str">
        <f t="shared" si="19"/>
        <v>RHAPB</v>
      </c>
      <c r="I502" s="29">
        <f>IFERROR(ROUNDDOWN(VLOOKUP(F502,INDATA_FILL_DEMAND!$E$4:$F$251,2,FALSE)*IF(E502&lt;2043,1+$N$8,1+$O$8),4),"")</f>
        <v>10.87</v>
      </c>
    </row>
    <row r="503" spans="4:9" x14ac:dyDescent="0.3">
      <c r="D503" s="26" t="str">
        <f t="shared" si="21"/>
        <v>Demand</v>
      </c>
      <c r="E503" s="10">
        <f t="shared" ref="E503:E566" si="22">E502</f>
        <v>2043</v>
      </c>
      <c r="F503" s="25" t="str">
        <f t="shared" si="19"/>
        <v>RHAPC</v>
      </c>
      <c r="I503" s="29">
        <f>IFERROR(ROUNDDOWN(VLOOKUP(F503,INDATA_FILL_DEMAND!$E$4:$F$251,2,FALSE)*IF(E503&lt;2043,1+$N$8,1+$O$8),4),"")</f>
        <v>165.3903</v>
      </c>
    </row>
    <row r="504" spans="4:9" x14ac:dyDescent="0.3">
      <c r="D504" s="26" t="str">
        <f t="shared" si="21"/>
        <v>Demand</v>
      </c>
      <c r="E504" s="10">
        <f t="shared" si="22"/>
        <v>2043</v>
      </c>
      <c r="F504" s="25" t="str">
        <f t="shared" si="19"/>
        <v>RHAPE</v>
      </c>
      <c r="I504" s="29">
        <f>IFERROR(ROUNDDOWN(VLOOKUP(F504,INDATA_FILL_DEMAND!$E$4:$F$251,2,FALSE)*IF(E504&lt;2043,1+$N$8,1+$O$8),4),"")</f>
        <v>23.391200000000001</v>
      </c>
    </row>
    <row r="505" spans="4:9" x14ac:dyDescent="0.3">
      <c r="D505" s="26" t="str">
        <f t="shared" si="21"/>
        <v>Demand</v>
      </c>
      <c r="E505" s="10">
        <f t="shared" si="22"/>
        <v>2043</v>
      </c>
      <c r="F505" s="25" t="str">
        <f t="shared" si="19"/>
        <v>RHHSA</v>
      </c>
      <c r="I505" s="29">
        <f>IFERROR(ROUNDDOWN(VLOOKUP(F505,INDATA_FILL_DEMAND!$E$4:$F$251,2,FALSE)*IF(E505&lt;2043,1+$N$8,1+$O$8),4),"")</f>
        <v>14.456</v>
      </c>
    </row>
    <row r="506" spans="4:9" x14ac:dyDescent="0.3">
      <c r="D506" s="26" t="str">
        <f t="shared" si="21"/>
        <v>Demand</v>
      </c>
      <c r="E506" s="10">
        <f t="shared" si="22"/>
        <v>2043</v>
      </c>
      <c r="F506" s="25" t="str">
        <f t="shared" si="19"/>
        <v>RHHSB</v>
      </c>
      <c r="I506" s="29">
        <f>IFERROR(ROUNDDOWN(VLOOKUP(F506,INDATA_FILL_DEMAND!$E$4:$F$251,2,FALSE)*IF(E506&lt;2043,1+$N$8,1+$O$8),4),"")</f>
        <v>57.163699999999999</v>
      </c>
    </row>
    <row r="507" spans="4:9" x14ac:dyDescent="0.3">
      <c r="D507" s="26" t="str">
        <f t="shared" si="21"/>
        <v>Demand</v>
      </c>
      <c r="E507" s="10">
        <f t="shared" si="22"/>
        <v>2043</v>
      </c>
      <c r="F507" s="25" t="str">
        <f t="shared" si="19"/>
        <v>RHHSC</v>
      </c>
      <c r="I507" s="29">
        <f>IFERROR(ROUNDDOWN(VLOOKUP(F507,INDATA_FILL_DEMAND!$E$4:$F$251,2,FALSE)*IF(E507&lt;2043,1+$N$8,1+$O$8),4),"")</f>
        <v>335.63119999999998</v>
      </c>
    </row>
    <row r="508" spans="4:9" x14ac:dyDescent="0.3">
      <c r="D508" s="26" t="str">
        <f t="shared" si="21"/>
        <v>Demand</v>
      </c>
      <c r="E508" s="10">
        <f t="shared" si="22"/>
        <v>2043</v>
      </c>
      <c r="F508" s="25" t="str">
        <f t="shared" si="19"/>
        <v>RHHSE</v>
      </c>
      <c r="I508" s="29">
        <f>IFERROR(ROUNDDOWN(VLOOKUP(F508,INDATA_FILL_DEMAND!$E$4:$F$251,2,FALSE)*IF(E508&lt;2043,1+$N$8,1+$O$8),4),"")</f>
        <v>39.408299999999997</v>
      </c>
    </row>
    <row r="509" spans="4:9" x14ac:dyDescent="0.3">
      <c r="D509" s="26" t="str">
        <f t="shared" si="21"/>
        <v>*</v>
      </c>
      <c r="E509" s="10">
        <f t="shared" si="22"/>
        <v>2043</v>
      </c>
      <c r="F509" s="25" t="str">
        <f t="shared" si="19"/>
        <v>RCAPA</v>
      </c>
      <c r="I509" s="29">
        <f>IFERROR(ROUNDDOWN(VLOOKUP(F509,INDATA_FILL_DEMAND!$E$4:$F$251,2,FALSE)*IF(E509&lt;2043,1+$N$8,1+$O$8),4),"")</f>
        <v>0</v>
      </c>
    </row>
    <row r="510" spans="4:9" x14ac:dyDescent="0.3">
      <c r="D510" s="26" t="str">
        <f t="shared" si="21"/>
        <v>*</v>
      </c>
      <c r="E510" s="10">
        <f t="shared" si="22"/>
        <v>2043</v>
      </c>
      <c r="F510" s="25" t="str">
        <f t="shared" ref="F510:F573" si="23">F262</f>
        <v>RCAPB</v>
      </c>
      <c r="I510" s="29">
        <f>IFERROR(ROUNDDOWN(VLOOKUP(F510,INDATA_FILL_DEMAND!$E$4:$F$251,2,FALSE)*IF(E510&lt;2043,1+$N$8,1+$O$8),4),"")</f>
        <v>0</v>
      </c>
    </row>
    <row r="511" spans="4:9" x14ac:dyDescent="0.3">
      <c r="D511" s="26" t="str">
        <f t="shared" si="21"/>
        <v>*</v>
      </c>
      <c r="E511" s="10">
        <f t="shared" si="22"/>
        <v>2043</v>
      </c>
      <c r="F511" s="25" t="str">
        <f t="shared" si="23"/>
        <v>RCAPC</v>
      </c>
      <c r="I511" s="29">
        <f>IFERROR(ROUNDDOWN(VLOOKUP(F511,INDATA_FILL_DEMAND!$E$4:$F$251,2,FALSE)*IF(E511&lt;2043,1+$N$8,1+$O$8),4),"")</f>
        <v>0</v>
      </c>
    </row>
    <row r="512" spans="4:9" x14ac:dyDescent="0.3">
      <c r="D512" s="26" t="str">
        <f t="shared" si="21"/>
        <v>*</v>
      </c>
      <c r="E512" s="10">
        <f t="shared" si="22"/>
        <v>2043</v>
      </c>
      <c r="F512" s="25" t="str">
        <f t="shared" si="23"/>
        <v>RCAPE</v>
      </c>
      <c r="I512" s="29">
        <f>IFERROR(ROUNDDOWN(VLOOKUP(F512,INDATA_FILL_DEMAND!$E$4:$F$251,2,FALSE)*IF(E512&lt;2043,1+$N$8,1+$O$8),4),"")</f>
        <v>0</v>
      </c>
    </row>
    <row r="513" spans="4:9" x14ac:dyDescent="0.3">
      <c r="D513" s="26" t="str">
        <f t="shared" si="21"/>
        <v>*</v>
      </c>
      <c r="E513" s="10">
        <f t="shared" si="22"/>
        <v>2043</v>
      </c>
      <c r="F513" s="25" t="str">
        <f t="shared" si="23"/>
        <v>RCHSA</v>
      </c>
      <c r="I513" s="29">
        <f>IFERROR(ROUNDDOWN(VLOOKUP(F513,INDATA_FILL_DEMAND!$E$4:$F$251,2,FALSE)*IF(E513&lt;2043,1+$N$8,1+$O$8),4),"")</f>
        <v>0</v>
      </c>
    </row>
    <row r="514" spans="4:9" x14ac:dyDescent="0.3">
      <c r="D514" s="26" t="str">
        <f t="shared" si="21"/>
        <v>*</v>
      </c>
      <c r="E514" s="10">
        <f t="shared" si="22"/>
        <v>2043</v>
      </c>
      <c r="F514" s="25" t="str">
        <f t="shared" si="23"/>
        <v>RCHSB</v>
      </c>
      <c r="I514" s="29">
        <f>IFERROR(ROUNDDOWN(VLOOKUP(F514,INDATA_FILL_DEMAND!$E$4:$F$251,2,FALSE)*IF(E514&lt;2043,1+$N$8,1+$O$8),4),"")</f>
        <v>0</v>
      </c>
    </row>
    <row r="515" spans="4:9" x14ac:dyDescent="0.3">
      <c r="D515" s="26" t="str">
        <f t="shared" si="21"/>
        <v>*</v>
      </c>
      <c r="E515" s="10">
        <f t="shared" si="22"/>
        <v>2043</v>
      </c>
      <c r="F515" s="25" t="str">
        <f t="shared" si="23"/>
        <v>RCHSC</v>
      </c>
      <c r="I515" s="29">
        <f>IFERROR(ROUNDDOWN(VLOOKUP(F515,INDATA_FILL_DEMAND!$E$4:$F$251,2,FALSE)*IF(E515&lt;2043,1+$N$8,1+$O$8),4),"")</f>
        <v>0</v>
      </c>
    </row>
    <row r="516" spans="4:9" x14ac:dyDescent="0.3">
      <c r="D516" s="26" t="str">
        <f t="shared" si="21"/>
        <v>*</v>
      </c>
      <c r="E516" s="10">
        <f t="shared" si="22"/>
        <v>2043</v>
      </c>
      <c r="F516" s="25" t="str">
        <f t="shared" si="23"/>
        <v>RCHSE</v>
      </c>
      <c r="I516" s="29">
        <f>IFERROR(ROUNDDOWN(VLOOKUP(F516,INDATA_FILL_DEMAND!$E$4:$F$251,2,FALSE)*IF(E516&lt;2043,1+$N$8,1+$O$8),4),"")</f>
        <v>0</v>
      </c>
    </row>
    <row r="517" spans="4:9" x14ac:dyDescent="0.3">
      <c r="D517" s="26" t="str">
        <f t="shared" si="21"/>
        <v>Demand</v>
      </c>
      <c r="E517" s="10">
        <f t="shared" si="22"/>
        <v>2043</v>
      </c>
      <c r="F517" s="25" t="str">
        <f t="shared" si="23"/>
        <v>RWAPA</v>
      </c>
      <c r="I517" s="29">
        <f>IFERROR(ROUNDDOWN(VLOOKUP(F517,INDATA_FILL_DEMAND!$E$4:$F$251,2,FALSE)*IF(E517&lt;2043,1+$N$8,1+$O$8),4),"")</f>
        <v>1.8964000000000001</v>
      </c>
    </row>
    <row r="518" spans="4:9" x14ac:dyDescent="0.3">
      <c r="D518" s="26" t="str">
        <f t="shared" si="21"/>
        <v>Demand</v>
      </c>
      <c r="E518" s="10">
        <f t="shared" si="22"/>
        <v>2043</v>
      </c>
      <c r="F518" s="25" t="str">
        <f t="shared" si="23"/>
        <v>RWAPB</v>
      </c>
      <c r="I518" s="29">
        <f>IFERROR(ROUNDDOWN(VLOOKUP(F518,INDATA_FILL_DEMAND!$E$4:$F$251,2,FALSE)*IF(E518&lt;2043,1+$N$8,1+$O$8),4),"")</f>
        <v>2.6595</v>
      </c>
    </row>
    <row r="519" spans="4:9" x14ac:dyDescent="0.3">
      <c r="D519" s="26" t="str">
        <f t="shared" si="21"/>
        <v>Demand</v>
      </c>
      <c r="E519" s="10">
        <f t="shared" si="22"/>
        <v>2043</v>
      </c>
      <c r="F519" s="25" t="str">
        <f t="shared" si="23"/>
        <v>RWAPC</v>
      </c>
      <c r="I519" s="29">
        <f>IFERROR(ROUNDDOWN(VLOOKUP(F519,INDATA_FILL_DEMAND!$E$4:$F$251,2,FALSE)*IF(E519&lt;2043,1+$N$8,1+$O$8),4),"")</f>
        <v>40.466000000000001</v>
      </c>
    </row>
    <row r="520" spans="4:9" x14ac:dyDescent="0.3">
      <c r="D520" s="26" t="str">
        <f t="shared" si="21"/>
        <v>Demand</v>
      </c>
      <c r="E520" s="10">
        <f t="shared" si="22"/>
        <v>2043</v>
      </c>
      <c r="F520" s="25" t="str">
        <f t="shared" si="23"/>
        <v>RWAPE</v>
      </c>
      <c r="I520" s="29">
        <f>IFERROR(ROUNDDOWN(VLOOKUP(F520,INDATA_FILL_DEMAND!$E$4:$F$251,2,FALSE)*IF(E520&lt;2043,1+$N$8,1+$O$8),4),"")</f>
        <v>5.7230999999999996</v>
      </c>
    </row>
    <row r="521" spans="4:9" x14ac:dyDescent="0.3">
      <c r="D521" s="26" t="str">
        <f t="shared" si="21"/>
        <v>Demand</v>
      </c>
      <c r="E521" s="10">
        <f t="shared" si="22"/>
        <v>2043</v>
      </c>
      <c r="F521" s="25" t="str">
        <f t="shared" si="23"/>
        <v>RWHSA</v>
      </c>
      <c r="I521" s="29">
        <f>IFERROR(ROUNDDOWN(VLOOKUP(F521,INDATA_FILL_DEMAND!$E$4:$F$251,2,FALSE)*IF(E521&lt;2043,1+$N$8,1+$O$8),4),"")</f>
        <v>1.6831</v>
      </c>
    </row>
    <row r="522" spans="4:9" x14ac:dyDescent="0.3">
      <c r="D522" s="26" t="str">
        <f t="shared" si="21"/>
        <v>Demand</v>
      </c>
      <c r="E522" s="10">
        <f t="shared" si="22"/>
        <v>2043</v>
      </c>
      <c r="F522" s="25" t="str">
        <f t="shared" si="23"/>
        <v>RWHSB</v>
      </c>
      <c r="I522" s="29">
        <f>IFERROR(ROUNDDOWN(VLOOKUP(F522,INDATA_FILL_DEMAND!$E$4:$F$251,2,FALSE)*IF(E522&lt;2043,1+$N$8,1+$O$8),4),"")</f>
        <v>6.6558000000000002</v>
      </c>
    </row>
    <row r="523" spans="4:9" x14ac:dyDescent="0.3">
      <c r="D523" s="26" t="str">
        <f t="shared" si="21"/>
        <v>Demand</v>
      </c>
      <c r="E523" s="10">
        <f t="shared" si="22"/>
        <v>2043</v>
      </c>
      <c r="F523" s="25" t="str">
        <f t="shared" si="23"/>
        <v>RWHSC</v>
      </c>
      <c r="I523" s="29">
        <f>IFERROR(ROUNDDOWN(VLOOKUP(F523,INDATA_FILL_DEMAND!$E$4:$F$251,2,FALSE)*IF(E523&lt;2043,1+$N$8,1+$O$8),4),"")</f>
        <v>39.078899999999997</v>
      </c>
    </row>
    <row r="524" spans="4:9" x14ac:dyDescent="0.3">
      <c r="D524" s="26" t="str">
        <f t="shared" si="21"/>
        <v>Demand</v>
      </c>
      <c r="E524" s="10">
        <f t="shared" si="22"/>
        <v>2043</v>
      </c>
      <c r="F524" s="25" t="str">
        <f t="shared" si="23"/>
        <v>RWHSE</v>
      </c>
      <c r="I524" s="29">
        <f>IFERROR(ROUNDDOWN(VLOOKUP(F524,INDATA_FILL_DEMAND!$E$4:$F$251,2,FALSE)*IF(E524&lt;2043,1+$N$8,1+$O$8),4),"")</f>
        <v>2.7730000000000001</v>
      </c>
    </row>
    <row r="525" spans="4:9" x14ac:dyDescent="0.3">
      <c r="D525" s="26" t="str">
        <f t="shared" si="21"/>
        <v>Demand</v>
      </c>
      <c r="E525" s="10">
        <f t="shared" si="22"/>
        <v>2043</v>
      </c>
      <c r="F525" s="25" t="str">
        <f t="shared" si="23"/>
        <v>RKAPA</v>
      </c>
      <c r="I525" s="29">
        <f>IFERROR(ROUNDDOWN(VLOOKUP(F525,INDATA_FILL_DEMAND!$E$4:$F$251,2,FALSE)*IF(E525&lt;2043,1+$N$8,1+$O$8),4),"")</f>
        <v>1.83E-2</v>
      </c>
    </row>
    <row r="526" spans="4:9" x14ac:dyDescent="0.3">
      <c r="D526" s="26" t="str">
        <f t="shared" ref="D526:D589" si="24">IF(AND(ISNUMBER(I526),I526&gt;0),"Demand","*")</f>
        <v>Demand</v>
      </c>
      <c r="E526" s="10">
        <f t="shared" si="22"/>
        <v>2043</v>
      </c>
      <c r="F526" s="25" t="str">
        <f t="shared" si="23"/>
        <v>RKAPB</v>
      </c>
      <c r="I526" s="29">
        <f>IFERROR(ROUNDDOWN(VLOOKUP(F526,INDATA_FILL_DEMAND!$E$4:$F$251,2,FALSE)*IF(E526&lt;2043,1+$N$8,1+$O$8),4),"")</f>
        <v>2.5700000000000001E-2</v>
      </c>
    </row>
    <row r="527" spans="4:9" x14ac:dyDescent="0.3">
      <c r="D527" s="26" t="str">
        <f t="shared" si="24"/>
        <v>Demand</v>
      </c>
      <c r="E527" s="10">
        <f t="shared" si="22"/>
        <v>2043</v>
      </c>
      <c r="F527" s="25" t="str">
        <f t="shared" si="23"/>
        <v>RKAPC</v>
      </c>
      <c r="I527" s="29">
        <f>IFERROR(ROUNDDOWN(VLOOKUP(F527,INDATA_FILL_DEMAND!$E$4:$F$251,2,FALSE)*IF(E527&lt;2043,1+$N$8,1+$O$8),4),"")</f>
        <v>0.39250000000000002</v>
      </c>
    </row>
    <row r="528" spans="4:9" x14ac:dyDescent="0.3">
      <c r="D528" s="26" t="str">
        <f t="shared" si="24"/>
        <v>Demand</v>
      </c>
      <c r="E528" s="10">
        <f t="shared" si="22"/>
        <v>2043</v>
      </c>
      <c r="F528" s="25" t="str">
        <f t="shared" si="23"/>
        <v>RKAPE</v>
      </c>
      <c r="I528" s="29">
        <f>IFERROR(ROUNDDOWN(VLOOKUP(F528,INDATA_FILL_DEMAND!$E$4:$F$251,2,FALSE)*IF(E528&lt;2043,1+$N$8,1+$O$8),4),"")</f>
        <v>5.5500000000000001E-2</v>
      </c>
    </row>
    <row r="529" spans="4:9" x14ac:dyDescent="0.3">
      <c r="D529" s="26" t="str">
        <f t="shared" si="24"/>
        <v>Demand</v>
      </c>
      <c r="E529" s="10">
        <f t="shared" si="22"/>
        <v>2043</v>
      </c>
      <c r="F529" s="25" t="str">
        <f t="shared" si="23"/>
        <v>RKHSA</v>
      </c>
      <c r="I529" s="29">
        <f>IFERROR(ROUNDDOWN(VLOOKUP(F529,INDATA_FILL_DEMAND!$E$4:$F$251,2,FALSE)*IF(E529&lt;2043,1+$N$8,1+$O$8),4),"")</f>
        <v>0.27979999999999999</v>
      </c>
    </row>
    <row r="530" spans="4:9" x14ac:dyDescent="0.3">
      <c r="D530" s="26" t="str">
        <f t="shared" si="24"/>
        <v>Demand</v>
      </c>
      <c r="E530" s="10">
        <f t="shared" si="22"/>
        <v>2043</v>
      </c>
      <c r="F530" s="25" t="str">
        <f t="shared" si="23"/>
        <v>RKHSB</v>
      </c>
      <c r="I530" s="29">
        <f>IFERROR(ROUNDDOWN(VLOOKUP(F530,INDATA_FILL_DEMAND!$E$4:$F$251,2,FALSE)*IF(E530&lt;2043,1+$N$8,1+$O$8),4),"")</f>
        <v>1.1067</v>
      </c>
    </row>
    <row r="531" spans="4:9" x14ac:dyDescent="0.3">
      <c r="D531" s="26" t="str">
        <f t="shared" si="24"/>
        <v>Demand</v>
      </c>
      <c r="E531" s="10">
        <f t="shared" si="22"/>
        <v>2043</v>
      </c>
      <c r="F531" s="25" t="str">
        <f t="shared" si="23"/>
        <v>RKHSC</v>
      </c>
      <c r="I531" s="29">
        <f>IFERROR(ROUNDDOWN(VLOOKUP(F531,INDATA_FILL_DEMAND!$E$4:$F$251,2,FALSE)*IF(E531&lt;2043,1+$N$8,1+$O$8),4),"")</f>
        <v>6.4977999999999998</v>
      </c>
    </row>
    <row r="532" spans="4:9" x14ac:dyDescent="0.3">
      <c r="D532" s="26" t="str">
        <f t="shared" si="24"/>
        <v>Demand</v>
      </c>
      <c r="E532" s="10">
        <f t="shared" si="22"/>
        <v>2043</v>
      </c>
      <c r="F532" s="25" t="str">
        <f t="shared" si="23"/>
        <v>RKHSE</v>
      </c>
      <c r="I532" s="29">
        <f>IFERROR(ROUNDDOWN(VLOOKUP(F532,INDATA_FILL_DEMAND!$E$4:$F$251,2,FALSE)*IF(E532&lt;2043,1+$N$8,1+$O$8),4),"")</f>
        <v>1.1240000000000001</v>
      </c>
    </row>
    <row r="533" spans="4:9" x14ac:dyDescent="0.3">
      <c r="D533" s="26" t="str">
        <f t="shared" si="24"/>
        <v>Demand</v>
      </c>
      <c r="E533" s="10">
        <f t="shared" si="22"/>
        <v>2043</v>
      </c>
      <c r="F533" s="25" t="str">
        <f t="shared" si="23"/>
        <v>RLAPA</v>
      </c>
      <c r="I533" s="29">
        <f>IFERROR(ROUNDDOWN(VLOOKUP(F533,INDATA_FILL_DEMAND!$E$4:$F$251,2,FALSE)*IF(E533&lt;2043,1+$N$8,1+$O$8),4),"")</f>
        <v>3.8E-3</v>
      </c>
    </row>
    <row r="534" spans="4:9" x14ac:dyDescent="0.3">
      <c r="D534" s="26" t="str">
        <f t="shared" si="24"/>
        <v>Demand</v>
      </c>
      <c r="E534" s="10">
        <f t="shared" si="22"/>
        <v>2043</v>
      </c>
      <c r="F534" s="25" t="str">
        <f t="shared" si="23"/>
        <v>RLAPB</v>
      </c>
      <c r="I534" s="29">
        <f>IFERROR(ROUNDDOWN(VLOOKUP(F534,INDATA_FILL_DEMAND!$E$4:$F$251,2,FALSE)*IF(E534&lt;2043,1+$N$8,1+$O$8),4),"")</f>
        <v>5.4000000000000003E-3</v>
      </c>
    </row>
    <row r="535" spans="4:9" x14ac:dyDescent="0.3">
      <c r="D535" s="26" t="str">
        <f t="shared" si="24"/>
        <v>Demand</v>
      </c>
      <c r="E535" s="10">
        <f t="shared" si="22"/>
        <v>2043</v>
      </c>
      <c r="F535" s="25" t="str">
        <f t="shared" si="23"/>
        <v>RLAPC</v>
      </c>
      <c r="I535" s="29">
        <f>IFERROR(ROUNDDOWN(VLOOKUP(F535,INDATA_FILL_DEMAND!$E$4:$F$251,2,FALSE)*IF(E535&lt;2043,1+$N$8,1+$O$8),4),"")</f>
        <v>8.2299999999999998E-2</v>
      </c>
    </row>
    <row r="536" spans="4:9" x14ac:dyDescent="0.3">
      <c r="D536" s="26" t="str">
        <f t="shared" si="24"/>
        <v>Demand</v>
      </c>
      <c r="E536" s="10">
        <f t="shared" si="22"/>
        <v>2043</v>
      </c>
      <c r="F536" s="25" t="str">
        <f t="shared" si="23"/>
        <v>RLAPE</v>
      </c>
      <c r="I536" s="29">
        <f>IFERROR(ROUNDDOWN(VLOOKUP(F536,INDATA_FILL_DEMAND!$E$4:$F$251,2,FALSE)*IF(E536&lt;2043,1+$N$8,1+$O$8),4),"")</f>
        <v>1.1599999999999999E-2</v>
      </c>
    </row>
    <row r="537" spans="4:9" x14ac:dyDescent="0.3">
      <c r="D537" s="26" t="str">
        <f t="shared" si="24"/>
        <v>Demand</v>
      </c>
      <c r="E537" s="10">
        <f t="shared" si="22"/>
        <v>2043</v>
      </c>
      <c r="F537" s="25" t="str">
        <f t="shared" si="23"/>
        <v>RLHSA</v>
      </c>
      <c r="I537" s="29">
        <f>IFERROR(ROUNDDOWN(VLOOKUP(F537,INDATA_FILL_DEMAND!$E$4:$F$251,2,FALSE)*IF(E537&lt;2043,1+$N$8,1+$O$8),4),"")</f>
        <v>5.8599999999999999E-2</v>
      </c>
    </row>
    <row r="538" spans="4:9" x14ac:dyDescent="0.3">
      <c r="D538" s="26" t="str">
        <f t="shared" si="24"/>
        <v>Demand</v>
      </c>
      <c r="E538" s="10">
        <f t="shared" si="22"/>
        <v>2043</v>
      </c>
      <c r="F538" s="25" t="str">
        <f t="shared" si="23"/>
        <v>RLHSB</v>
      </c>
      <c r="I538" s="29">
        <f>IFERROR(ROUNDDOWN(VLOOKUP(F538,INDATA_FILL_DEMAND!$E$4:$F$251,2,FALSE)*IF(E538&lt;2043,1+$N$8,1+$O$8),4),"")</f>
        <v>0.23200000000000001</v>
      </c>
    </row>
    <row r="539" spans="4:9" x14ac:dyDescent="0.3">
      <c r="D539" s="26" t="str">
        <f t="shared" si="24"/>
        <v>Demand</v>
      </c>
      <c r="E539" s="10">
        <f t="shared" si="22"/>
        <v>2043</v>
      </c>
      <c r="F539" s="25" t="str">
        <f t="shared" si="23"/>
        <v>RLHSC</v>
      </c>
      <c r="I539" s="29">
        <f>IFERROR(ROUNDDOWN(VLOOKUP(F539,INDATA_FILL_DEMAND!$E$4:$F$251,2,FALSE)*IF(E539&lt;2043,1+$N$8,1+$O$8),4),"")</f>
        <v>1.3625</v>
      </c>
    </row>
    <row r="540" spans="4:9" x14ac:dyDescent="0.3">
      <c r="D540" s="26" t="str">
        <f t="shared" si="24"/>
        <v>Demand</v>
      </c>
      <c r="E540" s="10">
        <f t="shared" si="22"/>
        <v>2043</v>
      </c>
      <c r="F540" s="25" t="str">
        <f t="shared" si="23"/>
        <v>RLHSE</v>
      </c>
      <c r="I540" s="29">
        <f>IFERROR(ROUNDDOWN(VLOOKUP(F540,INDATA_FILL_DEMAND!$E$4:$F$251,2,FALSE)*IF(E540&lt;2043,1+$N$8,1+$O$8),4),"")</f>
        <v>0.23569999999999999</v>
      </c>
    </row>
    <row r="541" spans="4:9" x14ac:dyDescent="0.3">
      <c r="D541" s="26" t="str">
        <f t="shared" si="24"/>
        <v>Demand</v>
      </c>
      <c r="E541" s="10">
        <f t="shared" si="22"/>
        <v>2043</v>
      </c>
      <c r="F541" s="25" t="str">
        <f t="shared" si="23"/>
        <v>ROAPA</v>
      </c>
      <c r="I541" s="29">
        <f>IFERROR(ROUNDDOWN(VLOOKUP(F541,INDATA_FILL_DEMAND!$E$4:$F$251,2,FALSE)*IF(E541&lt;2043,1+$N$8,1+$O$8),4),"")</f>
        <v>7.3499999999999996E-2</v>
      </c>
    </row>
    <row r="542" spans="4:9" x14ac:dyDescent="0.3">
      <c r="D542" s="26" t="str">
        <f t="shared" si="24"/>
        <v>Demand</v>
      </c>
      <c r="E542" s="10">
        <f t="shared" si="22"/>
        <v>2043</v>
      </c>
      <c r="F542" s="25" t="str">
        <f t="shared" si="23"/>
        <v>ROAPB</v>
      </c>
      <c r="I542" s="29">
        <f>IFERROR(ROUNDDOWN(VLOOKUP(F542,INDATA_FILL_DEMAND!$E$4:$F$251,2,FALSE)*IF(E542&lt;2043,1+$N$8,1+$O$8),4),"")</f>
        <v>0.10299999999999999</v>
      </c>
    </row>
    <row r="543" spans="4:9" x14ac:dyDescent="0.3">
      <c r="D543" s="26" t="str">
        <f t="shared" si="24"/>
        <v>Demand</v>
      </c>
      <c r="E543" s="10">
        <f t="shared" si="22"/>
        <v>2043</v>
      </c>
      <c r="F543" s="25" t="str">
        <f t="shared" si="23"/>
        <v>ROAPC</v>
      </c>
      <c r="I543" s="29">
        <f>IFERROR(ROUNDDOWN(VLOOKUP(F543,INDATA_FILL_DEMAND!$E$4:$F$251,2,FALSE)*IF(E543&lt;2043,1+$N$8,1+$O$8),4),"")</f>
        <v>1.5686</v>
      </c>
    </row>
    <row r="544" spans="4:9" x14ac:dyDescent="0.3">
      <c r="D544" s="26" t="str">
        <f t="shared" si="24"/>
        <v>Demand</v>
      </c>
      <c r="E544" s="10">
        <f t="shared" si="22"/>
        <v>2043</v>
      </c>
      <c r="F544" s="25" t="str">
        <f t="shared" si="23"/>
        <v>ROAPE</v>
      </c>
      <c r="I544" s="29">
        <f>IFERROR(ROUNDDOWN(VLOOKUP(F544,INDATA_FILL_DEMAND!$E$4:$F$251,2,FALSE)*IF(E544&lt;2043,1+$N$8,1+$O$8),4),"")</f>
        <v>0.2218</v>
      </c>
    </row>
    <row r="545" spans="4:9" x14ac:dyDescent="0.3">
      <c r="D545" s="26" t="str">
        <f t="shared" si="24"/>
        <v>Demand</v>
      </c>
      <c r="E545" s="10">
        <f t="shared" si="22"/>
        <v>2043</v>
      </c>
      <c r="F545" s="25" t="str">
        <f t="shared" si="23"/>
        <v>ROHSA</v>
      </c>
      <c r="I545" s="29">
        <f>IFERROR(ROUNDDOWN(VLOOKUP(F545,INDATA_FILL_DEMAND!$E$4:$F$251,2,FALSE)*IF(E545&lt;2043,1+$N$8,1+$O$8),4),"")</f>
        <v>1.1184000000000001</v>
      </c>
    </row>
    <row r="546" spans="4:9" x14ac:dyDescent="0.3">
      <c r="D546" s="26" t="str">
        <f t="shared" si="24"/>
        <v>Demand</v>
      </c>
      <c r="E546" s="10">
        <f t="shared" si="22"/>
        <v>2043</v>
      </c>
      <c r="F546" s="25" t="str">
        <f t="shared" si="23"/>
        <v>ROHSB</v>
      </c>
      <c r="I546" s="29">
        <f>IFERROR(ROUNDDOWN(VLOOKUP(F546,INDATA_FILL_DEMAND!$E$4:$F$251,2,FALSE)*IF(E546&lt;2043,1+$N$8,1+$O$8),4),"")</f>
        <v>4.4226999999999999</v>
      </c>
    </row>
    <row r="547" spans="4:9" x14ac:dyDescent="0.3">
      <c r="D547" s="26" t="str">
        <f t="shared" si="24"/>
        <v>Demand</v>
      </c>
      <c r="E547" s="10">
        <f t="shared" si="22"/>
        <v>2043</v>
      </c>
      <c r="F547" s="25" t="str">
        <f t="shared" si="23"/>
        <v>ROHSC</v>
      </c>
      <c r="I547" s="29">
        <f>IFERROR(ROUNDDOWN(VLOOKUP(F547,INDATA_FILL_DEMAND!$E$4:$F$251,2,FALSE)*IF(E547&lt;2043,1+$N$8,1+$O$8),4),"")</f>
        <v>25.967600000000001</v>
      </c>
    </row>
    <row r="548" spans="4:9" x14ac:dyDescent="0.3">
      <c r="D548" s="26" t="str">
        <f t="shared" si="24"/>
        <v>Demand</v>
      </c>
      <c r="E548" s="10">
        <f t="shared" si="22"/>
        <v>2043</v>
      </c>
      <c r="F548" s="25" t="str">
        <f t="shared" si="23"/>
        <v>ROHSE</v>
      </c>
      <c r="I548" s="29">
        <f>IFERROR(ROUNDDOWN(VLOOKUP(F548,INDATA_FILL_DEMAND!$E$4:$F$251,2,FALSE)*IF(E548&lt;2043,1+$N$8,1+$O$8),4),"")</f>
        <v>4.4922000000000004</v>
      </c>
    </row>
    <row r="549" spans="4:9" x14ac:dyDescent="0.3">
      <c r="D549" s="26" t="str">
        <f t="shared" si="24"/>
        <v>*</v>
      </c>
      <c r="E549" s="10">
        <f t="shared" si="22"/>
        <v>2043</v>
      </c>
      <c r="F549" s="25" t="str">
        <f t="shared" si="23"/>
        <v>REAPA</v>
      </c>
      <c r="I549" s="29">
        <f>IFERROR(ROUNDDOWN(VLOOKUP(F549,INDATA_FILL_DEMAND!$E$4:$F$251,2,FALSE)*IF(E549&lt;2043,1+$N$8,1+$O$8),4),"")</f>
        <v>0</v>
      </c>
    </row>
    <row r="550" spans="4:9" x14ac:dyDescent="0.3">
      <c r="D550" s="26" t="str">
        <f t="shared" si="24"/>
        <v>*</v>
      </c>
      <c r="E550" s="10">
        <f t="shared" si="22"/>
        <v>2043</v>
      </c>
      <c r="F550" s="25" t="str">
        <f t="shared" si="23"/>
        <v>REAPB</v>
      </c>
      <c r="I550" s="29">
        <f>IFERROR(ROUNDDOWN(VLOOKUP(F550,INDATA_FILL_DEMAND!$E$4:$F$251,2,FALSE)*IF(E550&lt;2043,1+$N$8,1+$O$8),4),"")</f>
        <v>0</v>
      </c>
    </row>
    <row r="551" spans="4:9" x14ac:dyDescent="0.3">
      <c r="D551" s="26" t="str">
        <f t="shared" si="24"/>
        <v>*</v>
      </c>
      <c r="E551" s="10">
        <f t="shared" si="22"/>
        <v>2043</v>
      </c>
      <c r="F551" s="25" t="str">
        <f t="shared" si="23"/>
        <v>REAPC</v>
      </c>
      <c r="I551" s="29">
        <f>IFERROR(ROUNDDOWN(VLOOKUP(F551,INDATA_FILL_DEMAND!$E$4:$F$251,2,FALSE)*IF(E551&lt;2043,1+$N$8,1+$O$8),4),"")</f>
        <v>0</v>
      </c>
    </row>
    <row r="552" spans="4:9" x14ac:dyDescent="0.3">
      <c r="D552" s="26" t="str">
        <f t="shared" si="24"/>
        <v>*</v>
      </c>
      <c r="E552" s="10">
        <f t="shared" si="22"/>
        <v>2043</v>
      </c>
      <c r="F552" s="25" t="str">
        <f t="shared" si="23"/>
        <v>REAPE</v>
      </c>
      <c r="I552" s="29">
        <f>IFERROR(ROUNDDOWN(VLOOKUP(F552,INDATA_FILL_DEMAND!$E$4:$F$251,2,FALSE)*IF(E552&lt;2043,1+$N$8,1+$O$8),4),"")</f>
        <v>0</v>
      </c>
    </row>
    <row r="553" spans="4:9" x14ac:dyDescent="0.3">
      <c r="D553" s="26" t="str">
        <f t="shared" si="24"/>
        <v>*</v>
      </c>
      <c r="E553" s="10">
        <f t="shared" si="22"/>
        <v>2043</v>
      </c>
      <c r="F553" s="25" t="str">
        <f t="shared" si="23"/>
        <v>REHSA</v>
      </c>
      <c r="I553" s="29">
        <f>IFERROR(ROUNDDOWN(VLOOKUP(F553,INDATA_FILL_DEMAND!$E$4:$F$251,2,FALSE)*IF(E553&lt;2043,1+$N$8,1+$O$8),4),"")</f>
        <v>0</v>
      </c>
    </row>
    <row r="554" spans="4:9" x14ac:dyDescent="0.3">
      <c r="D554" s="26" t="str">
        <f t="shared" si="24"/>
        <v>*</v>
      </c>
      <c r="E554" s="10">
        <f t="shared" si="22"/>
        <v>2043</v>
      </c>
      <c r="F554" s="25" t="str">
        <f t="shared" si="23"/>
        <v>REHSB</v>
      </c>
      <c r="I554" s="29">
        <f>IFERROR(ROUNDDOWN(VLOOKUP(F554,INDATA_FILL_DEMAND!$E$4:$F$251,2,FALSE)*IF(E554&lt;2043,1+$N$8,1+$O$8),4),"")</f>
        <v>0</v>
      </c>
    </row>
    <row r="555" spans="4:9" x14ac:dyDescent="0.3">
      <c r="D555" s="26" t="str">
        <f t="shared" si="24"/>
        <v>*</v>
      </c>
      <c r="E555" s="10">
        <f t="shared" si="22"/>
        <v>2043</v>
      </c>
      <c r="F555" s="25" t="str">
        <f t="shared" si="23"/>
        <v>REHSC</v>
      </c>
      <c r="I555" s="29">
        <f>IFERROR(ROUNDDOWN(VLOOKUP(F555,INDATA_FILL_DEMAND!$E$4:$F$251,2,FALSE)*IF(E555&lt;2043,1+$N$8,1+$O$8),4),"")</f>
        <v>0</v>
      </c>
    </row>
    <row r="556" spans="4:9" x14ac:dyDescent="0.3">
      <c r="D556" s="26" t="str">
        <f t="shared" si="24"/>
        <v>*</v>
      </c>
      <c r="E556" s="10">
        <f t="shared" si="22"/>
        <v>2043</v>
      </c>
      <c r="F556" s="25" t="str">
        <f t="shared" si="23"/>
        <v>REHSE</v>
      </c>
      <c r="I556" s="29">
        <f>IFERROR(ROUNDDOWN(VLOOKUP(F556,INDATA_FILL_DEMAND!$E$4:$F$251,2,FALSE)*IF(E556&lt;2043,1+$N$8,1+$O$8),4),"")</f>
        <v>0</v>
      </c>
    </row>
    <row r="557" spans="4:9" x14ac:dyDescent="0.3">
      <c r="D557" s="26" t="str">
        <f t="shared" si="24"/>
        <v>Demand</v>
      </c>
      <c r="E557" s="10">
        <f t="shared" si="22"/>
        <v>2043</v>
      </c>
      <c r="F557" s="25" t="str">
        <f t="shared" si="23"/>
        <v>CHCUL</v>
      </c>
      <c r="I557" s="29">
        <f>IFERROR(ROUNDDOWN(VLOOKUP(F557,INDATA_FILL_DEMAND!$E$4:$F$251,2,FALSE)*IF(E557&lt;2043,1+$N$8,1+$O$8),4),"")</f>
        <v>13.619899999999999</v>
      </c>
    </row>
    <row r="558" spans="4:9" x14ac:dyDescent="0.3">
      <c r="D558" s="26" t="str">
        <f t="shared" si="24"/>
        <v>Demand</v>
      </c>
      <c r="E558" s="10">
        <f t="shared" si="22"/>
        <v>2043</v>
      </c>
      <c r="F558" s="25" t="str">
        <f t="shared" si="23"/>
        <v>CHEDU</v>
      </c>
      <c r="I558" s="29">
        <f>IFERROR(ROUNDDOWN(VLOOKUP(F558,INDATA_FILL_DEMAND!$E$4:$F$251,2,FALSE)*IF(E558&lt;2043,1+$N$8,1+$O$8),4),"")</f>
        <v>32.6995</v>
      </c>
    </row>
    <row r="559" spans="4:9" x14ac:dyDescent="0.3">
      <c r="D559" s="26" t="str">
        <f t="shared" si="24"/>
        <v>Demand</v>
      </c>
      <c r="E559" s="10">
        <f t="shared" si="22"/>
        <v>2043</v>
      </c>
      <c r="F559" s="25" t="str">
        <f t="shared" si="23"/>
        <v>CHHLT</v>
      </c>
      <c r="I559" s="29">
        <f>IFERROR(ROUNDDOWN(VLOOKUP(F559,INDATA_FILL_DEMAND!$E$4:$F$251,2,FALSE)*IF(E559&lt;2043,1+$N$8,1+$O$8),4),"")</f>
        <v>2.4565999999999999</v>
      </c>
    </row>
    <row r="560" spans="4:9" x14ac:dyDescent="0.3">
      <c r="D560" s="26" t="str">
        <f t="shared" si="24"/>
        <v>Demand</v>
      </c>
      <c r="E560" s="10">
        <f t="shared" si="22"/>
        <v>2043</v>
      </c>
      <c r="F560" s="25" t="str">
        <f t="shared" si="23"/>
        <v>CHOFF</v>
      </c>
      <c r="I560" s="29">
        <f>IFERROR(ROUNDDOWN(VLOOKUP(F560,INDATA_FILL_DEMAND!$E$4:$F$251,2,FALSE)*IF(E560&lt;2043,1+$N$8,1+$O$8),4),"")</f>
        <v>3.4862000000000002</v>
      </c>
    </row>
    <row r="561" spans="4:9" x14ac:dyDescent="0.3">
      <c r="D561" s="26" t="str">
        <f t="shared" si="24"/>
        <v>Demand</v>
      </c>
      <c r="E561" s="10">
        <f t="shared" si="22"/>
        <v>2043</v>
      </c>
      <c r="F561" s="25" t="str">
        <f t="shared" si="23"/>
        <v>CHOTH</v>
      </c>
      <c r="I561" s="29">
        <f>IFERROR(ROUNDDOWN(VLOOKUP(F561,INDATA_FILL_DEMAND!$E$4:$F$251,2,FALSE)*IF(E561&lt;2043,1+$N$8,1+$O$8),4),"")</f>
        <v>20.754999999999999</v>
      </c>
    </row>
    <row r="562" spans="4:9" x14ac:dyDescent="0.3">
      <c r="D562" s="26" t="str">
        <f t="shared" si="24"/>
        <v>Demand</v>
      </c>
      <c r="E562" s="10">
        <f t="shared" si="22"/>
        <v>2043</v>
      </c>
      <c r="F562" s="25" t="str">
        <f t="shared" si="23"/>
        <v>CHRET</v>
      </c>
      <c r="I562" s="29">
        <f>IFERROR(ROUNDDOWN(VLOOKUP(F562,INDATA_FILL_DEMAND!$E$4:$F$251,2,FALSE)*IF(E562&lt;2043,1+$N$8,1+$O$8),4),"")</f>
        <v>4.2991000000000001</v>
      </c>
    </row>
    <row r="563" spans="4:9" x14ac:dyDescent="0.3">
      <c r="D563" s="26" t="str">
        <f t="shared" si="24"/>
        <v>Demand</v>
      </c>
      <c r="E563" s="10">
        <f t="shared" si="22"/>
        <v>2043</v>
      </c>
      <c r="F563" s="25" t="str">
        <f t="shared" si="23"/>
        <v>CHSPO</v>
      </c>
      <c r="I563" s="29">
        <f>IFERROR(ROUNDDOWN(VLOOKUP(F563,INDATA_FILL_DEMAND!$E$4:$F$251,2,FALSE)*IF(E563&lt;2043,1+$N$8,1+$O$8),4),"")</f>
        <v>9.2213999999999992</v>
      </c>
    </row>
    <row r="564" spans="4:9" x14ac:dyDescent="0.3">
      <c r="D564" s="26" t="str">
        <f t="shared" si="24"/>
        <v>Demand</v>
      </c>
      <c r="E564" s="10">
        <f t="shared" si="22"/>
        <v>2043</v>
      </c>
      <c r="F564" s="25" t="str">
        <f t="shared" si="23"/>
        <v>CHTUR</v>
      </c>
      <c r="I564" s="29">
        <f>IFERROR(ROUNDDOWN(VLOOKUP(F564,INDATA_FILL_DEMAND!$E$4:$F$251,2,FALSE)*IF(E564&lt;2043,1+$N$8,1+$O$8),4),"")</f>
        <v>2.6192000000000002</v>
      </c>
    </row>
    <row r="565" spans="4:9" x14ac:dyDescent="0.3">
      <c r="D565" s="26" t="str">
        <f t="shared" si="24"/>
        <v>*</v>
      </c>
      <c r="E565" s="10">
        <f t="shared" si="22"/>
        <v>2043</v>
      </c>
      <c r="F565" s="25" t="str">
        <f t="shared" si="23"/>
        <v>CCCUL</v>
      </c>
      <c r="I565" s="29">
        <f>IFERROR(ROUNDDOWN(VLOOKUP(F565,INDATA_FILL_DEMAND!$E$4:$F$251,2,FALSE)*IF(E565&lt;2043,1+$N$8,1+$O$8),4),"")</f>
        <v>0</v>
      </c>
    </row>
    <row r="566" spans="4:9" x14ac:dyDescent="0.3">
      <c r="D566" s="26" t="str">
        <f t="shared" si="24"/>
        <v>*</v>
      </c>
      <c r="E566" s="10">
        <f t="shared" si="22"/>
        <v>2043</v>
      </c>
      <c r="F566" s="25" t="str">
        <f t="shared" si="23"/>
        <v>CCEDU</v>
      </c>
      <c r="I566" s="29">
        <f>IFERROR(ROUNDDOWN(VLOOKUP(F566,INDATA_FILL_DEMAND!$E$4:$F$251,2,FALSE)*IF(E566&lt;2043,1+$N$8,1+$O$8),4),"")</f>
        <v>0</v>
      </c>
    </row>
    <row r="567" spans="4:9" x14ac:dyDescent="0.3">
      <c r="D567" s="26" t="str">
        <f t="shared" si="24"/>
        <v>*</v>
      </c>
      <c r="E567" s="10">
        <f t="shared" ref="E567:E630" si="25">E566</f>
        <v>2043</v>
      </c>
      <c r="F567" s="25" t="str">
        <f t="shared" si="23"/>
        <v>CCHLT</v>
      </c>
      <c r="I567" s="29">
        <f>IFERROR(ROUNDDOWN(VLOOKUP(F567,INDATA_FILL_DEMAND!$E$4:$F$251,2,FALSE)*IF(E567&lt;2043,1+$N$8,1+$O$8),4),"")</f>
        <v>0</v>
      </c>
    </row>
    <row r="568" spans="4:9" x14ac:dyDescent="0.3">
      <c r="D568" s="26" t="str">
        <f t="shared" si="24"/>
        <v>*</v>
      </c>
      <c r="E568" s="10">
        <f t="shared" si="25"/>
        <v>2043</v>
      </c>
      <c r="F568" s="25" t="str">
        <f t="shared" si="23"/>
        <v>CCOFF</v>
      </c>
      <c r="I568" s="29">
        <f>IFERROR(ROUNDDOWN(VLOOKUP(F568,INDATA_FILL_DEMAND!$E$4:$F$251,2,FALSE)*IF(E568&lt;2043,1+$N$8,1+$O$8),4),"")</f>
        <v>0</v>
      </c>
    </row>
    <row r="569" spans="4:9" x14ac:dyDescent="0.3">
      <c r="D569" s="26" t="str">
        <f t="shared" si="24"/>
        <v>*</v>
      </c>
      <c r="E569" s="10">
        <f t="shared" si="25"/>
        <v>2043</v>
      </c>
      <c r="F569" s="25" t="str">
        <f t="shared" si="23"/>
        <v>CCOTH</v>
      </c>
      <c r="I569" s="29">
        <f>IFERROR(ROUNDDOWN(VLOOKUP(F569,INDATA_FILL_DEMAND!$E$4:$F$251,2,FALSE)*IF(E569&lt;2043,1+$N$8,1+$O$8),4),"")</f>
        <v>0</v>
      </c>
    </row>
    <row r="570" spans="4:9" x14ac:dyDescent="0.3">
      <c r="D570" s="26" t="str">
        <f t="shared" si="24"/>
        <v>*</v>
      </c>
      <c r="E570" s="10">
        <f t="shared" si="25"/>
        <v>2043</v>
      </c>
      <c r="F570" s="25" t="str">
        <f t="shared" si="23"/>
        <v>CCRET</v>
      </c>
      <c r="I570" s="29">
        <f>IFERROR(ROUNDDOWN(VLOOKUP(F570,INDATA_FILL_DEMAND!$E$4:$F$251,2,FALSE)*IF(E570&lt;2043,1+$N$8,1+$O$8),4),"")</f>
        <v>0</v>
      </c>
    </row>
    <row r="571" spans="4:9" x14ac:dyDescent="0.3">
      <c r="D571" s="26" t="str">
        <f t="shared" si="24"/>
        <v>*</v>
      </c>
      <c r="E571" s="10">
        <f t="shared" si="25"/>
        <v>2043</v>
      </c>
      <c r="F571" s="25" t="str">
        <f t="shared" si="23"/>
        <v>CCSPO</v>
      </c>
      <c r="I571" s="29">
        <f>IFERROR(ROUNDDOWN(VLOOKUP(F571,INDATA_FILL_DEMAND!$E$4:$F$251,2,FALSE)*IF(E571&lt;2043,1+$N$8,1+$O$8),4),"")</f>
        <v>0</v>
      </c>
    </row>
    <row r="572" spans="4:9" x14ac:dyDescent="0.3">
      <c r="D572" s="26" t="str">
        <f t="shared" si="24"/>
        <v>*</v>
      </c>
      <c r="E572" s="10">
        <f t="shared" si="25"/>
        <v>2043</v>
      </c>
      <c r="F572" s="25" t="str">
        <f t="shared" si="23"/>
        <v>CCTUR</v>
      </c>
      <c r="I572" s="29">
        <f>IFERROR(ROUNDDOWN(VLOOKUP(F572,INDATA_FILL_DEMAND!$E$4:$F$251,2,FALSE)*IF(E572&lt;2043,1+$N$8,1+$O$8),4),"")</f>
        <v>0</v>
      </c>
    </row>
    <row r="573" spans="4:9" x14ac:dyDescent="0.3">
      <c r="D573" s="26" t="str">
        <f t="shared" si="24"/>
        <v>Demand</v>
      </c>
      <c r="E573" s="10">
        <f t="shared" si="25"/>
        <v>2043</v>
      </c>
      <c r="F573" s="25" t="str">
        <f t="shared" si="23"/>
        <v>CWCUL</v>
      </c>
      <c r="I573" s="29">
        <f>IFERROR(ROUNDDOWN(VLOOKUP(F573,INDATA_FILL_DEMAND!$E$4:$F$251,2,FALSE)*IF(E573&lt;2043,1+$N$8,1+$O$8),4),"")</f>
        <v>3.2229999999999999</v>
      </c>
    </row>
    <row r="574" spans="4:9" x14ac:dyDescent="0.3">
      <c r="D574" s="26" t="str">
        <f t="shared" si="24"/>
        <v>Demand</v>
      </c>
      <c r="E574" s="10">
        <f t="shared" si="25"/>
        <v>2043</v>
      </c>
      <c r="F574" s="25" t="str">
        <f t="shared" ref="F574:F637" si="26">F326</f>
        <v>CWEDU</v>
      </c>
      <c r="I574" s="29">
        <f>IFERROR(ROUNDDOWN(VLOOKUP(F574,INDATA_FILL_DEMAND!$E$4:$F$251,2,FALSE)*IF(E574&lt;2043,1+$N$8,1+$O$8),4),"")</f>
        <v>7.7381000000000002</v>
      </c>
    </row>
    <row r="575" spans="4:9" x14ac:dyDescent="0.3">
      <c r="D575" s="26" t="str">
        <f t="shared" si="24"/>
        <v>Demand</v>
      </c>
      <c r="E575" s="10">
        <f t="shared" si="25"/>
        <v>2043</v>
      </c>
      <c r="F575" s="25" t="str">
        <f t="shared" si="26"/>
        <v>CWHLT</v>
      </c>
      <c r="I575" s="29">
        <f>IFERROR(ROUNDDOWN(VLOOKUP(F575,INDATA_FILL_DEMAND!$E$4:$F$251,2,FALSE)*IF(E575&lt;2043,1+$N$8,1+$O$8),4),"")</f>
        <v>0.58130000000000004</v>
      </c>
    </row>
    <row r="576" spans="4:9" x14ac:dyDescent="0.3">
      <c r="D576" s="26" t="str">
        <f t="shared" si="24"/>
        <v>Demand</v>
      </c>
      <c r="E576" s="10">
        <f t="shared" si="25"/>
        <v>2043</v>
      </c>
      <c r="F576" s="25" t="str">
        <f t="shared" si="26"/>
        <v>CWOFF</v>
      </c>
      <c r="I576" s="29">
        <f>IFERROR(ROUNDDOWN(VLOOKUP(F576,INDATA_FILL_DEMAND!$E$4:$F$251,2,FALSE)*IF(E576&lt;2043,1+$N$8,1+$O$8),4),"")</f>
        <v>0.82499999999999996</v>
      </c>
    </row>
    <row r="577" spans="4:9" x14ac:dyDescent="0.3">
      <c r="D577" s="26" t="str">
        <f t="shared" si="24"/>
        <v>Demand</v>
      </c>
      <c r="E577" s="10">
        <f t="shared" si="25"/>
        <v>2043</v>
      </c>
      <c r="F577" s="25" t="str">
        <f t="shared" si="26"/>
        <v>CWOTH</v>
      </c>
      <c r="I577" s="29">
        <f>IFERROR(ROUNDDOWN(VLOOKUP(F577,INDATA_FILL_DEMAND!$E$4:$F$251,2,FALSE)*IF(E577&lt;2043,1+$N$8,1+$O$8),4),"")</f>
        <v>4.9115000000000002</v>
      </c>
    </row>
    <row r="578" spans="4:9" x14ac:dyDescent="0.3">
      <c r="D578" s="26" t="str">
        <f t="shared" si="24"/>
        <v>Demand</v>
      </c>
      <c r="E578" s="10">
        <f t="shared" si="25"/>
        <v>2043</v>
      </c>
      <c r="F578" s="25" t="str">
        <f t="shared" si="26"/>
        <v>CWRET</v>
      </c>
      <c r="I578" s="29">
        <f>IFERROR(ROUNDDOWN(VLOOKUP(F578,INDATA_FILL_DEMAND!$E$4:$F$251,2,FALSE)*IF(E578&lt;2043,1+$N$8,1+$O$8),4),"")</f>
        <v>1.0173000000000001</v>
      </c>
    </row>
    <row r="579" spans="4:9" x14ac:dyDescent="0.3">
      <c r="D579" s="26" t="str">
        <f t="shared" si="24"/>
        <v>Demand</v>
      </c>
      <c r="E579" s="10">
        <f t="shared" si="25"/>
        <v>2043</v>
      </c>
      <c r="F579" s="25" t="str">
        <f t="shared" si="26"/>
        <v>CWSPO</v>
      </c>
      <c r="I579" s="29">
        <f>IFERROR(ROUNDDOWN(VLOOKUP(F579,INDATA_FILL_DEMAND!$E$4:$F$251,2,FALSE)*IF(E579&lt;2043,1+$N$8,1+$O$8),4),"")</f>
        <v>2.1821000000000002</v>
      </c>
    </row>
    <row r="580" spans="4:9" x14ac:dyDescent="0.3">
      <c r="D580" s="26" t="str">
        <f t="shared" si="24"/>
        <v>Demand</v>
      </c>
      <c r="E580" s="10">
        <f t="shared" si="25"/>
        <v>2043</v>
      </c>
      <c r="F580" s="25" t="str">
        <f t="shared" si="26"/>
        <v>CWTUR</v>
      </c>
      <c r="I580" s="29">
        <f>IFERROR(ROUNDDOWN(VLOOKUP(F580,INDATA_FILL_DEMAND!$E$4:$F$251,2,FALSE)*IF(E580&lt;2043,1+$N$8,1+$O$8),4),"")</f>
        <v>0.61980000000000002</v>
      </c>
    </row>
    <row r="581" spans="4:9" x14ac:dyDescent="0.3">
      <c r="D581" s="26" t="str">
        <f t="shared" si="24"/>
        <v>Demand</v>
      </c>
      <c r="E581" s="10">
        <f t="shared" si="25"/>
        <v>2043</v>
      </c>
      <c r="F581" s="25" t="str">
        <f t="shared" si="26"/>
        <v>CKCUL</v>
      </c>
      <c r="I581" s="29">
        <f>IFERROR(ROUNDDOWN(VLOOKUP(F581,INDATA_FILL_DEMAND!$E$4:$F$251,2,FALSE)*IF(E581&lt;2043,1+$N$8,1+$O$8),4),"")</f>
        <v>0.68610000000000004</v>
      </c>
    </row>
    <row r="582" spans="4:9" x14ac:dyDescent="0.3">
      <c r="D582" s="26" t="str">
        <f t="shared" si="24"/>
        <v>Demand</v>
      </c>
      <c r="E582" s="10">
        <f t="shared" si="25"/>
        <v>2043</v>
      </c>
      <c r="F582" s="25" t="str">
        <f t="shared" si="26"/>
        <v>CKEDU</v>
      </c>
      <c r="I582" s="29">
        <f>IFERROR(ROUNDDOWN(VLOOKUP(F582,INDATA_FILL_DEMAND!$E$4:$F$251,2,FALSE)*IF(E582&lt;2043,1+$N$8,1+$O$8),4),"")</f>
        <v>1.6473</v>
      </c>
    </row>
    <row r="583" spans="4:9" x14ac:dyDescent="0.3">
      <c r="D583" s="26" t="str">
        <f t="shared" si="24"/>
        <v>Demand</v>
      </c>
      <c r="E583" s="10">
        <f t="shared" si="25"/>
        <v>2043</v>
      </c>
      <c r="F583" s="25" t="str">
        <f t="shared" si="26"/>
        <v>CKHLT</v>
      </c>
      <c r="I583" s="29">
        <f>IFERROR(ROUNDDOWN(VLOOKUP(F583,INDATA_FILL_DEMAND!$E$4:$F$251,2,FALSE)*IF(E583&lt;2043,1+$N$8,1+$O$8),4),"")</f>
        <v>0.1237</v>
      </c>
    </row>
    <row r="584" spans="4:9" x14ac:dyDescent="0.3">
      <c r="D584" s="26" t="str">
        <f t="shared" si="24"/>
        <v>Demand</v>
      </c>
      <c r="E584" s="10">
        <f t="shared" si="25"/>
        <v>2043</v>
      </c>
      <c r="F584" s="25" t="str">
        <f t="shared" si="26"/>
        <v>CKOFF</v>
      </c>
      <c r="I584" s="29">
        <f>IFERROR(ROUNDDOWN(VLOOKUP(F584,INDATA_FILL_DEMAND!$E$4:$F$251,2,FALSE)*IF(E584&lt;2043,1+$N$8,1+$O$8),4),"")</f>
        <v>0.17560000000000001</v>
      </c>
    </row>
    <row r="585" spans="4:9" x14ac:dyDescent="0.3">
      <c r="D585" s="26" t="str">
        <f t="shared" si="24"/>
        <v>Demand</v>
      </c>
      <c r="E585" s="10">
        <f t="shared" si="25"/>
        <v>2043</v>
      </c>
      <c r="F585" s="25" t="str">
        <f t="shared" si="26"/>
        <v>CKOTH</v>
      </c>
      <c r="I585" s="29">
        <f>IFERROR(ROUNDDOWN(VLOOKUP(F585,INDATA_FILL_DEMAND!$E$4:$F$251,2,FALSE)*IF(E585&lt;2043,1+$N$8,1+$O$8),4),"")</f>
        <v>1.0456000000000001</v>
      </c>
    </row>
    <row r="586" spans="4:9" x14ac:dyDescent="0.3">
      <c r="D586" s="26" t="str">
        <f t="shared" si="24"/>
        <v>Demand</v>
      </c>
      <c r="E586" s="10">
        <f t="shared" si="25"/>
        <v>2043</v>
      </c>
      <c r="F586" s="25" t="str">
        <f t="shared" si="26"/>
        <v>CKRET</v>
      </c>
      <c r="I586" s="29">
        <f>IFERROR(ROUNDDOWN(VLOOKUP(F586,INDATA_FILL_DEMAND!$E$4:$F$251,2,FALSE)*IF(E586&lt;2043,1+$N$8,1+$O$8),4),"")</f>
        <v>0.2165</v>
      </c>
    </row>
    <row r="587" spans="4:9" x14ac:dyDescent="0.3">
      <c r="D587" s="26" t="str">
        <f t="shared" si="24"/>
        <v>Demand</v>
      </c>
      <c r="E587" s="10">
        <f t="shared" si="25"/>
        <v>2043</v>
      </c>
      <c r="F587" s="25" t="str">
        <f t="shared" si="26"/>
        <v>CKSPO</v>
      </c>
      <c r="I587" s="29">
        <f>IFERROR(ROUNDDOWN(VLOOKUP(F587,INDATA_FILL_DEMAND!$E$4:$F$251,2,FALSE)*IF(E587&lt;2043,1+$N$8,1+$O$8),4),"")</f>
        <v>0.46450000000000002</v>
      </c>
    </row>
    <row r="588" spans="4:9" x14ac:dyDescent="0.3">
      <c r="D588" s="26" t="str">
        <f t="shared" si="24"/>
        <v>Demand</v>
      </c>
      <c r="E588" s="10">
        <f t="shared" si="25"/>
        <v>2043</v>
      </c>
      <c r="F588" s="25" t="str">
        <f t="shared" si="26"/>
        <v>CKTUR</v>
      </c>
      <c r="I588" s="29">
        <f>IFERROR(ROUNDDOWN(VLOOKUP(F588,INDATA_FILL_DEMAND!$E$4:$F$251,2,FALSE)*IF(E588&lt;2043,1+$N$8,1+$O$8),4),"")</f>
        <v>0.13189999999999999</v>
      </c>
    </row>
    <row r="589" spans="4:9" x14ac:dyDescent="0.3">
      <c r="D589" s="26" t="str">
        <f t="shared" si="24"/>
        <v>Demand</v>
      </c>
      <c r="E589" s="10">
        <f t="shared" si="25"/>
        <v>2043</v>
      </c>
      <c r="F589" s="25" t="str">
        <f t="shared" si="26"/>
        <v>CLCUL</v>
      </c>
      <c r="I589" s="29">
        <f>IFERROR(ROUNDDOWN(VLOOKUP(F589,INDATA_FILL_DEMAND!$E$4:$F$251,2,FALSE)*IF(E589&lt;2043,1+$N$8,1+$O$8),4),"")</f>
        <v>0.90800000000000003</v>
      </c>
    </row>
    <row r="590" spans="4:9" x14ac:dyDescent="0.3">
      <c r="D590" s="26" t="str">
        <f t="shared" ref="D590:D653" si="27">IF(AND(ISNUMBER(I590),I590&gt;0),"Demand","*")</f>
        <v>Demand</v>
      </c>
      <c r="E590" s="10">
        <f t="shared" si="25"/>
        <v>2043</v>
      </c>
      <c r="F590" s="25" t="str">
        <f t="shared" si="26"/>
        <v>CLEDU</v>
      </c>
      <c r="I590" s="29">
        <f>IFERROR(ROUNDDOWN(VLOOKUP(F590,INDATA_FILL_DEMAND!$E$4:$F$251,2,FALSE)*IF(E590&lt;2043,1+$N$8,1+$O$8),4),"")</f>
        <v>2.1800999999999999</v>
      </c>
    </row>
    <row r="591" spans="4:9" x14ac:dyDescent="0.3">
      <c r="D591" s="26" t="str">
        <f t="shared" si="27"/>
        <v>Demand</v>
      </c>
      <c r="E591" s="10">
        <f t="shared" si="25"/>
        <v>2043</v>
      </c>
      <c r="F591" s="25" t="str">
        <f t="shared" si="26"/>
        <v>CLHLT</v>
      </c>
      <c r="I591" s="29">
        <f>IFERROR(ROUNDDOWN(VLOOKUP(F591,INDATA_FILL_DEMAND!$E$4:$F$251,2,FALSE)*IF(E591&lt;2043,1+$N$8,1+$O$8),4),"")</f>
        <v>0.16370000000000001</v>
      </c>
    </row>
    <row r="592" spans="4:9" x14ac:dyDescent="0.3">
      <c r="D592" s="26" t="str">
        <f t="shared" si="27"/>
        <v>Demand</v>
      </c>
      <c r="E592" s="10">
        <f t="shared" si="25"/>
        <v>2043</v>
      </c>
      <c r="F592" s="25" t="str">
        <f t="shared" si="26"/>
        <v>CLOFF</v>
      </c>
      <c r="I592" s="29">
        <f>IFERROR(ROUNDDOWN(VLOOKUP(F592,INDATA_FILL_DEMAND!$E$4:$F$251,2,FALSE)*IF(E592&lt;2043,1+$N$8,1+$O$8),4),"")</f>
        <v>0.2324</v>
      </c>
    </row>
    <row r="593" spans="4:9" x14ac:dyDescent="0.3">
      <c r="D593" s="26" t="str">
        <f t="shared" si="27"/>
        <v>Demand</v>
      </c>
      <c r="E593" s="10">
        <f t="shared" si="25"/>
        <v>2043</v>
      </c>
      <c r="F593" s="25" t="str">
        <f t="shared" si="26"/>
        <v>CLOTH</v>
      </c>
      <c r="I593" s="29">
        <f>IFERROR(ROUNDDOWN(VLOOKUP(F593,INDATA_FILL_DEMAND!$E$4:$F$251,2,FALSE)*IF(E593&lt;2043,1+$N$8,1+$O$8),4),"")</f>
        <v>1.3836999999999999</v>
      </c>
    </row>
    <row r="594" spans="4:9" x14ac:dyDescent="0.3">
      <c r="D594" s="26" t="str">
        <f t="shared" si="27"/>
        <v>Demand</v>
      </c>
      <c r="E594" s="10">
        <f t="shared" si="25"/>
        <v>2043</v>
      </c>
      <c r="F594" s="25" t="str">
        <f t="shared" si="26"/>
        <v>CLRET</v>
      </c>
      <c r="I594" s="29">
        <f>IFERROR(ROUNDDOWN(VLOOKUP(F594,INDATA_FILL_DEMAND!$E$4:$F$251,2,FALSE)*IF(E594&lt;2043,1+$N$8,1+$O$8),4),"")</f>
        <v>0.28660000000000002</v>
      </c>
    </row>
    <row r="595" spans="4:9" x14ac:dyDescent="0.3">
      <c r="D595" s="26" t="str">
        <f t="shared" si="27"/>
        <v>Demand</v>
      </c>
      <c r="E595" s="10">
        <f t="shared" si="25"/>
        <v>2043</v>
      </c>
      <c r="F595" s="25" t="str">
        <f t="shared" si="26"/>
        <v>CLSPO</v>
      </c>
      <c r="I595" s="29">
        <f>IFERROR(ROUNDDOWN(VLOOKUP(F595,INDATA_FILL_DEMAND!$E$4:$F$251,2,FALSE)*IF(E595&lt;2043,1+$N$8,1+$O$8),4),"")</f>
        <v>0.61480000000000001</v>
      </c>
    </row>
    <row r="596" spans="4:9" x14ac:dyDescent="0.3">
      <c r="D596" s="26" t="str">
        <f t="shared" si="27"/>
        <v>Demand</v>
      </c>
      <c r="E596" s="10">
        <f t="shared" si="25"/>
        <v>2043</v>
      </c>
      <c r="F596" s="25" t="str">
        <f t="shared" si="26"/>
        <v>CLTUR</v>
      </c>
      <c r="I596" s="29">
        <f>IFERROR(ROUNDDOWN(VLOOKUP(F596,INDATA_FILL_DEMAND!$E$4:$F$251,2,FALSE)*IF(E596&lt;2043,1+$N$8,1+$O$8),4),"")</f>
        <v>0.17460000000000001</v>
      </c>
    </row>
    <row r="597" spans="4:9" x14ac:dyDescent="0.3">
      <c r="D597" s="26" t="str">
        <f t="shared" si="27"/>
        <v>Demand</v>
      </c>
      <c r="E597" s="10">
        <f t="shared" si="25"/>
        <v>2043</v>
      </c>
      <c r="F597" s="25" t="str">
        <f t="shared" si="26"/>
        <v>COCUL</v>
      </c>
      <c r="I597" s="29">
        <f>IFERROR(ROUNDDOWN(VLOOKUP(F597,INDATA_FILL_DEMAND!$E$4:$F$251,2,FALSE)*IF(E597&lt;2043,1+$N$8,1+$O$8),4),"")</f>
        <v>4.3029999999999999</v>
      </c>
    </row>
    <row r="598" spans="4:9" x14ac:dyDescent="0.3">
      <c r="D598" s="26" t="str">
        <f t="shared" si="27"/>
        <v>Demand</v>
      </c>
      <c r="E598" s="10">
        <f t="shared" si="25"/>
        <v>2043</v>
      </c>
      <c r="F598" s="25" t="str">
        <f t="shared" si="26"/>
        <v>COEDU</v>
      </c>
      <c r="I598" s="29">
        <f>IFERROR(ROUNDDOWN(VLOOKUP(F598,INDATA_FILL_DEMAND!$E$4:$F$251,2,FALSE)*IF(E598&lt;2043,1+$N$8,1+$O$8),4),"")</f>
        <v>10.331</v>
      </c>
    </row>
    <row r="599" spans="4:9" x14ac:dyDescent="0.3">
      <c r="D599" s="26" t="str">
        <f t="shared" si="27"/>
        <v>Demand</v>
      </c>
      <c r="E599" s="10">
        <f t="shared" si="25"/>
        <v>2043</v>
      </c>
      <c r="F599" s="25" t="str">
        <f t="shared" si="26"/>
        <v>COHLT</v>
      </c>
      <c r="I599" s="29">
        <f>IFERROR(ROUNDDOWN(VLOOKUP(F599,INDATA_FILL_DEMAND!$E$4:$F$251,2,FALSE)*IF(E599&lt;2043,1+$N$8,1+$O$8),4),"")</f>
        <v>0.77610000000000001</v>
      </c>
    </row>
    <row r="600" spans="4:9" x14ac:dyDescent="0.3">
      <c r="D600" s="26" t="str">
        <f t="shared" si="27"/>
        <v>Demand</v>
      </c>
      <c r="E600" s="10">
        <f t="shared" si="25"/>
        <v>2043</v>
      </c>
      <c r="F600" s="25" t="str">
        <f t="shared" si="26"/>
        <v>COOFF</v>
      </c>
      <c r="I600" s="29">
        <f>IFERROR(ROUNDDOWN(VLOOKUP(F600,INDATA_FILL_DEMAND!$E$4:$F$251,2,FALSE)*IF(E600&lt;2043,1+$N$8,1+$O$8),4),"")</f>
        <v>1.1013999999999999</v>
      </c>
    </row>
    <row r="601" spans="4:9" x14ac:dyDescent="0.3">
      <c r="D601" s="26" t="str">
        <f t="shared" si="27"/>
        <v>Demand</v>
      </c>
      <c r="E601" s="10">
        <f t="shared" si="25"/>
        <v>2043</v>
      </c>
      <c r="F601" s="25" t="str">
        <f t="shared" si="26"/>
        <v>COOTH</v>
      </c>
      <c r="I601" s="29">
        <f>IFERROR(ROUNDDOWN(VLOOKUP(F601,INDATA_FILL_DEMAND!$E$4:$F$251,2,FALSE)*IF(E601&lt;2043,1+$N$8,1+$O$8),4),"")</f>
        <v>6.5572999999999997</v>
      </c>
    </row>
    <row r="602" spans="4:9" x14ac:dyDescent="0.3">
      <c r="D602" s="26" t="str">
        <f t="shared" si="27"/>
        <v>Demand</v>
      </c>
      <c r="E602" s="10">
        <f t="shared" si="25"/>
        <v>2043</v>
      </c>
      <c r="F602" s="25" t="str">
        <f t="shared" si="26"/>
        <v>CORET</v>
      </c>
      <c r="I602" s="29">
        <f>IFERROR(ROUNDDOWN(VLOOKUP(F602,INDATA_FILL_DEMAND!$E$4:$F$251,2,FALSE)*IF(E602&lt;2043,1+$N$8,1+$O$8),4),"")</f>
        <v>1.3582000000000001</v>
      </c>
    </row>
    <row r="603" spans="4:9" x14ac:dyDescent="0.3">
      <c r="D603" s="26" t="str">
        <f t="shared" si="27"/>
        <v>Demand</v>
      </c>
      <c r="E603" s="10">
        <f t="shared" si="25"/>
        <v>2043</v>
      </c>
      <c r="F603" s="25" t="str">
        <f t="shared" si="26"/>
        <v>COSPO</v>
      </c>
      <c r="I603" s="29">
        <f>IFERROR(ROUNDDOWN(VLOOKUP(F603,INDATA_FILL_DEMAND!$E$4:$F$251,2,FALSE)*IF(E603&lt;2043,1+$N$8,1+$O$8),4),"")</f>
        <v>2.9134000000000002</v>
      </c>
    </row>
    <row r="604" spans="4:9" x14ac:dyDescent="0.3">
      <c r="D604" s="26" t="str">
        <f t="shared" si="27"/>
        <v>Demand</v>
      </c>
      <c r="E604" s="10">
        <f t="shared" si="25"/>
        <v>2043</v>
      </c>
      <c r="F604" s="25" t="str">
        <f t="shared" si="26"/>
        <v>COTUR</v>
      </c>
      <c r="I604" s="29">
        <f>IFERROR(ROUNDDOWN(VLOOKUP(F604,INDATA_FILL_DEMAND!$E$4:$F$251,2,FALSE)*IF(E604&lt;2043,1+$N$8,1+$O$8),4),"")</f>
        <v>0.82750000000000001</v>
      </c>
    </row>
    <row r="605" spans="4:9" x14ac:dyDescent="0.3">
      <c r="D605" s="26" t="str">
        <f t="shared" si="27"/>
        <v>*</v>
      </c>
      <c r="E605" s="10">
        <f t="shared" si="25"/>
        <v>2043</v>
      </c>
      <c r="F605" s="25" t="str">
        <f t="shared" si="26"/>
        <v>CECUL</v>
      </c>
      <c r="I605" s="29">
        <f>IFERROR(ROUNDDOWN(VLOOKUP(F605,INDATA_FILL_DEMAND!$E$4:$F$251,2,FALSE)*IF(E605&lt;2043,1+$N$8,1+$O$8),4),"")</f>
        <v>0</v>
      </c>
    </row>
    <row r="606" spans="4:9" x14ac:dyDescent="0.3">
      <c r="D606" s="26" t="str">
        <f t="shared" si="27"/>
        <v>*</v>
      </c>
      <c r="E606" s="10">
        <f t="shared" si="25"/>
        <v>2043</v>
      </c>
      <c r="F606" s="25" t="str">
        <f t="shared" si="26"/>
        <v>CEEDU</v>
      </c>
      <c r="I606" s="29">
        <f>IFERROR(ROUNDDOWN(VLOOKUP(F606,INDATA_FILL_DEMAND!$E$4:$F$251,2,FALSE)*IF(E606&lt;2043,1+$N$8,1+$O$8),4),"")</f>
        <v>0</v>
      </c>
    </row>
    <row r="607" spans="4:9" x14ac:dyDescent="0.3">
      <c r="D607" s="26" t="str">
        <f t="shared" si="27"/>
        <v>*</v>
      </c>
      <c r="E607" s="10">
        <f t="shared" si="25"/>
        <v>2043</v>
      </c>
      <c r="F607" s="25" t="str">
        <f t="shared" si="26"/>
        <v>CEHLT</v>
      </c>
      <c r="I607" s="29">
        <f>IFERROR(ROUNDDOWN(VLOOKUP(F607,INDATA_FILL_DEMAND!$E$4:$F$251,2,FALSE)*IF(E607&lt;2043,1+$N$8,1+$O$8),4),"")</f>
        <v>0</v>
      </c>
    </row>
    <row r="608" spans="4:9" x14ac:dyDescent="0.3">
      <c r="D608" s="26" t="str">
        <f t="shared" si="27"/>
        <v>*</v>
      </c>
      <c r="E608" s="10">
        <f t="shared" si="25"/>
        <v>2043</v>
      </c>
      <c r="F608" s="25" t="str">
        <f t="shared" si="26"/>
        <v>CEOFF</v>
      </c>
      <c r="I608" s="29">
        <f>IFERROR(ROUNDDOWN(VLOOKUP(F608,INDATA_FILL_DEMAND!$E$4:$F$251,2,FALSE)*IF(E608&lt;2043,1+$N$8,1+$O$8),4),"")</f>
        <v>0</v>
      </c>
    </row>
    <row r="609" spans="4:9" x14ac:dyDescent="0.3">
      <c r="D609" s="26" t="str">
        <f t="shared" si="27"/>
        <v>*</v>
      </c>
      <c r="E609" s="10">
        <f t="shared" si="25"/>
        <v>2043</v>
      </c>
      <c r="F609" s="25" t="str">
        <f t="shared" si="26"/>
        <v>CEOTH</v>
      </c>
      <c r="I609" s="29">
        <f>IFERROR(ROUNDDOWN(VLOOKUP(F609,INDATA_FILL_DEMAND!$E$4:$F$251,2,FALSE)*IF(E609&lt;2043,1+$N$8,1+$O$8),4),"")</f>
        <v>0</v>
      </c>
    </row>
    <row r="610" spans="4:9" x14ac:dyDescent="0.3">
      <c r="D610" s="26" t="str">
        <f t="shared" si="27"/>
        <v>*</v>
      </c>
      <c r="E610" s="10">
        <f t="shared" si="25"/>
        <v>2043</v>
      </c>
      <c r="F610" s="25" t="str">
        <f t="shared" si="26"/>
        <v>CERET</v>
      </c>
      <c r="I610" s="29">
        <f>IFERROR(ROUNDDOWN(VLOOKUP(F610,INDATA_FILL_DEMAND!$E$4:$F$251,2,FALSE)*IF(E610&lt;2043,1+$N$8,1+$O$8),4),"")</f>
        <v>0</v>
      </c>
    </row>
    <row r="611" spans="4:9" x14ac:dyDescent="0.3">
      <c r="D611" s="26" t="str">
        <f t="shared" si="27"/>
        <v>*</v>
      </c>
      <c r="E611" s="10">
        <f t="shared" si="25"/>
        <v>2043</v>
      </c>
      <c r="F611" s="25" t="str">
        <f t="shared" si="26"/>
        <v>CESPO</v>
      </c>
      <c r="I611" s="29">
        <f>IFERROR(ROUNDDOWN(VLOOKUP(F611,INDATA_FILL_DEMAND!$E$4:$F$251,2,FALSE)*IF(E611&lt;2043,1+$N$8,1+$O$8),4),"")</f>
        <v>0</v>
      </c>
    </row>
    <row r="612" spans="4:9" x14ac:dyDescent="0.3">
      <c r="D612" s="26" t="str">
        <f t="shared" si="27"/>
        <v>*</v>
      </c>
      <c r="E612" s="10">
        <f t="shared" si="25"/>
        <v>2043</v>
      </c>
      <c r="F612" s="25" t="str">
        <f t="shared" si="26"/>
        <v>CETUR</v>
      </c>
      <c r="I612" s="29">
        <f>IFERROR(ROUNDDOWN(VLOOKUP(F612,INDATA_FILL_DEMAND!$E$4:$F$251,2,FALSE)*IF(E612&lt;2043,1+$N$8,1+$O$8),4),"")</f>
        <v>0</v>
      </c>
    </row>
    <row r="613" spans="4:9" x14ac:dyDescent="0.3">
      <c r="D613" s="26" t="str">
        <f t="shared" si="27"/>
        <v>Demand</v>
      </c>
      <c r="E613" s="10">
        <f t="shared" si="25"/>
        <v>2043</v>
      </c>
      <c r="F613" s="25" t="str">
        <f t="shared" si="26"/>
        <v>MHCUL</v>
      </c>
      <c r="I613" s="29">
        <f>IFERROR(ROUNDDOWN(VLOOKUP(F613,INDATA_FILL_DEMAND!$E$4:$F$251,2,FALSE)*IF(E613&lt;2043,1+$N$8,1+$O$8),4),"")</f>
        <v>3.7602000000000002</v>
      </c>
    </row>
    <row r="614" spans="4:9" x14ac:dyDescent="0.3">
      <c r="D614" s="26" t="str">
        <f t="shared" si="27"/>
        <v>Demand</v>
      </c>
      <c r="E614" s="10">
        <f t="shared" si="25"/>
        <v>2043</v>
      </c>
      <c r="F614" s="25" t="str">
        <f t="shared" si="26"/>
        <v>MHEDU</v>
      </c>
      <c r="I614" s="29">
        <f>IFERROR(ROUNDDOWN(VLOOKUP(F614,INDATA_FILL_DEMAND!$E$4:$F$251,2,FALSE)*IF(E614&lt;2043,1+$N$8,1+$O$8),4),"")</f>
        <v>30.9392</v>
      </c>
    </row>
    <row r="615" spans="4:9" x14ac:dyDescent="0.3">
      <c r="D615" s="26" t="str">
        <f t="shared" si="27"/>
        <v>*</v>
      </c>
      <c r="E615" s="10">
        <f t="shared" si="25"/>
        <v>2043</v>
      </c>
      <c r="F615" s="25" t="str">
        <f t="shared" si="26"/>
        <v>MHHOU</v>
      </c>
      <c r="I615" s="29">
        <f>IFERROR(ROUNDDOWN(VLOOKUP(F615,INDATA_FILL_DEMAND!$E$4:$F$251,2,FALSE)*IF(E615&lt;2043,1+$N$8,1+$O$8),4),"")</f>
        <v>0</v>
      </c>
    </row>
    <row r="616" spans="4:9" x14ac:dyDescent="0.3">
      <c r="D616" s="26" t="str">
        <f t="shared" si="27"/>
        <v>Demand</v>
      </c>
      <c r="E616" s="10">
        <f t="shared" si="25"/>
        <v>2043</v>
      </c>
      <c r="F616" s="25" t="str">
        <f t="shared" si="26"/>
        <v>MHOFL</v>
      </c>
      <c r="I616" s="29">
        <f>IFERROR(ROUNDDOWN(VLOOKUP(F616,INDATA_FILL_DEMAND!$E$4:$F$251,2,FALSE)*IF(E616&lt;2043,1+$N$8,1+$O$8),4),"")</f>
        <v>3.7073999999999998</v>
      </c>
    </row>
    <row r="617" spans="4:9" x14ac:dyDescent="0.3">
      <c r="D617" s="26" t="str">
        <f t="shared" si="27"/>
        <v>Demand</v>
      </c>
      <c r="E617" s="10">
        <f t="shared" si="25"/>
        <v>2043</v>
      </c>
      <c r="F617" s="25" t="str">
        <f t="shared" si="26"/>
        <v>MHOFS</v>
      </c>
      <c r="I617" s="29">
        <f>IFERROR(ROUNDDOWN(VLOOKUP(F617,INDATA_FILL_DEMAND!$E$4:$F$251,2,FALSE)*IF(E617&lt;2043,1+$N$8,1+$O$8),4),"")</f>
        <v>3.8685999999999998</v>
      </c>
    </row>
    <row r="618" spans="4:9" x14ac:dyDescent="0.3">
      <c r="D618" s="26" t="str">
        <f t="shared" si="27"/>
        <v>Demand</v>
      </c>
      <c r="E618" s="10">
        <f t="shared" si="25"/>
        <v>2043</v>
      </c>
      <c r="F618" s="25" t="str">
        <f t="shared" si="26"/>
        <v>MHOTH</v>
      </c>
      <c r="I618" s="29">
        <f>IFERROR(ROUNDDOWN(VLOOKUP(F618,INDATA_FILL_DEMAND!$E$4:$F$251,2,FALSE)*IF(E618&lt;2043,1+$N$8,1+$O$8),4),"")</f>
        <v>5.3570000000000002</v>
      </c>
    </row>
    <row r="619" spans="4:9" x14ac:dyDescent="0.3">
      <c r="D619" s="26" t="str">
        <f t="shared" si="27"/>
        <v>Demand</v>
      </c>
      <c r="E619" s="10">
        <f t="shared" si="25"/>
        <v>2043</v>
      </c>
      <c r="F619" s="25" t="str">
        <f t="shared" si="26"/>
        <v>MHSPO</v>
      </c>
      <c r="I619" s="29">
        <f>IFERROR(ROUNDDOWN(VLOOKUP(F619,INDATA_FILL_DEMAND!$E$4:$F$251,2,FALSE)*IF(E619&lt;2043,1+$N$8,1+$O$8),4),"")</f>
        <v>12.138400000000001</v>
      </c>
    </row>
    <row r="620" spans="4:9" x14ac:dyDescent="0.3">
      <c r="D620" s="26" t="str">
        <f t="shared" si="27"/>
        <v>Demand</v>
      </c>
      <c r="E620" s="10">
        <f t="shared" si="25"/>
        <v>2043</v>
      </c>
      <c r="F620" s="25" t="str">
        <f t="shared" si="26"/>
        <v>MHTCH</v>
      </c>
      <c r="I620" s="29">
        <f>IFERROR(ROUNDDOWN(VLOOKUP(F620,INDATA_FILL_DEMAND!$E$4:$F$251,2,FALSE)*IF(E620&lt;2043,1+$N$8,1+$O$8),4),"")</f>
        <v>1.8236000000000001</v>
      </c>
    </row>
    <row r="621" spans="4:9" x14ac:dyDescent="0.3">
      <c r="D621" s="26" t="str">
        <f t="shared" si="27"/>
        <v>*</v>
      </c>
      <c r="E621" s="10">
        <f t="shared" si="25"/>
        <v>2043</v>
      </c>
      <c r="F621" s="25" t="str">
        <f t="shared" si="26"/>
        <v>MCCUL</v>
      </c>
      <c r="I621" s="29">
        <f>IFERROR(ROUNDDOWN(VLOOKUP(F621,INDATA_FILL_DEMAND!$E$4:$F$251,2,FALSE)*IF(E621&lt;2043,1+$N$8,1+$O$8),4),"")</f>
        <v>0</v>
      </c>
    </row>
    <row r="622" spans="4:9" x14ac:dyDescent="0.3">
      <c r="D622" s="26" t="str">
        <f t="shared" si="27"/>
        <v>*</v>
      </c>
      <c r="E622" s="10">
        <f t="shared" si="25"/>
        <v>2043</v>
      </c>
      <c r="F622" s="25" t="str">
        <f t="shared" si="26"/>
        <v>MCEDU</v>
      </c>
      <c r="I622" s="29">
        <f>IFERROR(ROUNDDOWN(VLOOKUP(F622,INDATA_FILL_DEMAND!$E$4:$F$251,2,FALSE)*IF(E622&lt;2043,1+$N$8,1+$O$8),4),"")</f>
        <v>0</v>
      </c>
    </row>
    <row r="623" spans="4:9" x14ac:dyDescent="0.3">
      <c r="D623" s="26" t="str">
        <f t="shared" si="27"/>
        <v>*</v>
      </c>
      <c r="E623" s="10">
        <f t="shared" si="25"/>
        <v>2043</v>
      </c>
      <c r="F623" s="25" t="str">
        <f t="shared" si="26"/>
        <v>MCHOU</v>
      </c>
      <c r="I623" s="29">
        <f>IFERROR(ROUNDDOWN(VLOOKUP(F623,INDATA_FILL_DEMAND!$E$4:$F$251,2,FALSE)*IF(E623&lt;2043,1+$N$8,1+$O$8),4),"")</f>
        <v>0</v>
      </c>
    </row>
    <row r="624" spans="4:9" x14ac:dyDescent="0.3">
      <c r="D624" s="26" t="str">
        <f t="shared" si="27"/>
        <v>*</v>
      </c>
      <c r="E624" s="10">
        <f t="shared" si="25"/>
        <v>2043</v>
      </c>
      <c r="F624" s="25" t="str">
        <f t="shared" si="26"/>
        <v>MCOFL</v>
      </c>
      <c r="I624" s="29">
        <f>IFERROR(ROUNDDOWN(VLOOKUP(F624,INDATA_FILL_DEMAND!$E$4:$F$251,2,FALSE)*IF(E624&lt;2043,1+$N$8,1+$O$8),4),"")</f>
        <v>0</v>
      </c>
    </row>
    <row r="625" spans="4:9" x14ac:dyDescent="0.3">
      <c r="D625" s="26" t="str">
        <f t="shared" si="27"/>
        <v>*</v>
      </c>
      <c r="E625" s="10">
        <f t="shared" si="25"/>
        <v>2043</v>
      </c>
      <c r="F625" s="25" t="str">
        <f t="shared" si="26"/>
        <v>MCOFS</v>
      </c>
      <c r="I625" s="29">
        <f>IFERROR(ROUNDDOWN(VLOOKUP(F625,INDATA_FILL_DEMAND!$E$4:$F$251,2,FALSE)*IF(E625&lt;2043,1+$N$8,1+$O$8),4),"")</f>
        <v>0</v>
      </c>
    </row>
    <row r="626" spans="4:9" x14ac:dyDescent="0.3">
      <c r="D626" s="26" t="str">
        <f t="shared" si="27"/>
        <v>*</v>
      </c>
      <c r="E626" s="10">
        <f t="shared" si="25"/>
        <v>2043</v>
      </c>
      <c r="F626" s="25" t="str">
        <f t="shared" si="26"/>
        <v>MCOTH</v>
      </c>
      <c r="I626" s="29">
        <f>IFERROR(ROUNDDOWN(VLOOKUP(F626,INDATA_FILL_DEMAND!$E$4:$F$251,2,FALSE)*IF(E626&lt;2043,1+$N$8,1+$O$8),4),"")</f>
        <v>0</v>
      </c>
    </row>
    <row r="627" spans="4:9" x14ac:dyDescent="0.3">
      <c r="D627" s="26" t="str">
        <f t="shared" si="27"/>
        <v>*</v>
      </c>
      <c r="E627" s="10">
        <f t="shared" si="25"/>
        <v>2043</v>
      </c>
      <c r="F627" s="25" t="str">
        <f t="shared" si="26"/>
        <v>MCSPO</v>
      </c>
      <c r="I627" s="29">
        <f>IFERROR(ROUNDDOWN(VLOOKUP(F627,INDATA_FILL_DEMAND!$E$4:$F$251,2,FALSE)*IF(E627&lt;2043,1+$N$8,1+$O$8),4),"")</f>
        <v>0</v>
      </c>
    </row>
    <row r="628" spans="4:9" x14ac:dyDescent="0.3">
      <c r="D628" s="26" t="str">
        <f t="shared" si="27"/>
        <v>*</v>
      </c>
      <c r="E628" s="10">
        <f t="shared" si="25"/>
        <v>2043</v>
      </c>
      <c r="F628" s="25" t="str">
        <f t="shared" si="26"/>
        <v>MCTCH</v>
      </c>
      <c r="I628" s="29">
        <f>IFERROR(ROUNDDOWN(VLOOKUP(F628,INDATA_FILL_DEMAND!$E$4:$F$251,2,FALSE)*IF(E628&lt;2043,1+$N$8,1+$O$8),4),"")</f>
        <v>0</v>
      </c>
    </row>
    <row r="629" spans="4:9" x14ac:dyDescent="0.3">
      <c r="D629" s="26" t="str">
        <f t="shared" si="27"/>
        <v>Demand</v>
      </c>
      <c r="E629" s="10">
        <f t="shared" si="25"/>
        <v>2043</v>
      </c>
      <c r="F629" s="25" t="str">
        <f t="shared" si="26"/>
        <v>MWCUL</v>
      </c>
      <c r="I629" s="29">
        <f>IFERROR(ROUNDDOWN(VLOOKUP(F629,INDATA_FILL_DEMAND!$E$4:$F$251,2,FALSE)*IF(E629&lt;2043,1+$N$8,1+$O$8),4),"")</f>
        <v>0.84809999999999997</v>
      </c>
    </row>
    <row r="630" spans="4:9" x14ac:dyDescent="0.3">
      <c r="D630" s="26" t="str">
        <f t="shared" si="27"/>
        <v>Demand</v>
      </c>
      <c r="E630" s="10">
        <f t="shared" si="25"/>
        <v>2043</v>
      </c>
      <c r="F630" s="25" t="str">
        <f t="shared" si="26"/>
        <v>MWEDU</v>
      </c>
      <c r="I630" s="29">
        <f>IFERROR(ROUNDDOWN(VLOOKUP(F630,INDATA_FILL_DEMAND!$E$4:$F$251,2,FALSE)*IF(E630&lt;2043,1+$N$8,1+$O$8),4),"")</f>
        <v>7.7447999999999997</v>
      </c>
    </row>
    <row r="631" spans="4:9" x14ac:dyDescent="0.3">
      <c r="D631" s="26" t="str">
        <f t="shared" si="27"/>
        <v>*</v>
      </c>
      <c r="E631" s="10">
        <f t="shared" ref="E631:E694" si="28">E630</f>
        <v>2043</v>
      </c>
      <c r="F631" s="25" t="str">
        <f t="shared" si="26"/>
        <v>MWHOU</v>
      </c>
      <c r="I631" s="29">
        <f>IFERROR(ROUNDDOWN(VLOOKUP(F631,INDATA_FILL_DEMAND!$E$4:$F$251,2,FALSE)*IF(E631&lt;2043,1+$N$8,1+$O$8),4),"")</f>
        <v>0</v>
      </c>
    </row>
    <row r="632" spans="4:9" x14ac:dyDescent="0.3">
      <c r="D632" s="26" t="str">
        <f t="shared" si="27"/>
        <v>Demand</v>
      </c>
      <c r="E632" s="10">
        <f t="shared" si="28"/>
        <v>2043</v>
      </c>
      <c r="F632" s="25" t="str">
        <f t="shared" si="26"/>
        <v>MWOFL</v>
      </c>
      <c r="I632" s="29">
        <f>IFERROR(ROUNDDOWN(VLOOKUP(F632,INDATA_FILL_DEMAND!$E$4:$F$251,2,FALSE)*IF(E632&lt;2043,1+$N$8,1+$O$8),4),"")</f>
        <v>0.93220000000000003</v>
      </c>
    </row>
    <row r="633" spans="4:9" x14ac:dyDescent="0.3">
      <c r="D633" s="26" t="str">
        <f t="shared" si="27"/>
        <v>Demand</v>
      </c>
      <c r="E633" s="10">
        <f t="shared" si="28"/>
        <v>2043</v>
      </c>
      <c r="F633" s="25" t="str">
        <f t="shared" si="26"/>
        <v>MWOFS</v>
      </c>
      <c r="I633" s="29">
        <f>IFERROR(ROUNDDOWN(VLOOKUP(F633,INDATA_FILL_DEMAND!$E$4:$F$251,2,FALSE)*IF(E633&lt;2043,1+$N$8,1+$O$8),4),"")</f>
        <v>0.8075</v>
      </c>
    </row>
    <row r="634" spans="4:9" x14ac:dyDescent="0.3">
      <c r="D634" s="26" t="str">
        <f t="shared" si="27"/>
        <v>Demand</v>
      </c>
      <c r="E634" s="10">
        <f t="shared" si="28"/>
        <v>2043</v>
      </c>
      <c r="F634" s="25" t="str">
        <f t="shared" si="26"/>
        <v>MWOTH</v>
      </c>
      <c r="I634" s="29">
        <f>IFERROR(ROUNDDOWN(VLOOKUP(F634,INDATA_FILL_DEMAND!$E$4:$F$251,2,FALSE)*IF(E634&lt;2043,1+$N$8,1+$O$8),4),"")</f>
        <v>1.3541000000000001</v>
      </c>
    </row>
    <row r="635" spans="4:9" x14ac:dyDescent="0.3">
      <c r="D635" s="26" t="str">
        <f t="shared" si="27"/>
        <v>Demand</v>
      </c>
      <c r="E635" s="10">
        <f t="shared" si="28"/>
        <v>2043</v>
      </c>
      <c r="F635" s="25" t="str">
        <f t="shared" si="26"/>
        <v>MWSPO</v>
      </c>
      <c r="I635" s="29">
        <f>IFERROR(ROUNDDOWN(VLOOKUP(F635,INDATA_FILL_DEMAND!$E$4:$F$251,2,FALSE)*IF(E635&lt;2043,1+$N$8,1+$O$8),4),"")</f>
        <v>3.0733000000000001</v>
      </c>
    </row>
    <row r="636" spans="4:9" x14ac:dyDescent="0.3">
      <c r="D636" s="26" t="str">
        <f t="shared" si="27"/>
        <v>Demand</v>
      </c>
      <c r="E636" s="10">
        <f t="shared" si="28"/>
        <v>2043</v>
      </c>
      <c r="F636" s="25" t="str">
        <f t="shared" si="26"/>
        <v>MWTCH</v>
      </c>
      <c r="I636" s="29">
        <f>IFERROR(ROUNDDOWN(VLOOKUP(F636,INDATA_FILL_DEMAND!$E$4:$F$251,2,FALSE)*IF(E636&lt;2043,1+$N$8,1+$O$8),4),"")</f>
        <v>0.44979999999999998</v>
      </c>
    </row>
    <row r="637" spans="4:9" x14ac:dyDescent="0.3">
      <c r="D637" s="26" t="str">
        <f t="shared" si="27"/>
        <v>Demand</v>
      </c>
      <c r="E637" s="10">
        <f t="shared" si="28"/>
        <v>2043</v>
      </c>
      <c r="F637" s="25" t="str">
        <f t="shared" si="26"/>
        <v>MKCUL</v>
      </c>
      <c r="I637" s="29">
        <f>IFERROR(ROUNDDOWN(VLOOKUP(F637,INDATA_FILL_DEMAND!$E$4:$F$251,2,FALSE)*IF(E637&lt;2043,1+$N$8,1+$O$8),4),"")</f>
        <v>0.27729999999999999</v>
      </c>
    </row>
    <row r="638" spans="4:9" x14ac:dyDescent="0.3">
      <c r="D638" s="26" t="str">
        <f t="shared" si="27"/>
        <v>Demand</v>
      </c>
      <c r="E638" s="10">
        <f t="shared" si="28"/>
        <v>2043</v>
      </c>
      <c r="F638" s="25" t="str">
        <f t="shared" ref="F638:F701" si="29">F390</f>
        <v>MKEDU</v>
      </c>
      <c r="I638" s="29">
        <f>IFERROR(ROUNDDOWN(VLOOKUP(F638,INDATA_FILL_DEMAND!$E$4:$F$251,2,FALSE)*IF(E638&lt;2043,1+$N$8,1+$O$8),4),"")</f>
        <v>0.66569999999999996</v>
      </c>
    </row>
    <row r="639" spans="4:9" x14ac:dyDescent="0.3">
      <c r="D639" s="26" t="str">
        <f t="shared" si="27"/>
        <v>*</v>
      </c>
      <c r="E639" s="10">
        <f t="shared" si="28"/>
        <v>2043</v>
      </c>
      <c r="F639" s="25" t="str">
        <f t="shared" si="29"/>
        <v>MKHOU</v>
      </c>
      <c r="I639" s="29">
        <f>IFERROR(ROUNDDOWN(VLOOKUP(F639,INDATA_FILL_DEMAND!$E$4:$F$251,2,FALSE)*IF(E639&lt;2043,1+$N$8,1+$O$8),4),"")</f>
        <v>0</v>
      </c>
    </row>
    <row r="640" spans="4:9" x14ac:dyDescent="0.3">
      <c r="D640" s="26" t="str">
        <f t="shared" si="27"/>
        <v>Demand</v>
      </c>
      <c r="E640" s="10">
        <f t="shared" si="28"/>
        <v>2043</v>
      </c>
      <c r="F640" s="25" t="str">
        <f t="shared" si="29"/>
        <v>MKOFL</v>
      </c>
      <c r="I640" s="29">
        <f>IFERROR(ROUNDDOWN(VLOOKUP(F640,INDATA_FILL_DEMAND!$E$4:$F$251,2,FALSE)*IF(E640&lt;2043,1+$N$8,1+$O$8),4),"")</f>
        <v>7.0900000000000005E-2</v>
      </c>
    </row>
    <row r="641" spans="4:9" x14ac:dyDescent="0.3">
      <c r="D641" s="26" t="str">
        <f t="shared" si="27"/>
        <v>Demand</v>
      </c>
      <c r="E641" s="10">
        <f t="shared" si="28"/>
        <v>2043</v>
      </c>
      <c r="F641" s="25" t="str">
        <f t="shared" si="29"/>
        <v>MKOFS</v>
      </c>
      <c r="I641" s="29">
        <f>IFERROR(ROUNDDOWN(VLOOKUP(F641,INDATA_FILL_DEMAND!$E$4:$F$251,2,FALSE)*IF(E641&lt;2043,1+$N$8,1+$O$8),4),"")</f>
        <v>0.42249999999999999</v>
      </c>
    </row>
    <row r="642" spans="4:9" x14ac:dyDescent="0.3">
      <c r="D642" s="26" t="str">
        <f t="shared" si="27"/>
        <v>Demand</v>
      </c>
      <c r="E642" s="10">
        <f t="shared" si="28"/>
        <v>2043</v>
      </c>
      <c r="F642" s="25" t="str">
        <f t="shared" si="29"/>
        <v>MKOTH</v>
      </c>
      <c r="I642" s="29">
        <f>IFERROR(ROUNDDOWN(VLOOKUP(F642,INDATA_FILL_DEMAND!$E$4:$F$251,2,FALSE)*IF(E642&lt;2043,1+$N$8,1+$O$8),4),"")</f>
        <v>8.7499999999999994E-2</v>
      </c>
    </row>
    <row r="643" spans="4:9" x14ac:dyDescent="0.3">
      <c r="D643" s="26" t="str">
        <f t="shared" si="27"/>
        <v>Demand</v>
      </c>
      <c r="E643" s="10">
        <f t="shared" si="28"/>
        <v>2043</v>
      </c>
      <c r="F643" s="25" t="str">
        <f t="shared" si="29"/>
        <v>MKSPO</v>
      </c>
      <c r="I643" s="29">
        <f>IFERROR(ROUNDDOWN(VLOOKUP(F643,INDATA_FILL_DEMAND!$E$4:$F$251,2,FALSE)*IF(E643&lt;2043,1+$N$8,1+$O$8),4),"")</f>
        <v>0.18770000000000001</v>
      </c>
    </row>
    <row r="644" spans="4:9" x14ac:dyDescent="0.3">
      <c r="D644" s="26" t="str">
        <f t="shared" si="27"/>
        <v>Demand</v>
      </c>
      <c r="E644" s="10">
        <f t="shared" si="28"/>
        <v>2043</v>
      </c>
      <c r="F644" s="25" t="str">
        <f t="shared" si="29"/>
        <v>MKTCH</v>
      </c>
      <c r="I644" s="29">
        <f>IFERROR(ROUNDDOWN(VLOOKUP(F644,INDATA_FILL_DEMAND!$E$4:$F$251,2,FALSE)*IF(E644&lt;2043,1+$N$8,1+$O$8),4),"")</f>
        <v>5.33E-2</v>
      </c>
    </row>
    <row r="645" spans="4:9" x14ac:dyDescent="0.3">
      <c r="D645" s="26" t="str">
        <f t="shared" si="27"/>
        <v>Demand</v>
      </c>
      <c r="E645" s="10">
        <f t="shared" si="28"/>
        <v>2043</v>
      </c>
      <c r="F645" s="25" t="str">
        <f t="shared" si="29"/>
        <v>MLCUL</v>
      </c>
      <c r="I645" s="29">
        <f>IFERROR(ROUNDDOWN(VLOOKUP(F645,INDATA_FILL_DEMAND!$E$4:$F$251,2,FALSE)*IF(E645&lt;2043,1+$N$8,1+$O$8),4),"")</f>
        <v>0.36699999999999999</v>
      </c>
    </row>
    <row r="646" spans="4:9" x14ac:dyDescent="0.3">
      <c r="D646" s="26" t="str">
        <f t="shared" si="27"/>
        <v>Demand</v>
      </c>
      <c r="E646" s="10">
        <f t="shared" si="28"/>
        <v>2043</v>
      </c>
      <c r="F646" s="25" t="str">
        <f t="shared" si="29"/>
        <v>MLEDU</v>
      </c>
      <c r="I646" s="29">
        <f>IFERROR(ROUNDDOWN(VLOOKUP(F646,INDATA_FILL_DEMAND!$E$4:$F$251,2,FALSE)*IF(E646&lt;2043,1+$N$8,1+$O$8),4),"")</f>
        <v>0.88109999999999999</v>
      </c>
    </row>
    <row r="647" spans="4:9" x14ac:dyDescent="0.3">
      <c r="D647" s="26" t="str">
        <f t="shared" si="27"/>
        <v>*</v>
      </c>
      <c r="E647" s="10">
        <f t="shared" si="28"/>
        <v>2043</v>
      </c>
      <c r="F647" s="25" t="str">
        <f t="shared" si="29"/>
        <v>MLHOU</v>
      </c>
      <c r="I647" s="29">
        <f>IFERROR(ROUNDDOWN(VLOOKUP(F647,INDATA_FILL_DEMAND!$E$4:$F$251,2,FALSE)*IF(E647&lt;2043,1+$N$8,1+$O$8),4),"")</f>
        <v>0</v>
      </c>
    </row>
    <row r="648" spans="4:9" x14ac:dyDescent="0.3">
      <c r="D648" s="26" t="str">
        <f t="shared" si="27"/>
        <v>Demand</v>
      </c>
      <c r="E648" s="10">
        <f t="shared" si="28"/>
        <v>2043</v>
      </c>
      <c r="F648" s="25" t="str">
        <f t="shared" si="29"/>
        <v>MLOFL</v>
      </c>
      <c r="I648" s="29">
        <f>IFERROR(ROUNDDOWN(VLOOKUP(F648,INDATA_FILL_DEMAND!$E$4:$F$251,2,FALSE)*IF(E648&lt;2043,1+$N$8,1+$O$8),4),"")</f>
        <v>9.3899999999999997E-2</v>
      </c>
    </row>
    <row r="649" spans="4:9" x14ac:dyDescent="0.3">
      <c r="D649" s="26" t="str">
        <f t="shared" si="27"/>
        <v>Demand</v>
      </c>
      <c r="E649" s="10">
        <f t="shared" si="28"/>
        <v>2043</v>
      </c>
      <c r="F649" s="25" t="str">
        <f t="shared" si="29"/>
        <v>MLOFS</v>
      </c>
      <c r="I649" s="29">
        <f>IFERROR(ROUNDDOWN(VLOOKUP(F649,INDATA_FILL_DEMAND!$E$4:$F$251,2,FALSE)*IF(E649&lt;2043,1+$N$8,1+$O$8),4),"")</f>
        <v>0.55920000000000003</v>
      </c>
    </row>
    <row r="650" spans="4:9" x14ac:dyDescent="0.3">
      <c r="D650" s="26" t="str">
        <f t="shared" si="27"/>
        <v>Demand</v>
      </c>
      <c r="E650" s="10">
        <f t="shared" si="28"/>
        <v>2043</v>
      </c>
      <c r="F650" s="25" t="str">
        <f t="shared" si="29"/>
        <v>MLOTH</v>
      </c>
      <c r="I650" s="29">
        <f>IFERROR(ROUNDDOWN(VLOOKUP(F650,INDATA_FILL_DEMAND!$E$4:$F$251,2,FALSE)*IF(E650&lt;2043,1+$N$8,1+$O$8),4),"")</f>
        <v>0.1158</v>
      </c>
    </row>
    <row r="651" spans="4:9" x14ac:dyDescent="0.3">
      <c r="D651" s="26" t="str">
        <f t="shared" si="27"/>
        <v>Demand</v>
      </c>
      <c r="E651" s="10">
        <f t="shared" si="28"/>
        <v>2043</v>
      </c>
      <c r="F651" s="25" t="str">
        <f t="shared" si="29"/>
        <v>MLSPO</v>
      </c>
      <c r="I651" s="29">
        <f>IFERROR(ROUNDDOWN(VLOOKUP(F651,INDATA_FILL_DEMAND!$E$4:$F$251,2,FALSE)*IF(E651&lt;2043,1+$N$8,1+$O$8),4),"")</f>
        <v>0.24840000000000001</v>
      </c>
    </row>
    <row r="652" spans="4:9" x14ac:dyDescent="0.3">
      <c r="D652" s="26" t="str">
        <f t="shared" si="27"/>
        <v>Demand</v>
      </c>
      <c r="E652" s="10">
        <f t="shared" si="28"/>
        <v>2043</v>
      </c>
      <c r="F652" s="25" t="str">
        <f t="shared" si="29"/>
        <v>MLTCH</v>
      </c>
      <c r="I652" s="29">
        <f>IFERROR(ROUNDDOWN(VLOOKUP(F652,INDATA_FILL_DEMAND!$E$4:$F$251,2,FALSE)*IF(E652&lt;2043,1+$N$8,1+$O$8),4),"")</f>
        <v>7.0499999999999993E-2</v>
      </c>
    </row>
    <row r="653" spans="4:9" x14ac:dyDescent="0.3">
      <c r="D653" s="26" t="str">
        <f t="shared" si="27"/>
        <v>Demand</v>
      </c>
      <c r="E653" s="10">
        <f t="shared" si="28"/>
        <v>2043</v>
      </c>
      <c r="F653" s="25" t="str">
        <f t="shared" si="29"/>
        <v>MOCUL</v>
      </c>
      <c r="I653" s="29">
        <f>IFERROR(ROUNDDOWN(VLOOKUP(F653,INDATA_FILL_DEMAND!$E$4:$F$251,2,FALSE)*IF(E653&lt;2043,1+$N$8,1+$O$8),4),"")</f>
        <v>1.7391000000000001</v>
      </c>
    </row>
    <row r="654" spans="4:9" x14ac:dyDescent="0.3">
      <c r="D654" s="26" t="str">
        <f t="shared" ref="D654:D717" si="30">IF(AND(ISNUMBER(I654),I654&gt;0),"Demand","*")</f>
        <v>Demand</v>
      </c>
      <c r="E654" s="10">
        <f t="shared" si="28"/>
        <v>2043</v>
      </c>
      <c r="F654" s="25" t="str">
        <f t="shared" si="29"/>
        <v>MOEDU</v>
      </c>
      <c r="I654" s="29">
        <f>IFERROR(ROUNDDOWN(VLOOKUP(F654,INDATA_FILL_DEMAND!$E$4:$F$251,2,FALSE)*IF(E654&lt;2043,1+$N$8,1+$O$8),4),"")</f>
        <v>4.1753999999999998</v>
      </c>
    </row>
    <row r="655" spans="4:9" x14ac:dyDescent="0.3">
      <c r="D655" s="26" t="str">
        <f t="shared" si="30"/>
        <v>*</v>
      </c>
      <c r="E655" s="10">
        <f t="shared" si="28"/>
        <v>2043</v>
      </c>
      <c r="F655" s="25" t="str">
        <f t="shared" si="29"/>
        <v>MOHOU</v>
      </c>
      <c r="I655" s="29">
        <f>IFERROR(ROUNDDOWN(VLOOKUP(F655,INDATA_FILL_DEMAND!$E$4:$F$251,2,FALSE)*IF(E655&lt;2043,1+$N$8,1+$O$8),4),"")</f>
        <v>0</v>
      </c>
    </row>
    <row r="656" spans="4:9" x14ac:dyDescent="0.3">
      <c r="D656" s="26" t="str">
        <f t="shared" si="30"/>
        <v>Demand</v>
      </c>
      <c r="E656" s="10">
        <f t="shared" si="28"/>
        <v>2043</v>
      </c>
      <c r="F656" s="25" t="str">
        <f t="shared" si="29"/>
        <v>MOOFL</v>
      </c>
      <c r="I656" s="29">
        <f>IFERROR(ROUNDDOWN(VLOOKUP(F656,INDATA_FILL_DEMAND!$E$4:$F$251,2,FALSE)*IF(E656&lt;2043,1+$N$8,1+$O$8),4),"")</f>
        <v>0.4451</v>
      </c>
    </row>
    <row r="657" spans="4:9" x14ac:dyDescent="0.3">
      <c r="D657" s="26" t="str">
        <f t="shared" si="30"/>
        <v>Demand</v>
      </c>
      <c r="E657" s="10">
        <f t="shared" si="28"/>
        <v>2043</v>
      </c>
      <c r="F657" s="25" t="str">
        <f t="shared" si="29"/>
        <v>MOOFS</v>
      </c>
      <c r="I657" s="29">
        <f>IFERROR(ROUNDDOWN(VLOOKUP(F657,INDATA_FILL_DEMAND!$E$4:$F$251,2,FALSE)*IF(E657&lt;2043,1+$N$8,1+$O$8),4),"")</f>
        <v>2.6501999999999999</v>
      </c>
    </row>
    <row r="658" spans="4:9" x14ac:dyDescent="0.3">
      <c r="D658" s="26" t="str">
        <f t="shared" si="30"/>
        <v>Demand</v>
      </c>
      <c r="E658" s="10">
        <f t="shared" si="28"/>
        <v>2043</v>
      </c>
      <c r="F658" s="25" t="str">
        <f t="shared" si="29"/>
        <v>MOOTH</v>
      </c>
      <c r="I658" s="29">
        <f>IFERROR(ROUNDDOWN(VLOOKUP(F658,INDATA_FILL_DEMAND!$E$4:$F$251,2,FALSE)*IF(E658&lt;2043,1+$N$8,1+$O$8),4),"")</f>
        <v>0.54890000000000005</v>
      </c>
    </row>
    <row r="659" spans="4:9" x14ac:dyDescent="0.3">
      <c r="D659" s="26" t="str">
        <f t="shared" si="30"/>
        <v>Demand</v>
      </c>
      <c r="E659" s="10">
        <f t="shared" si="28"/>
        <v>2043</v>
      </c>
      <c r="F659" s="25" t="str">
        <f t="shared" si="29"/>
        <v>MOSPO</v>
      </c>
      <c r="I659" s="29">
        <f>IFERROR(ROUNDDOWN(VLOOKUP(F659,INDATA_FILL_DEMAND!$E$4:$F$251,2,FALSE)*IF(E659&lt;2043,1+$N$8,1+$O$8),4),"")</f>
        <v>1.1774</v>
      </c>
    </row>
    <row r="660" spans="4:9" x14ac:dyDescent="0.3">
      <c r="D660" s="26" t="str">
        <f t="shared" si="30"/>
        <v>Demand</v>
      </c>
      <c r="E660" s="10">
        <f t="shared" si="28"/>
        <v>2043</v>
      </c>
      <c r="F660" s="25" t="str">
        <f t="shared" si="29"/>
        <v>MOTCH</v>
      </c>
      <c r="I660" s="29">
        <f>IFERROR(ROUNDDOWN(VLOOKUP(F660,INDATA_FILL_DEMAND!$E$4:$F$251,2,FALSE)*IF(E660&lt;2043,1+$N$8,1+$O$8),4),"")</f>
        <v>0.33439999999999998</v>
      </c>
    </row>
    <row r="661" spans="4:9" x14ac:dyDescent="0.3">
      <c r="D661" s="26" t="str">
        <f t="shared" si="30"/>
        <v>*</v>
      </c>
      <c r="E661" s="10">
        <f t="shared" si="28"/>
        <v>2043</v>
      </c>
      <c r="F661" s="25" t="str">
        <f t="shared" si="29"/>
        <v>MECUL</v>
      </c>
      <c r="I661" s="29">
        <f>IFERROR(ROUNDDOWN(VLOOKUP(F661,INDATA_FILL_DEMAND!$E$4:$F$251,2,FALSE)*IF(E661&lt;2043,1+$N$8,1+$O$8),4),"")</f>
        <v>0</v>
      </c>
    </row>
    <row r="662" spans="4:9" x14ac:dyDescent="0.3">
      <c r="D662" s="26" t="str">
        <f t="shared" si="30"/>
        <v>*</v>
      </c>
      <c r="E662" s="10">
        <f t="shared" si="28"/>
        <v>2043</v>
      </c>
      <c r="F662" s="25" t="str">
        <f t="shared" si="29"/>
        <v>MEEDU</v>
      </c>
      <c r="I662" s="29">
        <f>IFERROR(ROUNDDOWN(VLOOKUP(F662,INDATA_FILL_DEMAND!$E$4:$F$251,2,FALSE)*IF(E662&lt;2043,1+$N$8,1+$O$8),4),"")</f>
        <v>0</v>
      </c>
    </row>
    <row r="663" spans="4:9" x14ac:dyDescent="0.3">
      <c r="D663" s="26" t="str">
        <f t="shared" si="30"/>
        <v>*</v>
      </c>
      <c r="E663" s="10">
        <f t="shared" si="28"/>
        <v>2043</v>
      </c>
      <c r="F663" s="25" t="str">
        <f t="shared" si="29"/>
        <v>MEHOU</v>
      </c>
      <c r="I663" s="29">
        <f>IFERROR(ROUNDDOWN(VLOOKUP(F663,INDATA_FILL_DEMAND!$E$4:$F$251,2,FALSE)*IF(E663&lt;2043,1+$N$8,1+$O$8),4),"")</f>
        <v>0</v>
      </c>
    </row>
    <row r="664" spans="4:9" x14ac:dyDescent="0.3">
      <c r="D664" s="26" t="str">
        <f t="shared" si="30"/>
        <v>*</v>
      </c>
      <c r="E664" s="10">
        <f t="shared" si="28"/>
        <v>2043</v>
      </c>
      <c r="F664" s="25" t="str">
        <f t="shared" si="29"/>
        <v>MEOFL</v>
      </c>
      <c r="I664" s="29">
        <f>IFERROR(ROUNDDOWN(VLOOKUP(F664,INDATA_FILL_DEMAND!$E$4:$F$251,2,FALSE)*IF(E664&lt;2043,1+$N$8,1+$O$8),4),"")</f>
        <v>0</v>
      </c>
    </row>
    <row r="665" spans="4:9" x14ac:dyDescent="0.3">
      <c r="D665" s="26" t="str">
        <f t="shared" si="30"/>
        <v>*</v>
      </c>
      <c r="E665" s="10">
        <f t="shared" si="28"/>
        <v>2043</v>
      </c>
      <c r="F665" s="25" t="str">
        <f t="shared" si="29"/>
        <v>MEOFS</v>
      </c>
      <c r="I665" s="29">
        <f>IFERROR(ROUNDDOWN(VLOOKUP(F665,INDATA_FILL_DEMAND!$E$4:$F$251,2,FALSE)*IF(E665&lt;2043,1+$N$8,1+$O$8),4),"")</f>
        <v>0</v>
      </c>
    </row>
    <row r="666" spans="4:9" x14ac:dyDescent="0.3">
      <c r="D666" s="26" t="str">
        <f t="shared" si="30"/>
        <v>*</v>
      </c>
      <c r="E666" s="10">
        <f t="shared" si="28"/>
        <v>2043</v>
      </c>
      <c r="F666" s="25" t="str">
        <f t="shared" si="29"/>
        <v>MEOTH</v>
      </c>
      <c r="I666" s="29">
        <f>IFERROR(ROUNDDOWN(VLOOKUP(F666,INDATA_FILL_DEMAND!$E$4:$F$251,2,FALSE)*IF(E666&lt;2043,1+$N$8,1+$O$8),4),"")</f>
        <v>0</v>
      </c>
    </row>
    <row r="667" spans="4:9" x14ac:dyDescent="0.3">
      <c r="D667" s="26" t="str">
        <f t="shared" si="30"/>
        <v>*</v>
      </c>
      <c r="E667" s="10">
        <f t="shared" si="28"/>
        <v>2043</v>
      </c>
      <c r="F667" s="25" t="str">
        <f t="shared" si="29"/>
        <v>MESPO</v>
      </c>
      <c r="I667" s="29">
        <f>IFERROR(ROUNDDOWN(VLOOKUP(F667,INDATA_FILL_DEMAND!$E$4:$F$251,2,FALSE)*IF(E667&lt;2043,1+$N$8,1+$O$8),4),"")</f>
        <v>0</v>
      </c>
    </row>
    <row r="668" spans="4:9" x14ac:dyDescent="0.3">
      <c r="D668" s="26" t="str">
        <f t="shared" si="30"/>
        <v>*</v>
      </c>
      <c r="E668" s="10">
        <f t="shared" si="28"/>
        <v>2043</v>
      </c>
      <c r="F668" s="25" t="str">
        <f t="shared" si="29"/>
        <v>METCH</v>
      </c>
      <c r="I668" s="29">
        <f>IFERROR(ROUNDDOWN(VLOOKUP(F668,INDATA_FILL_DEMAND!$E$4:$F$251,2,FALSE)*IF(E668&lt;2043,1+$N$8,1+$O$8),4),"")</f>
        <v>0</v>
      </c>
    </row>
    <row r="669" spans="4:9" x14ac:dyDescent="0.3">
      <c r="D669" s="26" t="str">
        <f t="shared" si="30"/>
        <v>*</v>
      </c>
      <c r="E669" s="10">
        <f t="shared" si="28"/>
        <v>2043</v>
      </c>
      <c r="F669" s="25" t="str">
        <f t="shared" si="29"/>
        <v>TAI</v>
      </c>
      <c r="I669" s="29">
        <f>IFERROR(ROUNDDOWN(VLOOKUP(F669,INDATA_FILL_DEMAND!$E$4:$F$251,2,FALSE)*IF(E669&lt;2043,1+$N$8,1+$O$8),4),"")</f>
        <v>0</v>
      </c>
    </row>
    <row r="670" spans="4:9" x14ac:dyDescent="0.3">
      <c r="D670" s="26" t="str">
        <f t="shared" si="30"/>
        <v>*</v>
      </c>
      <c r="E670" s="10">
        <f t="shared" si="28"/>
        <v>2043</v>
      </c>
      <c r="F670" s="25" t="str">
        <f t="shared" si="29"/>
        <v>TAI-C</v>
      </c>
      <c r="I670" s="29">
        <f>IFERROR(ROUNDDOWN(VLOOKUP(F670,INDATA_FILL_DEMAND!$E$4:$F$251,2,FALSE)*IF(E670&lt;2043,1+$N$8,1+$O$8),4),"")</f>
        <v>0</v>
      </c>
    </row>
    <row r="671" spans="4:9" x14ac:dyDescent="0.3">
      <c r="D671" s="26" t="str">
        <f t="shared" si="30"/>
        <v>*</v>
      </c>
      <c r="E671" s="10">
        <f t="shared" si="28"/>
        <v>2043</v>
      </c>
      <c r="F671" s="25" t="str">
        <f t="shared" si="29"/>
        <v>TAV</v>
      </c>
      <c r="I671" s="29">
        <f>IFERROR(ROUNDDOWN(VLOOKUP(F671,INDATA_FILL_DEMAND!$E$4:$F$251,2,FALSE)*IF(E671&lt;2043,1+$N$8,1+$O$8),4),"")</f>
        <v>0</v>
      </c>
    </row>
    <row r="672" spans="4:9" x14ac:dyDescent="0.3">
      <c r="D672" s="26" t="str">
        <f t="shared" si="30"/>
        <v>*</v>
      </c>
      <c r="E672" s="10">
        <f t="shared" si="28"/>
        <v>2043</v>
      </c>
      <c r="F672" s="25" t="str">
        <f t="shared" si="29"/>
        <v>TAV-C</v>
      </c>
      <c r="I672" s="29">
        <f>IFERROR(ROUNDDOWN(VLOOKUP(F672,INDATA_FILL_DEMAND!$E$4:$F$251,2,FALSE)*IF(E672&lt;2043,1+$N$8,1+$O$8),4),"")</f>
        <v>0</v>
      </c>
    </row>
    <row r="673" spans="4:9" x14ac:dyDescent="0.3">
      <c r="D673" s="26" t="str">
        <f t="shared" si="30"/>
        <v>*</v>
      </c>
      <c r="E673" s="10">
        <f t="shared" si="28"/>
        <v>2043</v>
      </c>
      <c r="F673" s="25" t="str">
        <f t="shared" si="29"/>
        <v>TBI</v>
      </c>
      <c r="I673" s="29">
        <f>IFERROR(ROUNDDOWN(VLOOKUP(F673,INDATA_FILL_DEMAND!$E$4:$F$251,2,FALSE)*IF(E673&lt;2043,1+$N$8,1+$O$8),4),"")</f>
        <v>0</v>
      </c>
    </row>
    <row r="674" spans="4:9" x14ac:dyDescent="0.3">
      <c r="D674" s="26" t="str">
        <f t="shared" si="30"/>
        <v>*</v>
      </c>
      <c r="E674" s="10">
        <f t="shared" si="28"/>
        <v>2043</v>
      </c>
      <c r="F674" s="25" t="str">
        <f t="shared" si="29"/>
        <v>TBI-C</v>
      </c>
      <c r="I674" s="29">
        <f>IFERROR(ROUNDDOWN(VLOOKUP(F674,INDATA_FILL_DEMAND!$E$4:$F$251,2,FALSE)*IF(E674&lt;2043,1+$N$8,1+$O$8),4),"")</f>
        <v>0</v>
      </c>
    </row>
    <row r="675" spans="4:9" x14ac:dyDescent="0.3">
      <c r="D675" s="26" t="str">
        <f t="shared" si="30"/>
        <v>*</v>
      </c>
      <c r="E675" s="10">
        <f t="shared" si="28"/>
        <v>2043</v>
      </c>
      <c r="F675" s="25" t="str">
        <f t="shared" si="29"/>
        <v>TBU</v>
      </c>
      <c r="I675" s="29">
        <f>IFERROR(ROUNDDOWN(VLOOKUP(F675,INDATA_FILL_DEMAND!$E$4:$F$251,2,FALSE)*IF(E675&lt;2043,1+$N$8,1+$O$8),4),"")</f>
        <v>0</v>
      </c>
    </row>
    <row r="676" spans="4:9" x14ac:dyDescent="0.3">
      <c r="D676" s="26" t="str">
        <f t="shared" si="30"/>
        <v>*</v>
      </c>
      <c r="E676" s="10">
        <f t="shared" si="28"/>
        <v>2043</v>
      </c>
      <c r="F676" s="25" t="str">
        <f t="shared" si="29"/>
        <v>TBU-C</v>
      </c>
      <c r="I676" s="29">
        <f>IFERROR(ROUNDDOWN(VLOOKUP(F676,INDATA_FILL_DEMAND!$E$4:$F$251,2,FALSE)*IF(E676&lt;2043,1+$N$8,1+$O$8),4),"")</f>
        <v>0</v>
      </c>
    </row>
    <row r="677" spans="4:9" x14ac:dyDescent="0.3">
      <c r="D677" s="26" t="str">
        <f t="shared" si="30"/>
        <v>*</v>
      </c>
      <c r="E677" s="10">
        <f t="shared" si="28"/>
        <v>2043</v>
      </c>
      <c r="F677" s="25" t="str">
        <f t="shared" si="29"/>
        <v>TCL</v>
      </c>
      <c r="I677" s="29">
        <f>IFERROR(ROUNDDOWN(VLOOKUP(F677,INDATA_FILL_DEMAND!$E$4:$F$251,2,FALSE)*IF(E677&lt;2043,1+$N$8,1+$O$8),4),"")</f>
        <v>0</v>
      </c>
    </row>
    <row r="678" spans="4:9" x14ac:dyDescent="0.3">
      <c r="D678" s="26" t="str">
        <f t="shared" si="30"/>
        <v>*</v>
      </c>
      <c r="E678" s="10">
        <f t="shared" si="28"/>
        <v>2043</v>
      </c>
      <c r="F678" s="25" t="str">
        <f t="shared" si="29"/>
        <v>TCL-C</v>
      </c>
      <c r="I678" s="29">
        <f>IFERROR(ROUNDDOWN(VLOOKUP(F678,INDATA_FILL_DEMAND!$E$4:$F$251,2,FALSE)*IF(E678&lt;2043,1+$N$8,1+$O$8),4),"")</f>
        <v>0</v>
      </c>
    </row>
    <row r="679" spans="4:9" x14ac:dyDescent="0.3">
      <c r="D679" s="26" t="str">
        <f t="shared" si="30"/>
        <v>*</v>
      </c>
      <c r="E679" s="10">
        <f t="shared" si="28"/>
        <v>2043</v>
      </c>
      <c r="F679" s="25" t="str">
        <f t="shared" si="29"/>
        <v>TCL-P</v>
      </c>
      <c r="I679" s="29">
        <f>IFERROR(ROUNDDOWN(VLOOKUP(F679,INDATA_FILL_DEMAND!$E$4:$F$251,2,FALSE)*IF(E679&lt;2043,1+$N$8,1+$O$8),4),"")</f>
        <v>0</v>
      </c>
    </row>
    <row r="680" spans="4:9" x14ac:dyDescent="0.3">
      <c r="D680" s="26" t="str">
        <f t="shared" si="30"/>
        <v>*</v>
      </c>
      <c r="E680" s="10">
        <f t="shared" si="28"/>
        <v>2043</v>
      </c>
      <c r="F680" s="25" t="str">
        <f t="shared" si="29"/>
        <v>TCS</v>
      </c>
      <c r="I680" s="29">
        <f>IFERROR(ROUNDDOWN(VLOOKUP(F680,INDATA_FILL_DEMAND!$E$4:$F$251,2,FALSE)*IF(E680&lt;2043,1+$N$8,1+$O$8),4),"")</f>
        <v>0</v>
      </c>
    </row>
    <row r="681" spans="4:9" x14ac:dyDescent="0.3">
      <c r="D681" s="26" t="str">
        <f t="shared" si="30"/>
        <v>*</v>
      </c>
      <c r="E681" s="10">
        <f t="shared" si="28"/>
        <v>2043</v>
      </c>
      <c r="F681" s="25" t="str">
        <f t="shared" si="29"/>
        <v>TCS-C</v>
      </c>
      <c r="I681" s="29">
        <f>IFERROR(ROUNDDOWN(VLOOKUP(F681,INDATA_FILL_DEMAND!$E$4:$F$251,2,FALSE)*IF(E681&lt;2043,1+$N$8,1+$O$8),4),"")</f>
        <v>0</v>
      </c>
    </row>
    <row r="682" spans="4:9" x14ac:dyDescent="0.3">
      <c r="D682" s="26" t="str">
        <f t="shared" si="30"/>
        <v>*</v>
      </c>
      <c r="E682" s="10">
        <f t="shared" si="28"/>
        <v>2043</v>
      </c>
      <c r="F682" s="25" t="str">
        <f t="shared" si="29"/>
        <v>TCS-P</v>
      </c>
      <c r="I682" s="29">
        <f>IFERROR(ROUNDDOWN(VLOOKUP(F682,INDATA_FILL_DEMAND!$E$4:$F$251,2,FALSE)*IF(E682&lt;2043,1+$N$8,1+$O$8),4),"")</f>
        <v>0</v>
      </c>
    </row>
    <row r="683" spans="4:9" x14ac:dyDescent="0.3">
      <c r="D683" s="26" t="str">
        <f t="shared" si="30"/>
        <v>*</v>
      </c>
      <c r="E683" s="10">
        <f t="shared" si="28"/>
        <v>2043</v>
      </c>
      <c r="F683" s="25" t="str">
        <f t="shared" si="29"/>
        <v>TLEP</v>
      </c>
      <c r="I683" s="29">
        <f>IFERROR(ROUNDDOWN(VLOOKUP(F683,INDATA_FILL_DEMAND!$E$4:$F$251,2,FALSE)*IF(E683&lt;2043,1+$N$8,1+$O$8),4),"")</f>
        <v>0</v>
      </c>
    </row>
    <row r="684" spans="4:9" x14ac:dyDescent="0.3">
      <c r="D684" s="26" t="str">
        <f t="shared" si="30"/>
        <v>*</v>
      </c>
      <c r="E684" s="10">
        <f t="shared" si="28"/>
        <v>2043</v>
      </c>
      <c r="F684" s="25" t="str">
        <f t="shared" si="29"/>
        <v>TLEP-C</v>
      </c>
      <c r="I684" s="29">
        <f>IFERROR(ROUNDDOWN(VLOOKUP(F684,INDATA_FILL_DEMAND!$E$4:$F$251,2,FALSE)*IF(E684&lt;2043,1+$N$8,1+$O$8),4),"")</f>
        <v>0</v>
      </c>
    </row>
    <row r="685" spans="4:9" x14ac:dyDescent="0.3">
      <c r="D685" s="26" t="str">
        <f t="shared" si="30"/>
        <v>*</v>
      </c>
      <c r="E685" s="10">
        <f t="shared" si="28"/>
        <v>2043</v>
      </c>
      <c r="F685" s="25" t="str">
        <f t="shared" si="29"/>
        <v>TMO</v>
      </c>
      <c r="I685" s="29">
        <f>IFERROR(ROUNDDOWN(VLOOKUP(F685,INDATA_FILL_DEMAND!$E$4:$F$251,2,FALSE)*IF(E685&lt;2043,1+$N$8,1+$O$8),4),"")</f>
        <v>0</v>
      </c>
    </row>
    <row r="686" spans="4:9" x14ac:dyDescent="0.3">
      <c r="D686" s="26" t="str">
        <f t="shared" si="30"/>
        <v>*</v>
      </c>
      <c r="E686" s="10">
        <f t="shared" si="28"/>
        <v>2043</v>
      </c>
      <c r="F686" s="25" t="str">
        <f t="shared" si="29"/>
        <v>TMO-C</v>
      </c>
      <c r="I686" s="29">
        <f>IFERROR(ROUNDDOWN(VLOOKUP(F686,INDATA_FILL_DEMAND!$E$4:$F$251,2,FALSE)*IF(E686&lt;2043,1+$N$8,1+$O$8),4),"")</f>
        <v>0</v>
      </c>
    </row>
    <row r="687" spans="4:9" x14ac:dyDescent="0.3">
      <c r="D687" s="26" t="str">
        <f t="shared" si="30"/>
        <v>*</v>
      </c>
      <c r="E687" s="10">
        <f t="shared" si="28"/>
        <v>2043</v>
      </c>
      <c r="F687" s="25" t="str">
        <f t="shared" si="29"/>
        <v>TNA</v>
      </c>
      <c r="I687" s="29">
        <f>IFERROR(ROUNDDOWN(VLOOKUP(F687,INDATA_FILL_DEMAND!$E$4:$F$251,2,FALSE)*IF(E687&lt;2043,1+$N$8,1+$O$8),4),"")</f>
        <v>0</v>
      </c>
    </row>
    <row r="688" spans="4:9" x14ac:dyDescent="0.3">
      <c r="D688" s="26" t="str">
        <f t="shared" si="30"/>
        <v>*</v>
      </c>
      <c r="E688" s="10">
        <f t="shared" si="28"/>
        <v>2043</v>
      </c>
      <c r="F688" s="25" t="str">
        <f t="shared" si="29"/>
        <v>TNA-C</v>
      </c>
      <c r="I688" s="29">
        <f>IFERROR(ROUNDDOWN(VLOOKUP(F688,INDATA_FILL_DEMAND!$E$4:$F$251,2,FALSE)*IF(E688&lt;2043,1+$N$8,1+$O$8),4),"")</f>
        <v>0</v>
      </c>
    </row>
    <row r="689" spans="4:9" x14ac:dyDescent="0.3">
      <c r="D689" s="26" t="str">
        <f t="shared" si="30"/>
        <v>*</v>
      </c>
      <c r="E689" s="10">
        <f t="shared" si="28"/>
        <v>2043</v>
      </c>
      <c r="F689" s="25" t="str">
        <f t="shared" si="29"/>
        <v>TNC</v>
      </c>
      <c r="I689" s="29">
        <f>IFERROR(ROUNDDOWN(VLOOKUP(F689,INDATA_FILL_DEMAND!$E$4:$F$251,2,FALSE)*IF(E689&lt;2043,1+$N$8,1+$O$8),4),"")</f>
        <v>0</v>
      </c>
    </row>
    <row r="690" spans="4:9" x14ac:dyDescent="0.3">
      <c r="D690" s="26" t="str">
        <f t="shared" si="30"/>
        <v>*</v>
      </c>
      <c r="E690" s="10">
        <f t="shared" si="28"/>
        <v>2043</v>
      </c>
      <c r="F690" s="25" t="str">
        <f t="shared" si="29"/>
        <v>TNC-C</v>
      </c>
      <c r="I690" s="29">
        <f>IFERROR(ROUNDDOWN(VLOOKUP(F690,INDATA_FILL_DEMAND!$E$4:$F$251,2,FALSE)*IF(E690&lt;2043,1+$N$8,1+$O$8),4),"")</f>
        <v>0</v>
      </c>
    </row>
    <row r="691" spans="4:9" x14ac:dyDescent="0.3">
      <c r="D691" s="26" t="str">
        <f t="shared" si="30"/>
        <v>*</v>
      </c>
      <c r="E691" s="10">
        <f t="shared" si="28"/>
        <v>2043</v>
      </c>
      <c r="F691" s="25" t="str">
        <f t="shared" si="29"/>
        <v>TNO</v>
      </c>
      <c r="I691" s="29">
        <f>IFERROR(ROUNDDOWN(VLOOKUP(F691,INDATA_FILL_DEMAND!$E$4:$F$251,2,FALSE)*IF(E691&lt;2043,1+$N$8,1+$O$8),4),"")</f>
        <v>0</v>
      </c>
    </row>
    <row r="692" spans="4:9" x14ac:dyDescent="0.3">
      <c r="D692" s="26" t="str">
        <f t="shared" si="30"/>
        <v>*</v>
      </c>
      <c r="E692" s="10">
        <f t="shared" si="28"/>
        <v>2043</v>
      </c>
      <c r="F692" s="25" t="str">
        <f t="shared" si="29"/>
        <v>TNO-C</v>
      </c>
      <c r="I692" s="29">
        <f>IFERROR(ROUNDDOWN(VLOOKUP(F692,INDATA_FILL_DEMAND!$E$4:$F$251,2,FALSE)*IF(E692&lt;2043,1+$N$8,1+$O$8),4),"")</f>
        <v>0</v>
      </c>
    </row>
    <row r="693" spans="4:9" x14ac:dyDescent="0.3">
      <c r="D693" s="26" t="str">
        <f t="shared" si="30"/>
        <v>*</v>
      </c>
      <c r="E693" s="10">
        <f t="shared" si="28"/>
        <v>2043</v>
      </c>
      <c r="F693" s="25" t="str">
        <f t="shared" si="29"/>
        <v>TTH</v>
      </c>
      <c r="I693" s="29">
        <f>IFERROR(ROUNDDOWN(VLOOKUP(F693,INDATA_FILL_DEMAND!$E$4:$F$251,2,FALSE)*IF(E693&lt;2043,1+$N$8,1+$O$8),4),"")</f>
        <v>0</v>
      </c>
    </row>
    <row r="694" spans="4:9" x14ac:dyDescent="0.3">
      <c r="D694" s="26" t="str">
        <f t="shared" si="30"/>
        <v>*</v>
      </c>
      <c r="E694" s="10">
        <f t="shared" si="28"/>
        <v>2043</v>
      </c>
      <c r="F694" s="25" t="str">
        <f t="shared" si="29"/>
        <v>TTH-C</v>
      </c>
      <c r="I694" s="29">
        <f>IFERROR(ROUNDDOWN(VLOOKUP(F694,INDATA_FILL_DEMAND!$E$4:$F$251,2,FALSE)*IF(E694&lt;2043,1+$N$8,1+$O$8),4),"")</f>
        <v>0</v>
      </c>
    </row>
    <row r="695" spans="4:9" x14ac:dyDescent="0.3">
      <c r="D695" s="26" t="str">
        <f t="shared" si="30"/>
        <v>*</v>
      </c>
      <c r="E695" s="10">
        <f t="shared" ref="E695:E748" si="31">E694</f>
        <v>2043</v>
      </c>
      <c r="F695" s="25" t="str">
        <f t="shared" si="29"/>
        <v>TTL</v>
      </c>
      <c r="I695" s="29">
        <f>IFERROR(ROUNDDOWN(VLOOKUP(F695,INDATA_FILL_DEMAND!$E$4:$F$251,2,FALSE)*IF(E695&lt;2043,1+$N$8,1+$O$8),4),"")</f>
        <v>0</v>
      </c>
    </row>
    <row r="696" spans="4:9" x14ac:dyDescent="0.3">
      <c r="D696" s="26" t="str">
        <f t="shared" si="30"/>
        <v>*</v>
      </c>
      <c r="E696" s="10">
        <f t="shared" si="31"/>
        <v>2043</v>
      </c>
      <c r="F696" s="25" t="str">
        <f t="shared" si="29"/>
        <v>TTL-C</v>
      </c>
      <c r="I696" s="29">
        <f>IFERROR(ROUNDDOWN(VLOOKUP(F696,INDATA_FILL_DEMAND!$E$4:$F$251,2,FALSE)*IF(E696&lt;2043,1+$N$8,1+$O$8),4),"")</f>
        <v>0</v>
      </c>
    </row>
    <row r="697" spans="4:9" x14ac:dyDescent="0.3">
      <c r="D697" s="26" t="str">
        <f t="shared" si="30"/>
        <v>*</v>
      </c>
      <c r="E697" s="10">
        <f t="shared" si="31"/>
        <v>2043</v>
      </c>
      <c r="F697" s="25" t="str">
        <f t="shared" si="29"/>
        <v>TTM</v>
      </c>
      <c r="I697" s="29">
        <f>IFERROR(ROUNDDOWN(VLOOKUP(F697,INDATA_FILL_DEMAND!$E$4:$F$251,2,FALSE)*IF(E697&lt;2043,1+$N$8,1+$O$8),4),"")</f>
        <v>0</v>
      </c>
    </row>
    <row r="698" spans="4:9" x14ac:dyDescent="0.3">
      <c r="D698" s="26" t="str">
        <f t="shared" si="30"/>
        <v>*</v>
      </c>
      <c r="E698" s="10">
        <f t="shared" si="31"/>
        <v>2043</v>
      </c>
      <c r="F698" s="25" t="str">
        <f t="shared" si="29"/>
        <v>TTM-C</v>
      </c>
      <c r="I698" s="29">
        <f>IFERROR(ROUNDDOWN(VLOOKUP(F698,INDATA_FILL_DEMAND!$E$4:$F$251,2,FALSE)*IF(E698&lt;2043,1+$N$8,1+$O$8),4),"")</f>
        <v>0</v>
      </c>
    </row>
    <row r="699" spans="4:9" x14ac:dyDescent="0.3">
      <c r="D699" s="26" t="str">
        <f t="shared" si="30"/>
        <v>*</v>
      </c>
      <c r="E699" s="10">
        <f t="shared" si="31"/>
        <v>2043</v>
      </c>
      <c r="F699" s="25" t="str">
        <f t="shared" si="29"/>
        <v>TTP</v>
      </c>
      <c r="I699" s="29">
        <f>IFERROR(ROUNDDOWN(VLOOKUP(F699,INDATA_FILL_DEMAND!$E$4:$F$251,2,FALSE)*IF(E699&lt;2043,1+$N$8,1+$O$8),4),"")</f>
        <v>0</v>
      </c>
    </row>
    <row r="700" spans="4:9" x14ac:dyDescent="0.3">
      <c r="D700" s="26" t="str">
        <f t="shared" si="30"/>
        <v>*</v>
      </c>
      <c r="E700" s="10">
        <f t="shared" si="31"/>
        <v>2043</v>
      </c>
      <c r="F700" s="25" t="str">
        <f t="shared" si="29"/>
        <v>TTP-C</v>
      </c>
      <c r="I700" s="29">
        <f>IFERROR(ROUNDDOWN(VLOOKUP(F700,INDATA_FILL_DEMAND!$E$4:$F$251,2,FALSE)*IF(E700&lt;2043,1+$N$8,1+$O$8),4),"")</f>
        <v>0</v>
      </c>
    </row>
    <row r="701" spans="4:9" x14ac:dyDescent="0.3">
      <c r="D701" s="26" t="str">
        <f t="shared" si="30"/>
        <v>*</v>
      </c>
      <c r="E701" s="10">
        <f t="shared" si="31"/>
        <v>2043</v>
      </c>
      <c r="F701" s="25" t="str">
        <f t="shared" si="29"/>
        <v>TWN</v>
      </c>
      <c r="I701" s="29">
        <f>IFERROR(ROUNDDOWN(VLOOKUP(F701,INDATA_FILL_DEMAND!$E$4:$F$251,2,FALSE)*IF(E701&lt;2043,1+$N$8,1+$O$8),4),"")</f>
        <v>0</v>
      </c>
    </row>
    <row r="702" spans="4:9" x14ac:dyDescent="0.3">
      <c r="D702" s="26" t="str">
        <f t="shared" si="30"/>
        <v>*</v>
      </c>
      <c r="E702" s="10">
        <f t="shared" si="31"/>
        <v>2043</v>
      </c>
      <c r="F702" s="25" t="str">
        <f t="shared" ref="F702:F765" si="32">F454</f>
        <v>TWN-C</v>
      </c>
      <c r="I702" s="29">
        <f>IFERROR(ROUNDDOWN(VLOOKUP(F702,INDATA_FILL_DEMAND!$E$4:$F$251,2,FALSE)*IF(E702&lt;2043,1+$N$8,1+$O$8),4),"")</f>
        <v>0</v>
      </c>
    </row>
    <row r="703" spans="4:9" x14ac:dyDescent="0.3">
      <c r="D703" s="26" t="str">
        <f t="shared" si="30"/>
        <v>*</v>
      </c>
      <c r="E703" s="10">
        <f t="shared" si="31"/>
        <v>2043</v>
      </c>
      <c r="F703" s="25" t="str">
        <f t="shared" si="32"/>
        <v>TYEP</v>
      </c>
      <c r="I703" s="29">
        <f>IFERROR(ROUNDDOWN(VLOOKUP(F703,INDATA_FILL_DEMAND!$E$4:$F$251,2,FALSE)*IF(E703&lt;2043,1+$N$8,1+$O$8),4),"")</f>
        <v>0</v>
      </c>
    </row>
    <row r="704" spans="4:9" x14ac:dyDescent="0.3">
      <c r="D704" s="26" t="str">
        <f t="shared" si="30"/>
        <v>*</v>
      </c>
      <c r="E704" s="10">
        <f t="shared" si="31"/>
        <v>2043</v>
      </c>
      <c r="F704" s="25" t="str">
        <f t="shared" si="32"/>
        <v>TYEP-C</v>
      </c>
      <c r="I704" s="29">
        <f>IFERROR(ROUNDDOWN(VLOOKUP(F704,INDATA_FILL_DEMAND!$E$4:$F$251,2,FALSE)*IF(E704&lt;2043,1+$N$8,1+$O$8),4),"")</f>
        <v>0</v>
      </c>
    </row>
    <row r="705" spans="4:9" x14ac:dyDescent="0.3">
      <c r="D705" s="26" t="str">
        <f t="shared" si="30"/>
        <v>*</v>
      </c>
      <c r="E705" s="10">
        <f t="shared" si="31"/>
        <v>2043</v>
      </c>
      <c r="F705" s="25" t="str">
        <f t="shared" si="32"/>
        <v>TYNP</v>
      </c>
      <c r="I705" s="29">
        <f>IFERROR(ROUNDDOWN(VLOOKUP(F705,INDATA_FILL_DEMAND!$E$4:$F$251,2,FALSE)*IF(E705&lt;2043,1+$N$8,1+$O$8),4),"")</f>
        <v>0</v>
      </c>
    </row>
    <row r="706" spans="4:9" x14ac:dyDescent="0.3">
      <c r="D706" s="26" t="str">
        <f t="shared" si="30"/>
        <v>*</v>
      </c>
      <c r="E706" s="10">
        <f t="shared" si="31"/>
        <v>2043</v>
      </c>
      <c r="F706" s="25" t="str">
        <f t="shared" si="32"/>
        <v>TYNP-C</v>
      </c>
      <c r="I706" s="29">
        <f>IFERROR(ROUNDDOWN(VLOOKUP(F706,INDATA_FILL_DEMAND!$E$4:$F$251,2,FALSE)*IF(E706&lt;2043,1+$N$8,1+$O$8),4),"")</f>
        <v>0</v>
      </c>
    </row>
    <row r="707" spans="4:9" x14ac:dyDescent="0.3">
      <c r="D707" s="26" t="str">
        <f t="shared" si="30"/>
        <v>*</v>
      </c>
      <c r="E707" s="10">
        <f t="shared" si="31"/>
        <v>2043</v>
      </c>
      <c r="F707" s="25" t="str">
        <f t="shared" si="32"/>
        <v>TLEF</v>
      </c>
      <c r="I707" s="29">
        <f>IFERROR(ROUNDDOWN(VLOOKUP(F707,INDATA_FILL_DEMAND!$E$4:$F$251,2,FALSE)*IF(E707&lt;2043,1+$N$8,1+$O$8),4),"")</f>
        <v>0</v>
      </c>
    </row>
    <row r="708" spans="4:9" x14ac:dyDescent="0.3">
      <c r="D708" s="26" t="str">
        <f t="shared" si="30"/>
        <v>*</v>
      </c>
      <c r="E708" s="10">
        <f t="shared" si="31"/>
        <v>2043</v>
      </c>
      <c r="F708" s="25" t="str">
        <f t="shared" si="32"/>
        <v>TLEF-C</v>
      </c>
      <c r="I708" s="29">
        <f>IFERROR(ROUNDDOWN(VLOOKUP(F708,INDATA_FILL_DEMAND!$E$4:$F$251,2,FALSE)*IF(E708&lt;2043,1+$N$8,1+$O$8),4),"")</f>
        <v>0</v>
      </c>
    </row>
    <row r="709" spans="4:9" x14ac:dyDescent="0.3">
      <c r="D709" s="26" t="str">
        <f t="shared" si="30"/>
        <v>*</v>
      </c>
      <c r="E709" s="10">
        <f t="shared" si="31"/>
        <v>2043</v>
      </c>
      <c r="F709" s="25" t="str">
        <f t="shared" si="32"/>
        <v>TFLL</v>
      </c>
      <c r="I709" s="29">
        <f>IFERROR(ROUNDDOWN(VLOOKUP(F709,INDATA_FILL_DEMAND!$E$4:$F$251,2,FALSE)*IF(E709&lt;2043,1+$N$8,1+$O$8),4),"")</f>
        <v>0</v>
      </c>
    </row>
    <row r="710" spans="4:9" x14ac:dyDescent="0.3">
      <c r="D710" s="26" t="str">
        <f t="shared" si="30"/>
        <v>*</v>
      </c>
      <c r="E710" s="10">
        <f t="shared" si="31"/>
        <v>2043</v>
      </c>
      <c r="F710" s="25" t="str">
        <f t="shared" si="32"/>
        <v>TFLL-C</v>
      </c>
      <c r="I710" s="29">
        <f>IFERROR(ROUNDDOWN(VLOOKUP(F710,INDATA_FILL_DEMAND!$E$4:$F$251,2,FALSE)*IF(E710&lt;2043,1+$N$8,1+$O$8),4),"")</f>
        <v>0</v>
      </c>
    </row>
    <row r="711" spans="4:9" x14ac:dyDescent="0.3">
      <c r="D711" s="26" t="str">
        <f t="shared" si="30"/>
        <v>*</v>
      </c>
      <c r="E711" s="10">
        <f t="shared" si="31"/>
        <v>2043</v>
      </c>
      <c r="F711" s="25" t="str">
        <f t="shared" si="32"/>
        <v>TFLS</v>
      </c>
      <c r="I711" s="29">
        <f>IFERROR(ROUNDDOWN(VLOOKUP(F711,INDATA_FILL_DEMAND!$E$4:$F$251,2,FALSE)*IF(E711&lt;2043,1+$N$8,1+$O$8),4),"")</f>
        <v>0</v>
      </c>
    </row>
    <row r="712" spans="4:9" x14ac:dyDescent="0.3">
      <c r="D712" s="26" t="str">
        <f t="shared" si="30"/>
        <v>*</v>
      </c>
      <c r="E712" s="10">
        <f t="shared" si="31"/>
        <v>2043</v>
      </c>
      <c r="F712" s="25" t="str">
        <f t="shared" si="32"/>
        <v>TFLS-C</v>
      </c>
      <c r="I712" s="29">
        <f>IFERROR(ROUNDDOWN(VLOOKUP(F712,INDATA_FILL_DEMAND!$E$4:$F$251,2,FALSE)*IF(E712&lt;2043,1+$N$8,1+$O$8),4),"")</f>
        <v>0</v>
      </c>
    </row>
    <row r="713" spans="4:9" x14ac:dyDescent="0.3">
      <c r="D713" s="26" t="str">
        <f t="shared" si="30"/>
        <v>*</v>
      </c>
      <c r="E713" s="10">
        <f t="shared" si="31"/>
        <v>2043</v>
      </c>
      <c r="F713" s="25" t="str">
        <f t="shared" si="32"/>
        <v>TFML</v>
      </c>
      <c r="I713" s="29">
        <f>IFERROR(ROUNDDOWN(VLOOKUP(F713,INDATA_FILL_DEMAND!$E$4:$F$251,2,FALSE)*IF(E713&lt;2043,1+$N$8,1+$O$8),4),"")</f>
        <v>0</v>
      </c>
    </row>
    <row r="714" spans="4:9" x14ac:dyDescent="0.3">
      <c r="D714" s="26" t="str">
        <f t="shared" si="30"/>
        <v>*</v>
      </c>
      <c r="E714" s="10">
        <f t="shared" si="31"/>
        <v>2043</v>
      </c>
      <c r="F714" s="25" t="str">
        <f t="shared" si="32"/>
        <v>TFML-C</v>
      </c>
      <c r="I714" s="29">
        <f>IFERROR(ROUNDDOWN(VLOOKUP(F714,INDATA_FILL_DEMAND!$E$4:$F$251,2,FALSE)*IF(E714&lt;2043,1+$N$8,1+$O$8),4),"")</f>
        <v>0</v>
      </c>
    </row>
    <row r="715" spans="4:9" x14ac:dyDescent="0.3">
      <c r="D715" s="26" t="str">
        <f t="shared" si="30"/>
        <v>*</v>
      </c>
      <c r="E715" s="10">
        <f t="shared" si="31"/>
        <v>2043</v>
      </c>
      <c r="F715" s="25" t="str">
        <f t="shared" si="32"/>
        <v>TFMS</v>
      </c>
      <c r="I715" s="29">
        <f>IFERROR(ROUNDDOWN(VLOOKUP(F715,INDATA_FILL_DEMAND!$E$4:$F$251,2,FALSE)*IF(E715&lt;2043,1+$N$8,1+$O$8),4),"")</f>
        <v>0</v>
      </c>
    </row>
    <row r="716" spans="4:9" x14ac:dyDescent="0.3">
      <c r="D716" s="26" t="str">
        <f t="shared" si="30"/>
        <v>*</v>
      </c>
      <c r="E716" s="10">
        <f t="shared" si="31"/>
        <v>2043</v>
      </c>
      <c r="F716" s="25" t="str">
        <f t="shared" si="32"/>
        <v>TFMS-C</v>
      </c>
      <c r="I716" s="29">
        <f>IFERROR(ROUNDDOWN(VLOOKUP(F716,INDATA_FILL_DEMAND!$E$4:$F$251,2,FALSE)*IF(E716&lt;2043,1+$N$8,1+$O$8),4),"")</f>
        <v>0</v>
      </c>
    </row>
    <row r="717" spans="4:9" x14ac:dyDescent="0.3">
      <c r="D717" s="26" t="str">
        <f t="shared" si="30"/>
        <v>*</v>
      </c>
      <c r="E717" s="10">
        <f t="shared" si="31"/>
        <v>2043</v>
      </c>
      <c r="F717" s="25" t="str">
        <f t="shared" si="32"/>
        <v>TFRL</v>
      </c>
      <c r="I717" s="29">
        <f>IFERROR(ROUNDDOWN(VLOOKUP(F717,INDATA_FILL_DEMAND!$E$4:$F$251,2,FALSE)*IF(E717&lt;2043,1+$N$8,1+$O$8),4),"")</f>
        <v>0</v>
      </c>
    </row>
    <row r="718" spans="4:9" x14ac:dyDescent="0.3">
      <c r="D718" s="26" t="str">
        <f t="shared" ref="D718:D781" si="33">IF(AND(ISNUMBER(I718),I718&gt;0),"Demand","*")</f>
        <v>*</v>
      </c>
      <c r="E718" s="10">
        <f t="shared" si="31"/>
        <v>2043</v>
      </c>
      <c r="F718" s="25" t="str">
        <f t="shared" si="32"/>
        <v>TFRL-C</v>
      </c>
      <c r="I718" s="29">
        <f>IFERROR(ROUNDDOWN(VLOOKUP(F718,INDATA_FILL_DEMAND!$E$4:$F$251,2,FALSE)*IF(E718&lt;2043,1+$N$8,1+$O$8),4),"")</f>
        <v>0</v>
      </c>
    </row>
    <row r="719" spans="4:9" x14ac:dyDescent="0.3">
      <c r="D719" s="26" t="str">
        <f t="shared" si="33"/>
        <v>*</v>
      </c>
      <c r="E719" s="10">
        <f t="shared" si="31"/>
        <v>2043</v>
      </c>
      <c r="F719" s="25" t="str">
        <f t="shared" si="32"/>
        <v>TFRS</v>
      </c>
      <c r="I719" s="29">
        <f>IFERROR(ROUNDDOWN(VLOOKUP(F719,INDATA_FILL_DEMAND!$E$4:$F$251,2,FALSE)*IF(E719&lt;2043,1+$N$8,1+$O$8),4),"")</f>
        <v>0</v>
      </c>
    </row>
    <row r="720" spans="4:9" x14ac:dyDescent="0.3">
      <c r="D720" s="26" t="str">
        <f t="shared" si="33"/>
        <v>*</v>
      </c>
      <c r="E720" s="10">
        <f t="shared" si="31"/>
        <v>2043</v>
      </c>
      <c r="F720" s="25" t="str">
        <f t="shared" si="32"/>
        <v>TFRS-C</v>
      </c>
      <c r="I720" s="29">
        <f>IFERROR(ROUNDDOWN(VLOOKUP(F720,INDATA_FILL_DEMAND!$E$4:$F$251,2,FALSE)*IF(E720&lt;2043,1+$N$8,1+$O$8),4),"")</f>
        <v>0</v>
      </c>
    </row>
    <row r="721" spans="4:9" x14ac:dyDescent="0.3">
      <c r="D721" s="26" t="str">
        <f t="shared" si="33"/>
        <v>*</v>
      </c>
      <c r="E721" s="10">
        <f t="shared" si="31"/>
        <v>2043</v>
      </c>
      <c r="F721" s="25" t="str">
        <f t="shared" si="32"/>
        <v>TNB</v>
      </c>
      <c r="I721" s="29">
        <f>IFERROR(ROUNDDOWN(VLOOKUP(F721,INDATA_FILL_DEMAND!$E$4:$F$251,2,FALSE)*IF(E721&lt;2043,1+$N$8,1+$O$8),4),"")</f>
        <v>0</v>
      </c>
    </row>
    <row r="722" spans="4:9" x14ac:dyDescent="0.3">
      <c r="D722" s="26" t="str">
        <f t="shared" si="33"/>
        <v>*</v>
      </c>
      <c r="E722" s="10">
        <f t="shared" si="31"/>
        <v>2043</v>
      </c>
      <c r="F722" s="25" t="str">
        <f t="shared" si="32"/>
        <v>TNB-C</v>
      </c>
      <c r="I722" s="29">
        <f>IFERROR(ROUNDDOWN(VLOOKUP(F722,INDATA_FILL_DEMAND!$E$4:$F$251,2,FALSE)*IF(E722&lt;2043,1+$N$8,1+$O$8),4),"")</f>
        <v>0</v>
      </c>
    </row>
    <row r="723" spans="4:9" x14ac:dyDescent="0.3">
      <c r="D723" s="26" t="str">
        <f t="shared" si="33"/>
        <v>*</v>
      </c>
      <c r="E723" s="10">
        <f t="shared" si="31"/>
        <v>2043</v>
      </c>
      <c r="F723" s="25" t="str">
        <f t="shared" si="32"/>
        <v>TOV</v>
      </c>
      <c r="I723" s="29">
        <f>IFERROR(ROUNDDOWN(VLOOKUP(F723,INDATA_FILL_DEMAND!$E$4:$F$251,2,FALSE)*IF(E723&lt;2043,1+$N$8,1+$O$8),4),"")</f>
        <v>0</v>
      </c>
    </row>
    <row r="724" spans="4:9" x14ac:dyDescent="0.3">
      <c r="D724" s="26" t="str">
        <f t="shared" si="33"/>
        <v>*</v>
      </c>
      <c r="E724" s="10">
        <f t="shared" si="31"/>
        <v>2043</v>
      </c>
      <c r="F724" s="25" t="str">
        <f t="shared" si="32"/>
        <v>TOV-C</v>
      </c>
      <c r="I724" s="29">
        <f>IFERROR(ROUNDDOWN(VLOOKUP(F724,INDATA_FILL_DEMAND!$E$4:$F$251,2,FALSE)*IF(E724&lt;2043,1+$N$8,1+$O$8),4),"")</f>
        <v>0</v>
      </c>
    </row>
    <row r="725" spans="4:9" x14ac:dyDescent="0.3">
      <c r="D725" s="26" t="str">
        <f t="shared" si="33"/>
        <v>*</v>
      </c>
      <c r="E725" s="10">
        <f t="shared" si="31"/>
        <v>2043</v>
      </c>
      <c r="F725" s="25" t="str">
        <f t="shared" si="32"/>
        <v>TTF</v>
      </c>
      <c r="I725" s="29">
        <f>IFERROR(ROUNDDOWN(VLOOKUP(F725,INDATA_FILL_DEMAND!$E$4:$F$251,2,FALSE)*IF(E725&lt;2043,1+$N$8,1+$O$8),4),"")</f>
        <v>0</v>
      </c>
    </row>
    <row r="726" spans="4:9" x14ac:dyDescent="0.3">
      <c r="D726" s="26" t="str">
        <f t="shared" si="33"/>
        <v>*</v>
      </c>
      <c r="E726" s="10">
        <f t="shared" si="31"/>
        <v>2043</v>
      </c>
      <c r="F726" s="25" t="str">
        <f t="shared" si="32"/>
        <v>TTF-C</v>
      </c>
      <c r="I726" s="29">
        <f>IFERROR(ROUNDDOWN(VLOOKUP(F726,INDATA_FILL_DEMAND!$E$4:$F$251,2,FALSE)*IF(E726&lt;2043,1+$N$8,1+$O$8),4),"")</f>
        <v>0</v>
      </c>
    </row>
    <row r="727" spans="4:9" x14ac:dyDescent="0.3">
      <c r="D727" s="26" t="str">
        <f t="shared" si="33"/>
        <v>*</v>
      </c>
      <c r="E727" s="10">
        <f t="shared" si="31"/>
        <v>2043</v>
      </c>
      <c r="F727" s="25" t="str">
        <f t="shared" si="32"/>
        <v>TYEF</v>
      </c>
      <c r="I727" s="29">
        <f>IFERROR(ROUNDDOWN(VLOOKUP(F727,INDATA_FILL_DEMAND!$E$4:$F$251,2,FALSE)*IF(E727&lt;2043,1+$N$8,1+$O$8),4),"")</f>
        <v>0</v>
      </c>
    </row>
    <row r="728" spans="4:9" x14ac:dyDescent="0.3">
      <c r="D728" s="26" t="str">
        <f t="shared" si="33"/>
        <v>*</v>
      </c>
      <c r="E728" s="10">
        <f t="shared" si="31"/>
        <v>2043</v>
      </c>
      <c r="F728" s="25" t="str">
        <f t="shared" si="32"/>
        <v>TYEF-C</v>
      </c>
      <c r="I728" s="29">
        <f>IFERROR(ROUNDDOWN(VLOOKUP(F728,INDATA_FILL_DEMAND!$E$4:$F$251,2,FALSE)*IF(E728&lt;2043,1+$N$8,1+$O$8),4),"")</f>
        <v>0</v>
      </c>
    </row>
    <row r="729" spans="4:9" x14ac:dyDescent="0.3">
      <c r="D729" s="26" t="str">
        <f t="shared" si="33"/>
        <v>*</v>
      </c>
      <c r="E729" s="10">
        <f t="shared" si="31"/>
        <v>2043</v>
      </c>
      <c r="F729" s="25" t="str">
        <f t="shared" si="32"/>
        <v>TYNF</v>
      </c>
      <c r="I729" s="29">
        <f>IFERROR(ROUNDDOWN(VLOOKUP(F729,INDATA_FILL_DEMAND!$E$4:$F$251,2,FALSE)*IF(E729&lt;2043,1+$N$8,1+$O$8),4),"")</f>
        <v>0</v>
      </c>
    </row>
    <row r="730" spans="4:9" x14ac:dyDescent="0.3">
      <c r="D730" s="26" t="str">
        <f t="shared" si="33"/>
        <v>*</v>
      </c>
      <c r="E730" s="10">
        <f t="shared" si="31"/>
        <v>2043</v>
      </c>
      <c r="F730" s="25" t="str">
        <f t="shared" si="32"/>
        <v>TYNF-C</v>
      </c>
      <c r="I730" s="29">
        <f>IFERROR(ROUNDDOWN(VLOOKUP(F730,INDATA_FILL_DEMAND!$E$4:$F$251,2,FALSE)*IF(E730&lt;2043,1+$N$8,1+$O$8),4),"")</f>
        <v>0</v>
      </c>
    </row>
    <row r="731" spans="4:9" x14ac:dyDescent="0.3">
      <c r="D731" s="26" t="str">
        <f t="shared" si="33"/>
        <v>Demand</v>
      </c>
      <c r="E731" s="10">
        <f t="shared" si="31"/>
        <v>2043</v>
      </c>
      <c r="F731" s="25" t="str">
        <f t="shared" si="32"/>
        <v>PLIG</v>
      </c>
      <c r="I731" s="29">
        <f>IFERROR(ROUNDDOWN(VLOOKUP(F731,INDATA_FILL_DEMAND!$E$4:$F$251,2,FALSE)*IF(E731&lt;2043,1+$N$8,1+$O$8),4),"")</f>
        <v>13.234999999999999</v>
      </c>
    </row>
    <row r="732" spans="4:9" x14ac:dyDescent="0.3">
      <c r="D732" s="26" t="str">
        <f t="shared" si="33"/>
        <v>*</v>
      </c>
      <c r="E732" s="10">
        <f t="shared" si="31"/>
        <v>2043</v>
      </c>
      <c r="F732" s="25" t="str">
        <f t="shared" si="32"/>
        <v>IDA</v>
      </c>
      <c r="I732" s="29">
        <f>IFERROR(ROUNDDOWN(VLOOKUP(F732,INDATA_FILL_DEMAND!$E$4:$F$251,2,FALSE)*IF(E732&lt;2043,1+$N$8,1+$O$8),4),"")</f>
        <v>0</v>
      </c>
    </row>
    <row r="733" spans="4:9" x14ac:dyDescent="0.3">
      <c r="D733" s="26" t="str">
        <f t="shared" si="33"/>
        <v>*</v>
      </c>
      <c r="E733" s="10">
        <f t="shared" si="31"/>
        <v>2043</v>
      </c>
      <c r="F733" s="25" t="str">
        <f t="shared" si="32"/>
        <v>IDB</v>
      </c>
      <c r="I733" s="29">
        <f>IFERROR(ROUNDDOWN(VLOOKUP(F733,INDATA_FILL_DEMAND!$E$4:$F$251,2,FALSE)*IF(E733&lt;2043,1+$N$8,1+$O$8),4),"")</f>
        <v>0</v>
      </c>
    </row>
    <row r="734" spans="4:9" x14ac:dyDescent="0.3">
      <c r="D734" s="26" t="str">
        <f t="shared" si="33"/>
        <v>*</v>
      </c>
      <c r="E734" s="10">
        <f t="shared" si="31"/>
        <v>2043</v>
      </c>
      <c r="F734" s="25" t="str">
        <f t="shared" si="32"/>
        <v>IDC</v>
      </c>
      <c r="I734" s="29">
        <f>IFERROR(ROUNDDOWN(VLOOKUP(F734,INDATA_FILL_DEMAND!$E$4:$F$251,2,FALSE)*IF(E734&lt;2043,1+$N$8,1+$O$8),4),"")</f>
        <v>0</v>
      </c>
    </row>
    <row r="735" spans="4:9" x14ac:dyDescent="0.3">
      <c r="D735" s="26" t="str">
        <f t="shared" si="33"/>
        <v>*</v>
      </c>
      <c r="E735" s="10">
        <f t="shared" si="31"/>
        <v>2043</v>
      </c>
      <c r="F735" s="25" t="str">
        <f t="shared" si="32"/>
        <v>IDD</v>
      </c>
      <c r="I735" s="29">
        <f>IFERROR(ROUNDDOWN(VLOOKUP(F735,INDATA_FILL_DEMAND!$E$4:$F$251,2,FALSE)*IF(E735&lt;2043,1+$N$8,1+$O$8),4),"")</f>
        <v>0</v>
      </c>
    </row>
    <row r="736" spans="4:9" x14ac:dyDescent="0.3">
      <c r="D736" s="26" t="str">
        <f t="shared" si="33"/>
        <v>*</v>
      </c>
      <c r="E736" s="10">
        <f t="shared" si="31"/>
        <v>2043</v>
      </c>
      <c r="F736" s="25" t="str">
        <f t="shared" si="32"/>
        <v>IDE</v>
      </c>
      <c r="I736" s="29">
        <f>IFERROR(ROUNDDOWN(VLOOKUP(F736,INDATA_FILL_DEMAND!$E$4:$F$251,2,FALSE)*IF(E736&lt;2043,1+$N$8,1+$O$8),4),"")</f>
        <v>0</v>
      </c>
    </row>
    <row r="737" spans="4:9" x14ac:dyDescent="0.3">
      <c r="D737" s="26" t="str">
        <f t="shared" si="33"/>
        <v>*</v>
      </c>
      <c r="E737" s="10">
        <f t="shared" si="31"/>
        <v>2043</v>
      </c>
      <c r="F737" s="25" t="str">
        <f t="shared" si="32"/>
        <v>IDF</v>
      </c>
      <c r="I737" s="29">
        <f>IFERROR(ROUNDDOWN(VLOOKUP(F737,INDATA_FILL_DEMAND!$E$4:$F$251,2,FALSE)*IF(E737&lt;2043,1+$N$8,1+$O$8),4),"")</f>
        <v>0</v>
      </c>
    </row>
    <row r="738" spans="4:9" x14ac:dyDescent="0.3">
      <c r="D738" s="26" t="str">
        <f t="shared" si="33"/>
        <v>*</v>
      </c>
      <c r="E738" s="10">
        <f t="shared" si="31"/>
        <v>2043</v>
      </c>
      <c r="F738" s="25" t="str">
        <f t="shared" si="32"/>
        <v>IDG</v>
      </c>
      <c r="I738" s="29">
        <f>IFERROR(ROUNDDOWN(VLOOKUP(F738,INDATA_FILL_DEMAND!$E$4:$F$251,2,FALSE)*IF(E738&lt;2043,1+$N$8,1+$O$8),4),"")</f>
        <v>0</v>
      </c>
    </row>
    <row r="739" spans="4:9" x14ac:dyDescent="0.3">
      <c r="D739" s="26" t="str">
        <f t="shared" si="33"/>
        <v>*</v>
      </c>
      <c r="E739" s="10">
        <f t="shared" si="31"/>
        <v>2043</v>
      </c>
      <c r="F739" s="25" t="str">
        <f t="shared" si="32"/>
        <v>IDH</v>
      </c>
      <c r="I739" s="29">
        <f>IFERROR(ROUNDDOWN(VLOOKUP(F739,INDATA_FILL_DEMAND!$E$4:$F$251,2,FALSE)*IF(E739&lt;2043,1+$N$8,1+$O$8),4),"")</f>
        <v>0</v>
      </c>
    </row>
    <row r="740" spans="4:9" x14ac:dyDescent="0.3">
      <c r="D740" s="26" t="str">
        <f t="shared" si="33"/>
        <v>*</v>
      </c>
      <c r="E740" s="10">
        <f t="shared" si="31"/>
        <v>2043</v>
      </c>
      <c r="F740" s="25" t="str">
        <f t="shared" si="32"/>
        <v>WAT</v>
      </c>
      <c r="I740" s="29">
        <f>IFERROR(ROUNDDOWN(VLOOKUP(F740,INDATA_FILL_DEMAND!$E$4:$F$251,2,FALSE)*IF(E740&lt;2043,1+$N$8,1+$O$8),4),"")</f>
        <v>0</v>
      </c>
    </row>
    <row r="741" spans="4:9" x14ac:dyDescent="0.3">
      <c r="D741" s="26" t="str">
        <f t="shared" si="33"/>
        <v>*</v>
      </c>
      <c r="E741" s="10">
        <f t="shared" si="31"/>
        <v>2043</v>
      </c>
      <c r="F741" s="25" t="str">
        <f t="shared" si="32"/>
        <v>WMSU</v>
      </c>
      <c r="I741" s="29">
        <f>IFERROR(ROUNDDOWN(VLOOKUP(F741,INDATA_FILL_DEMAND!$E$4:$F$251,2,FALSE)*IF(E741&lt;2043,1+$N$8,1+$O$8),4),"")</f>
        <v>0</v>
      </c>
    </row>
    <row r="742" spans="4:9" x14ac:dyDescent="0.3">
      <c r="D742" s="26" t="str">
        <f t="shared" si="33"/>
        <v>*</v>
      </c>
      <c r="E742" s="10">
        <f t="shared" si="31"/>
        <v>2043</v>
      </c>
      <c r="F742" s="25" t="str">
        <f t="shared" si="32"/>
        <v>WMSR</v>
      </c>
      <c r="I742" s="29">
        <f>IFERROR(ROUNDDOWN(VLOOKUP(F742,INDATA_FILL_DEMAND!$E$4:$F$251,2,FALSE)*IF(E742&lt;2043,1+$N$8,1+$O$8),4),"")</f>
        <v>0</v>
      </c>
    </row>
    <row r="743" spans="4:9" x14ac:dyDescent="0.3">
      <c r="D743" s="26" t="str">
        <f t="shared" si="33"/>
        <v>*</v>
      </c>
      <c r="E743" s="10">
        <f t="shared" si="31"/>
        <v>2043</v>
      </c>
      <c r="F743" s="25" t="str">
        <f t="shared" si="32"/>
        <v>WMSRPL</v>
      </c>
      <c r="I743" s="29">
        <f>IFERROR(ROUNDDOWN(VLOOKUP(F743,INDATA_FILL_DEMAND!$E$4:$F$251,2,FALSE)*IF(E743&lt;2043,1+$N$8,1+$O$8),4),"")</f>
        <v>0</v>
      </c>
    </row>
    <row r="744" spans="4:9" x14ac:dyDescent="0.3">
      <c r="D744" s="26" t="str">
        <f t="shared" si="33"/>
        <v>*</v>
      </c>
      <c r="E744" s="10">
        <f t="shared" si="31"/>
        <v>2043</v>
      </c>
      <c r="F744" s="25" t="str">
        <f t="shared" si="32"/>
        <v>WMSRM</v>
      </c>
      <c r="I744" s="29">
        <f>IFERROR(ROUNDDOWN(VLOOKUP(F744,INDATA_FILL_DEMAND!$E$4:$F$251,2,FALSE)*IF(E744&lt;2043,1+$N$8,1+$O$8),4),"")</f>
        <v>0</v>
      </c>
    </row>
    <row r="745" spans="4:9" x14ac:dyDescent="0.3">
      <c r="D745" s="26" t="str">
        <f t="shared" si="33"/>
        <v>*</v>
      </c>
      <c r="E745" s="10">
        <f t="shared" si="31"/>
        <v>2043</v>
      </c>
      <c r="F745" s="25" t="str">
        <f t="shared" si="32"/>
        <v>WMSRPA</v>
      </c>
      <c r="I745" s="29">
        <f>IFERROR(ROUNDDOWN(VLOOKUP(F745,INDATA_FILL_DEMAND!$E$4:$F$251,2,FALSE)*IF(E745&lt;2043,1+$N$8,1+$O$8),4),"")</f>
        <v>0</v>
      </c>
    </row>
    <row r="746" spans="4:9" x14ac:dyDescent="0.3">
      <c r="D746" s="26" t="str">
        <f t="shared" si="33"/>
        <v>*</v>
      </c>
      <c r="E746" s="10">
        <f t="shared" si="31"/>
        <v>2043</v>
      </c>
      <c r="F746" s="25" t="str">
        <f t="shared" si="32"/>
        <v>WMSRG</v>
      </c>
      <c r="I746" s="29">
        <f>IFERROR(ROUNDDOWN(VLOOKUP(F746,INDATA_FILL_DEMAND!$E$4:$F$251,2,FALSE)*IF(E746&lt;2043,1+$N$8,1+$O$8),4),"")</f>
        <v>0</v>
      </c>
    </row>
    <row r="747" spans="4:9" x14ac:dyDescent="0.3">
      <c r="D747" s="26" t="str">
        <f t="shared" si="33"/>
        <v>*</v>
      </c>
      <c r="E747" s="10">
        <f t="shared" si="31"/>
        <v>2043</v>
      </c>
      <c r="F747" s="25" t="str">
        <f t="shared" si="32"/>
        <v>WMSO</v>
      </c>
      <c r="I747" s="29">
        <f>IFERROR(ROUNDDOWN(VLOOKUP(F747,INDATA_FILL_DEMAND!$E$4:$F$251,2,FALSE)*IF(E747&lt;2043,1+$N$8,1+$O$8),4),"")</f>
        <v>0</v>
      </c>
    </row>
    <row r="748" spans="4:9" x14ac:dyDescent="0.3">
      <c r="D748" s="26" t="str">
        <f t="shared" si="33"/>
        <v>*</v>
      </c>
      <c r="E748" s="10">
        <f t="shared" si="31"/>
        <v>2043</v>
      </c>
      <c r="F748" s="25" t="str">
        <f t="shared" si="32"/>
        <v>WWT</v>
      </c>
      <c r="I748" s="29">
        <f>IFERROR(ROUNDDOWN(VLOOKUP(F748,INDATA_FILL_DEMAND!$E$4:$F$251,2,FALSE)*IF(E748&lt;2043,1+$N$8,1+$O$8),4),"")</f>
        <v>0</v>
      </c>
    </row>
    <row r="749" spans="4:9" x14ac:dyDescent="0.3">
      <c r="D749" s="26" t="str">
        <f t="shared" si="33"/>
        <v>Demand</v>
      </c>
      <c r="E749" s="10">
        <f>E748+10</f>
        <v>2053</v>
      </c>
      <c r="F749" s="25" t="str">
        <f t="shared" si="32"/>
        <v>RHAPA</v>
      </c>
      <c r="I749" s="29">
        <f>IFERROR(ROUNDDOWN(VLOOKUP(F749,INDATA_FILL_DEMAND!$E$4:$F$251,2,FALSE)*IF(E749&lt;2043,1+$N$8,1+$O$8),4),"")</f>
        <v>7.7511999999999999</v>
      </c>
    </row>
    <row r="750" spans="4:9" x14ac:dyDescent="0.3">
      <c r="D750" s="26" t="str">
        <f t="shared" si="33"/>
        <v>Demand</v>
      </c>
      <c r="E750" s="10">
        <f>E749</f>
        <v>2053</v>
      </c>
      <c r="F750" s="25" t="str">
        <f t="shared" si="32"/>
        <v>RHAPB</v>
      </c>
      <c r="I750" s="29">
        <f>IFERROR(ROUNDDOWN(VLOOKUP(F750,INDATA_FILL_DEMAND!$E$4:$F$251,2,FALSE)*IF(E750&lt;2043,1+$N$8,1+$O$8),4),"")</f>
        <v>10.87</v>
      </c>
    </row>
    <row r="751" spans="4:9" x14ac:dyDescent="0.3">
      <c r="D751" s="26" t="str">
        <f t="shared" si="33"/>
        <v>Demand</v>
      </c>
      <c r="E751" s="10">
        <f t="shared" ref="E751:E814" si="34">E750</f>
        <v>2053</v>
      </c>
      <c r="F751" s="25" t="str">
        <f t="shared" si="32"/>
        <v>RHAPC</v>
      </c>
      <c r="I751" s="29">
        <f>IFERROR(ROUNDDOWN(VLOOKUP(F751,INDATA_FILL_DEMAND!$E$4:$F$251,2,FALSE)*IF(E751&lt;2043,1+$N$8,1+$O$8),4),"")</f>
        <v>165.3903</v>
      </c>
    </row>
    <row r="752" spans="4:9" x14ac:dyDescent="0.3">
      <c r="D752" s="26" t="str">
        <f t="shared" si="33"/>
        <v>Demand</v>
      </c>
      <c r="E752" s="10">
        <f t="shared" si="34"/>
        <v>2053</v>
      </c>
      <c r="F752" s="25" t="str">
        <f t="shared" si="32"/>
        <v>RHAPE</v>
      </c>
      <c r="I752" s="29">
        <f>IFERROR(ROUNDDOWN(VLOOKUP(F752,INDATA_FILL_DEMAND!$E$4:$F$251,2,FALSE)*IF(E752&lt;2043,1+$N$8,1+$O$8),4),"")</f>
        <v>23.391200000000001</v>
      </c>
    </row>
    <row r="753" spans="4:9" x14ac:dyDescent="0.3">
      <c r="D753" s="26" t="str">
        <f t="shared" si="33"/>
        <v>Demand</v>
      </c>
      <c r="E753" s="10">
        <f t="shared" si="34"/>
        <v>2053</v>
      </c>
      <c r="F753" s="25" t="str">
        <f t="shared" si="32"/>
        <v>RHHSA</v>
      </c>
      <c r="I753" s="29">
        <f>IFERROR(ROUNDDOWN(VLOOKUP(F753,INDATA_FILL_DEMAND!$E$4:$F$251,2,FALSE)*IF(E753&lt;2043,1+$N$8,1+$O$8),4),"")</f>
        <v>14.456</v>
      </c>
    </row>
    <row r="754" spans="4:9" x14ac:dyDescent="0.3">
      <c r="D754" s="26" t="str">
        <f t="shared" si="33"/>
        <v>Demand</v>
      </c>
      <c r="E754" s="10">
        <f t="shared" si="34"/>
        <v>2053</v>
      </c>
      <c r="F754" s="25" t="str">
        <f t="shared" si="32"/>
        <v>RHHSB</v>
      </c>
      <c r="I754" s="29">
        <f>IFERROR(ROUNDDOWN(VLOOKUP(F754,INDATA_FILL_DEMAND!$E$4:$F$251,2,FALSE)*IF(E754&lt;2043,1+$N$8,1+$O$8),4),"")</f>
        <v>57.163699999999999</v>
      </c>
    </row>
    <row r="755" spans="4:9" x14ac:dyDescent="0.3">
      <c r="D755" s="26" t="str">
        <f t="shared" si="33"/>
        <v>Demand</v>
      </c>
      <c r="E755" s="10">
        <f t="shared" si="34"/>
        <v>2053</v>
      </c>
      <c r="F755" s="25" t="str">
        <f t="shared" si="32"/>
        <v>RHHSC</v>
      </c>
      <c r="I755" s="29">
        <f>IFERROR(ROUNDDOWN(VLOOKUP(F755,INDATA_FILL_DEMAND!$E$4:$F$251,2,FALSE)*IF(E755&lt;2043,1+$N$8,1+$O$8),4),"")</f>
        <v>335.63119999999998</v>
      </c>
    </row>
    <row r="756" spans="4:9" x14ac:dyDescent="0.3">
      <c r="D756" s="26" t="str">
        <f t="shared" si="33"/>
        <v>Demand</v>
      </c>
      <c r="E756" s="10">
        <f t="shared" si="34"/>
        <v>2053</v>
      </c>
      <c r="F756" s="25" t="str">
        <f t="shared" si="32"/>
        <v>RHHSE</v>
      </c>
      <c r="I756" s="29">
        <f>IFERROR(ROUNDDOWN(VLOOKUP(F756,INDATA_FILL_DEMAND!$E$4:$F$251,2,FALSE)*IF(E756&lt;2043,1+$N$8,1+$O$8),4),"")</f>
        <v>39.408299999999997</v>
      </c>
    </row>
    <row r="757" spans="4:9" x14ac:dyDescent="0.3">
      <c r="D757" s="26" t="str">
        <f t="shared" si="33"/>
        <v>*</v>
      </c>
      <c r="E757" s="10">
        <f t="shared" si="34"/>
        <v>2053</v>
      </c>
      <c r="F757" s="25" t="str">
        <f t="shared" si="32"/>
        <v>RCAPA</v>
      </c>
      <c r="I757" s="29">
        <f>IFERROR(ROUNDDOWN(VLOOKUP(F757,INDATA_FILL_DEMAND!$E$4:$F$251,2,FALSE)*IF(E757&lt;2043,1+$N$8,1+$O$8),4),"")</f>
        <v>0</v>
      </c>
    </row>
    <row r="758" spans="4:9" x14ac:dyDescent="0.3">
      <c r="D758" s="26" t="str">
        <f t="shared" si="33"/>
        <v>*</v>
      </c>
      <c r="E758" s="10">
        <f t="shared" si="34"/>
        <v>2053</v>
      </c>
      <c r="F758" s="25" t="str">
        <f t="shared" si="32"/>
        <v>RCAPB</v>
      </c>
      <c r="I758" s="29">
        <f>IFERROR(ROUNDDOWN(VLOOKUP(F758,INDATA_FILL_DEMAND!$E$4:$F$251,2,FALSE)*IF(E758&lt;2043,1+$N$8,1+$O$8),4),"")</f>
        <v>0</v>
      </c>
    </row>
    <row r="759" spans="4:9" x14ac:dyDescent="0.3">
      <c r="D759" s="26" t="str">
        <f t="shared" si="33"/>
        <v>*</v>
      </c>
      <c r="E759" s="10">
        <f t="shared" si="34"/>
        <v>2053</v>
      </c>
      <c r="F759" s="25" t="str">
        <f t="shared" si="32"/>
        <v>RCAPC</v>
      </c>
      <c r="I759" s="29">
        <f>IFERROR(ROUNDDOWN(VLOOKUP(F759,INDATA_FILL_DEMAND!$E$4:$F$251,2,FALSE)*IF(E759&lt;2043,1+$N$8,1+$O$8),4),"")</f>
        <v>0</v>
      </c>
    </row>
    <row r="760" spans="4:9" x14ac:dyDescent="0.3">
      <c r="D760" s="26" t="str">
        <f t="shared" si="33"/>
        <v>*</v>
      </c>
      <c r="E760" s="10">
        <f t="shared" si="34"/>
        <v>2053</v>
      </c>
      <c r="F760" s="25" t="str">
        <f t="shared" si="32"/>
        <v>RCAPE</v>
      </c>
      <c r="I760" s="29">
        <f>IFERROR(ROUNDDOWN(VLOOKUP(F760,INDATA_FILL_DEMAND!$E$4:$F$251,2,FALSE)*IF(E760&lt;2043,1+$N$8,1+$O$8),4),"")</f>
        <v>0</v>
      </c>
    </row>
    <row r="761" spans="4:9" x14ac:dyDescent="0.3">
      <c r="D761" s="26" t="str">
        <f t="shared" si="33"/>
        <v>*</v>
      </c>
      <c r="E761" s="10">
        <f t="shared" si="34"/>
        <v>2053</v>
      </c>
      <c r="F761" s="25" t="str">
        <f t="shared" si="32"/>
        <v>RCHSA</v>
      </c>
      <c r="I761" s="29">
        <f>IFERROR(ROUNDDOWN(VLOOKUP(F761,INDATA_FILL_DEMAND!$E$4:$F$251,2,FALSE)*IF(E761&lt;2043,1+$N$8,1+$O$8),4),"")</f>
        <v>0</v>
      </c>
    </row>
    <row r="762" spans="4:9" x14ac:dyDescent="0.3">
      <c r="D762" s="26" t="str">
        <f t="shared" si="33"/>
        <v>*</v>
      </c>
      <c r="E762" s="10">
        <f t="shared" si="34"/>
        <v>2053</v>
      </c>
      <c r="F762" s="25" t="str">
        <f t="shared" si="32"/>
        <v>RCHSB</v>
      </c>
      <c r="I762" s="29">
        <f>IFERROR(ROUNDDOWN(VLOOKUP(F762,INDATA_FILL_DEMAND!$E$4:$F$251,2,FALSE)*IF(E762&lt;2043,1+$N$8,1+$O$8),4),"")</f>
        <v>0</v>
      </c>
    </row>
    <row r="763" spans="4:9" x14ac:dyDescent="0.3">
      <c r="D763" s="26" t="str">
        <f t="shared" si="33"/>
        <v>*</v>
      </c>
      <c r="E763" s="10">
        <f t="shared" si="34"/>
        <v>2053</v>
      </c>
      <c r="F763" s="25" t="str">
        <f t="shared" si="32"/>
        <v>RCHSC</v>
      </c>
      <c r="I763" s="29">
        <f>IFERROR(ROUNDDOWN(VLOOKUP(F763,INDATA_FILL_DEMAND!$E$4:$F$251,2,FALSE)*IF(E763&lt;2043,1+$N$8,1+$O$8),4),"")</f>
        <v>0</v>
      </c>
    </row>
    <row r="764" spans="4:9" x14ac:dyDescent="0.3">
      <c r="D764" s="26" t="str">
        <f t="shared" si="33"/>
        <v>*</v>
      </c>
      <c r="E764" s="10">
        <f t="shared" si="34"/>
        <v>2053</v>
      </c>
      <c r="F764" s="25" t="str">
        <f t="shared" si="32"/>
        <v>RCHSE</v>
      </c>
      <c r="I764" s="29">
        <f>IFERROR(ROUNDDOWN(VLOOKUP(F764,INDATA_FILL_DEMAND!$E$4:$F$251,2,FALSE)*IF(E764&lt;2043,1+$N$8,1+$O$8),4),"")</f>
        <v>0</v>
      </c>
    </row>
    <row r="765" spans="4:9" x14ac:dyDescent="0.3">
      <c r="D765" s="26" t="str">
        <f t="shared" si="33"/>
        <v>Demand</v>
      </c>
      <c r="E765" s="10">
        <f t="shared" si="34"/>
        <v>2053</v>
      </c>
      <c r="F765" s="25" t="str">
        <f t="shared" si="32"/>
        <v>RWAPA</v>
      </c>
      <c r="I765" s="29">
        <f>IFERROR(ROUNDDOWN(VLOOKUP(F765,INDATA_FILL_DEMAND!$E$4:$F$251,2,FALSE)*IF(E765&lt;2043,1+$N$8,1+$O$8),4),"")</f>
        <v>1.8964000000000001</v>
      </c>
    </row>
    <row r="766" spans="4:9" x14ac:dyDescent="0.3">
      <c r="D766" s="26" t="str">
        <f t="shared" si="33"/>
        <v>Demand</v>
      </c>
      <c r="E766" s="10">
        <f t="shared" si="34"/>
        <v>2053</v>
      </c>
      <c r="F766" s="25" t="str">
        <f t="shared" ref="F766:F829" si="35">F518</f>
        <v>RWAPB</v>
      </c>
      <c r="I766" s="29">
        <f>IFERROR(ROUNDDOWN(VLOOKUP(F766,INDATA_FILL_DEMAND!$E$4:$F$251,2,FALSE)*IF(E766&lt;2043,1+$N$8,1+$O$8),4),"")</f>
        <v>2.6595</v>
      </c>
    </row>
    <row r="767" spans="4:9" x14ac:dyDescent="0.3">
      <c r="D767" s="26" t="str">
        <f t="shared" si="33"/>
        <v>Demand</v>
      </c>
      <c r="E767" s="10">
        <f t="shared" si="34"/>
        <v>2053</v>
      </c>
      <c r="F767" s="25" t="str">
        <f t="shared" si="35"/>
        <v>RWAPC</v>
      </c>
      <c r="I767" s="29">
        <f>IFERROR(ROUNDDOWN(VLOOKUP(F767,INDATA_FILL_DEMAND!$E$4:$F$251,2,FALSE)*IF(E767&lt;2043,1+$N$8,1+$O$8),4),"")</f>
        <v>40.466000000000001</v>
      </c>
    </row>
    <row r="768" spans="4:9" x14ac:dyDescent="0.3">
      <c r="D768" s="26" t="str">
        <f t="shared" si="33"/>
        <v>Demand</v>
      </c>
      <c r="E768" s="10">
        <f t="shared" si="34"/>
        <v>2053</v>
      </c>
      <c r="F768" s="25" t="str">
        <f t="shared" si="35"/>
        <v>RWAPE</v>
      </c>
      <c r="I768" s="29">
        <f>IFERROR(ROUNDDOWN(VLOOKUP(F768,INDATA_FILL_DEMAND!$E$4:$F$251,2,FALSE)*IF(E768&lt;2043,1+$N$8,1+$O$8),4),"")</f>
        <v>5.7230999999999996</v>
      </c>
    </row>
    <row r="769" spans="4:9" x14ac:dyDescent="0.3">
      <c r="D769" s="26" t="str">
        <f t="shared" si="33"/>
        <v>Demand</v>
      </c>
      <c r="E769" s="10">
        <f t="shared" si="34"/>
        <v>2053</v>
      </c>
      <c r="F769" s="25" t="str">
        <f t="shared" si="35"/>
        <v>RWHSA</v>
      </c>
      <c r="I769" s="29">
        <f>IFERROR(ROUNDDOWN(VLOOKUP(F769,INDATA_FILL_DEMAND!$E$4:$F$251,2,FALSE)*IF(E769&lt;2043,1+$N$8,1+$O$8),4),"")</f>
        <v>1.6831</v>
      </c>
    </row>
    <row r="770" spans="4:9" x14ac:dyDescent="0.3">
      <c r="D770" s="26" t="str">
        <f t="shared" si="33"/>
        <v>Demand</v>
      </c>
      <c r="E770" s="10">
        <f t="shared" si="34"/>
        <v>2053</v>
      </c>
      <c r="F770" s="25" t="str">
        <f t="shared" si="35"/>
        <v>RWHSB</v>
      </c>
      <c r="I770" s="29">
        <f>IFERROR(ROUNDDOWN(VLOOKUP(F770,INDATA_FILL_DEMAND!$E$4:$F$251,2,FALSE)*IF(E770&lt;2043,1+$N$8,1+$O$8),4),"")</f>
        <v>6.6558000000000002</v>
      </c>
    </row>
    <row r="771" spans="4:9" x14ac:dyDescent="0.3">
      <c r="D771" s="26" t="str">
        <f t="shared" si="33"/>
        <v>Demand</v>
      </c>
      <c r="E771" s="10">
        <f t="shared" si="34"/>
        <v>2053</v>
      </c>
      <c r="F771" s="25" t="str">
        <f t="shared" si="35"/>
        <v>RWHSC</v>
      </c>
      <c r="I771" s="29">
        <f>IFERROR(ROUNDDOWN(VLOOKUP(F771,INDATA_FILL_DEMAND!$E$4:$F$251,2,FALSE)*IF(E771&lt;2043,1+$N$8,1+$O$8),4),"")</f>
        <v>39.078899999999997</v>
      </c>
    </row>
    <row r="772" spans="4:9" x14ac:dyDescent="0.3">
      <c r="D772" s="26" t="str">
        <f t="shared" si="33"/>
        <v>Demand</v>
      </c>
      <c r="E772" s="10">
        <f t="shared" si="34"/>
        <v>2053</v>
      </c>
      <c r="F772" s="25" t="str">
        <f t="shared" si="35"/>
        <v>RWHSE</v>
      </c>
      <c r="I772" s="29">
        <f>IFERROR(ROUNDDOWN(VLOOKUP(F772,INDATA_FILL_DEMAND!$E$4:$F$251,2,FALSE)*IF(E772&lt;2043,1+$N$8,1+$O$8),4),"")</f>
        <v>2.7730000000000001</v>
      </c>
    </row>
    <row r="773" spans="4:9" x14ac:dyDescent="0.3">
      <c r="D773" s="26" t="str">
        <f t="shared" si="33"/>
        <v>Demand</v>
      </c>
      <c r="E773" s="10">
        <f t="shared" si="34"/>
        <v>2053</v>
      </c>
      <c r="F773" s="25" t="str">
        <f t="shared" si="35"/>
        <v>RKAPA</v>
      </c>
      <c r="I773" s="29">
        <f>IFERROR(ROUNDDOWN(VLOOKUP(F773,INDATA_FILL_DEMAND!$E$4:$F$251,2,FALSE)*IF(E773&lt;2043,1+$N$8,1+$O$8),4),"")</f>
        <v>1.83E-2</v>
      </c>
    </row>
    <row r="774" spans="4:9" x14ac:dyDescent="0.3">
      <c r="D774" s="26" t="str">
        <f t="shared" si="33"/>
        <v>Demand</v>
      </c>
      <c r="E774" s="10">
        <f t="shared" si="34"/>
        <v>2053</v>
      </c>
      <c r="F774" s="25" t="str">
        <f t="shared" si="35"/>
        <v>RKAPB</v>
      </c>
      <c r="I774" s="29">
        <f>IFERROR(ROUNDDOWN(VLOOKUP(F774,INDATA_FILL_DEMAND!$E$4:$F$251,2,FALSE)*IF(E774&lt;2043,1+$N$8,1+$O$8),4),"")</f>
        <v>2.5700000000000001E-2</v>
      </c>
    </row>
    <row r="775" spans="4:9" x14ac:dyDescent="0.3">
      <c r="D775" s="26" t="str">
        <f t="shared" si="33"/>
        <v>Demand</v>
      </c>
      <c r="E775" s="10">
        <f t="shared" si="34"/>
        <v>2053</v>
      </c>
      <c r="F775" s="25" t="str">
        <f t="shared" si="35"/>
        <v>RKAPC</v>
      </c>
      <c r="I775" s="29">
        <f>IFERROR(ROUNDDOWN(VLOOKUP(F775,INDATA_FILL_DEMAND!$E$4:$F$251,2,FALSE)*IF(E775&lt;2043,1+$N$8,1+$O$8),4),"")</f>
        <v>0.39250000000000002</v>
      </c>
    </row>
    <row r="776" spans="4:9" x14ac:dyDescent="0.3">
      <c r="D776" s="26" t="str">
        <f t="shared" si="33"/>
        <v>Demand</v>
      </c>
      <c r="E776" s="10">
        <f t="shared" si="34"/>
        <v>2053</v>
      </c>
      <c r="F776" s="25" t="str">
        <f t="shared" si="35"/>
        <v>RKAPE</v>
      </c>
      <c r="I776" s="29">
        <f>IFERROR(ROUNDDOWN(VLOOKUP(F776,INDATA_FILL_DEMAND!$E$4:$F$251,2,FALSE)*IF(E776&lt;2043,1+$N$8,1+$O$8),4),"")</f>
        <v>5.5500000000000001E-2</v>
      </c>
    </row>
    <row r="777" spans="4:9" x14ac:dyDescent="0.3">
      <c r="D777" s="26" t="str">
        <f t="shared" si="33"/>
        <v>Demand</v>
      </c>
      <c r="E777" s="10">
        <f t="shared" si="34"/>
        <v>2053</v>
      </c>
      <c r="F777" s="25" t="str">
        <f t="shared" si="35"/>
        <v>RKHSA</v>
      </c>
      <c r="I777" s="29">
        <f>IFERROR(ROUNDDOWN(VLOOKUP(F777,INDATA_FILL_DEMAND!$E$4:$F$251,2,FALSE)*IF(E777&lt;2043,1+$N$8,1+$O$8),4),"")</f>
        <v>0.27979999999999999</v>
      </c>
    </row>
    <row r="778" spans="4:9" x14ac:dyDescent="0.3">
      <c r="D778" s="26" t="str">
        <f t="shared" si="33"/>
        <v>Demand</v>
      </c>
      <c r="E778" s="10">
        <f t="shared" si="34"/>
        <v>2053</v>
      </c>
      <c r="F778" s="25" t="str">
        <f t="shared" si="35"/>
        <v>RKHSB</v>
      </c>
      <c r="I778" s="29">
        <f>IFERROR(ROUNDDOWN(VLOOKUP(F778,INDATA_FILL_DEMAND!$E$4:$F$251,2,FALSE)*IF(E778&lt;2043,1+$N$8,1+$O$8),4),"")</f>
        <v>1.1067</v>
      </c>
    </row>
    <row r="779" spans="4:9" x14ac:dyDescent="0.3">
      <c r="D779" s="26" t="str">
        <f t="shared" si="33"/>
        <v>Demand</v>
      </c>
      <c r="E779" s="10">
        <f t="shared" si="34"/>
        <v>2053</v>
      </c>
      <c r="F779" s="25" t="str">
        <f t="shared" si="35"/>
        <v>RKHSC</v>
      </c>
      <c r="I779" s="29">
        <f>IFERROR(ROUNDDOWN(VLOOKUP(F779,INDATA_FILL_DEMAND!$E$4:$F$251,2,FALSE)*IF(E779&lt;2043,1+$N$8,1+$O$8),4),"")</f>
        <v>6.4977999999999998</v>
      </c>
    </row>
    <row r="780" spans="4:9" x14ac:dyDescent="0.3">
      <c r="D780" s="26" t="str">
        <f t="shared" si="33"/>
        <v>Demand</v>
      </c>
      <c r="E780" s="10">
        <f t="shared" si="34"/>
        <v>2053</v>
      </c>
      <c r="F780" s="25" t="str">
        <f t="shared" si="35"/>
        <v>RKHSE</v>
      </c>
      <c r="I780" s="29">
        <f>IFERROR(ROUNDDOWN(VLOOKUP(F780,INDATA_FILL_DEMAND!$E$4:$F$251,2,FALSE)*IF(E780&lt;2043,1+$N$8,1+$O$8),4),"")</f>
        <v>1.1240000000000001</v>
      </c>
    </row>
    <row r="781" spans="4:9" x14ac:dyDescent="0.3">
      <c r="D781" s="26" t="str">
        <f t="shared" si="33"/>
        <v>Demand</v>
      </c>
      <c r="E781" s="10">
        <f t="shared" si="34"/>
        <v>2053</v>
      </c>
      <c r="F781" s="25" t="str">
        <f t="shared" si="35"/>
        <v>RLAPA</v>
      </c>
      <c r="I781" s="29">
        <f>IFERROR(ROUNDDOWN(VLOOKUP(F781,INDATA_FILL_DEMAND!$E$4:$F$251,2,FALSE)*IF(E781&lt;2043,1+$N$8,1+$O$8),4),"")</f>
        <v>3.8E-3</v>
      </c>
    </row>
    <row r="782" spans="4:9" x14ac:dyDescent="0.3">
      <c r="D782" s="26" t="str">
        <f t="shared" ref="D782:D845" si="36">IF(AND(ISNUMBER(I782),I782&gt;0),"Demand","*")</f>
        <v>Demand</v>
      </c>
      <c r="E782" s="10">
        <f t="shared" si="34"/>
        <v>2053</v>
      </c>
      <c r="F782" s="25" t="str">
        <f t="shared" si="35"/>
        <v>RLAPB</v>
      </c>
      <c r="I782" s="29">
        <f>IFERROR(ROUNDDOWN(VLOOKUP(F782,INDATA_FILL_DEMAND!$E$4:$F$251,2,FALSE)*IF(E782&lt;2043,1+$N$8,1+$O$8),4),"")</f>
        <v>5.4000000000000003E-3</v>
      </c>
    </row>
    <row r="783" spans="4:9" x14ac:dyDescent="0.3">
      <c r="D783" s="26" t="str">
        <f t="shared" si="36"/>
        <v>Demand</v>
      </c>
      <c r="E783" s="10">
        <f t="shared" si="34"/>
        <v>2053</v>
      </c>
      <c r="F783" s="25" t="str">
        <f t="shared" si="35"/>
        <v>RLAPC</v>
      </c>
      <c r="I783" s="29">
        <f>IFERROR(ROUNDDOWN(VLOOKUP(F783,INDATA_FILL_DEMAND!$E$4:$F$251,2,FALSE)*IF(E783&lt;2043,1+$N$8,1+$O$8),4),"")</f>
        <v>8.2299999999999998E-2</v>
      </c>
    </row>
    <row r="784" spans="4:9" x14ac:dyDescent="0.3">
      <c r="D784" s="26" t="str">
        <f t="shared" si="36"/>
        <v>Demand</v>
      </c>
      <c r="E784" s="10">
        <f t="shared" si="34"/>
        <v>2053</v>
      </c>
      <c r="F784" s="25" t="str">
        <f t="shared" si="35"/>
        <v>RLAPE</v>
      </c>
      <c r="I784" s="29">
        <f>IFERROR(ROUNDDOWN(VLOOKUP(F784,INDATA_FILL_DEMAND!$E$4:$F$251,2,FALSE)*IF(E784&lt;2043,1+$N$8,1+$O$8),4),"")</f>
        <v>1.1599999999999999E-2</v>
      </c>
    </row>
    <row r="785" spans="4:9" x14ac:dyDescent="0.3">
      <c r="D785" s="26" t="str">
        <f t="shared" si="36"/>
        <v>Demand</v>
      </c>
      <c r="E785" s="10">
        <f t="shared" si="34"/>
        <v>2053</v>
      </c>
      <c r="F785" s="25" t="str">
        <f t="shared" si="35"/>
        <v>RLHSA</v>
      </c>
      <c r="I785" s="29">
        <f>IFERROR(ROUNDDOWN(VLOOKUP(F785,INDATA_FILL_DEMAND!$E$4:$F$251,2,FALSE)*IF(E785&lt;2043,1+$N$8,1+$O$8),4),"")</f>
        <v>5.8599999999999999E-2</v>
      </c>
    </row>
    <row r="786" spans="4:9" x14ac:dyDescent="0.3">
      <c r="D786" s="26" t="str">
        <f t="shared" si="36"/>
        <v>Demand</v>
      </c>
      <c r="E786" s="10">
        <f t="shared" si="34"/>
        <v>2053</v>
      </c>
      <c r="F786" s="25" t="str">
        <f t="shared" si="35"/>
        <v>RLHSB</v>
      </c>
      <c r="I786" s="29">
        <f>IFERROR(ROUNDDOWN(VLOOKUP(F786,INDATA_FILL_DEMAND!$E$4:$F$251,2,FALSE)*IF(E786&lt;2043,1+$N$8,1+$O$8),4),"")</f>
        <v>0.23200000000000001</v>
      </c>
    </row>
    <row r="787" spans="4:9" x14ac:dyDescent="0.3">
      <c r="D787" s="26" t="str">
        <f t="shared" si="36"/>
        <v>Demand</v>
      </c>
      <c r="E787" s="10">
        <f t="shared" si="34"/>
        <v>2053</v>
      </c>
      <c r="F787" s="25" t="str">
        <f t="shared" si="35"/>
        <v>RLHSC</v>
      </c>
      <c r="I787" s="29">
        <f>IFERROR(ROUNDDOWN(VLOOKUP(F787,INDATA_FILL_DEMAND!$E$4:$F$251,2,FALSE)*IF(E787&lt;2043,1+$N$8,1+$O$8),4),"")</f>
        <v>1.3625</v>
      </c>
    </row>
    <row r="788" spans="4:9" x14ac:dyDescent="0.3">
      <c r="D788" s="26" t="str">
        <f t="shared" si="36"/>
        <v>Demand</v>
      </c>
      <c r="E788" s="10">
        <f t="shared" si="34"/>
        <v>2053</v>
      </c>
      <c r="F788" s="25" t="str">
        <f t="shared" si="35"/>
        <v>RLHSE</v>
      </c>
      <c r="I788" s="29">
        <f>IFERROR(ROUNDDOWN(VLOOKUP(F788,INDATA_FILL_DEMAND!$E$4:$F$251,2,FALSE)*IF(E788&lt;2043,1+$N$8,1+$O$8),4),"")</f>
        <v>0.23569999999999999</v>
      </c>
    </row>
    <row r="789" spans="4:9" x14ac:dyDescent="0.3">
      <c r="D789" s="26" t="str">
        <f t="shared" si="36"/>
        <v>Demand</v>
      </c>
      <c r="E789" s="10">
        <f t="shared" si="34"/>
        <v>2053</v>
      </c>
      <c r="F789" s="25" t="str">
        <f t="shared" si="35"/>
        <v>ROAPA</v>
      </c>
      <c r="I789" s="29">
        <f>IFERROR(ROUNDDOWN(VLOOKUP(F789,INDATA_FILL_DEMAND!$E$4:$F$251,2,FALSE)*IF(E789&lt;2043,1+$N$8,1+$O$8),4),"")</f>
        <v>7.3499999999999996E-2</v>
      </c>
    </row>
    <row r="790" spans="4:9" x14ac:dyDescent="0.3">
      <c r="D790" s="26" t="str">
        <f t="shared" si="36"/>
        <v>Demand</v>
      </c>
      <c r="E790" s="10">
        <f t="shared" si="34"/>
        <v>2053</v>
      </c>
      <c r="F790" s="25" t="str">
        <f t="shared" si="35"/>
        <v>ROAPB</v>
      </c>
      <c r="I790" s="29">
        <f>IFERROR(ROUNDDOWN(VLOOKUP(F790,INDATA_FILL_DEMAND!$E$4:$F$251,2,FALSE)*IF(E790&lt;2043,1+$N$8,1+$O$8),4),"")</f>
        <v>0.10299999999999999</v>
      </c>
    </row>
    <row r="791" spans="4:9" x14ac:dyDescent="0.3">
      <c r="D791" s="26" t="str">
        <f t="shared" si="36"/>
        <v>Demand</v>
      </c>
      <c r="E791" s="10">
        <f t="shared" si="34"/>
        <v>2053</v>
      </c>
      <c r="F791" s="25" t="str">
        <f t="shared" si="35"/>
        <v>ROAPC</v>
      </c>
      <c r="I791" s="29">
        <f>IFERROR(ROUNDDOWN(VLOOKUP(F791,INDATA_FILL_DEMAND!$E$4:$F$251,2,FALSE)*IF(E791&lt;2043,1+$N$8,1+$O$8),4),"")</f>
        <v>1.5686</v>
      </c>
    </row>
    <row r="792" spans="4:9" x14ac:dyDescent="0.3">
      <c r="D792" s="26" t="str">
        <f t="shared" si="36"/>
        <v>Demand</v>
      </c>
      <c r="E792" s="10">
        <f t="shared" si="34"/>
        <v>2053</v>
      </c>
      <c r="F792" s="25" t="str">
        <f t="shared" si="35"/>
        <v>ROAPE</v>
      </c>
      <c r="I792" s="29">
        <f>IFERROR(ROUNDDOWN(VLOOKUP(F792,INDATA_FILL_DEMAND!$E$4:$F$251,2,FALSE)*IF(E792&lt;2043,1+$N$8,1+$O$8),4),"")</f>
        <v>0.2218</v>
      </c>
    </row>
    <row r="793" spans="4:9" x14ac:dyDescent="0.3">
      <c r="D793" s="26" t="str">
        <f t="shared" si="36"/>
        <v>Demand</v>
      </c>
      <c r="E793" s="10">
        <f t="shared" si="34"/>
        <v>2053</v>
      </c>
      <c r="F793" s="25" t="str">
        <f t="shared" si="35"/>
        <v>ROHSA</v>
      </c>
      <c r="I793" s="29">
        <f>IFERROR(ROUNDDOWN(VLOOKUP(F793,INDATA_FILL_DEMAND!$E$4:$F$251,2,FALSE)*IF(E793&lt;2043,1+$N$8,1+$O$8),4),"")</f>
        <v>1.1184000000000001</v>
      </c>
    </row>
    <row r="794" spans="4:9" x14ac:dyDescent="0.3">
      <c r="D794" s="26" t="str">
        <f t="shared" si="36"/>
        <v>Demand</v>
      </c>
      <c r="E794" s="10">
        <f t="shared" si="34"/>
        <v>2053</v>
      </c>
      <c r="F794" s="25" t="str">
        <f t="shared" si="35"/>
        <v>ROHSB</v>
      </c>
      <c r="I794" s="29">
        <f>IFERROR(ROUNDDOWN(VLOOKUP(F794,INDATA_FILL_DEMAND!$E$4:$F$251,2,FALSE)*IF(E794&lt;2043,1+$N$8,1+$O$8),4),"")</f>
        <v>4.4226999999999999</v>
      </c>
    </row>
    <row r="795" spans="4:9" x14ac:dyDescent="0.3">
      <c r="D795" s="26" t="str">
        <f t="shared" si="36"/>
        <v>Demand</v>
      </c>
      <c r="E795" s="10">
        <f t="shared" si="34"/>
        <v>2053</v>
      </c>
      <c r="F795" s="25" t="str">
        <f t="shared" si="35"/>
        <v>ROHSC</v>
      </c>
      <c r="I795" s="29">
        <f>IFERROR(ROUNDDOWN(VLOOKUP(F795,INDATA_FILL_DEMAND!$E$4:$F$251,2,FALSE)*IF(E795&lt;2043,1+$N$8,1+$O$8),4),"")</f>
        <v>25.967600000000001</v>
      </c>
    </row>
    <row r="796" spans="4:9" x14ac:dyDescent="0.3">
      <c r="D796" s="26" t="str">
        <f t="shared" si="36"/>
        <v>Demand</v>
      </c>
      <c r="E796" s="10">
        <f t="shared" si="34"/>
        <v>2053</v>
      </c>
      <c r="F796" s="25" t="str">
        <f t="shared" si="35"/>
        <v>ROHSE</v>
      </c>
      <c r="I796" s="29">
        <f>IFERROR(ROUNDDOWN(VLOOKUP(F796,INDATA_FILL_DEMAND!$E$4:$F$251,2,FALSE)*IF(E796&lt;2043,1+$N$8,1+$O$8),4),"")</f>
        <v>4.4922000000000004</v>
      </c>
    </row>
    <row r="797" spans="4:9" x14ac:dyDescent="0.3">
      <c r="D797" s="26" t="str">
        <f t="shared" si="36"/>
        <v>*</v>
      </c>
      <c r="E797" s="10">
        <f t="shared" si="34"/>
        <v>2053</v>
      </c>
      <c r="F797" s="25" t="str">
        <f t="shared" si="35"/>
        <v>REAPA</v>
      </c>
      <c r="I797" s="29">
        <f>IFERROR(ROUNDDOWN(VLOOKUP(F797,INDATA_FILL_DEMAND!$E$4:$F$251,2,FALSE)*IF(E797&lt;2043,1+$N$8,1+$O$8),4),"")</f>
        <v>0</v>
      </c>
    </row>
    <row r="798" spans="4:9" x14ac:dyDescent="0.3">
      <c r="D798" s="26" t="str">
        <f t="shared" si="36"/>
        <v>*</v>
      </c>
      <c r="E798" s="10">
        <f t="shared" si="34"/>
        <v>2053</v>
      </c>
      <c r="F798" s="25" t="str">
        <f t="shared" si="35"/>
        <v>REAPB</v>
      </c>
      <c r="I798" s="29">
        <f>IFERROR(ROUNDDOWN(VLOOKUP(F798,INDATA_FILL_DEMAND!$E$4:$F$251,2,FALSE)*IF(E798&lt;2043,1+$N$8,1+$O$8),4),"")</f>
        <v>0</v>
      </c>
    </row>
    <row r="799" spans="4:9" x14ac:dyDescent="0.3">
      <c r="D799" s="26" t="str">
        <f t="shared" si="36"/>
        <v>*</v>
      </c>
      <c r="E799" s="10">
        <f t="shared" si="34"/>
        <v>2053</v>
      </c>
      <c r="F799" s="25" t="str">
        <f t="shared" si="35"/>
        <v>REAPC</v>
      </c>
      <c r="I799" s="29">
        <f>IFERROR(ROUNDDOWN(VLOOKUP(F799,INDATA_FILL_DEMAND!$E$4:$F$251,2,FALSE)*IF(E799&lt;2043,1+$N$8,1+$O$8),4),"")</f>
        <v>0</v>
      </c>
    </row>
    <row r="800" spans="4:9" x14ac:dyDescent="0.3">
      <c r="D800" s="26" t="str">
        <f t="shared" si="36"/>
        <v>*</v>
      </c>
      <c r="E800" s="10">
        <f t="shared" si="34"/>
        <v>2053</v>
      </c>
      <c r="F800" s="25" t="str">
        <f t="shared" si="35"/>
        <v>REAPE</v>
      </c>
      <c r="I800" s="29">
        <f>IFERROR(ROUNDDOWN(VLOOKUP(F800,INDATA_FILL_DEMAND!$E$4:$F$251,2,FALSE)*IF(E800&lt;2043,1+$N$8,1+$O$8),4),"")</f>
        <v>0</v>
      </c>
    </row>
    <row r="801" spans="4:9" x14ac:dyDescent="0.3">
      <c r="D801" s="26" t="str">
        <f t="shared" si="36"/>
        <v>*</v>
      </c>
      <c r="E801" s="10">
        <f t="shared" si="34"/>
        <v>2053</v>
      </c>
      <c r="F801" s="25" t="str">
        <f t="shared" si="35"/>
        <v>REHSA</v>
      </c>
      <c r="I801" s="29">
        <f>IFERROR(ROUNDDOWN(VLOOKUP(F801,INDATA_FILL_DEMAND!$E$4:$F$251,2,FALSE)*IF(E801&lt;2043,1+$N$8,1+$O$8),4),"")</f>
        <v>0</v>
      </c>
    </row>
    <row r="802" spans="4:9" x14ac:dyDescent="0.3">
      <c r="D802" s="26" t="str">
        <f t="shared" si="36"/>
        <v>*</v>
      </c>
      <c r="E802" s="10">
        <f t="shared" si="34"/>
        <v>2053</v>
      </c>
      <c r="F802" s="25" t="str">
        <f t="shared" si="35"/>
        <v>REHSB</v>
      </c>
      <c r="I802" s="29">
        <f>IFERROR(ROUNDDOWN(VLOOKUP(F802,INDATA_FILL_DEMAND!$E$4:$F$251,2,FALSE)*IF(E802&lt;2043,1+$N$8,1+$O$8),4),"")</f>
        <v>0</v>
      </c>
    </row>
    <row r="803" spans="4:9" x14ac:dyDescent="0.3">
      <c r="D803" s="26" t="str">
        <f t="shared" si="36"/>
        <v>*</v>
      </c>
      <c r="E803" s="10">
        <f t="shared" si="34"/>
        <v>2053</v>
      </c>
      <c r="F803" s="25" t="str">
        <f t="shared" si="35"/>
        <v>REHSC</v>
      </c>
      <c r="I803" s="29">
        <f>IFERROR(ROUNDDOWN(VLOOKUP(F803,INDATA_FILL_DEMAND!$E$4:$F$251,2,FALSE)*IF(E803&lt;2043,1+$N$8,1+$O$8),4),"")</f>
        <v>0</v>
      </c>
    </row>
    <row r="804" spans="4:9" x14ac:dyDescent="0.3">
      <c r="D804" s="26" t="str">
        <f t="shared" si="36"/>
        <v>*</v>
      </c>
      <c r="E804" s="10">
        <f t="shared" si="34"/>
        <v>2053</v>
      </c>
      <c r="F804" s="25" t="str">
        <f t="shared" si="35"/>
        <v>REHSE</v>
      </c>
      <c r="I804" s="29">
        <f>IFERROR(ROUNDDOWN(VLOOKUP(F804,INDATA_FILL_DEMAND!$E$4:$F$251,2,FALSE)*IF(E804&lt;2043,1+$N$8,1+$O$8),4),"")</f>
        <v>0</v>
      </c>
    </row>
    <row r="805" spans="4:9" x14ac:dyDescent="0.3">
      <c r="D805" s="26" t="str">
        <f t="shared" si="36"/>
        <v>Demand</v>
      </c>
      <c r="E805" s="10">
        <f t="shared" si="34"/>
        <v>2053</v>
      </c>
      <c r="F805" s="25" t="str">
        <f t="shared" si="35"/>
        <v>CHCUL</v>
      </c>
      <c r="I805" s="29">
        <f>IFERROR(ROUNDDOWN(VLOOKUP(F805,INDATA_FILL_DEMAND!$E$4:$F$251,2,FALSE)*IF(E805&lt;2043,1+$N$8,1+$O$8),4),"")</f>
        <v>13.619899999999999</v>
      </c>
    </row>
    <row r="806" spans="4:9" x14ac:dyDescent="0.3">
      <c r="D806" s="26" t="str">
        <f t="shared" si="36"/>
        <v>Demand</v>
      </c>
      <c r="E806" s="10">
        <f t="shared" si="34"/>
        <v>2053</v>
      </c>
      <c r="F806" s="25" t="str">
        <f t="shared" si="35"/>
        <v>CHEDU</v>
      </c>
      <c r="I806" s="29">
        <f>IFERROR(ROUNDDOWN(VLOOKUP(F806,INDATA_FILL_DEMAND!$E$4:$F$251,2,FALSE)*IF(E806&lt;2043,1+$N$8,1+$O$8),4),"")</f>
        <v>32.6995</v>
      </c>
    </row>
    <row r="807" spans="4:9" x14ac:dyDescent="0.3">
      <c r="D807" s="26" t="str">
        <f t="shared" si="36"/>
        <v>Demand</v>
      </c>
      <c r="E807" s="10">
        <f t="shared" si="34"/>
        <v>2053</v>
      </c>
      <c r="F807" s="25" t="str">
        <f t="shared" si="35"/>
        <v>CHHLT</v>
      </c>
      <c r="I807" s="29">
        <f>IFERROR(ROUNDDOWN(VLOOKUP(F807,INDATA_FILL_DEMAND!$E$4:$F$251,2,FALSE)*IF(E807&lt;2043,1+$N$8,1+$O$8),4),"")</f>
        <v>2.4565999999999999</v>
      </c>
    </row>
    <row r="808" spans="4:9" x14ac:dyDescent="0.3">
      <c r="D808" s="26" t="str">
        <f t="shared" si="36"/>
        <v>Demand</v>
      </c>
      <c r="E808" s="10">
        <f t="shared" si="34"/>
        <v>2053</v>
      </c>
      <c r="F808" s="25" t="str">
        <f t="shared" si="35"/>
        <v>CHOFF</v>
      </c>
      <c r="I808" s="29">
        <f>IFERROR(ROUNDDOWN(VLOOKUP(F808,INDATA_FILL_DEMAND!$E$4:$F$251,2,FALSE)*IF(E808&lt;2043,1+$N$8,1+$O$8),4),"")</f>
        <v>3.4862000000000002</v>
      </c>
    </row>
    <row r="809" spans="4:9" x14ac:dyDescent="0.3">
      <c r="D809" s="26" t="str">
        <f t="shared" si="36"/>
        <v>Demand</v>
      </c>
      <c r="E809" s="10">
        <f t="shared" si="34"/>
        <v>2053</v>
      </c>
      <c r="F809" s="25" t="str">
        <f t="shared" si="35"/>
        <v>CHOTH</v>
      </c>
      <c r="I809" s="29">
        <f>IFERROR(ROUNDDOWN(VLOOKUP(F809,INDATA_FILL_DEMAND!$E$4:$F$251,2,FALSE)*IF(E809&lt;2043,1+$N$8,1+$O$8),4),"")</f>
        <v>20.754999999999999</v>
      </c>
    </row>
    <row r="810" spans="4:9" x14ac:dyDescent="0.3">
      <c r="D810" s="26" t="str">
        <f t="shared" si="36"/>
        <v>Demand</v>
      </c>
      <c r="E810" s="10">
        <f t="shared" si="34"/>
        <v>2053</v>
      </c>
      <c r="F810" s="25" t="str">
        <f t="shared" si="35"/>
        <v>CHRET</v>
      </c>
      <c r="I810" s="29">
        <f>IFERROR(ROUNDDOWN(VLOOKUP(F810,INDATA_FILL_DEMAND!$E$4:$F$251,2,FALSE)*IF(E810&lt;2043,1+$N$8,1+$O$8),4),"")</f>
        <v>4.2991000000000001</v>
      </c>
    </row>
    <row r="811" spans="4:9" x14ac:dyDescent="0.3">
      <c r="D811" s="26" t="str">
        <f t="shared" si="36"/>
        <v>Demand</v>
      </c>
      <c r="E811" s="10">
        <f t="shared" si="34"/>
        <v>2053</v>
      </c>
      <c r="F811" s="25" t="str">
        <f t="shared" si="35"/>
        <v>CHSPO</v>
      </c>
      <c r="I811" s="29">
        <f>IFERROR(ROUNDDOWN(VLOOKUP(F811,INDATA_FILL_DEMAND!$E$4:$F$251,2,FALSE)*IF(E811&lt;2043,1+$N$8,1+$O$8),4),"")</f>
        <v>9.2213999999999992</v>
      </c>
    </row>
    <row r="812" spans="4:9" x14ac:dyDescent="0.3">
      <c r="D812" s="26" t="str">
        <f t="shared" si="36"/>
        <v>Demand</v>
      </c>
      <c r="E812" s="10">
        <f t="shared" si="34"/>
        <v>2053</v>
      </c>
      <c r="F812" s="25" t="str">
        <f t="shared" si="35"/>
        <v>CHTUR</v>
      </c>
      <c r="I812" s="29">
        <f>IFERROR(ROUNDDOWN(VLOOKUP(F812,INDATA_FILL_DEMAND!$E$4:$F$251,2,FALSE)*IF(E812&lt;2043,1+$N$8,1+$O$8),4),"")</f>
        <v>2.6192000000000002</v>
      </c>
    </row>
    <row r="813" spans="4:9" x14ac:dyDescent="0.3">
      <c r="D813" s="26" t="str">
        <f t="shared" si="36"/>
        <v>*</v>
      </c>
      <c r="E813" s="10">
        <f t="shared" si="34"/>
        <v>2053</v>
      </c>
      <c r="F813" s="25" t="str">
        <f t="shared" si="35"/>
        <v>CCCUL</v>
      </c>
      <c r="I813" s="29">
        <f>IFERROR(ROUNDDOWN(VLOOKUP(F813,INDATA_FILL_DEMAND!$E$4:$F$251,2,FALSE)*IF(E813&lt;2043,1+$N$8,1+$O$8),4),"")</f>
        <v>0</v>
      </c>
    </row>
    <row r="814" spans="4:9" x14ac:dyDescent="0.3">
      <c r="D814" s="26" t="str">
        <f t="shared" si="36"/>
        <v>*</v>
      </c>
      <c r="E814" s="10">
        <f t="shared" si="34"/>
        <v>2053</v>
      </c>
      <c r="F814" s="25" t="str">
        <f t="shared" si="35"/>
        <v>CCEDU</v>
      </c>
      <c r="I814" s="29">
        <f>IFERROR(ROUNDDOWN(VLOOKUP(F814,INDATA_FILL_DEMAND!$E$4:$F$251,2,FALSE)*IF(E814&lt;2043,1+$N$8,1+$O$8),4),"")</f>
        <v>0</v>
      </c>
    </row>
    <row r="815" spans="4:9" x14ac:dyDescent="0.3">
      <c r="D815" s="26" t="str">
        <f t="shared" si="36"/>
        <v>*</v>
      </c>
      <c r="E815" s="10">
        <f t="shared" ref="E815:E878" si="37">E814</f>
        <v>2053</v>
      </c>
      <c r="F815" s="25" t="str">
        <f t="shared" si="35"/>
        <v>CCHLT</v>
      </c>
      <c r="I815" s="29">
        <f>IFERROR(ROUNDDOWN(VLOOKUP(F815,INDATA_FILL_DEMAND!$E$4:$F$251,2,FALSE)*IF(E815&lt;2043,1+$N$8,1+$O$8),4),"")</f>
        <v>0</v>
      </c>
    </row>
    <row r="816" spans="4:9" x14ac:dyDescent="0.3">
      <c r="D816" s="26" t="str">
        <f t="shared" si="36"/>
        <v>*</v>
      </c>
      <c r="E816" s="10">
        <f t="shared" si="37"/>
        <v>2053</v>
      </c>
      <c r="F816" s="25" t="str">
        <f t="shared" si="35"/>
        <v>CCOFF</v>
      </c>
      <c r="I816" s="29">
        <f>IFERROR(ROUNDDOWN(VLOOKUP(F816,INDATA_FILL_DEMAND!$E$4:$F$251,2,FALSE)*IF(E816&lt;2043,1+$N$8,1+$O$8),4),"")</f>
        <v>0</v>
      </c>
    </row>
    <row r="817" spans="4:9" x14ac:dyDescent="0.3">
      <c r="D817" s="26" t="str">
        <f t="shared" si="36"/>
        <v>*</v>
      </c>
      <c r="E817" s="10">
        <f t="shared" si="37"/>
        <v>2053</v>
      </c>
      <c r="F817" s="25" t="str">
        <f t="shared" si="35"/>
        <v>CCOTH</v>
      </c>
      <c r="I817" s="29">
        <f>IFERROR(ROUNDDOWN(VLOOKUP(F817,INDATA_FILL_DEMAND!$E$4:$F$251,2,FALSE)*IF(E817&lt;2043,1+$N$8,1+$O$8),4),"")</f>
        <v>0</v>
      </c>
    </row>
    <row r="818" spans="4:9" x14ac:dyDescent="0.3">
      <c r="D818" s="26" t="str">
        <f t="shared" si="36"/>
        <v>*</v>
      </c>
      <c r="E818" s="10">
        <f t="shared" si="37"/>
        <v>2053</v>
      </c>
      <c r="F818" s="25" t="str">
        <f t="shared" si="35"/>
        <v>CCRET</v>
      </c>
      <c r="I818" s="29">
        <f>IFERROR(ROUNDDOWN(VLOOKUP(F818,INDATA_FILL_DEMAND!$E$4:$F$251,2,FALSE)*IF(E818&lt;2043,1+$N$8,1+$O$8),4),"")</f>
        <v>0</v>
      </c>
    </row>
    <row r="819" spans="4:9" x14ac:dyDescent="0.3">
      <c r="D819" s="26" t="str">
        <f t="shared" si="36"/>
        <v>*</v>
      </c>
      <c r="E819" s="10">
        <f t="shared" si="37"/>
        <v>2053</v>
      </c>
      <c r="F819" s="25" t="str">
        <f t="shared" si="35"/>
        <v>CCSPO</v>
      </c>
      <c r="I819" s="29">
        <f>IFERROR(ROUNDDOWN(VLOOKUP(F819,INDATA_FILL_DEMAND!$E$4:$F$251,2,FALSE)*IF(E819&lt;2043,1+$N$8,1+$O$8),4),"")</f>
        <v>0</v>
      </c>
    </row>
    <row r="820" spans="4:9" x14ac:dyDescent="0.3">
      <c r="D820" s="26" t="str">
        <f t="shared" si="36"/>
        <v>*</v>
      </c>
      <c r="E820" s="10">
        <f t="shared" si="37"/>
        <v>2053</v>
      </c>
      <c r="F820" s="25" t="str">
        <f t="shared" si="35"/>
        <v>CCTUR</v>
      </c>
      <c r="I820" s="29">
        <f>IFERROR(ROUNDDOWN(VLOOKUP(F820,INDATA_FILL_DEMAND!$E$4:$F$251,2,FALSE)*IF(E820&lt;2043,1+$N$8,1+$O$8),4),"")</f>
        <v>0</v>
      </c>
    </row>
    <row r="821" spans="4:9" x14ac:dyDescent="0.3">
      <c r="D821" s="26" t="str">
        <f t="shared" si="36"/>
        <v>Demand</v>
      </c>
      <c r="E821" s="10">
        <f t="shared" si="37"/>
        <v>2053</v>
      </c>
      <c r="F821" s="25" t="str">
        <f t="shared" si="35"/>
        <v>CWCUL</v>
      </c>
      <c r="I821" s="29">
        <f>IFERROR(ROUNDDOWN(VLOOKUP(F821,INDATA_FILL_DEMAND!$E$4:$F$251,2,FALSE)*IF(E821&lt;2043,1+$N$8,1+$O$8),4),"")</f>
        <v>3.2229999999999999</v>
      </c>
    </row>
    <row r="822" spans="4:9" x14ac:dyDescent="0.3">
      <c r="D822" s="26" t="str">
        <f t="shared" si="36"/>
        <v>Demand</v>
      </c>
      <c r="E822" s="10">
        <f t="shared" si="37"/>
        <v>2053</v>
      </c>
      <c r="F822" s="25" t="str">
        <f t="shared" si="35"/>
        <v>CWEDU</v>
      </c>
      <c r="I822" s="29">
        <f>IFERROR(ROUNDDOWN(VLOOKUP(F822,INDATA_FILL_DEMAND!$E$4:$F$251,2,FALSE)*IF(E822&lt;2043,1+$N$8,1+$O$8),4),"")</f>
        <v>7.7381000000000002</v>
      </c>
    </row>
    <row r="823" spans="4:9" x14ac:dyDescent="0.3">
      <c r="D823" s="26" t="str">
        <f t="shared" si="36"/>
        <v>Demand</v>
      </c>
      <c r="E823" s="10">
        <f t="shared" si="37"/>
        <v>2053</v>
      </c>
      <c r="F823" s="25" t="str">
        <f t="shared" si="35"/>
        <v>CWHLT</v>
      </c>
      <c r="I823" s="29">
        <f>IFERROR(ROUNDDOWN(VLOOKUP(F823,INDATA_FILL_DEMAND!$E$4:$F$251,2,FALSE)*IF(E823&lt;2043,1+$N$8,1+$O$8),4),"")</f>
        <v>0.58130000000000004</v>
      </c>
    </row>
    <row r="824" spans="4:9" x14ac:dyDescent="0.3">
      <c r="D824" s="26" t="str">
        <f t="shared" si="36"/>
        <v>Demand</v>
      </c>
      <c r="E824" s="10">
        <f t="shared" si="37"/>
        <v>2053</v>
      </c>
      <c r="F824" s="25" t="str">
        <f t="shared" si="35"/>
        <v>CWOFF</v>
      </c>
      <c r="I824" s="29">
        <f>IFERROR(ROUNDDOWN(VLOOKUP(F824,INDATA_FILL_DEMAND!$E$4:$F$251,2,FALSE)*IF(E824&lt;2043,1+$N$8,1+$O$8),4),"")</f>
        <v>0.82499999999999996</v>
      </c>
    </row>
    <row r="825" spans="4:9" x14ac:dyDescent="0.3">
      <c r="D825" s="26" t="str">
        <f t="shared" si="36"/>
        <v>Demand</v>
      </c>
      <c r="E825" s="10">
        <f t="shared" si="37"/>
        <v>2053</v>
      </c>
      <c r="F825" s="25" t="str">
        <f t="shared" si="35"/>
        <v>CWOTH</v>
      </c>
      <c r="I825" s="29">
        <f>IFERROR(ROUNDDOWN(VLOOKUP(F825,INDATA_FILL_DEMAND!$E$4:$F$251,2,FALSE)*IF(E825&lt;2043,1+$N$8,1+$O$8),4),"")</f>
        <v>4.9115000000000002</v>
      </c>
    </row>
    <row r="826" spans="4:9" x14ac:dyDescent="0.3">
      <c r="D826" s="26" t="str">
        <f t="shared" si="36"/>
        <v>Demand</v>
      </c>
      <c r="E826" s="10">
        <f t="shared" si="37"/>
        <v>2053</v>
      </c>
      <c r="F826" s="25" t="str">
        <f t="shared" si="35"/>
        <v>CWRET</v>
      </c>
      <c r="I826" s="29">
        <f>IFERROR(ROUNDDOWN(VLOOKUP(F826,INDATA_FILL_DEMAND!$E$4:$F$251,2,FALSE)*IF(E826&lt;2043,1+$N$8,1+$O$8),4),"")</f>
        <v>1.0173000000000001</v>
      </c>
    </row>
    <row r="827" spans="4:9" x14ac:dyDescent="0.3">
      <c r="D827" s="26" t="str">
        <f t="shared" si="36"/>
        <v>Demand</v>
      </c>
      <c r="E827" s="10">
        <f t="shared" si="37"/>
        <v>2053</v>
      </c>
      <c r="F827" s="25" t="str">
        <f t="shared" si="35"/>
        <v>CWSPO</v>
      </c>
      <c r="I827" s="29">
        <f>IFERROR(ROUNDDOWN(VLOOKUP(F827,INDATA_FILL_DEMAND!$E$4:$F$251,2,FALSE)*IF(E827&lt;2043,1+$N$8,1+$O$8),4),"")</f>
        <v>2.1821000000000002</v>
      </c>
    </row>
    <row r="828" spans="4:9" x14ac:dyDescent="0.3">
      <c r="D828" s="26" t="str">
        <f t="shared" si="36"/>
        <v>Demand</v>
      </c>
      <c r="E828" s="10">
        <f t="shared" si="37"/>
        <v>2053</v>
      </c>
      <c r="F828" s="25" t="str">
        <f t="shared" si="35"/>
        <v>CWTUR</v>
      </c>
      <c r="I828" s="29">
        <f>IFERROR(ROUNDDOWN(VLOOKUP(F828,INDATA_FILL_DEMAND!$E$4:$F$251,2,FALSE)*IF(E828&lt;2043,1+$N$8,1+$O$8),4),"")</f>
        <v>0.61980000000000002</v>
      </c>
    </row>
    <row r="829" spans="4:9" x14ac:dyDescent="0.3">
      <c r="D829" s="26" t="str">
        <f t="shared" si="36"/>
        <v>Demand</v>
      </c>
      <c r="E829" s="10">
        <f t="shared" si="37"/>
        <v>2053</v>
      </c>
      <c r="F829" s="25" t="str">
        <f t="shared" si="35"/>
        <v>CKCUL</v>
      </c>
      <c r="I829" s="29">
        <f>IFERROR(ROUNDDOWN(VLOOKUP(F829,INDATA_FILL_DEMAND!$E$4:$F$251,2,FALSE)*IF(E829&lt;2043,1+$N$8,1+$O$8),4),"")</f>
        <v>0.68610000000000004</v>
      </c>
    </row>
    <row r="830" spans="4:9" x14ac:dyDescent="0.3">
      <c r="D830" s="26" t="str">
        <f t="shared" si="36"/>
        <v>Demand</v>
      </c>
      <c r="E830" s="10">
        <f t="shared" si="37"/>
        <v>2053</v>
      </c>
      <c r="F830" s="25" t="str">
        <f t="shared" ref="F830:F893" si="38">F582</f>
        <v>CKEDU</v>
      </c>
      <c r="I830" s="29">
        <f>IFERROR(ROUNDDOWN(VLOOKUP(F830,INDATA_FILL_DEMAND!$E$4:$F$251,2,FALSE)*IF(E830&lt;2043,1+$N$8,1+$O$8),4),"")</f>
        <v>1.6473</v>
      </c>
    </row>
    <row r="831" spans="4:9" x14ac:dyDescent="0.3">
      <c r="D831" s="26" t="str">
        <f t="shared" si="36"/>
        <v>Demand</v>
      </c>
      <c r="E831" s="10">
        <f t="shared" si="37"/>
        <v>2053</v>
      </c>
      <c r="F831" s="25" t="str">
        <f t="shared" si="38"/>
        <v>CKHLT</v>
      </c>
      <c r="I831" s="29">
        <f>IFERROR(ROUNDDOWN(VLOOKUP(F831,INDATA_FILL_DEMAND!$E$4:$F$251,2,FALSE)*IF(E831&lt;2043,1+$N$8,1+$O$8),4),"")</f>
        <v>0.1237</v>
      </c>
    </row>
    <row r="832" spans="4:9" x14ac:dyDescent="0.3">
      <c r="D832" s="26" t="str">
        <f t="shared" si="36"/>
        <v>Demand</v>
      </c>
      <c r="E832" s="10">
        <f t="shared" si="37"/>
        <v>2053</v>
      </c>
      <c r="F832" s="25" t="str">
        <f t="shared" si="38"/>
        <v>CKOFF</v>
      </c>
      <c r="I832" s="29">
        <f>IFERROR(ROUNDDOWN(VLOOKUP(F832,INDATA_FILL_DEMAND!$E$4:$F$251,2,FALSE)*IF(E832&lt;2043,1+$N$8,1+$O$8),4),"")</f>
        <v>0.17560000000000001</v>
      </c>
    </row>
    <row r="833" spans="4:9" x14ac:dyDescent="0.3">
      <c r="D833" s="26" t="str">
        <f t="shared" si="36"/>
        <v>Demand</v>
      </c>
      <c r="E833" s="10">
        <f t="shared" si="37"/>
        <v>2053</v>
      </c>
      <c r="F833" s="25" t="str">
        <f t="shared" si="38"/>
        <v>CKOTH</v>
      </c>
      <c r="I833" s="29">
        <f>IFERROR(ROUNDDOWN(VLOOKUP(F833,INDATA_FILL_DEMAND!$E$4:$F$251,2,FALSE)*IF(E833&lt;2043,1+$N$8,1+$O$8),4),"")</f>
        <v>1.0456000000000001</v>
      </c>
    </row>
    <row r="834" spans="4:9" x14ac:dyDescent="0.3">
      <c r="D834" s="26" t="str">
        <f t="shared" si="36"/>
        <v>Demand</v>
      </c>
      <c r="E834" s="10">
        <f t="shared" si="37"/>
        <v>2053</v>
      </c>
      <c r="F834" s="25" t="str">
        <f t="shared" si="38"/>
        <v>CKRET</v>
      </c>
      <c r="I834" s="29">
        <f>IFERROR(ROUNDDOWN(VLOOKUP(F834,INDATA_FILL_DEMAND!$E$4:$F$251,2,FALSE)*IF(E834&lt;2043,1+$N$8,1+$O$8),4),"")</f>
        <v>0.2165</v>
      </c>
    </row>
    <row r="835" spans="4:9" x14ac:dyDescent="0.3">
      <c r="D835" s="26" t="str">
        <f t="shared" si="36"/>
        <v>Demand</v>
      </c>
      <c r="E835" s="10">
        <f t="shared" si="37"/>
        <v>2053</v>
      </c>
      <c r="F835" s="25" t="str">
        <f t="shared" si="38"/>
        <v>CKSPO</v>
      </c>
      <c r="I835" s="29">
        <f>IFERROR(ROUNDDOWN(VLOOKUP(F835,INDATA_FILL_DEMAND!$E$4:$F$251,2,FALSE)*IF(E835&lt;2043,1+$N$8,1+$O$8),4),"")</f>
        <v>0.46450000000000002</v>
      </c>
    </row>
    <row r="836" spans="4:9" x14ac:dyDescent="0.3">
      <c r="D836" s="26" t="str">
        <f t="shared" si="36"/>
        <v>Demand</v>
      </c>
      <c r="E836" s="10">
        <f t="shared" si="37"/>
        <v>2053</v>
      </c>
      <c r="F836" s="25" t="str">
        <f t="shared" si="38"/>
        <v>CKTUR</v>
      </c>
      <c r="I836" s="29">
        <f>IFERROR(ROUNDDOWN(VLOOKUP(F836,INDATA_FILL_DEMAND!$E$4:$F$251,2,FALSE)*IF(E836&lt;2043,1+$N$8,1+$O$8),4),"")</f>
        <v>0.13189999999999999</v>
      </c>
    </row>
    <row r="837" spans="4:9" x14ac:dyDescent="0.3">
      <c r="D837" s="26" t="str">
        <f t="shared" si="36"/>
        <v>Demand</v>
      </c>
      <c r="E837" s="10">
        <f t="shared" si="37"/>
        <v>2053</v>
      </c>
      <c r="F837" s="25" t="str">
        <f t="shared" si="38"/>
        <v>CLCUL</v>
      </c>
      <c r="I837" s="29">
        <f>IFERROR(ROUNDDOWN(VLOOKUP(F837,INDATA_FILL_DEMAND!$E$4:$F$251,2,FALSE)*IF(E837&lt;2043,1+$N$8,1+$O$8),4),"")</f>
        <v>0.90800000000000003</v>
      </c>
    </row>
    <row r="838" spans="4:9" x14ac:dyDescent="0.3">
      <c r="D838" s="26" t="str">
        <f t="shared" si="36"/>
        <v>Demand</v>
      </c>
      <c r="E838" s="10">
        <f t="shared" si="37"/>
        <v>2053</v>
      </c>
      <c r="F838" s="25" t="str">
        <f t="shared" si="38"/>
        <v>CLEDU</v>
      </c>
      <c r="I838" s="29">
        <f>IFERROR(ROUNDDOWN(VLOOKUP(F838,INDATA_FILL_DEMAND!$E$4:$F$251,2,FALSE)*IF(E838&lt;2043,1+$N$8,1+$O$8),4),"")</f>
        <v>2.1800999999999999</v>
      </c>
    </row>
    <row r="839" spans="4:9" x14ac:dyDescent="0.3">
      <c r="D839" s="26" t="str">
        <f t="shared" si="36"/>
        <v>Demand</v>
      </c>
      <c r="E839" s="10">
        <f t="shared" si="37"/>
        <v>2053</v>
      </c>
      <c r="F839" s="25" t="str">
        <f t="shared" si="38"/>
        <v>CLHLT</v>
      </c>
      <c r="I839" s="29">
        <f>IFERROR(ROUNDDOWN(VLOOKUP(F839,INDATA_FILL_DEMAND!$E$4:$F$251,2,FALSE)*IF(E839&lt;2043,1+$N$8,1+$O$8),4),"")</f>
        <v>0.16370000000000001</v>
      </c>
    </row>
    <row r="840" spans="4:9" x14ac:dyDescent="0.3">
      <c r="D840" s="26" t="str">
        <f t="shared" si="36"/>
        <v>Demand</v>
      </c>
      <c r="E840" s="10">
        <f t="shared" si="37"/>
        <v>2053</v>
      </c>
      <c r="F840" s="25" t="str">
        <f t="shared" si="38"/>
        <v>CLOFF</v>
      </c>
      <c r="I840" s="29">
        <f>IFERROR(ROUNDDOWN(VLOOKUP(F840,INDATA_FILL_DEMAND!$E$4:$F$251,2,FALSE)*IF(E840&lt;2043,1+$N$8,1+$O$8),4),"")</f>
        <v>0.2324</v>
      </c>
    </row>
    <row r="841" spans="4:9" x14ac:dyDescent="0.3">
      <c r="D841" s="26" t="str">
        <f t="shared" si="36"/>
        <v>Demand</v>
      </c>
      <c r="E841" s="10">
        <f t="shared" si="37"/>
        <v>2053</v>
      </c>
      <c r="F841" s="25" t="str">
        <f t="shared" si="38"/>
        <v>CLOTH</v>
      </c>
      <c r="I841" s="29">
        <f>IFERROR(ROUNDDOWN(VLOOKUP(F841,INDATA_FILL_DEMAND!$E$4:$F$251,2,FALSE)*IF(E841&lt;2043,1+$N$8,1+$O$8),4),"")</f>
        <v>1.3836999999999999</v>
      </c>
    </row>
    <row r="842" spans="4:9" x14ac:dyDescent="0.3">
      <c r="D842" s="26" t="str">
        <f t="shared" si="36"/>
        <v>Demand</v>
      </c>
      <c r="E842" s="10">
        <f t="shared" si="37"/>
        <v>2053</v>
      </c>
      <c r="F842" s="25" t="str">
        <f t="shared" si="38"/>
        <v>CLRET</v>
      </c>
      <c r="I842" s="29">
        <f>IFERROR(ROUNDDOWN(VLOOKUP(F842,INDATA_FILL_DEMAND!$E$4:$F$251,2,FALSE)*IF(E842&lt;2043,1+$N$8,1+$O$8),4),"")</f>
        <v>0.28660000000000002</v>
      </c>
    </row>
    <row r="843" spans="4:9" x14ac:dyDescent="0.3">
      <c r="D843" s="26" t="str">
        <f t="shared" si="36"/>
        <v>Demand</v>
      </c>
      <c r="E843" s="10">
        <f t="shared" si="37"/>
        <v>2053</v>
      </c>
      <c r="F843" s="25" t="str">
        <f t="shared" si="38"/>
        <v>CLSPO</v>
      </c>
      <c r="I843" s="29">
        <f>IFERROR(ROUNDDOWN(VLOOKUP(F843,INDATA_FILL_DEMAND!$E$4:$F$251,2,FALSE)*IF(E843&lt;2043,1+$N$8,1+$O$8),4),"")</f>
        <v>0.61480000000000001</v>
      </c>
    </row>
    <row r="844" spans="4:9" x14ac:dyDescent="0.3">
      <c r="D844" s="26" t="str">
        <f t="shared" si="36"/>
        <v>Demand</v>
      </c>
      <c r="E844" s="10">
        <f t="shared" si="37"/>
        <v>2053</v>
      </c>
      <c r="F844" s="25" t="str">
        <f t="shared" si="38"/>
        <v>CLTUR</v>
      </c>
      <c r="I844" s="29">
        <f>IFERROR(ROUNDDOWN(VLOOKUP(F844,INDATA_FILL_DEMAND!$E$4:$F$251,2,FALSE)*IF(E844&lt;2043,1+$N$8,1+$O$8),4),"")</f>
        <v>0.17460000000000001</v>
      </c>
    </row>
    <row r="845" spans="4:9" x14ac:dyDescent="0.3">
      <c r="D845" s="26" t="str">
        <f t="shared" si="36"/>
        <v>Demand</v>
      </c>
      <c r="E845" s="10">
        <f t="shared" si="37"/>
        <v>2053</v>
      </c>
      <c r="F845" s="25" t="str">
        <f t="shared" si="38"/>
        <v>COCUL</v>
      </c>
      <c r="I845" s="29">
        <f>IFERROR(ROUNDDOWN(VLOOKUP(F845,INDATA_FILL_DEMAND!$E$4:$F$251,2,FALSE)*IF(E845&lt;2043,1+$N$8,1+$O$8),4),"")</f>
        <v>4.3029999999999999</v>
      </c>
    </row>
    <row r="846" spans="4:9" x14ac:dyDescent="0.3">
      <c r="D846" s="26" t="str">
        <f t="shared" ref="D846:D909" si="39">IF(AND(ISNUMBER(I846),I846&gt;0),"Demand","*")</f>
        <v>Demand</v>
      </c>
      <c r="E846" s="10">
        <f t="shared" si="37"/>
        <v>2053</v>
      </c>
      <c r="F846" s="25" t="str">
        <f t="shared" si="38"/>
        <v>COEDU</v>
      </c>
      <c r="I846" s="29">
        <f>IFERROR(ROUNDDOWN(VLOOKUP(F846,INDATA_FILL_DEMAND!$E$4:$F$251,2,FALSE)*IF(E846&lt;2043,1+$N$8,1+$O$8),4),"")</f>
        <v>10.331</v>
      </c>
    </row>
    <row r="847" spans="4:9" x14ac:dyDescent="0.3">
      <c r="D847" s="26" t="str">
        <f t="shared" si="39"/>
        <v>Demand</v>
      </c>
      <c r="E847" s="10">
        <f t="shared" si="37"/>
        <v>2053</v>
      </c>
      <c r="F847" s="25" t="str">
        <f t="shared" si="38"/>
        <v>COHLT</v>
      </c>
      <c r="I847" s="29">
        <f>IFERROR(ROUNDDOWN(VLOOKUP(F847,INDATA_FILL_DEMAND!$E$4:$F$251,2,FALSE)*IF(E847&lt;2043,1+$N$8,1+$O$8),4),"")</f>
        <v>0.77610000000000001</v>
      </c>
    </row>
    <row r="848" spans="4:9" x14ac:dyDescent="0.3">
      <c r="D848" s="26" t="str">
        <f t="shared" si="39"/>
        <v>Demand</v>
      </c>
      <c r="E848" s="10">
        <f t="shared" si="37"/>
        <v>2053</v>
      </c>
      <c r="F848" s="25" t="str">
        <f t="shared" si="38"/>
        <v>COOFF</v>
      </c>
      <c r="I848" s="29">
        <f>IFERROR(ROUNDDOWN(VLOOKUP(F848,INDATA_FILL_DEMAND!$E$4:$F$251,2,FALSE)*IF(E848&lt;2043,1+$N$8,1+$O$8),4),"")</f>
        <v>1.1013999999999999</v>
      </c>
    </row>
    <row r="849" spans="4:9" x14ac:dyDescent="0.3">
      <c r="D849" s="26" t="str">
        <f t="shared" si="39"/>
        <v>Demand</v>
      </c>
      <c r="E849" s="10">
        <f t="shared" si="37"/>
        <v>2053</v>
      </c>
      <c r="F849" s="25" t="str">
        <f t="shared" si="38"/>
        <v>COOTH</v>
      </c>
      <c r="I849" s="29">
        <f>IFERROR(ROUNDDOWN(VLOOKUP(F849,INDATA_FILL_DEMAND!$E$4:$F$251,2,FALSE)*IF(E849&lt;2043,1+$N$8,1+$O$8),4),"")</f>
        <v>6.5572999999999997</v>
      </c>
    </row>
    <row r="850" spans="4:9" x14ac:dyDescent="0.3">
      <c r="D850" s="26" t="str">
        <f t="shared" si="39"/>
        <v>Demand</v>
      </c>
      <c r="E850" s="10">
        <f t="shared" si="37"/>
        <v>2053</v>
      </c>
      <c r="F850" s="25" t="str">
        <f t="shared" si="38"/>
        <v>CORET</v>
      </c>
      <c r="I850" s="29">
        <f>IFERROR(ROUNDDOWN(VLOOKUP(F850,INDATA_FILL_DEMAND!$E$4:$F$251,2,FALSE)*IF(E850&lt;2043,1+$N$8,1+$O$8),4),"")</f>
        <v>1.3582000000000001</v>
      </c>
    </row>
    <row r="851" spans="4:9" x14ac:dyDescent="0.3">
      <c r="D851" s="26" t="str">
        <f t="shared" si="39"/>
        <v>Demand</v>
      </c>
      <c r="E851" s="10">
        <f t="shared" si="37"/>
        <v>2053</v>
      </c>
      <c r="F851" s="25" t="str">
        <f t="shared" si="38"/>
        <v>COSPO</v>
      </c>
      <c r="I851" s="29">
        <f>IFERROR(ROUNDDOWN(VLOOKUP(F851,INDATA_FILL_DEMAND!$E$4:$F$251,2,FALSE)*IF(E851&lt;2043,1+$N$8,1+$O$8),4),"")</f>
        <v>2.9134000000000002</v>
      </c>
    </row>
    <row r="852" spans="4:9" x14ac:dyDescent="0.3">
      <c r="D852" s="26" t="str">
        <f t="shared" si="39"/>
        <v>Demand</v>
      </c>
      <c r="E852" s="10">
        <f t="shared" si="37"/>
        <v>2053</v>
      </c>
      <c r="F852" s="25" t="str">
        <f t="shared" si="38"/>
        <v>COTUR</v>
      </c>
      <c r="I852" s="29">
        <f>IFERROR(ROUNDDOWN(VLOOKUP(F852,INDATA_FILL_DEMAND!$E$4:$F$251,2,FALSE)*IF(E852&lt;2043,1+$N$8,1+$O$8),4),"")</f>
        <v>0.82750000000000001</v>
      </c>
    </row>
    <row r="853" spans="4:9" x14ac:dyDescent="0.3">
      <c r="D853" s="26" t="str">
        <f t="shared" si="39"/>
        <v>*</v>
      </c>
      <c r="E853" s="10">
        <f t="shared" si="37"/>
        <v>2053</v>
      </c>
      <c r="F853" s="25" t="str">
        <f t="shared" si="38"/>
        <v>CECUL</v>
      </c>
      <c r="I853" s="29">
        <f>IFERROR(ROUNDDOWN(VLOOKUP(F853,INDATA_FILL_DEMAND!$E$4:$F$251,2,FALSE)*IF(E853&lt;2043,1+$N$8,1+$O$8),4),"")</f>
        <v>0</v>
      </c>
    </row>
    <row r="854" spans="4:9" x14ac:dyDescent="0.3">
      <c r="D854" s="26" t="str">
        <f t="shared" si="39"/>
        <v>*</v>
      </c>
      <c r="E854" s="10">
        <f t="shared" si="37"/>
        <v>2053</v>
      </c>
      <c r="F854" s="25" t="str">
        <f t="shared" si="38"/>
        <v>CEEDU</v>
      </c>
      <c r="I854" s="29">
        <f>IFERROR(ROUNDDOWN(VLOOKUP(F854,INDATA_FILL_DEMAND!$E$4:$F$251,2,FALSE)*IF(E854&lt;2043,1+$N$8,1+$O$8),4),"")</f>
        <v>0</v>
      </c>
    </row>
    <row r="855" spans="4:9" x14ac:dyDescent="0.3">
      <c r="D855" s="26" t="str">
        <f t="shared" si="39"/>
        <v>*</v>
      </c>
      <c r="E855" s="10">
        <f t="shared" si="37"/>
        <v>2053</v>
      </c>
      <c r="F855" s="25" t="str">
        <f t="shared" si="38"/>
        <v>CEHLT</v>
      </c>
      <c r="I855" s="29">
        <f>IFERROR(ROUNDDOWN(VLOOKUP(F855,INDATA_FILL_DEMAND!$E$4:$F$251,2,FALSE)*IF(E855&lt;2043,1+$N$8,1+$O$8),4),"")</f>
        <v>0</v>
      </c>
    </row>
    <row r="856" spans="4:9" x14ac:dyDescent="0.3">
      <c r="D856" s="26" t="str">
        <f t="shared" si="39"/>
        <v>*</v>
      </c>
      <c r="E856" s="10">
        <f t="shared" si="37"/>
        <v>2053</v>
      </c>
      <c r="F856" s="25" t="str">
        <f t="shared" si="38"/>
        <v>CEOFF</v>
      </c>
      <c r="I856" s="29">
        <f>IFERROR(ROUNDDOWN(VLOOKUP(F856,INDATA_FILL_DEMAND!$E$4:$F$251,2,FALSE)*IF(E856&lt;2043,1+$N$8,1+$O$8),4),"")</f>
        <v>0</v>
      </c>
    </row>
    <row r="857" spans="4:9" x14ac:dyDescent="0.3">
      <c r="D857" s="26" t="str">
        <f t="shared" si="39"/>
        <v>*</v>
      </c>
      <c r="E857" s="10">
        <f t="shared" si="37"/>
        <v>2053</v>
      </c>
      <c r="F857" s="25" t="str">
        <f t="shared" si="38"/>
        <v>CEOTH</v>
      </c>
      <c r="I857" s="29">
        <f>IFERROR(ROUNDDOWN(VLOOKUP(F857,INDATA_FILL_DEMAND!$E$4:$F$251,2,FALSE)*IF(E857&lt;2043,1+$N$8,1+$O$8),4),"")</f>
        <v>0</v>
      </c>
    </row>
    <row r="858" spans="4:9" x14ac:dyDescent="0.3">
      <c r="D858" s="26" t="str">
        <f t="shared" si="39"/>
        <v>*</v>
      </c>
      <c r="E858" s="10">
        <f t="shared" si="37"/>
        <v>2053</v>
      </c>
      <c r="F858" s="25" t="str">
        <f t="shared" si="38"/>
        <v>CERET</v>
      </c>
      <c r="I858" s="29">
        <f>IFERROR(ROUNDDOWN(VLOOKUP(F858,INDATA_FILL_DEMAND!$E$4:$F$251,2,FALSE)*IF(E858&lt;2043,1+$N$8,1+$O$8),4),"")</f>
        <v>0</v>
      </c>
    </row>
    <row r="859" spans="4:9" x14ac:dyDescent="0.3">
      <c r="D859" s="26" t="str">
        <f t="shared" si="39"/>
        <v>*</v>
      </c>
      <c r="E859" s="10">
        <f t="shared" si="37"/>
        <v>2053</v>
      </c>
      <c r="F859" s="25" t="str">
        <f t="shared" si="38"/>
        <v>CESPO</v>
      </c>
      <c r="I859" s="29">
        <f>IFERROR(ROUNDDOWN(VLOOKUP(F859,INDATA_FILL_DEMAND!$E$4:$F$251,2,FALSE)*IF(E859&lt;2043,1+$N$8,1+$O$8),4),"")</f>
        <v>0</v>
      </c>
    </row>
    <row r="860" spans="4:9" x14ac:dyDescent="0.3">
      <c r="D860" s="26" t="str">
        <f t="shared" si="39"/>
        <v>*</v>
      </c>
      <c r="E860" s="10">
        <f t="shared" si="37"/>
        <v>2053</v>
      </c>
      <c r="F860" s="25" t="str">
        <f t="shared" si="38"/>
        <v>CETUR</v>
      </c>
      <c r="I860" s="29">
        <f>IFERROR(ROUNDDOWN(VLOOKUP(F860,INDATA_FILL_DEMAND!$E$4:$F$251,2,FALSE)*IF(E860&lt;2043,1+$N$8,1+$O$8),4),"")</f>
        <v>0</v>
      </c>
    </row>
    <row r="861" spans="4:9" x14ac:dyDescent="0.3">
      <c r="D861" s="26" t="str">
        <f t="shared" si="39"/>
        <v>Demand</v>
      </c>
      <c r="E861" s="10">
        <f t="shared" si="37"/>
        <v>2053</v>
      </c>
      <c r="F861" s="25" t="str">
        <f t="shared" si="38"/>
        <v>MHCUL</v>
      </c>
      <c r="I861" s="29">
        <f>IFERROR(ROUNDDOWN(VLOOKUP(F861,INDATA_FILL_DEMAND!$E$4:$F$251,2,FALSE)*IF(E861&lt;2043,1+$N$8,1+$O$8),4),"")</f>
        <v>3.7602000000000002</v>
      </c>
    </row>
    <row r="862" spans="4:9" x14ac:dyDescent="0.3">
      <c r="D862" s="26" t="str">
        <f t="shared" si="39"/>
        <v>Demand</v>
      </c>
      <c r="E862" s="10">
        <f t="shared" si="37"/>
        <v>2053</v>
      </c>
      <c r="F862" s="25" t="str">
        <f t="shared" si="38"/>
        <v>MHEDU</v>
      </c>
      <c r="I862" s="29">
        <f>IFERROR(ROUNDDOWN(VLOOKUP(F862,INDATA_FILL_DEMAND!$E$4:$F$251,2,FALSE)*IF(E862&lt;2043,1+$N$8,1+$O$8),4),"")</f>
        <v>30.9392</v>
      </c>
    </row>
    <row r="863" spans="4:9" x14ac:dyDescent="0.3">
      <c r="D863" s="26" t="str">
        <f t="shared" si="39"/>
        <v>*</v>
      </c>
      <c r="E863" s="10">
        <f t="shared" si="37"/>
        <v>2053</v>
      </c>
      <c r="F863" s="25" t="str">
        <f t="shared" si="38"/>
        <v>MHHOU</v>
      </c>
      <c r="I863" s="29">
        <f>IFERROR(ROUNDDOWN(VLOOKUP(F863,INDATA_FILL_DEMAND!$E$4:$F$251,2,FALSE)*IF(E863&lt;2043,1+$N$8,1+$O$8),4),"")</f>
        <v>0</v>
      </c>
    </row>
    <row r="864" spans="4:9" x14ac:dyDescent="0.3">
      <c r="D864" s="26" t="str">
        <f t="shared" si="39"/>
        <v>Demand</v>
      </c>
      <c r="E864" s="10">
        <f t="shared" si="37"/>
        <v>2053</v>
      </c>
      <c r="F864" s="25" t="str">
        <f t="shared" si="38"/>
        <v>MHOFL</v>
      </c>
      <c r="I864" s="29">
        <f>IFERROR(ROUNDDOWN(VLOOKUP(F864,INDATA_FILL_DEMAND!$E$4:$F$251,2,FALSE)*IF(E864&lt;2043,1+$N$8,1+$O$8),4),"")</f>
        <v>3.7073999999999998</v>
      </c>
    </row>
    <row r="865" spans="4:9" x14ac:dyDescent="0.3">
      <c r="D865" s="26" t="str">
        <f t="shared" si="39"/>
        <v>Demand</v>
      </c>
      <c r="E865" s="10">
        <f t="shared" si="37"/>
        <v>2053</v>
      </c>
      <c r="F865" s="25" t="str">
        <f t="shared" si="38"/>
        <v>MHOFS</v>
      </c>
      <c r="I865" s="29">
        <f>IFERROR(ROUNDDOWN(VLOOKUP(F865,INDATA_FILL_DEMAND!$E$4:$F$251,2,FALSE)*IF(E865&lt;2043,1+$N$8,1+$O$8),4),"")</f>
        <v>3.8685999999999998</v>
      </c>
    </row>
    <row r="866" spans="4:9" x14ac:dyDescent="0.3">
      <c r="D866" s="26" t="str">
        <f t="shared" si="39"/>
        <v>Demand</v>
      </c>
      <c r="E866" s="10">
        <f t="shared" si="37"/>
        <v>2053</v>
      </c>
      <c r="F866" s="25" t="str">
        <f t="shared" si="38"/>
        <v>MHOTH</v>
      </c>
      <c r="I866" s="29">
        <f>IFERROR(ROUNDDOWN(VLOOKUP(F866,INDATA_FILL_DEMAND!$E$4:$F$251,2,FALSE)*IF(E866&lt;2043,1+$N$8,1+$O$8),4),"")</f>
        <v>5.3570000000000002</v>
      </c>
    </row>
    <row r="867" spans="4:9" x14ac:dyDescent="0.3">
      <c r="D867" s="26" t="str">
        <f t="shared" si="39"/>
        <v>Demand</v>
      </c>
      <c r="E867" s="10">
        <f t="shared" si="37"/>
        <v>2053</v>
      </c>
      <c r="F867" s="25" t="str">
        <f t="shared" si="38"/>
        <v>MHSPO</v>
      </c>
      <c r="I867" s="29">
        <f>IFERROR(ROUNDDOWN(VLOOKUP(F867,INDATA_FILL_DEMAND!$E$4:$F$251,2,FALSE)*IF(E867&lt;2043,1+$N$8,1+$O$8),4),"")</f>
        <v>12.138400000000001</v>
      </c>
    </row>
    <row r="868" spans="4:9" x14ac:dyDescent="0.3">
      <c r="D868" s="26" t="str">
        <f t="shared" si="39"/>
        <v>Demand</v>
      </c>
      <c r="E868" s="10">
        <f t="shared" si="37"/>
        <v>2053</v>
      </c>
      <c r="F868" s="25" t="str">
        <f t="shared" si="38"/>
        <v>MHTCH</v>
      </c>
      <c r="I868" s="29">
        <f>IFERROR(ROUNDDOWN(VLOOKUP(F868,INDATA_FILL_DEMAND!$E$4:$F$251,2,FALSE)*IF(E868&lt;2043,1+$N$8,1+$O$8),4),"")</f>
        <v>1.8236000000000001</v>
      </c>
    </row>
    <row r="869" spans="4:9" x14ac:dyDescent="0.3">
      <c r="D869" s="26" t="str">
        <f t="shared" si="39"/>
        <v>*</v>
      </c>
      <c r="E869" s="10">
        <f t="shared" si="37"/>
        <v>2053</v>
      </c>
      <c r="F869" s="25" t="str">
        <f t="shared" si="38"/>
        <v>MCCUL</v>
      </c>
      <c r="I869" s="29">
        <f>IFERROR(ROUNDDOWN(VLOOKUP(F869,INDATA_FILL_DEMAND!$E$4:$F$251,2,FALSE)*IF(E869&lt;2043,1+$N$8,1+$O$8),4),"")</f>
        <v>0</v>
      </c>
    </row>
    <row r="870" spans="4:9" x14ac:dyDescent="0.3">
      <c r="D870" s="26" t="str">
        <f t="shared" si="39"/>
        <v>*</v>
      </c>
      <c r="E870" s="10">
        <f t="shared" si="37"/>
        <v>2053</v>
      </c>
      <c r="F870" s="25" t="str">
        <f t="shared" si="38"/>
        <v>MCEDU</v>
      </c>
      <c r="I870" s="29">
        <f>IFERROR(ROUNDDOWN(VLOOKUP(F870,INDATA_FILL_DEMAND!$E$4:$F$251,2,FALSE)*IF(E870&lt;2043,1+$N$8,1+$O$8),4),"")</f>
        <v>0</v>
      </c>
    </row>
    <row r="871" spans="4:9" x14ac:dyDescent="0.3">
      <c r="D871" s="26" t="str">
        <f t="shared" si="39"/>
        <v>*</v>
      </c>
      <c r="E871" s="10">
        <f t="shared" si="37"/>
        <v>2053</v>
      </c>
      <c r="F871" s="25" t="str">
        <f t="shared" si="38"/>
        <v>MCHOU</v>
      </c>
      <c r="I871" s="29">
        <f>IFERROR(ROUNDDOWN(VLOOKUP(F871,INDATA_FILL_DEMAND!$E$4:$F$251,2,FALSE)*IF(E871&lt;2043,1+$N$8,1+$O$8),4),"")</f>
        <v>0</v>
      </c>
    </row>
    <row r="872" spans="4:9" x14ac:dyDescent="0.3">
      <c r="D872" s="26" t="str">
        <f t="shared" si="39"/>
        <v>*</v>
      </c>
      <c r="E872" s="10">
        <f t="shared" si="37"/>
        <v>2053</v>
      </c>
      <c r="F872" s="25" t="str">
        <f t="shared" si="38"/>
        <v>MCOFL</v>
      </c>
      <c r="I872" s="29">
        <f>IFERROR(ROUNDDOWN(VLOOKUP(F872,INDATA_FILL_DEMAND!$E$4:$F$251,2,FALSE)*IF(E872&lt;2043,1+$N$8,1+$O$8),4),"")</f>
        <v>0</v>
      </c>
    </row>
    <row r="873" spans="4:9" x14ac:dyDescent="0.3">
      <c r="D873" s="26" t="str">
        <f t="shared" si="39"/>
        <v>*</v>
      </c>
      <c r="E873" s="10">
        <f t="shared" si="37"/>
        <v>2053</v>
      </c>
      <c r="F873" s="25" t="str">
        <f t="shared" si="38"/>
        <v>MCOFS</v>
      </c>
      <c r="I873" s="29">
        <f>IFERROR(ROUNDDOWN(VLOOKUP(F873,INDATA_FILL_DEMAND!$E$4:$F$251,2,FALSE)*IF(E873&lt;2043,1+$N$8,1+$O$8),4),"")</f>
        <v>0</v>
      </c>
    </row>
    <row r="874" spans="4:9" x14ac:dyDescent="0.3">
      <c r="D874" s="26" t="str">
        <f t="shared" si="39"/>
        <v>*</v>
      </c>
      <c r="E874" s="10">
        <f t="shared" si="37"/>
        <v>2053</v>
      </c>
      <c r="F874" s="25" t="str">
        <f t="shared" si="38"/>
        <v>MCOTH</v>
      </c>
      <c r="I874" s="29">
        <f>IFERROR(ROUNDDOWN(VLOOKUP(F874,INDATA_FILL_DEMAND!$E$4:$F$251,2,FALSE)*IF(E874&lt;2043,1+$N$8,1+$O$8),4),"")</f>
        <v>0</v>
      </c>
    </row>
    <row r="875" spans="4:9" x14ac:dyDescent="0.3">
      <c r="D875" s="26" t="str">
        <f t="shared" si="39"/>
        <v>*</v>
      </c>
      <c r="E875" s="10">
        <f t="shared" si="37"/>
        <v>2053</v>
      </c>
      <c r="F875" s="25" t="str">
        <f t="shared" si="38"/>
        <v>MCSPO</v>
      </c>
      <c r="I875" s="29">
        <f>IFERROR(ROUNDDOWN(VLOOKUP(F875,INDATA_FILL_DEMAND!$E$4:$F$251,2,FALSE)*IF(E875&lt;2043,1+$N$8,1+$O$8),4),"")</f>
        <v>0</v>
      </c>
    </row>
    <row r="876" spans="4:9" x14ac:dyDescent="0.3">
      <c r="D876" s="26" t="str">
        <f t="shared" si="39"/>
        <v>*</v>
      </c>
      <c r="E876" s="10">
        <f t="shared" si="37"/>
        <v>2053</v>
      </c>
      <c r="F876" s="25" t="str">
        <f t="shared" si="38"/>
        <v>MCTCH</v>
      </c>
      <c r="I876" s="29">
        <f>IFERROR(ROUNDDOWN(VLOOKUP(F876,INDATA_FILL_DEMAND!$E$4:$F$251,2,FALSE)*IF(E876&lt;2043,1+$N$8,1+$O$8),4),"")</f>
        <v>0</v>
      </c>
    </row>
    <row r="877" spans="4:9" x14ac:dyDescent="0.3">
      <c r="D877" s="26" t="str">
        <f t="shared" si="39"/>
        <v>Demand</v>
      </c>
      <c r="E877" s="10">
        <f t="shared" si="37"/>
        <v>2053</v>
      </c>
      <c r="F877" s="25" t="str">
        <f t="shared" si="38"/>
        <v>MWCUL</v>
      </c>
      <c r="I877" s="29">
        <f>IFERROR(ROUNDDOWN(VLOOKUP(F877,INDATA_FILL_DEMAND!$E$4:$F$251,2,FALSE)*IF(E877&lt;2043,1+$N$8,1+$O$8),4),"")</f>
        <v>0.84809999999999997</v>
      </c>
    </row>
    <row r="878" spans="4:9" x14ac:dyDescent="0.3">
      <c r="D878" s="26" t="str">
        <f t="shared" si="39"/>
        <v>Demand</v>
      </c>
      <c r="E878" s="10">
        <f t="shared" si="37"/>
        <v>2053</v>
      </c>
      <c r="F878" s="25" t="str">
        <f t="shared" si="38"/>
        <v>MWEDU</v>
      </c>
      <c r="I878" s="29">
        <f>IFERROR(ROUNDDOWN(VLOOKUP(F878,INDATA_FILL_DEMAND!$E$4:$F$251,2,FALSE)*IF(E878&lt;2043,1+$N$8,1+$O$8),4),"")</f>
        <v>7.7447999999999997</v>
      </c>
    </row>
    <row r="879" spans="4:9" x14ac:dyDescent="0.3">
      <c r="D879" s="26" t="str">
        <f t="shared" si="39"/>
        <v>*</v>
      </c>
      <c r="E879" s="10">
        <f t="shared" ref="E879:E942" si="40">E878</f>
        <v>2053</v>
      </c>
      <c r="F879" s="25" t="str">
        <f t="shared" si="38"/>
        <v>MWHOU</v>
      </c>
      <c r="I879" s="29">
        <f>IFERROR(ROUNDDOWN(VLOOKUP(F879,INDATA_FILL_DEMAND!$E$4:$F$251,2,FALSE)*IF(E879&lt;2043,1+$N$8,1+$O$8),4),"")</f>
        <v>0</v>
      </c>
    </row>
    <row r="880" spans="4:9" x14ac:dyDescent="0.3">
      <c r="D880" s="26" t="str">
        <f t="shared" si="39"/>
        <v>Demand</v>
      </c>
      <c r="E880" s="10">
        <f t="shared" si="40"/>
        <v>2053</v>
      </c>
      <c r="F880" s="25" t="str">
        <f t="shared" si="38"/>
        <v>MWOFL</v>
      </c>
      <c r="I880" s="29">
        <f>IFERROR(ROUNDDOWN(VLOOKUP(F880,INDATA_FILL_DEMAND!$E$4:$F$251,2,FALSE)*IF(E880&lt;2043,1+$N$8,1+$O$8),4),"")</f>
        <v>0.93220000000000003</v>
      </c>
    </row>
    <row r="881" spans="4:9" x14ac:dyDescent="0.3">
      <c r="D881" s="26" t="str">
        <f t="shared" si="39"/>
        <v>Demand</v>
      </c>
      <c r="E881" s="10">
        <f t="shared" si="40"/>
        <v>2053</v>
      </c>
      <c r="F881" s="25" t="str">
        <f t="shared" si="38"/>
        <v>MWOFS</v>
      </c>
      <c r="I881" s="29">
        <f>IFERROR(ROUNDDOWN(VLOOKUP(F881,INDATA_FILL_DEMAND!$E$4:$F$251,2,FALSE)*IF(E881&lt;2043,1+$N$8,1+$O$8),4),"")</f>
        <v>0.8075</v>
      </c>
    </row>
    <row r="882" spans="4:9" x14ac:dyDescent="0.3">
      <c r="D882" s="26" t="str">
        <f t="shared" si="39"/>
        <v>Demand</v>
      </c>
      <c r="E882" s="10">
        <f t="shared" si="40"/>
        <v>2053</v>
      </c>
      <c r="F882" s="25" t="str">
        <f t="shared" si="38"/>
        <v>MWOTH</v>
      </c>
      <c r="I882" s="29">
        <f>IFERROR(ROUNDDOWN(VLOOKUP(F882,INDATA_FILL_DEMAND!$E$4:$F$251,2,FALSE)*IF(E882&lt;2043,1+$N$8,1+$O$8),4),"")</f>
        <v>1.3541000000000001</v>
      </c>
    </row>
    <row r="883" spans="4:9" x14ac:dyDescent="0.3">
      <c r="D883" s="26" t="str">
        <f t="shared" si="39"/>
        <v>Demand</v>
      </c>
      <c r="E883" s="10">
        <f t="shared" si="40"/>
        <v>2053</v>
      </c>
      <c r="F883" s="25" t="str">
        <f t="shared" si="38"/>
        <v>MWSPO</v>
      </c>
      <c r="I883" s="29">
        <f>IFERROR(ROUNDDOWN(VLOOKUP(F883,INDATA_FILL_DEMAND!$E$4:$F$251,2,FALSE)*IF(E883&lt;2043,1+$N$8,1+$O$8),4),"")</f>
        <v>3.0733000000000001</v>
      </c>
    </row>
    <row r="884" spans="4:9" x14ac:dyDescent="0.3">
      <c r="D884" s="26" t="str">
        <f t="shared" si="39"/>
        <v>Demand</v>
      </c>
      <c r="E884" s="10">
        <f t="shared" si="40"/>
        <v>2053</v>
      </c>
      <c r="F884" s="25" t="str">
        <f t="shared" si="38"/>
        <v>MWTCH</v>
      </c>
      <c r="I884" s="29">
        <f>IFERROR(ROUNDDOWN(VLOOKUP(F884,INDATA_FILL_DEMAND!$E$4:$F$251,2,FALSE)*IF(E884&lt;2043,1+$N$8,1+$O$8),4),"")</f>
        <v>0.44979999999999998</v>
      </c>
    </row>
    <row r="885" spans="4:9" x14ac:dyDescent="0.3">
      <c r="D885" s="26" t="str">
        <f t="shared" si="39"/>
        <v>Demand</v>
      </c>
      <c r="E885" s="10">
        <f t="shared" si="40"/>
        <v>2053</v>
      </c>
      <c r="F885" s="25" t="str">
        <f t="shared" si="38"/>
        <v>MKCUL</v>
      </c>
      <c r="I885" s="29">
        <f>IFERROR(ROUNDDOWN(VLOOKUP(F885,INDATA_FILL_DEMAND!$E$4:$F$251,2,FALSE)*IF(E885&lt;2043,1+$N$8,1+$O$8),4),"")</f>
        <v>0.27729999999999999</v>
      </c>
    </row>
    <row r="886" spans="4:9" x14ac:dyDescent="0.3">
      <c r="D886" s="26" t="str">
        <f t="shared" si="39"/>
        <v>Demand</v>
      </c>
      <c r="E886" s="10">
        <f t="shared" si="40"/>
        <v>2053</v>
      </c>
      <c r="F886" s="25" t="str">
        <f t="shared" si="38"/>
        <v>MKEDU</v>
      </c>
      <c r="I886" s="29">
        <f>IFERROR(ROUNDDOWN(VLOOKUP(F886,INDATA_FILL_DEMAND!$E$4:$F$251,2,FALSE)*IF(E886&lt;2043,1+$N$8,1+$O$8),4),"")</f>
        <v>0.66569999999999996</v>
      </c>
    </row>
    <row r="887" spans="4:9" x14ac:dyDescent="0.3">
      <c r="D887" s="26" t="str">
        <f t="shared" si="39"/>
        <v>*</v>
      </c>
      <c r="E887" s="10">
        <f t="shared" si="40"/>
        <v>2053</v>
      </c>
      <c r="F887" s="25" t="str">
        <f t="shared" si="38"/>
        <v>MKHOU</v>
      </c>
      <c r="I887" s="29">
        <f>IFERROR(ROUNDDOWN(VLOOKUP(F887,INDATA_FILL_DEMAND!$E$4:$F$251,2,FALSE)*IF(E887&lt;2043,1+$N$8,1+$O$8),4),"")</f>
        <v>0</v>
      </c>
    </row>
    <row r="888" spans="4:9" x14ac:dyDescent="0.3">
      <c r="D888" s="26" t="str">
        <f t="shared" si="39"/>
        <v>Demand</v>
      </c>
      <c r="E888" s="10">
        <f t="shared" si="40"/>
        <v>2053</v>
      </c>
      <c r="F888" s="25" t="str">
        <f t="shared" si="38"/>
        <v>MKOFL</v>
      </c>
      <c r="I888" s="29">
        <f>IFERROR(ROUNDDOWN(VLOOKUP(F888,INDATA_FILL_DEMAND!$E$4:$F$251,2,FALSE)*IF(E888&lt;2043,1+$N$8,1+$O$8),4),"")</f>
        <v>7.0900000000000005E-2</v>
      </c>
    </row>
    <row r="889" spans="4:9" x14ac:dyDescent="0.3">
      <c r="D889" s="26" t="str">
        <f t="shared" si="39"/>
        <v>Demand</v>
      </c>
      <c r="E889" s="10">
        <f t="shared" si="40"/>
        <v>2053</v>
      </c>
      <c r="F889" s="25" t="str">
        <f t="shared" si="38"/>
        <v>MKOFS</v>
      </c>
      <c r="I889" s="29">
        <f>IFERROR(ROUNDDOWN(VLOOKUP(F889,INDATA_FILL_DEMAND!$E$4:$F$251,2,FALSE)*IF(E889&lt;2043,1+$N$8,1+$O$8),4),"")</f>
        <v>0.42249999999999999</v>
      </c>
    </row>
    <row r="890" spans="4:9" x14ac:dyDescent="0.3">
      <c r="D890" s="26" t="str">
        <f t="shared" si="39"/>
        <v>Demand</v>
      </c>
      <c r="E890" s="10">
        <f t="shared" si="40"/>
        <v>2053</v>
      </c>
      <c r="F890" s="25" t="str">
        <f t="shared" si="38"/>
        <v>MKOTH</v>
      </c>
      <c r="I890" s="29">
        <f>IFERROR(ROUNDDOWN(VLOOKUP(F890,INDATA_FILL_DEMAND!$E$4:$F$251,2,FALSE)*IF(E890&lt;2043,1+$N$8,1+$O$8),4),"")</f>
        <v>8.7499999999999994E-2</v>
      </c>
    </row>
    <row r="891" spans="4:9" x14ac:dyDescent="0.3">
      <c r="D891" s="26" t="str">
        <f t="shared" si="39"/>
        <v>Demand</v>
      </c>
      <c r="E891" s="10">
        <f t="shared" si="40"/>
        <v>2053</v>
      </c>
      <c r="F891" s="25" t="str">
        <f t="shared" si="38"/>
        <v>MKSPO</v>
      </c>
      <c r="I891" s="29">
        <f>IFERROR(ROUNDDOWN(VLOOKUP(F891,INDATA_FILL_DEMAND!$E$4:$F$251,2,FALSE)*IF(E891&lt;2043,1+$N$8,1+$O$8),4),"")</f>
        <v>0.18770000000000001</v>
      </c>
    </row>
    <row r="892" spans="4:9" x14ac:dyDescent="0.3">
      <c r="D892" s="26" t="str">
        <f t="shared" si="39"/>
        <v>Demand</v>
      </c>
      <c r="E892" s="10">
        <f t="shared" si="40"/>
        <v>2053</v>
      </c>
      <c r="F892" s="25" t="str">
        <f t="shared" si="38"/>
        <v>MKTCH</v>
      </c>
      <c r="I892" s="29">
        <f>IFERROR(ROUNDDOWN(VLOOKUP(F892,INDATA_FILL_DEMAND!$E$4:$F$251,2,FALSE)*IF(E892&lt;2043,1+$N$8,1+$O$8),4),"")</f>
        <v>5.33E-2</v>
      </c>
    </row>
    <row r="893" spans="4:9" x14ac:dyDescent="0.3">
      <c r="D893" s="26" t="str">
        <f t="shared" si="39"/>
        <v>Demand</v>
      </c>
      <c r="E893" s="10">
        <f t="shared" si="40"/>
        <v>2053</v>
      </c>
      <c r="F893" s="25" t="str">
        <f t="shared" si="38"/>
        <v>MLCUL</v>
      </c>
      <c r="I893" s="29">
        <f>IFERROR(ROUNDDOWN(VLOOKUP(F893,INDATA_FILL_DEMAND!$E$4:$F$251,2,FALSE)*IF(E893&lt;2043,1+$N$8,1+$O$8),4),"")</f>
        <v>0.36699999999999999</v>
      </c>
    </row>
    <row r="894" spans="4:9" x14ac:dyDescent="0.3">
      <c r="D894" s="26" t="str">
        <f t="shared" si="39"/>
        <v>Demand</v>
      </c>
      <c r="E894" s="10">
        <f t="shared" si="40"/>
        <v>2053</v>
      </c>
      <c r="F894" s="25" t="str">
        <f t="shared" ref="F894:F957" si="41">F646</f>
        <v>MLEDU</v>
      </c>
      <c r="I894" s="29">
        <f>IFERROR(ROUNDDOWN(VLOOKUP(F894,INDATA_FILL_DEMAND!$E$4:$F$251,2,FALSE)*IF(E894&lt;2043,1+$N$8,1+$O$8),4),"")</f>
        <v>0.88109999999999999</v>
      </c>
    </row>
    <row r="895" spans="4:9" x14ac:dyDescent="0.3">
      <c r="D895" s="26" t="str">
        <f t="shared" si="39"/>
        <v>*</v>
      </c>
      <c r="E895" s="10">
        <f t="shared" si="40"/>
        <v>2053</v>
      </c>
      <c r="F895" s="25" t="str">
        <f t="shared" si="41"/>
        <v>MLHOU</v>
      </c>
      <c r="I895" s="29">
        <f>IFERROR(ROUNDDOWN(VLOOKUP(F895,INDATA_FILL_DEMAND!$E$4:$F$251,2,FALSE)*IF(E895&lt;2043,1+$N$8,1+$O$8),4),"")</f>
        <v>0</v>
      </c>
    </row>
    <row r="896" spans="4:9" x14ac:dyDescent="0.3">
      <c r="D896" s="26" t="str">
        <f t="shared" si="39"/>
        <v>Demand</v>
      </c>
      <c r="E896" s="10">
        <f t="shared" si="40"/>
        <v>2053</v>
      </c>
      <c r="F896" s="25" t="str">
        <f t="shared" si="41"/>
        <v>MLOFL</v>
      </c>
      <c r="I896" s="29">
        <f>IFERROR(ROUNDDOWN(VLOOKUP(F896,INDATA_FILL_DEMAND!$E$4:$F$251,2,FALSE)*IF(E896&lt;2043,1+$N$8,1+$O$8),4),"")</f>
        <v>9.3899999999999997E-2</v>
      </c>
    </row>
    <row r="897" spans="4:9" x14ac:dyDescent="0.3">
      <c r="D897" s="26" t="str">
        <f t="shared" si="39"/>
        <v>Demand</v>
      </c>
      <c r="E897" s="10">
        <f t="shared" si="40"/>
        <v>2053</v>
      </c>
      <c r="F897" s="25" t="str">
        <f t="shared" si="41"/>
        <v>MLOFS</v>
      </c>
      <c r="I897" s="29">
        <f>IFERROR(ROUNDDOWN(VLOOKUP(F897,INDATA_FILL_DEMAND!$E$4:$F$251,2,FALSE)*IF(E897&lt;2043,1+$N$8,1+$O$8),4),"")</f>
        <v>0.55920000000000003</v>
      </c>
    </row>
    <row r="898" spans="4:9" x14ac:dyDescent="0.3">
      <c r="D898" s="26" t="str">
        <f t="shared" si="39"/>
        <v>Demand</v>
      </c>
      <c r="E898" s="10">
        <f t="shared" si="40"/>
        <v>2053</v>
      </c>
      <c r="F898" s="25" t="str">
        <f t="shared" si="41"/>
        <v>MLOTH</v>
      </c>
      <c r="I898" s="29">
        <f>IFERROR(ROUNDDOWN(VLOOKUP(F898,INDATA_FILL_DEMAND!$E$4:$F$251,2,FALSE)*IF(E898&lt;2043,1+$N$8,1+$O$8),4),"")</f>
        <v>0.1158</v>
      </c>
    </row>
    <row r="899" spans="4:9" x14ac:dyDescent="0.3">
      <c r="D899" s="26" t="str">
        <f t="shared" si="39"/>
        <v>Demand</v>
      </c>
      <c r="E899" s="10">
        <f t="shared" si="40"/>
        <v>2053</v>
      </c>
      <c r="F899" s="25" t="str">
        <f t="shared" si="41"/>
        <v>MLSPO</v>
      </c>
      <c r="I899" s="29">
        <f>IFERROR(ROUNDDOWN(VLOOKUP(F899,INDATA_FILL_DEMAND!$E$4:$F$251,2,FALSE)*IF(E899&lt;2043,1+$N$8,1+$O$8),4),"")</f>
        <v>0.24840000000000001</v>
      </c>
    </row>
    <row r="900" spans="4:9" x14ac:dyDescent="0.3">
      <c r="D900" s="26" t="str">
        <f t="shared" si="39"/>
        <v>Demand</v>
      </c>
      <c r="E900" s="10">
        <f t="shared" si="40"/>
        <v>2053</v>
      </c>
      <c r="F900" s="25" t="str">
        <f t="shared" si="41"/>
        <v>MLTCH</v>
      </c>
      <c r="I900" s="29">
        <f>IFERROR(ROUNDDOWN(VLOOKUP(F900,INDATA_FILL_DEMAND!$E$4:$F$251,2,FALSE)*IF(E900&lt;2043,1+$N$8,1+$O$8),4),"")</f>
        <v>7.0499999999999993E-2</v>
      </c>
    </row>
    <row r="901" spans="4:9" x14ac:dyDescent="0.3">
      <c r="D901" s="26" t="str">
        <f t="shared" si="39"/>
        <v>Demand</v>
      </c>
      <c r="E901" s="10">
        <f t="shared" si="40"/>
        <v>2053</v>
      </c>
      <c r="F901" s="25" t="str">
        <f t="shared" si="41"/>
        <v>MOCUL</v>
      </c>
      <c r="I901" s="29">
        <f>IFERROR(ROUNDDOWN(VLOOKUP(F901,INDATA_FILL_DEMAND!$E$4:$F$251,2,FALSE)*IF(E901&lt;2043,1+$N$8,1+$O$8),4),"")</f>
        <v>1.7391000000000001</v>
      </c>
    </row>
    <row r="902" spans="4:9" x14ac:dyDescent="0.3">
      <c r="D902" s="26" t="str">
        <f t="shared" si="39"/>
        <v>Demand</v>
      </c>
      <c r="E902" s="10">
        <f t="shared" si="40"/>
        <v>2053</v>
      </c>
      <c r="F902" s="25" t="str">
        <f t="shared" si="41"/>
        <v>MOEDU</v>
      </c>
      <c r="I902" s="29">
        <f>IFERROR(ROUNDDOWN(VLOOKUP(F902,INDATA_FILL_DEMAND!$E$4:$F$251,2,FALSE)*IF(E902&lt;2043,1+$N$8,1+$O$8),4),"")</f>
        <v>4.1753999999999998</v>
      </c>
    </row>
    <row r="903" spans="4:9" x14ac:dyDescent="0.3">
      <c r="D903" s="26" t="str">
        <f t="shared" si="39"/>
        <v>*</v>
      </c>
      <c r="E903" s="10">
        <f t="shared" si="40"/>
        <v>2053</v>
      </c>
      <c r="F903" s="25" t="str">
        <f t="shared" si="41"/>
        <v>MOHOU</v>
      </c>
      <c r="I903" s="29">
        <f>IFERROR(ROUNDDOWN(VLOOKUP(F903,INDATA_FILL_DEMAND!$E$4:$F$251,2,FALSE)*IF(E903&lt;2043,1+$N$8,1+$O$8),4),"")</f>
        <v>0</v>
      </c>
    </row>
    <row r="904" spans="4:9" x14ac:dyDescent="0.3">
      <c r="D904" s="26" t="str">
        <f t="shared" si="39"/>
        <v>Demand</v>
      </c>
      <c r="E904" s="10">
        <f t="shared" si="40"/>
        <v>2053</v>
      </c>
      <c r="F904" s="25" t="str">
        <f t="shared" si="41"/>
        <v>MOOFL</v>
      </c>
      <c r="I904" s="29">
        <f>IFERROR(ROUNDDOWN(VLOOKUP(F904,INDATA_FILL_DEMAND!$E$4:$F$251,2,FALSE)*IF(E904&lt;2043,1+$N$8,1+$O$8),4),"")</f>
        <v>0.4451</v>
      </c>
    </row>
    <row r="905" spans="4:9" x14ac:dyDescent="0.3">
      <c r="D905" s="26" t="str">
        <f t="shared" si="39"/>
        <v>Demand</v>
      </c>
      <c r="E905" s="10">
        <f t="shared" si="40"/>
        <v>2053</v>
      </c>
      <c r="F905" s="25" t="str">
        <f t="shared" si="41"/>
        <v>MOOFS</v>
      </c>
      <c r="I905" s="29">
        <f>IFERROR(ROUNDDOWN(VLOOKUP(F905,INDATA_FILL_DEMAND!$E$4:$F$251,2,FALSE)*IF(E905&lt;2043,1+$N$8,1+$O$8),4),"")</f>
        <v>2.6501999999999999</v>
      </c>
    </row>
    <row r="906" spans="4:9" x14ac:dyDescent="0.3">
      <c r="D906" s="26" t="str">
        <f t="shared" si="39"/>
        <v>Demand</v>
      </c>
      <c r="E906" s="10">
        <f t="shared" si="40"/>
        <v>2053</v>
      </c>
      <c r="F906" s="25" t="str">
        <f t="shared" si="41"/>
        <v>MOOTH</v>
      </c>
      <c r="I906" s="29">
        <f>IFERROR(ROUNDDOWN(VLOOKUP(F906,INDATA_FILL_DEMAND!$E$4:$F$251,2,FALSE)*IF(E906&lt;2043,1+$N$8,1+$O$8),4),"")</f>
        <v>0.54890000000000005</v>
      </c>
    </row>
    <row r="907" spans="4:9" x14ac:dyDescent="0.3">
      <c r="D907" s="26" t="str">
        <f t="shared" si="39"/>
        <v>Demand</v>
      </c>
      <c r="E907" s="10">
        <f t="shared" si="40"/>
        <v>2053</v>
      </c>
      <c r="F907" s="25" t="str">
        <f t="shared" si="41"/>
        <v>MOSPO</v>
      </c>
      <c r="I907" s="29">
        <f>IFERROR(ROUNDDOWN(VLOOKUP(F907,INDATA_FILL_DEMAND!$E$4:$F$251,2,FALSE)*IF(E907&lt;2043,1+$N$8,1+$O$8),4),"")</f>
        <v>1.1774</v>
      </c>
    </row>
    <row r="908" spans="4:9" x14ac:dyDescent="0.3">
      <c r="D908" s="26" t="str">
        <f t="shared" si="39"/>
        <v>Demand</v>
      </c>
      <c r="E908" s="10">
        <f t="shared" si="40"/>
        <v>2053</v>
      </c>
      <c r="F908" s="25" t="str">
        <f t="shared" si="41"/>
        <v>MOTCH</v>
      </c>
      <c r="I908" s="29">
        <f>IFERROR(ROUNDDOWN(VLOOKUP(F908,INDATA_FILL_DEMAND!$E$4:$F$251,2,FALSE)*IF(E908&lt;2043,1+$N$8,1+$O$8),4),"")</f>
        <v>0.33439999999999998</v>
      </c>
    </row>
    <row r="909" spans="4:9" x14ac:dyDescent="0.3">
      <c r="D909" s="26" t="str">
        <f t="shared" si="39"/>
        <v>*</v>
      </c>
      <c r="E909" s="10">
        <f t="shared" si="40"/>
        <v>2053</v>
      </c>
      <c r="F909" s="25" t="str">
        <f t="shared" si="41"/>
        <v>MECUL</v>
      </c>
      <c r="I909" s="29">
        <f>IFERROR(ROUNDDOWN(VLOOKUP(F909,INDATA_FILL_DEMAND!$E$4:$F$251,2,FALSE)*IF(E909&lt;2043,1+$N$8,1+$O$8),4),"")</f>
        <v>0</v>
      </c>
    </row>
    <row r="910" spans="4:9" x14ac:dyDescent="0.3">
      <c r="D910" s="26" t="str">
        <f t="shared" ref="D910:D973" si="42">IF(AND(ISNUMBER(I910),I910&gt;0),"Demand","*")</f>
        <v>*</v>
      </c>
      <c r="E910" s="10">
        <f t="shared" si="40"/>
        <v>2053</v>
      </c>
      <c r="F910" s="25" t="str">
        <f t="shared" si="41"/>
        <v>MEEDU</v>
      </c>
      <c r="I910" s="29">
        <f>IFERROR(ROUNDDOWN(VLOOKUP(F910,INDATA_FILL_DEMAND!$E$4:$F$251,2,FALSE)*IF(E910&lt;2043,1+$N$8,1+$O$8),4),"")</f>
        <v>0</v>
      </c>
    </row>
    <row r="911" spans="4:9" x14ac:dyDescent="0.3">
      <c r="D911" s="26" t="str">
        <f t="shared" si="42"/>
        <v>*</v>
      </c>
      <c r="E911" s="10">
        <f t="shared" si="40"/>
        <v>2053</v>
      </c>
      <c r="F911" s="25" t="str">
        <f t="shared" si="41"/>
        <v>MEHOU</v>
      </c>
      <c r="I911" s="29">
        <f>IFERROR(ROUNDDOWN(VLOOKUP(F911,INDATA_FILL_DEMAND!$E$4:$F$251,2,FALSE)*IF(E911&lt;2043,1+$N$8,1+$O$8),4),"")</f>
        <v>0</v>
      </c>
    </row>
    <row r="912" spans="4:9" x14ac:dyDescent="0.3">
      <c r="D912" s="26" t="str">
        <f t="shared" si="42"/>
        <v>*</v>
      </c>
      <c r="E912" s="10">
        <f t="shared" si="40"/>
        <v>2053</v>
      </c>
      <c r="F912" s="25" t="str">
        <f t="shared" si="41"/>
        <v>MEOFL</v>
      </c>
      <c r="I912" s="29">
        <f>IFERROR(ROUNDDOWN(VLOOKUP(F912,INDATA_FILL_DEMAND!$E$4:$F$251,2,FALSE)*IF(E912&lt;2043,1+$N$8,1+$O$8),4),"")</f>
        <v>0</v>
      </c>
    </row>
    <row r="913" spans="4:9" x14ac:dyDescent="0.3">
      <c r="D913" s="26" t="str">
        <f t="shared" si="42"/>
        <v>*</v>
      </c>
      <c r="E913" s="10">
        <f t="shared" si="40"/>
        <v>2053</v>
      </c>
      <c r="F913" s="25" t="str">
        <f t="shared" si="41"/>
        <v>MEOFS</v>
      </c>
      <c r="I913" s="29">
        <f>IFERROR(ROUNDDOWN(VLOOKUP(F913,INDATA_FILL_DEMAND!$E$4:$F$251,2,FALSE)*IF(E913&lt;2043,1+$N$8,1+$O$8),4),"")</f>
        <v>0</v>
      </c>
    </row>
    <row r="914" spans="4:9" x14ac:dyDescent="0.3">
      <c r="D914" s="26" t="str">
        <f t="shared" si="42"/>
        <v>*</v>
      </c>
      <c r="E914" s="10">
        <f t="shared" si="40"/>
        <v>2053</v>
      </c>
      <c r="F914" s="25" t="str">
        <f t="shared" si="41"/>
        <v>MEOTH</v>
      </c>
      <c r="I914" s="29">
        <f>IFERROR(ROUNDDOWN(VLOOKUP(F914,INDATA_FILL_DEMAND!$E$4:$F$251,2,FALSE)*IF(E914&lt;2043,1+$N$8,1+$O$8),4),"")</f>
        <v>0</v>
      </c>
    </row>
    <row r="915" spans="4:9" x14ac:dyDescent="0.3">
      <c r="D915" s="26" t="str">
        <f t="shared" si="42"/>
        <v>*</v>
      </c>
      <c r="E915" s="10">
        <f t="shared" si="40"/>
        <v>2053</v>
      </c>
      <c r="F915" s="25" t="str">
        <f t="shared" si="41"/>
        <v>MESPO</v>
      </c>
      <c r="I915" s="29">
        <f>IFERROR(ROUNDDOWN(VLOOKUP(F915,INDATA_FILL_DEMAND!$E$4:$F$251,2,FALSE)*IF(E915&lt;2043,1+$N$8,1+$O$8),4),"")</f>
        <v>0</v>
      </c>
    </row>
    <row r="916" spans="4:9" x14ac:dyDescent="0.3">
      <c r="D916" s="26" t="str">
        <f t="shared" si="42"/>
        <v>*</v>
      </c>
      <c r="E916" s="10">
        <f t="shared" si="40"/>
        <v>2053</v>
      </c>
      <c r="F916" s="25" t="str">
        <f t="shared" si="41"/>
        <v>METCH</v>
      </c>
      <c r="I916" s="29">
        <f>IFERROR(ROUNDDOWN(VLOOKUP(F916,INDATA_FILL_DEMAND!$E$4:$F$251,2,FALSE)*IF(E916&lt;2043,1+$N$8,1+$O$8),4),"")</f>
        <v>0</v>
      </c>
    </row>
    <row r="917" spans="4:9" x14ac:dyDescent="0.3">
      <c r="D917" s="26" t="str">
        <f t="shared" si="42"/>
        <v>*</v>
      </c>
      <c r="E917" s="10">
        <f t="shared" si="40"/>
        <v>2053</v>
      </c>
      <c r="F917" s="25" t="str">
        <f t="shared" si="41"/>
        <v>TAI</v>
      </c>
      <c r="I917" s="29">
        <f>IFERROR(ROUNDDOWN(VLOOKUP(F917,INDATA_FILL_DEMAND!$E$4:$F$251,2,FALSE)*IF(E917&lt;2043,1+$N$8,1+$O$8),4),"")</f>
        <v>0</v>
      </c>
    </row>
    <row r="918" spans="4:9" x14ac:dyDescent="0.3">
      <c r="D918" s="26" t="str">
        <f t="shared" si="42"/>
        <v>*</v>
      </c>
      <c r="E918" s="10">
        <f t="shared" si="40"/>
        <v>2053</v>
      </c>
      <c r="F918" s="25" t="str">
        <f t="shared" si="41"/>
        <v>TAI-C</v>
      </c>
      <c r="I918" s="29">
        <f>IFERROR(ROUNDDOWN(VLOOKUP(F918,INDATA_FILL_DEMAND!$E$4:$F$251,2,FALSE)*IF(E918&lt;2043,1+$N$8,1+$O$8),4),"")</f>
        <v>0</v>
      </c>
    </row>
    <row r="919" spans="4:9" x14ac:dyDescent="0.3">
      <c r="D919" s="26" t="str">
        <f t="shared" si="42"/>
        <v>*</v>
      </c>
      <c r="E919" s="10">
        <f t="shared" si="40"/>
        <v>2053</v>
      </c>
      <c r="F919" s="25" t="str">
        <f t="shared" si="41"/>
        <v>TAV</v>
      </c>
      <c r="I919" s="29">
        <f>IFERROR(ROUNDDOWN(VLOOKUP(F919,INDATA_FILL_DEMAND!$E$4:$F$251,2,FALSE)*IF(E919&lt;2043,1+$N$8,1+$O$8),4),"")</f>
        <v>0</v>
      </c>
    </row>
    <row r="920" spans="4:9" x14ac:dyDescent="0.3">
      <c r="D920" s="26" t="str">
        <f t="shared" si="42"/>
        <v>*</v>
      </c>
      <c r="E920" s="10">
        <f t="shared" si="40"/>
        <v>2053</v>
      </c>
      <c r="F920" s="25" t="str">
        <f t="shared" si="41"/>
        <v>TAV-C</v>
      </c>
      <c r="I920" s="29">
        <f>IFERROR(ROUNDDOWN(VLOOKUP(F920,INDATA_FILL_DEMAND!$E$4:$F$251,2,FALSE)*IF(E920&lt;2043,1+$N$8,1+$O$8),4),"")</f>
        <v>0</v>
      </c>
    </row>
    <row r="921" spans="4:9" x14ac:dyDescent="0.3">
      <c r="D921" s="26" t="str">
        <f t="shared" si="42"/>
        <v>*</v>
      </c>
      <c r="E921" s="10">
        <f t="shared" si="40"/>
        <v>2053</v>
      </c>
      <c r="F921" s="25" t="str">
        <f t="shared" si="41"/>
        <v>TBI</v>
      </c>
      <c r="I921" s="29">
        <f>IFERROR(ROUNDDOWN(VLOOKUP(F921,INDATA_FILL_DEMAND!$E$4:$F$251,2,FALSE)*IF(E921&lt;2043,1+$N$8,1+$O$8),4),"")</f>
        <v>0</v>
      </c>
    </row>
    <row r="922" spans="4:9" x14ac:dyDescent="0.3">
      <c r="D922" s="26" t="str">
        <f t="shared" si="42"/>
        <v>*</v>
      </c>
      <c r="E922" s="10">
        <f t="shared" si="40"/>
        <v>2053</v>
      </c>
      <c r="F922" s="25" t="str">
        <f t="shared" si="41"/>
        <v>TBI-C</v>
      </c>
      <c r="I922" s="29">
        <f>IFERROR(ROUNDDOWN(VLOOKUP(F922,INDATA_FILL_DEMAND!$E$4:$F$251,2,FALSE)*IF(E922&lt;2043,1+$N$8,1+$O$8),4),"")</f>
        <v>0</v>
      </c>
    </row>
    <row r="923" spans="4:9" x14ac:dyDescent="0.3">
      <c r="D923" s="26" t="str">
        <f t="shared" si="42"/>
        <v>*</v>
      </c>
      <c r="E923" s="10">
        <f t="shared" si="40"/>
        <v>2053</v>
      </c>
      <c r="F923" s="25" t="str">
        <f t="shared" si="41"/>
        <v>TBU</v>
      </c>
      <c r="I923" s="29">
        <f>IFERROR(ROUNDDOWN(VLOOKUP(F923,INDATA_FILL_DEMAND!$E$4:$F$251,2,FALSE)*IF(E923&lt;2043,1+$N$8,1+$O$8),4),"")</f>
        <v>0</v>
      </c>
    </row>
    <row r="924" spans="4:9" x14ac:dyDescent="0.3">
      <c r="D924" s="26" t="str">
        <f t="shared" si="42"/>
        <v>*</v>
      </c>
      <c r="E924" s="10">
        <f t="shared" si="40"/>
        <v>2053</v>
      </c>
      <c r="F924" s="25" t="str">
        <f t="shared" si="41"/>
        <v>TBU-C</v>
      </c>
      <c r="I924" s="29">
        <f>IFERROR(ROUNDDOWN(VLOOKUP(F924,INDATA_FILL_DEMAND!$E$4:$F$251,2,FALSE)*IF(E924&lt;2043,1+$N$8,1+$O$8),4),"")</f>
        <v>0</v>
      </c>
    </row>
    <row r="925" spans="4:9" x14ac:dyDescent="0.3">
      <c r="D925" s="26" t="str">
        <f t="shared" si="42"/>
        <v>*</v>
      </c>
      <c r="E925" s="10">
        <f t="shared" si="40"/>
        <v>2053</v>
      </c>
      <c r="F925" s="25" t="str">
        <f t="shared" si="41"/>
        <v>TCL</v>
      </c>
      <c r="I925" s="29">
        <f>IFERROR(ROUNDDOWN(VLOOKUP(F925,INDATA_FILL_DEMAND!$E$4:$F$251,2,FALSE)*IF(E925&lt;2043,1+$N$8,1+$O$8),4),"")</f>
        <v>0</v>
      </c>
    </row>
    <row r="926" spans="4:9" x14ac:dyDescent="0.3">
      <c r="D926" s="26" t="str">
        <f t="shared" si="42"/>
        <v>*</v>
      </c>
      <c r="E926" s="10">
        <f t="shared" si="40"/>
        <v>2053</v>
      </c>
      <c r="F926" s="25" t="str">
        <f t="shared" si="41"/>
        <v>TCL-C</v>
      </c>
      <c r="I926" s="29">
        <f>IFERROR(ROUNDDOWN(VLOOKUP(F926,INDATA_FILL_DEMAND!$E$4:$F$251,2,FALSE)*IF(E926&lt;2043,1+$N$8,1+$O$8),4),"")</f>
        <v>0</v>
      </c>
    </row>
    <row r="927" spans="4:9" x14ac:dyDescent="0.3">
      <c r="D927" s="26" t="str">
        <f t="shared" si="42"/>
        <v>*</v>
      </c>
      <c r="E927" s="10">
        <f t="shared" si="40"/>
        <v>2053</v>
      </c>
      <c r="F927" s="25" t="str">
        <f t="shared" si="41"/>
        <v>TCL-P</v>
      </c>
      <c r="I927" s="29">
        <f>IFERROR(ROUNDDOWN(VLOOKUP(F927,INDATA_FILL_DEMAND!$E$4:$F$251,2,FALSE)*IF(E927&lt;2043,1+$N$8,1+$O$8),4),"")</f>
        <v>0</v>
      </c>
    </row>
    <row r="928" spans="4:9" x14ac:dyDescent="0.3">
      <c r="D928" s="26" t="str">
        <f t="shared" si="42"/>
        <v>*</v>
      </c>
      <c r="E928" s="10">
        <f t="shared" si="40"/>
        <v>2053</v>
      </c>
      <c r="F928" s="25" t="str">
        <f t="shared" si="41"/>
        <v>TCS</v>
      </c>
      <c r="I928" s="29">
        <f>IFERROR(ROUNDDOWN(VLOOKUP(F928,INDATA_FILL_DEMAND!$E$4:$F$251,2,FALSE)*IF(E928&lt;2043,1+$N$8,1+$O$8),4),"")</f>
        <v>0</v>
      </c>
    </row>
    <row r="929" spans="4:9" x14ac:dyDescent="0.3">
      <c r="D929" s="26" t="str">
        <f t="shared" si="42"/>
        <v>*</v>
      </c>
      <c r="E929" s="10">
        <f t="shared" si="40"/>
        <v>2053</v>
      </c>
      <c r="F929" s="25" t="str">
        <f t="shared" si="41"/>
        <v>TCS-C</v>
      </c>
      <c r="I929" s="29">
        <f>IFERROR(ROUNDDOWN(VLOOKUP(F929,INDATA_FILL_DEMAND!$E$4:$F$251,2,FALSE)*IF(E929&lt;2043,1+$N$8,1+$O$8),4),"")</f>
        <v>0</v>
      </c>
    </row>
    <row r="930" spans="4:9" x14ac:dyDescent="0.3">
      <c r="D930" s="26" t="str">
        <f t="shared" si="42"/>
        <v>*</v>
      </c>
      <c r="E930" s="10">
        <f t="shared" si="40"/>
        <v>2053</v>
      </c>
      <c r="F930" s="25" t="str">
        <f t="shared" si="41"/>
        <v>TCS-P</v>
      </c>
      <c r="I930" s="29">
        <f>IFERROR(ROUNDDOWN(VLOOKUP(F930,INDATA_FILL_DEMAND!$E$4:$F$251,2,FALSE)*IF(E930&lt;2043,1+$N$8,1+$O$8),4),"")</f>
        <v>0</v>
      </c>
    </row>
    <row r="931" spans="4:9" x14ac:dyDescent="0.3">
      <c r="D931" s="26" t="str">
        <f t="shared" si="42"/>
        <v>*</v>
      </c>
      <c r="E931" s="10">
        <f t="shared" si="40"/>
        <v>2053</v>
      </c>
      <c r="F931" s="25" t="str">
        <f t="shared" si="41"/>
        <v>TLEP</v>
      </c>
      <c r="I931" s="29">
        <f>IFERROR(ROUNDDOWN(VLOOKUP(F931,INDATA_FILL_DEMAND!$E$4:$F$251,2,FALSE)*IF(E931&lt;2043,1+$N$8,1+$O$8),4),"")</f>
        <v>0</v>
      </c>
    </row>
    <row r="932" spans="4:9" x14ac:dyDescent="0.3">
      <c r="D932" s="26" t="str">
        <f t="shared" si="42"/>
        <v>*</v>
      </c>
      <c r="E932" s="10">
        <f t="shared" si="40"/>
        <v>2053</v>
      </c>
      <c r="F932" s="25" t="str">
        <f t="shared" si="41"/>
        <v>TLEP-C</v>
      </c>
      <c r="I932" s="29">
        <f>IFERROR(ROUNDDOWN(VLOOKUP(F932,INDATA_FILL_DEMAND!$E$4:$F$251,2,FALSE)*IF(E932&lt;2043,1+$N$8,1+$O$8),4),"")</f>
        <v>0</v>
      </c>
    </row>
    <row r="933" spans="4:9" x14ac:dyDescent="0.3">
      <c r="D933" s="26" t="str">
        <f t="shared" si="42"/>
        <v>*</v>
      </c>
      <c r="E933" s="10">
        <f t="shared" si="40"/>
        <v>2053</v>
      </c>
      <c r="F933" s="25" t="str">
        <f t="shared" si="41"/>
        <v>TMO</v>
      </c>
      <c r="I933" s="29">
        <f>IFERROR(ROUNDDOWN(VLOOKUP(F933,INDATA_FILL_DEMAND!$E$4:$F$251,2,FALSE)*IF(E933&lt;2043,1+$N$8,1+$O$8),4),"")</f>
        <v>0</v>
      </c>
    </row>
    <row r="934" spans="4:9" x14ac:dyDescent="0.3">
      <c r="D934" s="26" t="str">
        <f t="shared" si="42"/>
        <v>*</v>
      </c>
      <c r="E934" s="10">
        <f t="shared" si="40"/>
        <v>2053</v>
      </c>
      <c r="F934" s="25" t="str">
        <f t="shared" si="41"/>
        <v>TMO-C</v>
      </c>
      <c r="I934" s="29">
        <f>IFERROR(ROUNDDOWN(VLOOKUP(F934,INDATA_FILL_DEMAND!$E$4:$F$251,2,FALSE)*IF(E934&lt;2043,1+$N$8,1+$O$8),4),"")</f>
        <v>0</v>
      </c>
    </row>
    <row r="935" spans="4:9" x14ac:dyDescent="0.3">
      <c r="D935" s="26" t="str">
        <f t="shared" si="42"/>
        <v>*</v>
      </c>
      <c r="E935" s="10">
        <f t="shared" si="40"/>
        <v>2053</v>
      </c>
      <c r="F935" s="25" t="str">
        <f t="shared" si="41"/>
        <v>TNA</v>
      </c>
      <c r="I935" s="29">
        <f>IFERROR(ROUNDDOWN(VLOOKUP(F935,INDATA_FILL_DEMAND!$E$4:$F$251,2,FALSE)*IF(E935&lt;2043,1+$N$8,1+$O$8),4),"")</f>
        <v>0</v>
      </c>
    </row>
    <row r="936" spans="4:9" x14ac:dyDescent="0.3">
      <c r="D936" s="26" t="str">
        <f t="shared" si="42"/>
        <v>*</v>
      </c>
      <c r="E936" s="10">
        <f t="shared" si="40"/>
        <v>2053</v>
      </c>
      <c r="F936" s="25" t="str">
        <f t="shared" si="41"/>
        <v>TNA-C</v>
      </c>
      <c r="I936" s="29">
        <f>IFERROR(ROUNDDOWN(VLOOKUP(F936,INDATA_FILL_DEMAND!$E$4:$F$251,2,FALSE)*IF(E936&lt;2043,1+$N$8,1+$O$8),4),"")</f>
        <v>0</v>
      </c>
    </row>
    <row r="937" spans="4:9" x14ac:dyDescent="0.3">
      <c r="D937" s="26" t="str">
        <f t="shared" si="42"/>
        <v>*</v>
      </c>
      <c r="E937" s="10">
        <f t="shared" si="40"/>
        <v>2053</v>
      </c>
      <c r="F937" s="25" t="str">
        <f t="shared" si="41"/>
        <v>TNC</v>
      </c>
      <c r="I937" s="29">
        <f>IFERROR(ROUNDDOWN(VLOOKUP(F937,INDATA_FILL_DEMAND!$E$4:$F$251,2,FALSE)*IF(E937&lt;2043,1+$N$8,1+$O$8),4),"")</f>
        <v>0</v>
      </c>
    </row>
    <row r="938" spans="4:9" x14ac:dyDescent="0.3">
      <c r="D938" s="26" t="str">
        <f t="shared" si="42"/>
        <v>*</v>
      </c>
      <c r="E938" s="10">
        <f t="shared" si="40"/>
        <v>2053</v>
      </c>
      <c r="F938" s="25" t="str">
        <f t="shared" si="41"/>
        <v>TNC-C</v>
      </c>
      <c r="I938" s="29">
        <f>IFERROR(ROUNDDOWN(VLOOKUP(F938,INDATA_FILL_DEMAND!$E$4:$F$251,2,FALSE)*IF(E938&lt;2043,1+$N$8,1+$O$8),4),"")</f>
        <v>0</v>
      </c>
    </row>
    <row r="939" spans="4:9" x14ac:dyDescent="0.3">
      <c r="D939" s="26" t="str">
        <f t="shared" si="42"/>
        <v>*</v>
      </c>
      <c r="E939" s="10">
        <f t="shared" si="40"/>
        <v>2053</v>
      </c>
      <c r="F939" s="25" t="str">
        <f t="shared" si="41"/>
        <v>TNO</v>
      </c>
      <c r="I939" s="29">
        <f>IFERROR(ROUNDDOWN(VLOOKUP(F939,INDATA_FILL_DEMAND!$E$4:$F$251,2,FALSE)*IF(E939&lt;2043,1+$N$8,1+$O$8),4),"")</f>
        <v>0</v>
      </c>
    </row>
    <row r="940" spans="4:9" x14ac:dyDescent="0.3">
      <c r="D940" s="26" t="str">
        <f t="shared" si="42"/>
        <v>*</v>
      </c>
      <c r="E940" s="10">
        <f t="shared" si="40"/>
        <v>2053</v>
      </c>
      <c r="F940" s="25" t="str">
        <f t="shared" si="41"/>
        <v>TNO-C</v>
      </c>
      <c r="I940" s="29">
        <f>IFERROR(ROUNDDOWN(VLOOKUP(F940,INDATA_FILL_DEMAND!$E$4:$F$251,2,FALSE)*IF(E940&lt;2043,1+$N$8,1+$O$8),4),"")</f>
        <v>0</v>
      </c>
    </row>
    <row r="941" spans="4:9" x14ac:dyDescent="0.3">
      <c r="D941" s="26" t="str">
        <f t="shared" si="42"/>
        <v>*</v>
      </c>
      <c r="E941" s="10">
        <f t="shared" si="40"/>
        <v>2053</v>
      </c>
      <c r="F941" s="25" t="str">
        <f t="shared" si="41"/>
        <v>TTH</v>
      </c>
      <c r="I941" s="29">
        <f>IFERROR(ROUNDDOWN(VLOOKUP(F941,INDATA_FILL_DEMAND!$E$4:$F$251,2,FALSE)*IF(E941&lt;2043,1+$N$8,1+$O$8),4),"")</f>
        <v>0</v>
      </c>
    </row>
    <row r="942" spans="4:9" x14ac:dyDescent="0.3">
      <c r="D942" s="26" t="str">
        <f t="shared" si="42"/>
        <v>*</v>
      </c>
      <c r="E942" s="10">
        <f t="shared" si="40"/>
        <v>2053</v>
      </c>
      <c r="F942" s="25" t="str">
        <f t="shared" si="41"/>
        <v>TTH-C</v>
      </c>
      <c r="I942" s="29">
        <f>IFERROR(ROUNDDOWN(VLOOKUP(F942,INDATA_FILL_DEMAND!$E$4:$F$251,2,FALSE)*IF(E942&lt;2043,1+$N$8,1+$O$8),4),"")</f>
        <v>0</v>
      </c>
    </row>
    <row r="943" spans="4:9" x14ac:dyDescent="0.3">
      <c r="D943" s="26" t="str">
        <f t="shared" si="42"/>
        <v>*</v>
      </c>
      <c r="E943" s="10">
        <f t="shared" ref="E943:E996" si="43">E942</f>
        <v>2053</v>
      </c>
      <c r="F943" s="25" t="str">
        <f t="shared" si="41"/>
        <v>TTL</v>
      </c>
      <c r="I943" s="29">
        <f>IFERROR(ROUNDDOWN(VLOOKUP(F943,INDATA_FILL_DEMAND!$E$4:$F$251,2,FALSE)*IF(E943&lt;2043,1+$N$8,1+$O$8),4),"")</f>
        <v>0</v>
      </c>
    </row>
    <row r="944" spans="4:9" x14ac:dyDescent="0.3">
      <c r="D944" s="26" t="str">
        <f t="shared" si="42"/>
        <v>*</v>
      </c>
      <c r="E944" s="10">
        <f t="shared" si="43"/>
        <v>2053</v>
      </c>
      <c r="F944" s="25" t="str">
        <f t="shared" si="41"/>
        <v>TTL-C</v>
      </c>
      <c r="I944" s="29">
        <f>IFERROR(ROUNDDOWN(VLOOKUP(F944,INDATA_FILL_DEMAND!$E$4:$F$251,2,FALSE)*IF(E944&lt;2043,1+$N$8,1+$O$8),4),"")</f>
        <v>0</v>
      </c>
    </row>
    <row r="945" spans="4:9" x14ac:dyDescent="0.3">
      <c r="D945" s="26" t="str">
        <f t="shared" si="42"/>
        <v>*</v>
      </c>
      <c r="E945" s="10">
        <f t="shared" si="43"/>
        <v>2053</v>
      </c>
      <c r="F945" s="25" t="str">
        <f t="shared" si="41"/>
        <v>TTM</v>
      </c>
      <c r="I945" s="29">
        <f>IFERROR(ROUNDDOWN(VLOOKUP(F945,INDATA_FILL_DEMAND!$E$4:$F$251,2,FALSE)*IF(E945&lt;2043,1+$N$8,1+$O$8),4),"")</f>
        <v>0</v>
      </c>
    </row>
    <row r="946" spans="4:9" x14ac:dyDescent="0.3">
      <c r="D946" s="26" t="str">
        <f t="shared" si="42"/>
        <v>*</v>
      </c>
      <c r="E946" s="10">
        <f t="shared" si="43"/>
        <v>2053</v>
      </c>
      <c r="F946" s="25" t="str">
        <f t="shared" si="41"/>
        <v>TTM-C</v>
      </c>
      <c r="I946" s="29">
        <f>IFERROR(ROUNDDOWN(VLOOKUP(F946,INDATA_FILL_DEMAND!$E$4:$F$251,2,FALSE)*IF(E946&lt;2043,1+$N$8,1+$O$8),4),"")</f>
        <v>0</v>
      </c>
    </row>
    <row r="947" spans="4:9" x14ac:dyDescent="0.3">
      <c r="D947" s="26" t="str">
        <f t="shared" si="42"/>
        <v>*</v>
      </c>
      <c r="E947" s="10">
        <f t="shared" si="43"/>
        <v>2053</v>
      </c>
      <c r="F947" s="25" t="str">
        <f t="shared" si="41"/>
        <v>TTP</v>
      </c>
      <c r="I947" s="29">
        <f>IFERROR(ROUNDDOWN(VLOOKUP(F947,INDATA_FILL_DEMAND!$E$4:$F$251,2,FALSE)*IF(E947&lt;2043,1+$N$8,1+$O$8),4),"")</f>
        <v>0</v>
      </c>
    </row>
    <row r="948" spans="4:9" x14ac:dyDescent="0.3">
      <c r="D948" s="26" t="str">
        <f t="shared" si="42"/>
        <v>*</v>
      </c>
      <c r="E948" s="10">
        <f t="shared" si="43"/>
        <v>2053</v>
      </c>
      <c r="F948" s="25" t="str">
        <f t="shared" si="41"/>
        <v>TTP-C</v>
      </c>
      <c r="I948" s="29">
        <f>IFERROR(ROUNDDOWN(VLOOKUP(F948,INDATA_FILL_DEMAND!$E$4:$F$251,2,FALSE)*IF(E948&lt;2043,1+$N$8,1+$O$8),4),"")</f>
        <v>0</v>
      </c>
    </row>
    <row r="949" spans="4:9" x14ac:dyDescent="0.3">
      <c r="D949" s="26" t="str">
        <f t="shared" si="42"/>
        <v>*</v>
      </c>
      <c r="E949" s="10">
        <f t="shared" si="43"/>
        <v>2053</v>
      </c>
      <c r="F949" s="25" t="str">
        <f t="shared" si="41"/>
        <v>TWN</v>
      </c>
      <c r="I949" s="29">
        <f>IFERROR(ROUNDDOWN(VLOOKUP(F949,INDATA_FILL_DEMAND!$E$4:$F$251,2,FALSE)*IF(E949&lt;2043,1+$N$8,1+$O$8),4),"")</f>
        <v>0</v>
      </c>
    </row>
    <row r="950" spans="4:9" x14ac:dyDescent="0.3">
      <c r="D950" s="26" t="str">
        <f t="shared" si="42"/>
        <v>*</v>
      </c>
      <c r="E950" s="10">
        <f t="shared" si="43"/>
        <v>2053</v>
      </c>
      <c r="F950" s="25" t="str">
        <f t="shared" si="41"/>
        <v>TWN-C</v>
      </c>
      <c r="I950" s="29">
        <f>IFERROR(ROUNDDOWN(VLOOKUP(F950,INDATA_FILL_DEMAND!$E$4:$F$251,2,FALSE)*IF(E950&lt;2043,1+$N$8,1+$O$8),4),"")</f>
        <v>0</v>
      </c>
    </row>
    <row r="951" spans="4:9" x14ac:dyDescent="0.3">
      <c r="D951" s="26" t="str">
        <f t="shared" si="42"/>
        <v>*</v>
      </c>
      <c r="E951" s="10">
        <f t="shared" si="43"/>
        <v>2053</v>
      </c>
      <c r="F951" s="25" t="str">
        <f t="shared" si="41"/>
        <v>TYEP</v>
      </c>
      <c r="I951" s="29">
        <f>IFERROR(ROUNDDOWN(VLOOKUP(F951,INDATA_FILL_DEMAND!$E$4:$F$251,2,FALSE)*IF(E951&lt;2043,1+$N$8,1+$O$8),4),"")</f>
        <v>0</v>
      </c>
    </row>
    <row r="952" spans="4:9" x14ac:dyDescent="0.3">
      <c r="D952" s="26" t="str">
        <f t="shared" si="42"/>
        <v>*</v>
      </c>
      <c r="E952" s="10">
        <f t="shared" si="43"/>
        <v>2053</v>
      </c>
      <c r="F952" s="25" t="str">
        <f t="shared" si="41"/>
        <v>TYEP-C</v>
      </c>
      <c r="I952" s="29">
        <f>IFERROR(ROUNDDOWN(VLOOKUP(F952,INDATA_FILL_DEMAND!$E$4:$F$251,2,FALSE)*IF(E952&lt;2043,1+$N$8,1+$O$8),4),"")</f>
        <v>0</v>
      </c>
    </row>
    <row r="953" spans="4:9" x14ac:dyDescent="0.3">
      <c r="D953" s="26" t="str">
        <f t="shared" si="42"/>
        <v>*</v>
      </c>
      <c r="E953" s="10">
        <f t="shared" si="43"/>
        <v>2053</v>
      </c>
      <c r="F953" s="25" t="str">
        <f t="shared" si="41"/>
        <v>TYNP</v>
      </c>
      <c r="I953" s="29">
        <f>IFERROR(ROUNDDOWN(VLOOKUP(F953,INDATA_FILL_DEMAND!$E$4:$F$251,2,FALSE)*IF(E953&lt;2043,1+$N$8,1+$O$8),4),"")</f>
        <v>0</v>
      </c>
    </row>
    <row r="954" spans="4:9" x14ac:dyDescent="0.3">
      <c r="D954" s="26" t="str">
        <f t="shared" si="42"/>
        <v>*</v>
      </c>
      <c r="E954" s="10">
        <f t="shared" si="43"/>
        <v>2053</v>
      </c>
      <c r="F954" s="25" t="str">
        <f t="shared" si="41"/>
        <v>TYNP-C</v>
      </c>
      <c r="I954" s="29">
        <f>IFERROR(ROUNDDOWN(VLOOKUP(F954,INDATA_FILL_DEMAND!$E$4:$F$251,2,FALSE)*IF(E954&lt;2043,1+$N$8,1+$O$8),4),"")</f>
        <v>0</v>
      </c>
    </row>
    <row r="955" spans="4:9" x14ac:dyDescent="0.3">
      <c r="D955" s="26" t="str">
        <f t="shared" si="42"/>
        <v>*</v>
      </c>
      <c r="E955" s="10">
        <f t="shared" si="43"/>
        <v>2053</v>
      </c>
      <c r="F955" s="25" t="str">
        <f t="shared" si="41"/>
        <v>TLEF</v>
      </c>
      <c r="I955" s="29">
        <f>IFERROR(ROUNDDOWN(VLOOKUP(F955,INDATA_FILL_DEMAND!$E$4:$F$251,2,FALSE)*IF(E955&lt;2043,1+$N$8,1+$O$8),4),"")</f>
        <v>0</v>
      </c>
    </row>
    <row r="956" spans="4:9" x14ac:dyDescent="0.3">
      <c r="D956" s="26" t="str">
        <f t="shared" si="42"/>
        <v>*</v>
      </c>
      <c r="E956" s="10">
        <f t="shared" si="43"/>
        <v>2053</v>
      </c>
      <c r="F956" s="25" t="str">
        <f t="shared" si="41"/>
        <v>TLEF-C</v>
      </c>
      <c r="I956" s="29">
        <f>IFERROR(ROUNDDOWN(VLOOKUP(F956,INDATA_FILL_DEMAND!$E$4:$F$251,2,FALSE)*IF(E956&lt;2043,1+$N$8,1+$O$8),4),"")</f>
        <v>0</v>
      </c>
    </row>
    <row r="957" spans="4:9" x14ac:dyDescent="0.3">
      <c r="D957" s="26" t="str">
        <f t="shared" si="42"/>
        <v>*</v>
      </c>
      <c r="E957" s="10">
        <f t="shared" si="43"/>
        <v>2053</v>
      </c>
      <c r="F957" s="25" t="str">
        <f t="shared" si="41"/>
        <v>TFLL</v>
      </c>
      <c r="I957" s="29">
        <f>IFERROR(ROUNDDOWN(VLOOKUP(F957,INDATA_FILL_DEMAND!$E$4:$F$251,2,FALSE)*IF(E957&lt;2043,1+$N$8,1+$O$8),4),"")</f>
        <v>0</v>
      </c>
    </row>
    <row r="958" spans="4:9" x14ac:dyDescent="0.3">
      <c r="D958" s="26" t="str">
        <f t="shared" si="42"/>
        <v>*</v>
      </c>
      <c r="E958" s="10">
        <f t="shared" si="43"/>
        <v>2053</v>
      </c>
      <c r="F958" s="25" t="str">
        <f t="shared" ref="F958:F996" si="44">F710</f>
        <v>TFLL-C</v>
      </c>
      <c r="I958" s="29">
        <f>IFERROR(ROUNDDOWN(VLOOKUP(F958,INDATA_FILL_DEMAND!$E$4:$F$251,2,FALSE)*IF(E958&lt;2043,1+$N$8,1+$O$8),4),"")</f>
        <v>0</v>
      </c>
    </row>
    <row r="959" spans="4:9" x14ac:dyDescent="0.3">
      <c r="D959" s="26" t="str">
        <f t="shared" si="42"/>
        <v>*</v>
      </c>
      <c r="E959" s="10">
        <f t="shared" si="43"/>
        <v>2053</v>
      </c>
      <c r="F959" s="25" t="str">
        <f t="shared" si="44"/>
        <v>TFLS</v>
      </c>
      <c r="I959" s="29">
        <f>IFERROR(ROUNDDOWN(VLOOKUP(F959,INDATA_FILL_DEMAND!$E$4:$F$251,2,FALSE)*IF(E959&lt;2043,1+$N$8,1+$O$8),4),"")</f>
        <v>0</v>
      </c>
    </row>
    <row r="960" spans="4:9" x14ac:dyDescent="0.3">
      <c r="D960" s="26" t="str">
        <f t="shared" si="42"/>
        <v>*</v>
      </c>
      <c r="E960" s="10">
        <f t="shared" si="43"/>
        <v>2053</v>
      </c>
      <c r="F960" s="25" t="str">
        <f t="shared" si="44"/>
        <v>TFLS-C</v>
      </c>
      <c r="I960" s="29">
        <f>IFERROR(ROUNDDOWN(VLOOKUP(F960,INDATA_FILL_DEMAND!$E$4:$F$251,2,FALSE)*IF(E960&lt;2043,1+$N$8,1+$O$8),4),"")</f>
        <v>0</v>
      </c>
    </row>
    <row r="961" spans="4:9" x14ac:dyDescent="0.3">
      <c r="D961" s="26" t="str">
        <f t="shared" si="42"/>
        <v>*</v>
      </c>
      <c r="E961" s="10">
        <f t="shared" si="43"/>
        <v>2053</v>
      </c>
      <c r="F961" s="25" t="str">
        <f t="shared" si="44"/>
        <v>TFML</v>
      </c>
      <c r="I961" s="29">
        <f>IFERROR(ROUNDDOWN(VLOOKUP(F961,INDATA_FILL_DEMAND!$E$4:$F$251,2,FALSE)*IF(E961&lt;2043,1+$N$8,1+$O$8),4),"")</f>
        <v>0</v>
      </c>
    </row>
    <row r="962" spans="4:9" x14ac:dyDescent="0.3">
      <c r="D962" s="26" t="str">
        <f t="shared" si="42"/>
        <v>*</v>
      </c>
      <c r="E962" s="10">
        <f t="shared" si="43"/>
        <v>2053</v>
      </c>
      <c r="F962" s="25" t="str">
        <f t="shared" si="44"/>
        <v>TFML-C</v>
      </c>
      <c r="I962" s="29">
        <f>IFERROR(ROUNDDOWN(VLOOKUP(F962,INDATA_FILL_DEMAND!$E$4:$F$251,2,FALSE)*IF(E962&lt;2043,1+$N$8,1+$O$8),4),"")</f>
        <v>0</v>
      </c>
    </row>
    <row r="963" spans="4:9" x14ac:dyDescent="0.3">
      <c r="D963" s="26" t="str">
        <f t="shared" si="42"/>
        <v>*</v>
      </c>
      <c r="E963" s="10">
        <f t="shared" si="43"/>
        <v>2053</v>
      </c>
      <c r="F963" s="25" t="str">
        <f t="shared" si="44"/>
        <v>TFMS</v>
      </c>
      <c r="I963" s="29">
        <f>IFERROR(ROUNDDOWN(VLOOKUP(F963,INDATA_FILL_DEMAND!$E$4:$F$251,2,FALSE)*IF(E963&lt;2043,1+$N$8,1+$O$8),4),"")</f>
        <v>0</v>
      </c>
    </row>
    <row r="964" spans="4:9" x14ac:dyDescent="0.3">
      <c r="D964" s="26" t="str">
        <f t="shared" si="42"/>
        <v>*</v>
      </c>
      <c r="E964" s="10">
        <f t="shared" si="43"/>
        <v>2053</v>
      </c>
      <c r="F964" s="25" t="str">
        <f t="shared" si="44"/>
        <v>TFMS-C</v>
      </c>
      <c r="I964" s="29">
        <f>IFERROR(ROUNDDOWN(VLOOKUP(F964,INDATA_FILL_DEMAND!$E$4:$F$251,2,FALSE)*IF(E964&lt;2043,1+$N$8,1+$O$8),4),"")</f>
        <v>0</v>
      </c>
    </row>
    <row r="965" spans="4:9" x14ac:dyDescent="0.3">
      <c r="D965" s="26" t="str">
        <f t="shared" si="42"/>
        <v>*</v>
      </c>
      <c r="E965" s="10">
        <f t="shared" si="43"/>
        <v>2053</v>
      </c>
      <c r="F965" s="25" t="str">
        <f t="shared" si="44"/>
        <v>TFRL</v>
      </c>
      <c r="I965" s="29">
        <f>IFERROR(ROUNDDOWN(VLOOKUP(F965,INDATA_FILL_DEMAND!$E$4:$F$251,2,FALSE)*IF(E965&lt;2043,1+$N$8,1+$O$8),4),"")</f>
        <v>0</v>
      </c>
    </row>
    <row r="966" spans="4:9" x14ac:dyDescent="0.3">
      <c r="D966" s="26" t="str">
        <f t="shared" si="42"/>
        <v>*</v>
      </c>
      <c r="E966" s="10">
        <f t="shared" si="43"/>
        <v>2053</v>
      </c>
      <c r="F966" s="25" t="str">
        <f t="shared" si="44"/>
        <v>TFRL-C</v>
      </c>
      <c r="I966" s="29">
        <f>IFERROR(ROUNDDOWN(VLOOKUP(F966,INDATA_FILL_DEMAND!$E$4:$F$251,2,FALSE)*IF(E966&lt;2043,1+$N$8,1+$O$8),4),"")</f>
        <v>0</v>
      </c>
    </row>
    <row r="967" spans="4:9" x14ac:dyDescent="0.3">
      <c r="D967" s="26" t="str">
        <f t="shared" si="42"/>
        <v>*</v>
      </c>
      <c r="E967" s="10">
        <f t="shared" si="43"/>
        <v>2053</v>
      </c>
      <c r="F967" s="25" t="str">
        <f t="shared" si="44"/>
        <v>TFRS</v>
      </c>
      <c r="I967" s="29">
        <f>IFERROR(ROUNDDOWN(VLOOKUP(F967,INDATA_FILL_DEMAND!$E$4:$F$251,2,FALSE)*IF(E967&lt;2043,1+$N$8,1+$O$8),4),"")</f>
        <v>0</v>
      </c>
    </row>
    <row r="968" spans="4:9" x14ac:dyDescent="0.3">
      <c r="D968" s="26" t="str">
        <f t="shared" si="42"/>
        <v>*</v>
      </c>
      <c r="E968" s="10">
        <f t="shared" si="43"/>
        <v>2053</v>
      </c>
      <c r="F968" s="25" t="str">
        <f t="shared" si="44"/>
        <v>TFRS-C</v>
      </c>
      <c r="I968" s="29">
        <f>IFERROR(ROUNDDOWN(VLOOKUP(F968,INDATA_FILL_DEMAND!$E$4:$F$251,2,FALSE)*IF(E968&lt;2043,1+$N$8,1+$O$8),4),"")</f>
        <v>0</v>
      </c>
    </row>
    <row r="969" spans="4:9" x14ac:dyDescent="0.3">
      <c r="D969" s="26" t="str">
        <f t="shared" si="42"/>
        <v>*</v>
      </c>
      <c r="E969" s="10">
        <f t="shared" si="43"/>
        <v>2053</v>
      </c>
      <c r="F969" s="25" t="str">
        <f t="shared" si="44"/>
        <v>TNB</v>
      </c>
      <c r="I969" s="29">
        <f>IFERROR(ROUNDDOWN(VLOOKUP(F969,INDATA_FILL_DEMAND!$E$4:$F$251,2,FALSE)*IF(E969&lt;2043,1+$N$8,1+$O$8),4),"")</f>
        <v>0</v>
      </c>
    </row>
    <row r="970" spans="4:9" x14ac:dyDescent="0.3">
      <c r="D970" s="26" t="str">
        <f t="shared" si="42"/>
        <v>*</v>
      </c>
      <c r="E970" s="10">
        <f t="shared" si="43"/>
        <v>2053</v>
      </c>
      <c r="F970" s="25" t="str">
        <f t="shared" si="44"/>
        <v>TNB-C</v>
      </c>
      <c r="I970" s="29">
        <f>IFERROR(ROUNDDOWN(VLOOKUP(F970,INDATA_FILL_DEMAND!$E$4:$F$251,2,FALSE)*IF(E970&lt;2043,1+$N$8,1+$O$8),4),"")</f>
        <v>0</v>
      </c>
    </row>
    <row r="971" spans="4:9" x14ac:dyDescent="0.3">
      <c r="D971" s="26" t="str">
        <f t="shared" si="42"/>
        <v>*</v>
      </c>
      <c r="E971" s="10">
        <f t="shared" si="43"/>
        <v>2053</v>
      </c>
      <c r="F971" s="25" t="str">
        <f t="shared" si="44"/>
        <v>TOV</v>
      </c>
      <c r="I971" s="29">
        <f>IFERROR(ROUNDDOWN(VLOOKUP(F971,INDATA_FILL_DEMAND!$E$4:$F$251,2,FALSE)*IF(E971&lt;2043,1+$N$8,1+$O$8),4),"")</f>
        <v>0</v>
      </c>
    </row>
    <row r="972" spans="4:9" x14ac:dyDescent="0.3">
      <c r="D972" s="26" t="str">
        <f t="shared" si="42"/>
        <v>*</v>
      </c>
      <c r="E972" s="10">
        <f t="shared" si="43"/>
        <v>2053</v>
      </c>
      <c r="F972" s="25" t="str">
        <f t="shared" si="44"/>
        <v>TOV-C</v>
      </c>
      <c r="I972" s="29">
        <f>IFERROR(ROUNDDOWN(VLOOKUP(F972,INDATA_FILL_DEMAND!$E$4:$F$251,2,FALSE)*IF(E972&lt;2043,1+$N$8,1+$O$8),4),"")</f>
        <v>0</v>
      </c>
    </row>
    <row r="973" spans="4:9" x14ac:dyDescent="0.3">
      <c r="D973" s="26" t="str">
        <f t="shared" si="42"/>
        <v>*</v>
      </c>
      <c r="E973" s="10">
        <f t="shared" si="43"/>
        <v>2053</v>
      </c>
      <c r="F973" s="25" t="str">
        <f t="shared" si="44"/>
        <v>TTF</v>
      </c>
      <c r="I973" s="29">
        <f>IFERROR(ROUNDDOWN(VLOOKUP(F973,INDATA_FILL_DEMAND!$E$4:$F$251,2,FALSE)*IF(E973&lt;2043,1+$N$8,1+$O$8),4),"")</f>
        <v>0</v>
      </c>
    </row>
    <row r="974" spans="4:9" x14ac:dyDescent="0.3">
      <c r="D974" s="26" t="str">
        <f t="shared" ref="D974:D996" si="45">IF(AND(ISNUMBER(I974),I974&gt;0),"Demand","*")</f>
        <v>*</v>
      </c>
      <c r="E974" s="10">
        <f t="shared" si="43"/>
        <v>2053</v>
      </c>
      <c r="F974" s="25" t="str">
        <f t="shared" si="44"/>
        <v>TTF-C</v>
      </c>
      <c r="I974" s="29">
        <f>IFERROR(ROUNDDOWN(VLOOKUP(F974,INDATA_FILL_DEMAND!$E$4:$F$251,2,FALSE)*IF(E974&lt;2043,1+$N$8,1+$O$8),4),"")</f>
        <v>0</v>
      </c>
    </row>
    <row r="975" spans="4:9" x14ac:dyDescent="0.3">
      <c r="D975" s="26" t="str">
        <f t="shared" si="45"/>
        <v>*</v>
      </c>
      <c r="E975" s="10">
        <f t="shared" si="43"/>
        <v>2053</v>
      </c>
      <c r="F975" s="25" t="str">
        <f t="shared" si="44"/>
        <v>TYEF</v>
      </c>
      <c r="I975" s="29">
        <f>IFERROR(ROUNDDOWN(VLOOKUP(F975,INDATA_FILL_DEMAND!$E$4:$F$251,2,FALSE)*IF(E975&lt;2043,1+$N$8,1+$O$8),4),"")</f>
        <v>0</v>
      </c>
    </row>
    <row r="976" spans="4:9" x14ac:dyDescent="0.3">
      <c r="D976" s="26" t="str">
        <f t="shared" si="45"/>
        <v>*</v>
      </c>
      <c r="E976" s="10">
        <f t="shared" si="43"/>
        <v>2053</v>
      </c>
      <c r="F976" s="25" t="str">
        <f t="shared" si="44"/>
        <v>TYEF-C</v>
      </c>
      <c r="I976" s="29">
        <f>IFERROR(ROUNDDOWN(VLOOKUP(F976,INDATA_FILL_DEMAND!$E$4:$F$251,2,FALSE)*IF(E976&lt;2043,1+$N$8,1+$O$8),4),"")</f>
        <v>0</v>
      </c>
    </row>
    <row r="977" spans="4:9" x14ac:dyDescent="0.3">
      <c r="D977" s="26" t="str">
        <f t="shared" si="45"/>
        <v>*</v>
      </c>
      <c r="E977" s="10">
        <f t="shared" si="43"/>
        <v>2053</v>
      </c>
      <c r="F977" s="25" t="str">
        <f t="shared" si="44"/>
        <v>TYNF</v>
      </c>
      <c r="I977" s="29">
        <f>IFERROR(ROUNDDOWN(VLOOKUP(F977,INDATA_FILL_DEMAND!$E$4:$F$251,2,FALSE)*IF(E977&lt;2043,1+$N$8,1+$O$8),4),"")</f>
        <v>0</v>
      </c>
    </row>
    <row r="978" spans="4:9" x14ac:dyDescent="0.3">
      <c r="D978" s="26" t="str">
        <f t="shared" si="45"/>
        <v>*</v>
      </c>
      <c r="E978" s="10">
        <f t="shared" si="43"/>
        <v>2053</v>
      </c>
      <c r="F978" s="25" t="str">
        <f t="shared" si="44"/>
        <v>TYNF-C</v>
      </c>
      <c r="I978" s="29">
        <f>IFERROR(ROUNDDOWN(VLOOKUP(F978,INDATA_FILL_DEMAND!$E$4:$F$251,2,FALSE)*IF(E978&lt;2043,1+$N$8,1+$O$8),4),"")</f>
        <v>0</v>
      </c>
    </row>
    <row r="979" spans="4:9" x14ac:dyDescent="0.3">
      <c r="D979" s="26" t="str">
        <f t="shared" si="45"/>
        <v>Demand</v>
      </c>
      <c r="E979" s="10">
        <f t="shared" si="43"/>
        <v>2053</v>
      </c>
      <c r="F979" s="25" t="str">
        <f t="shared" si="44"/>
        <v>PLIG</v>
      </c>
      <c r="I979" s="29">
        <f>IFERROR(ROUNDDOWN(VLOOKUP(F979,INDATA_FILL_DEMAND!$E$4:$F$251,2,FALSE)*IF(E979&lt;2043,1+$N$8,1+$O$8),4),"")</f>
        <v>13.234999999999999</v>
      </c>
    </row>
    <row r="980" spans="4:9" x14ac:dyDescent="0.3">
      <c r="D980" s="26" t="str">
        <f t="shared" si="45"/>
        <v>*</v>
      </c>
      <c r="E980" s="10">
        <f t="shared" si="43"/>
        <v>2053</v>
      </c>
      <c r="F980" s="25" t="str">
        <f t="shared" si="44"/>
        <v>IDA</v>
      </c>
      <c r="I980" s="29">
        <f>IFERROR(ROUNDDOWN(VLOOKUP(F980,INDATA_FILL_DEMAND!$E$4:$F$251,2,FALSE)*IF(E980&lt;2043,1+$N$8,1+$O$8),4),"")</f>
        <v>0</v>
      </c>
    </row>
    <row r="981" spans="4:9" x14ac:dyDescent="0.3">
      <c r="D981" s="26" t="str">
        <f t="shared" si="45"/>
        <v>*</v>
      </c>
      <c r="E981" s="10">
        <f t="shared" si="43"/>
        <v>2053</v>
      </c>
      <c r="F981" s="25" t="str">
        <f t="shared" si="44"/>
        <v>IDB</v>
      </c>
      <c r="I981" s="29">
        <f>IFERROR(ROUNDDOWN(VLOOKUP(F981,INDATA_FILL_DEMAND!$E$4:$F$251,2,FALSE)*IF(E981&lt;2043,1+$N$8,1+$O$8),4),"")</f>
        <v>0</v>
      </c>
    </row>
    <row r="982" spans="4:9" x14ac:dyDescent="0.3">
      <c r="D982" s="26" t="str">
        <f t="shared" si="45"/>
        <v>*</v>
      </c>
      <c r="E982" s="10">
        <f t="shared" si="43"/>
        <v>2053</v>
      </c>
      <c r="F982" s="25" t="str">
        <f t="shared" si="44"/>
        <v>IDC</v>
      </c>
      <c r="I982" s="29">
        <f>IFERROR(ROUNDDOWN(VLOOKUP(F982,INDATA_FILL_DEMAND!$E$4:$F$251,2,FALSE)*IF(E982&lt;2043,1+$N$8,1+$O$8),4),"")</f>
        <v>0</v>
      </c>
    </row>
    <row r="983" spans="4:9" x14ac:dyDescent="0.3">
      <c r="D983" s="26" t="str">
        <f t="shared" si="45"/>
        <v>*</v>
      </c>
      <c r="E983" s="10">
        <f t="shared" si="43"/>
        <v>2053</v>
      </c>
      <c r="F983" s="25" t="str">
        <f t="shared" si="44"/>
        <v>IDD</v>
      </c>
      <c r="I983" s="29">
        <f>IFERROR(ROUNDDOWN(VLOOKUP(F983,INDATA_FILL_DEMAND!$E$4:$F$251,2,FALSE)*IF(E983&lt;2043,1+$N$8,1+$O$8),4),"")</f>
        <v>0</v>
      </c>
    </row>
    <row r="984" spans="4:9" x14ac:dyDescent="0.3">
      <c r="D984" s="26" t="str">
        <f t="shared" si="45"/>
        <v>*</v>
      </c>
      <c r="E984" s="10">
        <f t="shared" si="43"/>
        <v>2053</v>
      </c>
      <c r="F984" s="25" t="str">
        <f t="shared" si="44"/>
        <v>IDE</v>
      </c>
      <c r="I984" s="29">
        <f>IFERROR(ROUNDDOWN(VLOOKUP(F984,INDATA_FILL_DEMAND!$E$4:$F$251,2,FALSE)*IF(E984&lt;2043,1+$N$8,1+$O$8),4),"")</f>
        <v>0</v>
      </c>
    </row>
    <row r="985" spans="4:9" x14ac:dyDescent="0.3">
      <c r="D985" s="26" t="str">
        <f t="shared" si="45"/>
        <v>*</v>
      </c>
      <c r="E985" s="10">
        <f t="shared" si="43"/>
        <v>2053</v>
      </c>
      <c r="F985" s="25" t="str">
        <f t="shared" si="44"/>
        <v>IDF</v>
      </c>
      <c r="I985" s="29">
        <f>IFERROR(ROUNDDOWN(VLOOKUP(F985,INDATA_FILL_DEMAND!$E$4:$F$251,2,FALSE)*IF(E985&lt;2043,1+$N$8,1+$O$8),4),"")</f>
        <v>0</v>
      </c>
    </row>
    <row r="986" spans="4:9" x14ac:dyDescent="0.3">
      <c r="D986" s="26" t="str">
        <f t="shared" si="45"/>
        <v>*</v>
      </c>
      <c r="E986" s="10">
        <f t="shared" si="43"/>
        <v>2053</v>
      </c>
      <c r="F986" s="25" t="str">
        <f t="shared" si="44"/>
        <v>IDG</v>
      </c>
      <c r="I986" s="29">
        <f>IFERROR(ROUNDDOWN(VLOOKUP(F986,INDATA_FILL_DEMAND!$E$4:$F$251,2,FALSE)*IF(E986&lt;2043,1+$N$8,1+$O$8),4),"")</f>
        <v>0</v>
      </c>
    </row>
    <row r="987" spans="4:9" x14ac:dyDescent="0.3">
      <c r="D987" s="26" t="str">
        <f t="shared" si="45"/>
        <v>*</v>
      </c>
      <c r="E987" s="10">
        <f t="shared" si="43"/>
        <v>2053</v>
      </c>
      <c r="F987" s="25" t="str">
        <f t="shared" si="44"/>
        <v>IDH</v>
      </c>
      <c r="I987" s="29">
        <f>IFERROR(ROUNDDOWN(VLOOKUP(F987,INDATA_FILL_DEMAND!$E$4:$F$251,2,FALSE)*IF(E987&lt;2043,1+$N$8,1+$O$8),4),"")</f>
        <v>0</v>
      </c>
    </row>
    <row r="988" spans="4:9" x14ac:dyDescent="0.3">
      <c r="D988" s="26" t="str">
        <f t="shared" si="45"/>
        <v>*</v>
      </c>
      <c r="E988" s="10">
        <f t="shared" si="43"/>
        <v>2053</v>
      </c>
      <c r="F988" s="25" t="str">
        <f t="shared" si="44"/>
        <v>WAT</v>
      </c>
      <c r="I988" s="29">
        <f>IFERROR(ROUNDDOWN(VLOOKUP(F988,INDATA_FILL_DEMAND!$E$4:$F$251,2,FALSE)*IF(E988&lt;2043,1+$N$8,1+$O$8),4),"")</f>
        <v>0</v>
      </c>
    </row>
    <row r="989" spans="4:9" x14ac:dyDescent="0.3">
      <c r="D989" s="26" t="str">
        <f t="shared" si="45"/>
        <v>*</v>
      </c>
      <c r="E989" s="10">
        <f t="shared" si="43"/>
        <v>2053</v>
      </c>
      <c r="F989" s="25" t="str">
        <f t="shared" si="44"/>
        <v>WMSU</v>
      </c>
      <c r="I989" s="29">
        <f>IFERROR(ROUNDDOWN(VLOOKUP(F989,INDATA_FILL_DEMAND!$E$4:$F$251,2,FALSE)*IF(E989&lt;2043,1+$N$8,1+$O$8),4),"")</f>
        <v>0</v>
      </c>
    </row>
    <row r="990" spans="4:9" x14ac:dyDescent="0.3">
      <c r="D990" s="26" t="str">
        <f t="shared" si="45"/>
        <v>*</v>
      </c>
      <c r="E990" s="10">
        <f t="shared" si="43"/>
        <v>2053</v>
      </c>
      <c r="F990" s="25" t="str">
        <f t="shared" si="44"/>
        <v>WMSR</v>
      </c>
      <c r="I990" s="29">
        <f>IFERROR(ROUNDDOWN(VLOOKUP(F990,INDATA_FILL_DEMAND!$E$4:$F$251,2,FALSE)*IF(E990&lt;2043,1+$N$8,1+$O$8),4),"")</f>
        <v>0</v>
      </c>
    </row>
    <row r="991" spans="4:9" x14ac:dyDescent="0.3">
      <c r="D991" s="26" t="str">
        <f t="shared" si="45"/>
        <v>*</v>
      </c>
      <c r="E991" s="10">
        <f t="shared" si="43"/>
        <v>2053</v>
      </c>
      <c r="F991" s="25" t="str">
        <f t="shared" si="44"/>
        <v>WMSRPL</v>
      </c>
      <c r="I991" s="29">
        <f>IFERROR(ROUNDDOWN(VLOOKUP(F991,INDATA_FILL_DEMAND!$E$4:$F$251,2,FALSE)*IF(E991&lt;2043,1+$N$8,1+$O$8),4),"")</f>
        <v>0</v>
      </c>
    </row>
    <row r="992" spans="4:9" x14ac:dyDescent="0.3">
      <c r="D992" s="26" t="str">
        <f t="shared" si="45"/>
        <v>*</v>
      </c>
      <c r="E992" s="10">
        <f t="shared" si="43"/>
        <v>2053</v>
      </c>
      <c r="F992" s="25" t="str">
        <f t="shared" si="44"/>
        <v>WMSRM</v>
      </c>
      <c r="I992" s="29">
        <f>IFERROR(ROUNDDOWN(VLOOKUP(F992,INDATA_FILL_DEMAND!$E$4:$F$251,2,FALSE)*IF(E992&lt;2043,1+$N$8,1+$O$8),4),"")</f>
        <v>0</v>
      </c>
    </row>
    <row r="993" spans="4:9" x14ac:dyDescent="0.3">
      <c r="D993" s="26" t="str">
        <f t="shared" si="45"/>
        <v>*</v>
      </c>
      <c r="E993" s="10">
        <f t="shared" si="43"/>
        <v>2053</v>
      </c>
      <c r="F993" s="25" t="str">
        <f t="shared" si="44"/>
        <v>WMSRPA</v>
      </c>
      <c r="I993" s="29">
        <f>IFERROR(ROUNDDOWN(VLOOKUP(F993,INDATA_FILL_DEMAND!$E$4:$F$251,2,FALSE)*IF(E993&lt;2043,1+$N$8,1+$O$8),4),"")</f>
        <v>0</v>
      </c>
    </row>
    <row r="994" spans="4:9" x14ac:dyDescent="0.3">
      <c r="D994" s="26" t="str">
        <f t="shared" si="45"/>
        <v>*</v>
      </c>
      <c r="E994" s="10">
        <f t="shared" si="43"/>
        <v>2053</v>
      </c>
      <c r="F994" s="25" t="str">
        <f t="shared" si="44"/>
        <v>WMSRG</v>
      </c>
      <c r="I994" s="29">
        <f>IFERROR(ROUNDDOWN(VLOOKUP(F994,INDATA_FILL_DEMAND!$E$4:$F$251,2,FALSE)*IF(E994&lt;2043,1+$N$8,1+$O$8),4),"")</f>
        <v>0</v>
      </c>
    </row>
    <row r="995" spans="4:9" x14ac:dyDescent="0.3">
      <c r="D995" s="26" t="str">
        <f t="shared" si="45"/>
        <v>*</v>
      </c>
      <c r="E995" s="10">
        <f t="shared" si="43"/>
        <v>2053</v>
      </c>
      <c r="F995" s="25" t="str">
        <f t="shared" si="44"/>
        <v>WMSO</v>
      </c>
      <c r="I995" s="29">
        <f>IFERROR(ROUNDDOWN(VLOOKUP(F995,INDATA_FILL_DEMAND!$E$4:$F$251,2,FALSE)*IF(E995&lt;2043,1+$N$8,1+$O$8),4),"")</f>
        <v>0</v>
      </c>
    </row>
    <row r="996" spans="4:9" x14ac:dyDescent="0.3">
      <c r="D996" s="26" t="str">
        <f t="shared" si="45"/>
        <v>*</v>
      </c>
      <c r="E996" s="10">
        <f t="shared" si="43"/>
        <v>2053</v>
      </c>
      <c r="F996" s="25" t="str">
        <f t="shared" si="44"/>
        <v>WWT</v>
      </c>
      <c r="I996" s="29">
        <f>IFERROR(ROUNDDOWN(VLOOKUP(F996,INDATA_FILL_DEMAND!$E$4:$F$251,2,FALSE)*IF(E996&lt;2043,1+$N$8,1+$O$8),4),"")</f>
        <v>0</v>
      </c>
    </row>
    <row r="997" spans="4:9" x14ac:dyDescent="0.3">
      <c r="F997" s="25"/>
    </row>
    <row r="998" spans="4:9" x14ac:dyDescent="0.3">
      <c r="F998" s="25"/>
    </row>
    <row r="999" spans="4:9" x14ac:dyDescent="0.3">
      <c r="F999" s="25"/>
    </row>
    <row r="1000" spans="4:9" x14ac:dyDescent="0.3">
      <c r="F1000" s="25"/>
    </row>
    <row r="1001" spans="4:9" x14ac:dyDescent="0.3">
      <c r="F1001" s="25"/>
    </row>
    <row r="1002" spans="4:9" x14ac:dyDescent="0.3">
      <c r="F1002" s="25"/>
    </row>
    <row r="1003" spans="4:9" x14ac:dyDescent="0.3">
      <c r="F1003" s="25"/>
    </row>
    <row r="1004" spans="4:9" x14ac:dyDescent="0.3">
      <c r="F1004" s="25"/>
    </row>
    <row r="1005" spans="4:9" x14ac:dyDescent="0.3">
      <c r="F1005" s="25"/>
    </row>
    <row r="1006" spans="4:9" x14ac:dyDescent="0.3">
      <c r="F1006" s="25"/>
    </row>
    <row r="1007" spans="4:9" x14ac:dyDescent="0.3">
      <c r="F1007" s="25"/>
    </row>
    <row r="1008" spans="4: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58"/>
  <sheetViews>
    <sheetView zoomScale="80" zoomScaleNormal="80" workbookViewId="0">
      <selection activeCell="G26" sqref="G26"/>
    </sheetView>
  </sheetViews>
  <sheetFormatPr defaultRowHeight="14.4" x14ac:dyDescent="0.3"/>
  <cols>
    <col min="1" max="1" width="8.6640625" bestFit="1" customWidth="1"/>
    <col min="2" max="2" width="10.6640625" customWidth="1"/>
    <col min="3" max="3" width="9.88671875" customWidth="1"/>
    <col min="4" max="4" width="15.33203125" customWidth="1"/>
    <col min="6" max="6" width="39.21875" customWidth="1"/>
    <col min="7" max="7" width="30.109375" style="9" customWidth="1"/>
    <col min="8" max="8" width="11.77734375" bestFit="1" customWidth="1"/>
    <col min="9" max="9" width="24.5546875" bestFit="1" customWidth="1"/>
    <col min="17" max="17" width="11.88671875" bestFit="1" customWidth="1"/>
  </cols>
  <sheetData>
    <row r="3" spans="2:15" x14ac:dyDescent="0.3">
      <c r="B3" t="s">
        <v>574</v>
      </c>
    </row>
    <row r="5" spans="2:15" x14ac:dyDescent="0.3">
      <c r="B5" s="2" t="s">
        <v>8</v>
      </c>
      <c r="E5" s="10"/>
      <c r="H5" s="3"/>
      <c r="I5" s="4"/>
      <c r="J5" s="4"/>
      <c r="K5" s="4"/>
      <c r="L5" s="4"/>
      <c r="M5" s="4"/>
      <c r="N5" s="4"/>
      <c r="O5" s="4"/>
    </row>
    <row r="6" spans="2:15" ht="15" thickBot="1" x14ac:dyDescent="0.35">
      <c r="B6" s="5" t="s">
        <v>9</v>
      </c>
      <c r="C6" s="5" t="s">
        <v>7</v>
      </c>
      <c r="D6" s="5" t="s">
        <v>6</v>
      </c>
      <c r="E6" s="12" t="s">
        <v>223</v>
      </c>
      <c r="F6" s="5"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E7" s="10"/>
      <c r="F7" s="9">
        <v>2020</v>
      </c>
      <c r="G7" s="9">
        <v>2.4E-2</v>
      </c>
      <c r="H7" s="10" t="s">
        <v>135</v>
      </c>
      <c r="N7" t="s">
        <v>227</v>
      </c>
      <c r="O7" t="s">
        <v>228</v>
      </c>
    </row>
    <row r="8" spans="2:15" x14ac:dyDescent="0.3">
      <c r="D8" t="str">
        <f t="shared" si="0"/>
        <v>COM_TAXNET</v>
      </c>
      <c r="E8" s="10"/>
      <c r="F8" s="9">
        <v>2023</v>
      </c>
      <c r="G8" s="9">
        <v>0.09</v>
      </c>
      <c r="H8" s="10" t="s">
        <v>135</v>
      </c>
      <c r="N8" t="s">
        <v>227</v>
      </c>
      <c r="O8" t="s">
        <v>228</v>
      </c>
    </row>
    <row r="9" spans="2:15" x14ac:dyDescent="0.3">
      <c r="D9" t="str">
        <f t="shared" si="0"/>
        <v>*</v>
      </c>
      <c r="E9" s="10"/>
      <c r="F9" s="9">
        <v>2028</v>
      </c>
      <c r="H9" s="10" t="s">
        <v>135</v>
      </c>
      <c r="N9" t="s">
        <v>227</v>
      </c>
      <c r="O9" t="s">
        <v>228</v>
      </c>
    </row>
    <row r="10" spans="2:15" x14ac:dyDescent="0.3">
      <c r="D10" t="str">
        <f t="shared" si="0"/>
        <v>COM_TAXNET</v>
      </c>
      <c r="E10" s="10"/>
      <c r="F10" s="9">
        <v>2030</v>
      </c>
      <c r="G10" s="9" cm="1">
        <f t="array" ref="G10">ROUNDUP(HLOOKUP(HLOOKUP(VLOOKUP(controller!$E$3,controller!$B$2:$C$32,2,),Scenarios_Qualitative!$H$3:$AK$34,MATCH(H10,Scenarios_Qualitative!$C$3:$C$34,0),FALSE),Scenarios_Data!$B$3:$J$119,MATCH(1,(Scenarios_Data!$B$3:$B$119=H10)*(Scenarios_Data!$G$3:$G$119=F10),0),FALSE)/1000,2)</f>
        <v>0.14000000000000001</v>
      </c>
      <c r="H10" s="10" t="s">
        <v>135</v>
      </c>
      <c r="N10" t="s">
        <v>227</v>
      </c>
      <c r="O10" t="s">
        <v>228</v>
      </c>
    </row>
    <row r="11" spans="2:15" x14ac:dyDescent="0.3">
      <c r="D11" t="str">
        <f t="shared" si="0"/>
        <v>*</v>
      </c>
      <c r="E11" s="10"/>
      <c r="F11" s="9">
        <v>2033</v>
      </c>
      <c r="H11" s="10" t="s">
        <v>135</v>
      </c>
      <c r="N11" t="s">
        <v>227</v>
      </c>
      <c r="O11" t="s">
        <v>228</v>
      </c>
    </row>
    <row r="12" spans="2:15" x14ac:dyDescent="0.3">
      <c r="D12" t="str">
        <f t="shared" si="0"/>
        <v>*</v>
      </c>
      <c r="E12" s="10"/>
      <c r="F12" s="9">
        <v>2038</v>
      </c>
      <c r="H12" s="10" t="s">
        <v>135</v>
      </c>
      <c r="N12" t="s">
        <v>227</v>
      </c>
      <c r="O12" t="s">
        <v>228</v>
      </c>
    </row>
    <row r="13" spans="2:15" x14ac:dyDescent="0.3">
      <c r="D13" t="str">
        <f t="shared" si="0"/>
        <v>*</v>
      </c>
      <c r="E13" s="10"/>
      <c r="F13" s="9">
        <v>2043</v>
      </c>
      <c r="H13" s="10" t="s">
        <v>135</v>
      </c>
      <c r="N13" t="s">
        <v>227</v>
      </c>
      <c r="O13" t="s">
        <v>228</v>
      </c>
    </row>
    <row r="14" spans="2:15" x14ac:dyDescent="0.3">
      <c r="D14" t="str">
        <f t="shared" si="0"/>
        <v>*</v>
      </c>
      <c r="E14" s="10"/>
      <c r="F14" s="9">
        <v>2048</v>
      </c>
      <c r="H14" s="10" t="s">
        <v>135</v>
      </c>
      <c r="N14" t="s">
        <v>227</v>
      </c>
      <c r="O14" t="s">
        <v>228</v>
      </c>
    </row>
    <row r="15" spans="2:15" x14ac:dyDescent="0.3">
      <c r="D15" t="str">
        <f t="shared" si="0"/>
        <v>COM_TAXNET</v>
      </c>
      <c r="E15" s="10"/>
      <c r="F15" s="9">
        <v>2050</v>
      </c>
      <c r="G15" s="9" cm="1">
        <f t="array" ref="G15">ROUNDUP(HLOOKUP(HLOOKUP(VLOOKUP(controller!$E$3,controller!$B$2:$C$32,2,),Scenarios_Qualitative!$H$3:$AK$34,MATCH(H15,Scenarios_Qualitative!$C$3:$C$34,0),FALSE),Scenarios_Data!$B$3:$J$119,MATCH(1,(Scenarios_Data!$B$3:$B$119=H15)*(Scenarios_Data!$G$3:$G$119=F15),0),FALSE)/1000,2)</f>
        <v>0.24000000000000002</v>
      </c>
      <c r="H15" s="10" t="s">
        <v>135</v>
      </c>
      <c r="N15" t="s">
        <v>227</v>
      </c>
      <c r="O15" t="s">
        <v>228</v>
      </c>
    </row>
    <row r="16" spans="2:15" x14ac:dyDescent="0.3">
      <c r="D16" t="str">
        <f t="shared" si="0"/>
        <v>*</v>
      </c>
      <c r="E16" s="10"/>
      <c r="F16" s="9">
        <v>2053</v>
      </c>
      <c r="H16" s="10" t="s">
        <v>135</v>
      </c>
      <c r="N16" t="s">
        <v>227</v>
      </c>
      <c r="O16" t="s">
        <v>228</v>
      </c>
    </row>
    <row r="17" spans="2:17" x14ac:dyDescent="0.3">
      <c r="D17" t="str">
        <f t="shared" si="0"/>
        <v>*</v>
      </c>
      <c r="E17" s="10"/>
      <c r="F17" s="9">
        <v>2058</v>
      </c>
      <c r="H17" s="10" t="s">
        <v>135</v>
      </c>
      <c r="N17" t="s">
        <v>227</v>
      </c>
      <c r="O17" t="s">
        <v>228</v>
      </c>
    </row>
    <row r="18" spans="2:17" x14ac:dyDescent="0.3">
      <c r="D18" t="str">
        <f t="shared" si="0"/>
        <v>*</v>
      </c>
      <c r="E18" s="10"/>
      <c r="F18" s="9">
        <v>2063</v>
      </c>
      <c r="H18" s="10" t="s">
        <v>135</v>
      </c>
      <c r="N18" t="s">
        <v>227</v>
      </c>
      <c r="O18" t="s">
        <v>228</v>
      </c>
    </row>
    <row r="20" spans="2:17" x14ac:dyDescent="0.3">
      <c r="B20" t="s">
        <v>575</v>
      </c>
    </row>
    <row r="22" spans="2:17" x14ac:dyDescent="0.3">
      <c r="B22" s="2" t="s">
        <v>8</v>
      </c>
      <c r="H22" s="2"/>
      <c r="K22" s="2" t="s">
        <v>8</v>
      </c>
      <c r="N22" s="2"/>
    </row>
    <row r="23" spans="2:17" ht="15" thickBot="1" x14ac:dyDescent="0.35">
      <c r="B23" s="5" t="s">
        <v>9</v>
      </c>
      <c r="C23" s="5" t="s">
        <v>7</v>
      </c>
      <c r="D23" s="5" t="s">
        <v>6</v>
      </c>
      <c r="E23" s="5"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10">
        <v>2020</v>
      </c>
      <c r="F24" t="s">
        <v>74</v>
      </c>
      <c r="G24" s="9">
        <f>ROUNDUP(HLOOKUP(HLOOKUP(VLOOKUP(controller!$E$3,controller!$B$3:$C$32,2,),Scenarios_Qualitative!$H$3:$AK$34,MATCH(F24,Scenarios_Qualitative!$C$3:$C$34,0),FALSE),'Price of Electricity'!$B$3:$E$15,MATCH(B24,'Price of Electricity'!$B$3:$B$15,0)),2)</f>
        <v>33.369999999999997</v>
      </c>
      <c r="I24" t="s">
        <v>237</v>
      </c>
      <c r="K24" t="s">
        <v>236</v>
      </c>
      <c r="M24" t="s">
        <v>229</v>
      </c>
      <c r="N24">
        <v>2020</v>
      </c>
      <c r="O24">
        <f>ROUNDUP(G24-1,2)</f>
        <v>32.369999999999997</v>
      </c>
      <c r="Q24" t="s">
        <v>238</v>
      </c>
    </row>
    <row r="25" spans="2:17" x14ac:dyDescent="0.3">
      <c r="B25" t="s">
        <v>239</v>
      </c>
      <c r="D25" t="s">
        <v>229</v>
      </c>
      <c r="E25" s="10">
        <v>2020</v>
      </c>
      <c r="F25" t="s">
        <v>74</v>
      </c>
      <c r="G25" s="9">
        <f>ROUNDUP(HLOOKUP(HLOOKUP(VLOOKUP(controller!$E$3,controller!$B$3:$C$32,2,),Scenarios_Qualitative!$H$3:$AK$34,MATCH(F25,Scenarios_Qualitative!$C$3:$C$34,0),FALSE),'Price of Electricity'!$B$3:$E$15,MATCH(B25,'Price of Electricity'!$B$3:$B$15,0)),2)</f>
        <v>33.059999999999995</v>
      </c>
      <c r="I25" t="s">
        <v>237</v>
      </c>
      <c r="K25" t="s">
        <v>239</v>
      </c>
      <c r="M25" t="s">
        <v>229</v>
      </c>
      <c r="N25">
        <v>2020</v>
      </c>
      <c r="O25">
        <f t="shared" ref="O25:O35" si="1">ROUNDUP(G25-1,2)</f>
        <v>32.06</v>
      </c>
      <c r="Q25" t="s">
        <v>238</v>
      </c>
    </row>
    <row r="26" spans="2:17" x14ac:dyDescent="0.3">
      <c r="B26" t="s">
        <v>240</v>
      </c>
      <c r="D26" t="s">
        <v>229</v>
      </c>
      <c r="E26" s="10">
        <v>2020</v>
      </c>
      <c r="F26" t="s">
        <v>74</v>
      </c>
      <c r="G26" s="9">
        <f>ROUNDUP(HLOOKUP(HLOOKUP(VLOOKUP(controller!$E$3,controller!$B$3:$C$32,2,),Scenarios_Qualitative!$H$3:$AK$34,MATCH(F26,Scenarios_Qualitative!$C$3:$C$34,0),FALSE),'Price of Electricity'!$B$3:$E$15,MATCH(B26,'Price of Electricity'!$B$3:$B$15,0)),2)</f>
        <v>28.09</v>
      </c>
      <c r="I26" t="s">
        <v>237</v>
      </c>
      <c r="K26" t="s">
        <v>240</v>
      </c>
      <c r="M26" t="s">
        <v>229</v>
      </c>
      <c r="N26">
        <v>2020</v>
      </c>
      <c r="O26">
        <f t="shared" si="1"/>
        <v>27.09</v>
      </c>
      <c r="Q26" t="s">
        <v>238</v>
      </c>
    </row>
    <row r="27" spans="2:17" x14ac:dyDescent="0.3">
      <c r="B27" t="s">
        <v>241</v>
      </c>
      <c r="D27" t="s">
        <v>229</v>
      </c>
      <c r="E27" s="10">
        <v>2020</v>
      </c>
      <c r="F27" t="s">
        <v>74</v>
      </c>
      <c r="G27" s="9">
        <f>ROUNDUP(HLOOKUP(HLOOKUP(VLOOKUP(controller!$E$3,controller!$B$3:$C$32,2,),Scenarios_Qualitative!$H$3:$AK$34,MATCH(F27,Scenarios_Qualitative!$C$3:$C$34,0),FALSE),'Price of Electricity'!$B$3:$E$15,MATCH(B27,'Price of Electricity'!$B$3:$B$15,0)),2)</f>
        <v>16.220000000000002</v>
      </c>
      <c r="I27" t="s">
        <v>237</v>
      </c>
      <c r="K27" t="s">
        <v>241</v>
      </c>
      <c r="M27" t="s">
        <v>229</v>
      </c>
      <c r="N27">
        <v>2020</v>
      </c>
      <c r="O27">
        <f t="shared" si="1"/>
        <v>15.22</v>
      </c>
      <c r="Q27" t="s">
        <v>238</v>
      </c>
    </row>
    <row r="28" spans="2:17" x14ac:dyDescent="0.3">
      <c r="B28" t="s">
        <v>242</v>
      </c>
      <c r="D28" t="s">
        <v>229</v>
      </c>
      <c r="E28" s="10">
        <v>2020</v>
      </c>
      <c r="F28" t="s">
        <v>74</v>
      </c>
      <c r="G28" s="9">
        <f>ROUNDUP(HLOOKUP(HLOOKUP(VLOOKUP(controller!$E$3,controller!$B$3:$C$32,2,),Scenarios_Qualitative!$H$3:$AK$34,MATCH(F28,Scenarios_Qualitative!$C$3:$C$34,0),FALSE),'Price of Electricity'!$B$3:$E$15,MATCH(B28,'Price of Electricity'!$B$3:$B$15,0)),2)</f>
        <v>11.98</v>
      </c>
      <c r="I28" t="s">
        <v>237</v>
      </c>
      <c r="K28" t="s">
        <v>242</v>
      </c>
      <c r="M28" t="s">
        <v>229</v>
      </c>
      <c r="N28">
        <v>2020</v>
      </c>
      <c r="O28">
        <f t="shared" si="1"/>
        <v>10.98</v>
      </c>
      <c r="Q28" t="s">
        <v>238</v>
      </c>
    </row>
    <row r="29" spans="2:17" x14ac:dyDescent="0.3">
      <c r="B29" t="s">
        <v>243</v>
      </c>
      <c r="D29" t="s">
        <v>229</v>
      </c>
      <c r="E29" s="10">
        <v>2020</v>
      </c>
      <c r="F29" t="s">
        <v>74</v>
      </c>
      <c r="G29" s="9">
        <f>ROUNDUP(HLOOKUP(HLOOKUP(VLOOKUP(controller!$E$3,controller!$B$3:$C$32,2,),Scenarios_Qualitative!$H$3:$AK$34,MATCH(F29,Scenarios_Qualitative!$C$3:$C$34,0),FALSE),'Price of Electricity'!$B$3:$E$15,MATCH(B29,'Price of Electricity'!$B$3:$B$15,0)),2)</f>
        <v>8.68</v>
      </c>
      <c r="I29" t="s">
        <v>237</v>
      </c>
      <c r="K29" t="s">
        <v>243</v>
      </c>
      <c r="M29" t="s">
        <v>229</v>
      </c>
      <c r="N29">
        <v>2020</v>
      </c>
      <c r="O29">
        <f t="shared" si="1"/>
        <v>7.68</v>
      </c>
      <c r="Q29" t="s">
        <v>238</v>
      </c>
    </row>
    <row r="30" spans="2:17" ht="16.2" customHeight="1" x14ac:dyDescent="0.3">
      <c r="B30" t="s">
        <v>244</v>
      </c>
      <c r="D30" t="s">
        <v>229</v>
      </c>
      <c r="E30" s="10">
        <v>2020</v>
      </c>
      <c r="F30" t="s">
        <v>74</v>
      </c>
      <c r="G30" s="9">
        <f>ROUNDUP(HLOOKUP(HLOOKUP(VLOOKUP(controller!$E$3,controller!$B$3:$C$32,2,),Scenarios_Qualitative!$H$3:$AK$34,MATCH(F30,Scenarios_Qualitative!$C$3:$C$34,0),FALSE),'Price of Electricity'!$B$3:$E$15,MATCH(B30,'Price of Electricity'!$B$3:$B$15,0)),2)</f>
        <v>11.31</v>
      </c>
      <c r="I30" t="s">
        <v>237</v>
      </c>
      <c r="K30" t="s">
        <v>244</v>
      </c>
      <c r="M30" t="s">
        <v>229</v>
      </c>
      <c r="N30">
        <v>2020</v>
      </c>
      <c r="O30">
        <f t="shared" si="1"/>
        <v>10.31</v>
      </c>
      <c r="Q30" t="s">
        <v>238</v>
      </c>
    </row>
    <row r="31" spans="2:17" x14ac:dyDescent="0.3">
      <c r="B31" t="s">
        <v>245</v>
      </c>
      <c r="D31" t="s">
        <v>229</v>
      </c>
      <c r="E31" s="10">
        <v>2020</v>
      </c>
      <c r="F31" t="s">
        <v>74</v>
      </c>
      <c r="G31" s="9">
        <f>ROUNDUP(HLOOKUP(HLOOKUP(VLOOKUP(controller!$E$3,controller!$B$3:$C$32,2,),Scenarios_Qualitative!$H$3:$AK$34,MATCH(F31,Scenarios_Qualitative!$C$3:$C$34,0),FALSE),'Price of Electricity'!$B$3:$E$15,MATCH(B31,'Price of Electricity'!$B$3:$B$15,0)),2)</f>
        <v>8.81</v>
      </c>
      <c r="I31" t="s">
        <v>237</v>
      </c>
      <c r="K31" t="s">
        <v>245</v>
      </c>
      <c r="M31" t="s">
        <v>229</v>
      </c>
      <c r="N31">
        <v>2020</v>
      </c>
      <c r="O31">
        <f t="shared" si="1"/>
        <v>7.81</v>
      </c>
      <c r="Q31" t="s">
        <v>238</v>
      </c>
    </row>
    <row r="32" spans="2:17" ht="16.8" customHeight="1" x14ac:dyDescent="0.3">
      <c r="B32" t="s">
        <v>246</v>
      </c>
      <c r="D32" t="s">
        <v>229</v>
      </c>
      <c r="E32" s="10">
        <v>2020</v>
      </c>
      <c r="F32" t="s">
        <v>74</v>
      </c>
      <c r="G32" s="9">
        <f>ROUNDUP(HLOOKUP(HLOOKUP(VLOOKUP(controller!$E$3,controller!$B$3:$C$32,2,),Scenarios_Qualitative!$H$3:$AK$34,MATCH(F32,Scenarios_Qualitative!$C$3:$C$34,0),FALSE),'Price of Electricity'!$B$3:$E$15,MATCH(B32,'Price of Electricity'!$B$3:$B$15,0)),2)</f>
        <v>5.63</v>
      </c>
      <c r="I32" t="s">
        <v>237</v>
      </c>
      <c r="K32" t="s">
        <v>246</v>
      </c>
      <c r="M32" t="s">
        <v>229</v>
      </c>
      <c r="N32">
        <v>2020</v>
      </c>
      <c r="O32">
        <f t="shared" si="1"/>
        <v>4.63</v>
      </c>
      <c r="Q32" t="s">
        <v>238</v>
      </c>
    </row>
    <row r="33" spans="2:17" x14ac:dyDescent="0.3">
      <c r="B33" t="s">
        <v>247</v>
      </c>
      <c r="D33" t="s">
        <v>229</v>
      </c>
      <c r="E33" s="10">
        <v>2020</v>
      </c>
      <c r="F33" t="s">
        <v>74</v>
      </c>
      <c r="G33" s="9">
        <f>ROUNDUP(HLOOKUP(HLOOKUP(VLOOKUP(controller!$E$3,controller!$B$3:$C$32,2,),Scenarios_Qualitative!$H$3:$AK$34,MATCH(F33,Scenarios_Qualitative!$C$3:$C$34,0),FALSE),'Price of Electricity'!$B$3:$E$15,MATCH(B33,'Price of Electricity'!$B$3:$B$15,0)),2)</f>
        <v>28.580000000000002</v>
      </c>
      <c r="I33" t="s">
        <v>237</v>
      </c>
      <c r="K33" t="s">
        <v>247</v>
      </c>
      <c r="M33" t="s">
        <v>229</v>
      </c>
      <c r="N33">
        <v>2020</v>
      </c>
      <c r="O33">
        <f t="shared" si="1"/>
        <v>27.58</v>
      </c>
      <c r="Q33" t="s">
        <v>238</v>
      </c>
    </row>
    <row r="34" spans="2:17" x14ac:dyDescent="0.3">
      <c r="B34" t="s">
        <v>248</v>
      </c>
      <c r="D34" t="s">
        <v>229</v>
      </c>
      <c r="E34" s="10">
        <v>2020</v>
      </c>
      <c r="F34" t="s">
        <v>74</v>
      </c>
      <c r="G34" s="9">
        <f>ROUNDUP(HLOOKUP(HLOOKUP(VLOOKUP(controller!$E$3,controller!$B$3:$C$32,2,),Scenarios_Qualitative!$H$3:$AK$34,MATCH(F34,Scenarios_Qualitative!$C$3:$C$34,0),FALSE),'Price of Electricity'!$B$3:$E$15,MATCH(B34,'Price of Electricity'!$B$3:$B$15,0)),2)</f>
        <v>26.450000000000003</v>
      </c>
      <c r="I34" t="s">
        <v>237</v>
      </c>
      <c r="K34" t="s">
        <v>248</v>
      </c>
      <c r="M34" t="s">
        <v>229</v>
      </c>
      <c r="N34">
        <v>2020</v>
      </c>
      <c r="O34">
        <f t="shared" si="1"/>
        <v>25.45</v>
      </c>
      <c r="Q34" t="s">
        <v>238</v>
      </c>
    </row>
    <row r="35" spans="2:17" x14ac:dyDescent="0.3">
      <c r="B35" t="s">
        <v>249</v>
      </c>
      <c r="D35" t="s">
        <v>229</v>
      </c>
      <c r="E35" s="10">
        <v>2020</v>
      </c>
      <c r="F35" t="s">
        <v>74</v>
      </c>
      <c r="G35" s="9">
        <f>ROUNDUP(HLOOKUP(HLOOKUP(VLOOKUP(controller!$E$3,controller!$B$3:$C$32,2,),Scenarios_Qualitative!$H$3:$AK$34,MATCH(F35,Scenarios_Qualitative!$C$3:$C$34,0),FALSE),'Price of Electricity'!$B$3:$E$15,MATCH(B35,'Price of Electricity'!$B$3:$B$15,0)),2)</f>
        <v>18.970000000000002</v>
      </c>
      <c r="I35" t="s">
        <v>237</v>
      </c>
      <c r="K35" t="s">
        <v>249</v>
      </c>
      <c r="M35" t="s">
        <v>229</v>
      </c>
      <c r="N35">
        <v>2020</v>
      </c>
      <c r="O35">
        <f t="shared" si="1"/>
        <v>17.97</v>
      </c>
      <c r="Q35" t="s">
        <v>238</v>
      </c>
    </row>
    <row r="37" spans="2:17" x14ac:dyDescent="0.3">
      <c r="B37" t="s">
        <v>576</v>
      </c>
    </row>
    <row r="39" spans="2:17" x14ac:dyDescent="0.3">
      <c r="B39" s="2" t="s">
        <v>13</v>
      </c>
      <c r="G39" s="4"/>
      <c r="H39" s="4"/>
      <c r="I39" s="4"/>
      <c r="J39" s="4"/>
      <c r="K39" s="4"/>
      <c r="L39" s="4"/>
      <c r="M39" s="4"/>
      <c r="N39" s="4"/>
    </row>
    <row r="40" spans="2:17" ht="15" thickBot="1" x14ac:dyDescent="0.35">
      <c r="B40" s="5" t="s">
        <v>9</v>
      </c>
      <c r="C40" s="5" t="s">
        <v>7</v>
      </c>
      <c r="D40" s="5" t="s">
        <v>6</v>
      </c>
      <c r="E40" s="5" t="s">
        <v>1</v>
      </c>
      <c r="F40" s="6" t="s">
        <v>226</v>
      </c>
      <c r="G40" s="7" t="s">
        <v>225</v>
      </c>
      <c r="H40" s="5" t="s">
        <v>3</v>
      </c>
      <c r="I40" s="5" t="s">
        <v>2</v>
      </c>
      <c r="J40" s="5" t="s">
        <v>10</v>
      </c>
      <c r="K40" s="5" t="s">
        <v>0</v>
      </c>
      <c r="L40" s="5" t="s">
        <v>5</v>
      </c>
      <c r="M40" s="5" t="s">
        <v>11</v>
      </c>
      <c r="N40" s="5" t="s">
        <v>4</v>
      </c>
      <c r="O40" s="5" t="s">
        <v>12</v>
      </c>
    </row>
    <row r="41" spans="2:17" x14ac:dyDescent="0.3">
      <c r="D41" t="str">
        <f>IF(AND(ISNUMBER(G41),NOT(ISBLANK(I41))),"COST","*")</f>
        <v>COST</v>
      </c>
      <c r="E41">
        <v>2030</v>
      </c>
      <c r="F41" t="s">
        <v>56</v>
      </c>
      <c r="G41" s="9" cm="1">
        <f t="array" ref="G41">ROUNDUP(HLOOKUP(HLOOKUP(VLOOKUP(controller!$E$3,controller!$B$3:$C$32,2,),Scenarios_Qualitative!$H$3:$AK$34,MATCH(F41,Scenarios_Qualitative!$C$3:$C$34,0),FALSE),Scenarios_Data!$B$3:$J$119,MATCH(1,(Scenarios_Data!$B$3:$B$119=F41)*(Scenarios_Data!$G$3:$G$119=E41),0),FALSE),2)</f>
        <v>5.39</v>
      </c>
      <c r="I41" t="s">
        <v>230</v>
      </c>
    </row>
    <row r="42" spans="2:17" x14ac:dyDescent="0.3">
      <c r="D42" t="str">
        <f t="shared" ref="D42:D58" si="2">IF(AND(ISNUMBER(G42),NOT(ISBLANK(I42))),"COST","*")</f>
        <v>COST</v>
      </c>
      <c r="E42">
        <v>2030</v>
      </c>
      <c r="F42" t="s">
        <v>63</v>
      </c>
      <c r="G42" s="9" cm="1">
        <f t="array" ref="G42">ROUNDUP(HLOOKUP(HLOOKUP(VLOOKUP(controller!$E$3,controller!$B$3:$C$32,2,),Scenarios_Qualitative!$H$3:$AK$34,MATCH(F42,Scenarios_Qualitative!$C$3:$C$34,0),FALSE),Scenarios_Data!$B$3:$J$119,MATCH(1,(Scenarios_Data!$B$3:$B$119=F42)*(Scenarios_Data!$G$3:$G$119=E42),0),FALSE),2)</f>
        <v>4.0999999999999996</v>
      </c>
      <c r="I42" t="s">
        <v>231</v>
      </c>
    </row>
    <row r="43" spans="2:17" x14ac:dyDescent="0.3">
      <c r="D43" t="str">
        <f t="shared" si="2"/>
        <v>COST</v>
      </c>
      <c r="E43">
        <v>2030</v>
      </c>
      <c r="F43" t="s">
        <v>69</v>
      </c>
      <c r="G43" s="9" cm="1">
        <f t="array" ref="G43">ROUNDUP(HLOOKUP(HLOOKUP(VLOOKUP(controller!$E$3,controller!$B$3:$C$32,2,),Scenarios_Qualitative!$H$3:$AK$34,MATCH(F43,Scenarios_Qualitative!$C$3:$C$34,0),FALSE),Scenarios_Data!$B$3:$J$119,MATCH(1,(Scenarios_Data!$B$3:$B$119=F43)*(Scenarios_Data!$G$3:$G$119=E43),0),FALSE),2)</f>
        <v>1.98</v>
      </c>
      <c r="I43" t="s">
        <v>232</v>
      </c>
    </row>
    <row r="44" spans="2:17" x14ac:dyDescent="0.3">
      <c r="D44" t="str">
        <f t="shared" si="2"/>
        <v>*</v>
      </c>
      <c r="E44">
        <v>2030</v>
      </c>
      <c r="F44" t="s">
        <v>74</v>
      </c>
      <c r="G44" s="9" t="str" cm="1">
        <f t="array" ref="G44">HLOOKUP(HLOOKUP(VLOOKUP(controller!$E$3,controller!$B$3:$C$32,2,),Scenarios_Qualitative!$H$3:$AK$34,MATCH(F44,Scenarios_Qualitative!$C$3:$C$34,0),FALSE),Scenarios_Data!$B$3:$J$119,MATCH(1,(Scenarios_Data!$B$3:$B$119=F44)*(Scenarios_Data!$G$3:$G$119=E44),0),FALSE)</f>
        <v>Identified profiles from NordPool</v>
      </c>
    </row>
    <row r="45" spans="2:17" x14ac:dyDescent="0.3">
      <c r="D45" t="str">
        <f t="shared" si="2"/>
        <v>COST</v>
      </c>
      <c r="E45">
        <v>2030</v>
      </c>
      <c r="F45" t="s">
        <v>82</v>
      </c>
      <c r="G45" s="9" cm="1">
        <f t="array" ref="G45">ROUNDUP(HLOOKUP(HLOOKUP(VLOOKUP(controller!$E$3,controller!$B$3:$C$32,2,),Scenarios_Qualitative!$H$3:$AK$34,MATCH(F45,Scenarios_Qualitative!$C$3:$C$34,0),FALSE),Scenarios_Data!$B$3:$J$119,MATCH(1,(Scenarios_Data!$B$3:$B$119=F45)*(Scenarios_Data!$G$3:$G$119=E45),0),FALSE),2)</f>
        <v>16.680000000000003</v>
      </c>
      <c r="I45" t="s">
        <v>233</v>
      </c>
    </row>
    <row r="46" spans="2:17" x14ac:dyDescent="0.3">
      <c r="D46" t="str">
        <f t="shared" si="2"/>
        <v>COST</v>
      </c>
      <c r="E46">
        <v>2030</v>
      </c>
      <c r="F46" t="s">
        <v>89</v>
      </c>
      <c r="G46" s="9" cm="1">
        <f t="array" ref="G46">ROUNDUP(HLOOKUP(HLOOKUP(VLOOKUP(controller!$E$3,controller!$B$3:$C$32,2,),Scenarios_Qualitative!$H$3:$AK$34,MATCH(F46,Scenarios_Qualitative!$C$3:$C$34,0),FALSE),Scenarios_Data!$B$3:$J$119,MATCH(1,(Scenarios_Data!$B$3:$B$119=F46)*(Scenarios_Data!$G$3:$G$119=E46),0),FALSE),2)</f>
        <v>2.2599999999999998</v>
      </c>
      <c r="I46" t="s">
        <v>234</v>
      </c>
    </row>
    <row r="47" spans="2:17" x14ac:dyDescent="0.3">
      <c r="D47" t="str">
        <f t="shared" si="2"/>
        <v>COST</v>
      </c>
      <c r="E47">
        <v>2030</v>
      </c>
      <c r="F47" t="s">
        <v>94</v>
      </c>
      <c r="G47" s="9" cm="1">
        <f t="array" ref="G47">ROUNDUP(HLOOKUP(HLOOKUP(VLOOKUP(controller!$E$3,controller!$B$3:$C$32,2,),Scenarios_Qualitative!$H$3:$AK$34,MATCH(F47,Scenarios_Qualitative!$C$3:$C$34,0),FALSE),Scenarios_Data!$B$3:$J$119,MATCH(1,(Scenarios_Data!$B$3:$B$119=F47)*(Scenarios_Data!$G$3:$G$119=E47),0),FALSE),2)</f>
        <v>3.17</v>
      </c>
      <c r="I47" t="s">
        <v>235</v>
      </c>
    </row>
    <row r="48" spans="2:17" x14ac:dyDescent="0.3">
      <c r="D48" t="str">
        <f t="shared" si="2"/>
        <v>COST</v>
      </c>
      <c r="E48">
        <v>2030</v>
      </c>
      <c r="F48" t="s">
        <v>98</v>
      </c>
      <c r="G48" s="9" cm="1">
        <f t="array" ref="G48">ROUNDUP(HLOOKUP(HLOOKUP(VLOOKUP(controller!$E$3,controller!$B$3:$C$32,2,),Scenarios_Qualitative!$H$3:$AK$34,MATCH(F48,Scenarios_Qualitative!$C$3:$C$34,0),FALSE),Scenarios_Data!$B$3:$J$119,MATCH(1,(Scenarios_Data!$B$3:$B$119=F48)*(Scenarios_Data!$G$3:$G$119=E48),0),FALSE),2)</f>
        <v>11.879999999999999</v>
      </c>
      <c r="I48" t="s">
        <v>572</v>
      </c>
    </row>
    <row r="49" spans="4:9" x14ac:dyDescent="0.3">
      <c r="D49" t="str">
        <f t="shared" si="2"/>
        <v>*</v>
      </c>
      <c r="E49">
        <v>2030</v>
      </c>
      <c r="F49" t="s">
        <v>100</v>
      </c>
      <c r="G49" s="9" cm="1">
        <f t="array" ref="G49">ROUNDUP(HLOOKUP(HLOOKUP(VLOOKUP(controller!$E$3,controller!$B$3:$C$32,2,),Scenarios_Qualitative!$H$3:$AK$34,MATCH(F49,Scenarios_Qualitative!$C$3:$C$34,0),FALSE),Scenarios_Data!$B$3:$J$119,MATCH(1,(Scenarios_Data!$B$3:$B$119=F49)*(Scenarios_Data!$G$3:$G$119=E49),0),FALSE),2)</f>
        <v>8.91</v>
      </c>
    </row>
    <row r="50" spans="4:9" x14ac:dyDescent="0.3">
      <c r="D50" t="str">
        <f t="shared" si="2"/>
        <v>COST</v>
      </c>
      <c r="E50">
        <v>2050</v>
      </c>
      <c r="F50" t="s">
        <v>56</v>
      </c>
      <c r="G50" s="9" cm="1">
        <f t="array" ref="G50">ROUNDUP(HLOOKUP(HLOOKUP(VLOOKUP(controller!$E$3,controller!$B$3:$C$32,2,),Scenarios_Qualitative!$H$3:$AK$34,MATCH(F50,Scenarios_Qualitative!$C$3:$C$34,0),FALSE),Scenarios_Data!$B$3:$J$119,MATCH(1,(Scenarios_Data!$B$3:$B$119=F50)*(Scenarios_Data!$G$3:$G$119=E50),0),FALSE),2)</f>
        <v>3.6999999999999997</v>
      </c>
      <c r="I50" t="s">
        <v>230</v>
      </c>
    </row>
    <row r="51" spans="4:9" x14ac:dyDescent="0.3">
      <c r="D51" t="str">
        <f t="shared" si="2"/>
        <v>COST</v>
      </c>
      <c r="E51">
        <v>2050</v>
      </c>
      <c r="F51" t="s">
        <v>63</v>
      </c>
      <c r="G51" s="9" cm="1">
        <f t="array" ref="G51">ROUNDUP(HLOOKUP(HLOOKUP(VLOOKUP(controller!$E$3,controller!$B$3:$C$32,2,),Scenarios_Qualitative!$H$3:$AK$34,MATCH(F51,Scenarios_Qualitative!$C$3:$C$34,0),FALSE),Scenarios_Data!$B$3:$J$119,MATCH(1,(Scenarios_Data!$B$3:$B$119=F51)*(Scenarios_Data!$G$3:$G$119=E51),0),FALSE),2)</f>
        <v>3.3899999999999997</v>
      </c>
      <c r="I51" t="s">
        <v>231</v>
      </c>
    </row>
    <row r="52" spans="4:9" x14ac:dyDescent="0.3">
      <c r="D52" t="str">
        <f t="shared" si="2"/>
        <v>COST</v>
      </c>
      <c r="E52">
        <v>2050</v>
      </c>
      <c r="F52" t="s">
        <v>69</v>
      </c>
      <c r="G52" s="9" cm="1">
        <f t="array" ref="G52">ROUNDUP(HLOOKUP(HLOOKUP(VLOOKUP(controller!$E$3,controller!$B$3:$C$32,2,),Scenarios_Qualitative!$H$3:$AK$34,MATCH(F52,Scenarios_Qualitative!$C$3:$C$34,0),FALSE),Scenarios_Data!$B$3:$J$119,MATCH(1,(Scenarios_Data!$B$3:$B$119=F52)*(Scenarios_Data!$G$3:$G$119=E52),0),FALSE),2)</f>
        <v>1.6</v>
      </c>
      <c r="I52" t="s">
        <v>232</v>
      </c>
    </row>
    <row r="53" spans="4:9" x14ac:dyDescent="0.3">
      <c r="D53" t="str">
        <f t="shared" si="2"/>
        <v>*</v>
      </c>
      <c r="E53">
        <v>2050</v>
      </c>
      <c r="F53" t="s">
        <v>74</v>
      </c>
      <c r="G53" s="9" t="str" cm="1">
        <f t="array" ref="G53">HLOOKUP(HLOOKUP(VLOOKUP(controller!$E$3,controller!$B$3:$C$32,2,),Scenarios_Qualitative!$H$3:$AK$34,MATCH(F53,Scenarios_Qualitative!$C$3:$C$34,0),FALSE),Scenarios_Data!$B$3:$J$119,MATCH(1,(Scenarios_Data!$B$3:$B$119=F53)*(Scenarios_Data!$G$3:$G$119=E53),0),FALSE)</f>
        <v>Identified profiles from NordPool</v>
      </c>
    </row>
    <row r="54" spans="4:9" x14ac:dyDescent="0.3">
      <c r="D54" t="str">
        <f t="shared" si="2"/>
        <v>COST</v>
      </c>
      <c r="E54">
        <v>2050</v>
      </c>
      <c r="F54" t="s">
        <v>82</v>
      </c>
      <c r="G54" s="9" cm="1">
        <f t="array" ref="G54">ROUNDUP(HLOOKUP(HLOOKUP(VLOOKUP(controller!$E$3,controller!$B$3:$C$32,2,),Scenarios_Qualitative!$H$3:$AK$34,MATCH(F54,Scenarios_Qualitative!$C$3:$C$34,0),FALSE),Scenarios_Data!$B$3:$J$119,MATCH(1,(Scenarios_Data!$B$3:$B$119=F54)*(Scenarios_Data!$G$3:$G$119=E54),0),FALSE),2)</f>
        <v>13.48</v>
      </c>
      <c r="I54" t="s">
        <v>233</v>
      </c>
    </row>
    <row r="55" spans="4:9" x14ac:dyDescent="0.3">
      <c r="D55" t="str">
        <f t="shared" si="2"/>
        <v>COST</v>
      </c>
      <c r="E55">
        <v>2050</v>
      </c>
      <c r="F55" t="s">
        <v>89</v>
      </c>
      <c r="G55" s="9" cm="1">
        <f t="array" ref="G55">ROUNDUP(HLOOKUP(HLOOKUP(VLOOKUP(controller!$E$3,controller!$B$3:$C$32,2,),Scenarios_Qualitative!$H$3:$AK$34,MATCH(F55,Scenarios_Qualitative!$C$3:$C$34,0),FALSE),Scenarios_Data!$B$3:$J$119,MATCH(1,(Scenarios_Data!$B$3:$B$119=F55)*(Scenarios_Data!$G$3:$G$119=E55),0),FALSE),2)</f>
        <v>2.8499999999999996</v>
      </c>
      <c r="I55" t="s">
        <v>234</v>
      </c>
    </row>
    <row r="56" spans="4:9" x14ac:dyDescent="0.3">
      <c r="D56" t="str">
        <f t="shared" si="2"/>
        <v>COST</v>
      </c>
      <c r="E56">
        <v>2050</v>
      </c>
      <c r="F56" t="s">
        <v>94</v>
      </c>
      <c r="G56" s="9" cm="1">
        <f t="array" ref="G56">ROUNDUP(HLOOKUP(HLOOKUP(VLOOKUP(controller!$E$3,controller!$B$3:$C$32,2,),Scenarios_Qualitative!$H$3:$AK$34,MATCH(F56,Scenarios_Qualitative!$C$3:$C$34,0),FALSE),Scenarios_Data!$B$3:$J$119,MATCH(1,(Scenarios_Data!$B$3:$B$119=F56)*(Scenarios_Data!$G$3:$G$119=E56),0),FALSE),2)</f>
        <v>3.51</v>
      </c>
      <c r="I56" t="s">
        <v>235</v>
      </c>
    </row>
    <row r="57" spans="4:9" x14ac:dyDescent="0.3">
      <c r="D57" t="str">
        <f t="shared" si="2"/>
        <v>COST</v>
      </c>
      <c r="E57">
        <v>2050</v>
      </c>
      <c r="F57" t="s">
        <v>98</v>
      </c>
      <c r="G57" s="9" cm="1">
        <f t="array" ref="G57">ROUNDUP(HLOOKUP(HLOOKUP(VLOOKUP(controller!$E$3,controller!$B$3:$C$32,2,),Scenarios_Qualitative!$H$3:$AK$34,MATCH(F57,Scenarios_Qualitative!$C$3:$C$34,0),FALSE),Scenarios_Data!$B$3:$J$119,MATCH(1,(Scenarios_Data!$B$3:$B$119=F57)*(Scenarios_Data!$G$3:$G$119=E57),0),FALSE),2)</f>
        <v>10.4</v>
      </c>
      <c r="I57" t="s">
        <v>572</v>
      </c>
    </row>
    <row r="58" spans="4:9" x14ac:dyDescent="0.3">
      <c r="D58" t="str">
        <f t="shared" si="2"/>
        <v>*</v>
      </c>
      <c r="E58">
        <v>2050</v>
      </c>
      <c r="F58" t="s">
        <v>100</v>
      </c>
      <c r="G58" s="9" cm="1">
        <f t="array" ref="G58">ROUNDUP(HLOOKUP(HLOOKUP(VLOOKUP(controller!$E$3,controller!$B$3:$C$32,2,),Scenarios_Qualitative!$H$3:$AK$34,MATCH(F58,Scenarios_Qualitative!$C$3:$C$34,0),FALSE),Scenarios_Data!$B$3:$J$119,MATCH(1,(Scenarios_Data!$B$3:$B$119=F58)*(Scenarios_Data!$G$3:$G$119=E58),0),FALSE),2)</f>
        <v>7.43</v>
      </c>
    </row>
  </sheetData>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4"/>
  <sheetViews>
    <sheetView zoomScale="70" zoomScaleNormal="70" workbookViewId="0">
      <selection activeCell="O23" sqref="O23"/>
    </sheetView>
  </sheetViews>
  <sheetFormatPr defaultRowHeight="14.4" x14ac:dyDescent="0.3"/>
  <cols>
    <col min="1" max="1" width="41.21875" customWidth="1"/>
    <col min="2" max="2" width="20.5546875" customWidth="1"/>
    <col min="3" max="3" width="18.21875" customWidth="1"/>
    <col min="4" max="4" width="8.88671875" bestFit="1" customWidth="1"/>
    <col min="5" max="5" width="16.6640625" customWidth="1"/>
    <col min="6" max="6" width="11.5546875" style="9" customWidth="1"/>
    <col min="7" max="7" width="14.77734375" style="9" customWidth="1"/>
    <col min="8" max="8" width="14.109375" customWidth="1"/>
    <col min="9" max="9" width="12.6640625" customWidth="1"/>
    <col min="10" max="10" width="16.33203125" customWidth="1"/>
    <col min="11" max="11" width="14.33203125" style="9" customWidth="1"/>
    <col min="12" max="12" width="13.44140625" customWidth="1"/>
    <col min="13" max="13" width="13.88671875" style="9" customWidth="1"/>
    <col min="14" max="14" width="25.6640625" customWidth="1"/>
    <col min="15" max="15" width="14.88671875" customWidth="1"/>
    <col min="16" max="16" width="10" bestFit="1" customWidth="1"/>
    <col min="17" max="17" width="8.5546875" bestFit="1" customWidth="1"/>
    <col min="18" max="18" width="8.6640625" bestFit="1" customWidth="1"/>
    <col min="19" max="20" width="8.44140625" bestFit="1" customWidth="1"/>
    <col min="21" max="21" width="16" customWidth="1"/>
    <col min="23" max="23" width="7.77734375" style="10" customWidth="1"/>
    <col min="24" max="24" width="31.21875" customWidth="1"/>
  </cols>
  <sheetData>
    <row r="1" spans="1:25" x14ac:dyDescent="0.3">
      <c r="N1" t="s">
        <v>830</v>
      </c>
    </row>
    <row r="2" spans="1:25" x14ac:dyDescent="0.3">
      <c r="C2" t="s">
        <v>581</v>
      </c>
      <c r="N2" s="34" t="s">
        <v>831</v>
      </c>
      <c r="O2" s="233">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769</v>
      </c>
      <c r="J6" s="5" t="s">
        <v>772</v>
      </c>
      <c r="K6" s="5" t="s">
        <v>774</v>
      </c>
      <c r="L6" s="5" t="s">
        <v>773</v>
      </c>
      <c r="M6" s="7" t="s">
        <v>771</v>
      </c>
      <c r="N6" s="6" t="s">
        <v>226</v>
      </c>
      <c r="O6" s="7" t="s">
        <v>225</v>
      </c>
      <c r="P6" s="5" t="s">
        <v>3</v>
      </c>
      <c r="Q6" s="5" t="s">
        <v>2</v>
      </c>
      <c r="R6" s="5" t="s">
        <v>10</v>
      </c>
      <c r="S6" s="5" t="s">
        <v>0</v>
      </c>
      <c r="T6" s="5" t="s">
        <v>5</v>
      </c>
      <c r="U6" s="5" t="s">
        <v>11</v>
      </c>
      <c r="V6" s="5" t="s">
        <v>4</v>
      </c>
      <c r="W6" s="5" t="s">
        <v>12</v>
      </c>
      <c r="Y6" s="10"/>
    </row>
    <row r="7" spans="1:25" x14ac:dyDescent="0.3">
      <c r="A7" t="s">
        <v>583</v>
      </c>
      <c r="F7"/>
      <c r="G7" t="s">
        <v>765</v>
      </c>
      <c r="H7" s="9">
        <v>2019</v>
      </c>
      <c r="I7" s="9">
        <v>2030</v>
      </c>
      <c r="J7" t="str">
        <f>IF(G7="EFFICIENCY","-EFFICIENCY","")</f>
        <v/>
      </c>
      <c r="K7"/>
      <c r="L7" s="9"/>
      <c r="N7" t="s">
        <v>125</v>
      </c>
      <c r="O7" s="9" t="str" cm="1">
        <f t="array" ref="O7">"*"&amp;ROUNDUP((1-$O$2*(HLOOKUP(HLOOKUP(VLOOKUP(controller!$E$3,controller!$B$3:$C$32,2,),Scenarios_Qualitative!$H$3:$AK$33,MATCH(N7,Scenarios_Qualitative!$C$3:$C$34,0),FALSE),Scenarios_Data!$B$3:$J$119,MATCH(1,(Scenarios_Data!$B$3:$B$119=N7)*(Scenarios_Data!$G$3:$G$119=I7),0),FALSE))),2)</f>
        <v>*0,98</v>
      </c>
      <c r="Q7" t="s">
        <v>768</v>
      </c>
      <c r="W7"/>
      <c r="Y7" s="10"/>
    </row>
    <row r="8" spans="1:25" x14ac:dyDescent="0.3">
      <c r="A8" t="s">
        <v>583</v>
      </c>
      <c r="F8"/>
      <c r="G8" t="s">
        <v>766</v>
      </c>
      <c r="H8" s="9">
        <v>2019</v>
      </c>
      <c r="I8" s="9">
        <v>2030</v>
      </c>
      <c r="J8" t="str">
        <f t="shared" ref="J8:J21" si="0">IF(G8="EFFICIENCY","-EFFICIENCY","")</f>
        <v/>
      </c>
      <c r="K8"/>
      <c r="L8" s="9"/>
      <c r="N8" t="s">
        <v>125</v>
      </c>
      <c r="O8" s="9" t="str" cm="1">
        <f t="array" ref="O8">"*"&amp;ROUNDUP((1-$O$2*(HLOOKUP(HLOOKUP(VLOOKUP(controller!$E$3,controller!$B$3:$C$32,2,),Scenarios_Qualitative!$H$3:$AK$33,MATCH(N8,Scenarios_Qualitative!$C$3:$C$34,0),FALSE),Scenarios_Data!$B$3:$J$119,MATCH(1,(Scenarios_Data!$B$3:$B$119=N8)*(Scenarios_Data!$G$3:$G$119=I8),0),FALSE))),2)</f>
        <v>*0,98</v>
      </c>
      <c r="Q8" t="s">
        <v>768</v>
      </c>
      <c r="W8"/>
      <c r="Y8" s="10"/>
    </row>
    <row r="9" spans="1:25" x14ac:dyDescent="0.3">
      <c r="A9" t="s">
        <v>583</v>
      </c>
      <c r="F9"/>
      <c r="G9" t="s">
        <v>767</v>
      </c>
      <c r="H9" s="9">
        <v>2019</v>
      </c>
      <c r="I9" s="9">
        <v>2030</v>
      </c>
      <c r="J9" t="str">
        <f t="shared" si="0"/>
        <v/>
      </c>
      <c r="K9"/>
      <c r="L9" s="9"/>
      <c r="N9" t="s">
        <v>125</v>
      </c>
      <c r="O9" s="9" t="str" cm="1">
        <f t="array" ref="O9">"*"&amp;ROUNDUP((1-$O$2*(HLOOKUP(HLOOKUP(VLOOKUP(controller!$E$3,controller!$B$3:$C$32,2,),Scenarios_Qualitative!$H$3:$AK$33,MATCH(N9,Scenarios_Qualitative!$C$3:$C$34,0),FALSE),Scenarios_Data!$B$3:$J$119,MATCH(1,(Scenarios_Data!$B$3:$B$119=N9)*(Scenarios_Data!$G$3:$G$119=I9),0),FALSE))),2)</f>
        <v>*0,98</v>
      </c>
      <c r="Q9" t="s">
        <v>768</v>
      </c>
      <c r="W9"/>
      <c r="Y9" s="10"/>
    </row>
    <row r="10" spans="1:25" x14ac:dyDescent="0.3">
      <c r="A10" t="s">
        <v>583</v>
      </c>
      <c r="F10"/>
      <c r="G10" t="str">
        <f>G11</f>
        <v>EFFICIENCY</v>
      </c>
      <c r="H10" s="9">
        <f t="shared" ref="H10:Q10" si="1">H11</f>
        <v>2019</v>
      </c>
      <c r="I10" s="9">
        <f t="shared" si="1"/>
        <v>2030</v>
      </c>
      <c r="J10" t="str">
        <f t="shared" si="1"/>
        <v>-EFFICIENCY</v>
      </c>
      <c r="K10"/>
      <c r="L10" s="9" t="str">
        <f>"&gt;="&amp;"0."&amp;RIGHT(M10,LEN(M10)-2)</f>
        <v>&gt;=0.97</v>
      </c>
      <c r="M10" s="9" cm="1">
        <f t="array" ref="M10">ROUNDUP(1-(HLOOKUP(HLOOKUP(VLOOKUP(controller!$E$3,controller!$B$3:$C$32,2,),Scenarios_Qualitative!$H$3:$AK$33,MATCH(N10,Scenarios_Qualitative!$C$3:$C$34,0),FALSE),Scenarios_Data!$B$3:$J$119,MATCH(1,(Scenarios_Data!$B$3:$B$119=N10)*(Scenarios_Data!$G$3:$G$119=I10),0),FALSE)),2)</f>
        <v>0.97</v>
      </c>
      <c r="N10" t="str">
        <f t="shared" si="1"/>
        <v>Technology Advancement - Conventional Technologies/ processes - EFFICIENCY</v>
      </c>
      <c r="O10" s="9">
        <v>1</v>
      </c>
      <c r="Q10" t="str">
        <f t="shared" si="1"/>
        <v>RH*B*GAS*,RH*B*OIL*,RH*B*WOF*,RH*B*WOO*,RH*R*ELC*,MH*B*GAS*,MH*B*OIL*,MH*B*WOF*,MH*B*WOO*,MH*R*ELC*,CH*B*GAS*,CH*B*OIL*,CH*B*WOF*,CH*B*WOO*,CH*R*ELC*</v>
      </c>
      <c r="W10"/>
      <c r="Y10" s="10"/>
    </row>
    <row r="11" spans="1:25" x14ac:dyDescent="0.3">
      <c r="A11" t="s">
        <v>583</v>
      </c>
      <c r="F11"/>
      <c r="G11" t="s">
        <v>770</v>
      </c>
      <c r="H11" s="9">
        <v>2019</v>
      </c>
      <c r="I11" s="9">
        <v>2030</v>
      </c>
      <c r="J11" t="str">
        <f t="shared" si="0"/>
        <v>-EFFICIENCY</v>
      </c>
      <c r="K11"/>
      <c r="L11" s="9" t="str">
        <f>"&lt;"&amp;"0."&amp;RIGHT(M11,LEN(M11)-2)</f>
        <v>&lt;0.97</v>
      </c>
      <c r="M11" s="9" cm="1">
        <f t="array" ref="M11">ROUNDUP(1-(HLOOKUP(HLOOKUP(VLOOKUP(controller!$E$3,controller!$B$3:$C$32,2,),Scenarios_Qualitative!$H$3:$AK$33,MATCH(N11,Scenarios_Qualitative!$C$3:$C$34,0),FALSE),Scenarios_Data!$B$3:$J$119,MATCH(1,(Scenarios_Data!$B$3:$B$119=N11)*(Scenarios_Data!$G$3:$G$119=I11),0),FALSE)),2)</f>
        <v>0.97</v>
      </c>
      <c r="N11" t="s">
        <v>129</v>
      </c>
      <c r="O11" s="9" t="str" cm="1">
        <f t="array" ref="O11">"*"&amp;ROUNDUP((1+$O$2*(HLOOKUP(HLOOKUP(VLOOKUP(controller!$E$3,controller!$B$3:$C$32,2,),Scenarios_Qualitative!$H$3:$AK$33,MATCH(N11,Scenarios_Qualitative!$C$3:$C$34,0),FALSE),Scenarios_Data!$B$3:$J$119,MATCH(1,(Scenarios_Data!$B$3:$B$119=N11)*(Scenarios_Data!$G$3:$G$119=I11),0),FALSE))),2)</f>
        <v>*1,03</v>
      </c>
      <c r="Q11" t="s">
        <v>768</v>
      </c>
      <c r="W11"/>
      <c r="Y11" s="10"/>
    </row>
    <row r="12" spans="1:25" x14ac:dyDescent="0.3">
      <c r="A12" t="s">
        <v>584</v>
      </c>
      <c r="F12"/>
      <c r="G12" t="s">
        <v>765</v>
      </c>
      <c r="H12" s="9">
        <v>2019</v>
      </c>
      <c r="I12" s="9">
        <v>2030</v>
      </c>
      <c r="J12" t="str">
        <f t="shared" si="0"/>
        <v/>
      </c>
      <c r="K12"/>
      <c r="L12" s="9"/>
      <c r="N12" t="str">
        <f>N7</f>
        <v>Technology Advancement - Conventional Technologies/ processes - INVCOST, FIXOM, VAROM</v>
      </c>
      <c r="O12" s="9" t="str" cm="1">
        <f t="array" ref="O12">"*"&amp;ROUNDUP((1-$O$2*(HLOOKUP(HLOOKUP(VLOOKUP(controller!$E$3,controller!$B$3:$C$32,2,),Scenarios_Qualitative!$H$3:$AK$33,MATCH(N12,Scenarios_Qualitative!$C$3:$C$34,0),FALSE),Scenarios_Data!$B$3:$J$119,MATCH(1,(Scenarios_Data!$B$3:$B$119=N12)*(Scenarios_Data!$G$3:$G$119=I12),0),FALSE))),2)</f>
        <v>*0,98</v>
      </c>
      <c r="Q12" t="s">
        <v>582</v>
      </c>
      <c r="W12"/>
      <c r="Y12" s="10"/>
    </row>
    <row r="13" spans="1:25" x14ac:dyDescent="0.3">
      <c r="A13" t="s">
        <v>584</v>
      </c>
      <c r="F13"/>
      <c r="G13" t="s">
        <v>766</v>
      </c>
      <c r="H13" s="9">
        <v>2019</v>
      </c>
      <c r="I13" s="9">
        <v>2030</v>
      </c>
      <c r="J13" t="str">
        <f t="shared" si="0"/>
        <v/>
      </c>
      <c r="K13"/>
      <c r="L13" s="9"/>
      <c r="N13" t="str">
        <f>N8</f>
        <v>Technology Advancement - Conventional Technologies/ processes - INVCOST, FIXOM, VAROM</v>
      </c>
      <c r="O13" s="9" t="str" cm="1">
        <f t="array" ref="O13">"*"&amp;ROUNDUP((1-$O$2*(HLOOKUP(HLOOKUP(VLOOKUP(controller!$E$3,controller!$B$3:$C$32,2,),Scenarios_Qualitative!$H$3:$AK$33,MATCH(N13,Scenarios_Qualitative!$C$3:$C$34,0),FALSE),Scenarios_Data!$B$3:$J$119,MATCH(1,(Scenarios_Data!$B$3:$B$119=N13)*(Scenarios_Data!$G$3:$G$119=I13),0),FALSE))),2)</f>
        <v>*0,98</v>
      </c>
      <c r="Q13" t="s">
        <v>582</v>
      </c>
      <c r="W13"/>
      <c r="Y13" s="10"/>
    </row>
    <row r="14" spans="1:25" x14ac:dyDescent="0.3">
      <c r="A14" t="s">
        <v>584</v>
      </c>
      <c r="F14"/>
      <c r="G14" t="s">
        <v>767</v>
      </c>
      <c r="H14" s="9">
        <v>2019</v>
      </c>
      <c r="I14" s="9">
        <v>2030</v>
      </c>
      <c r="J14" t="str">
        <f t="shared" si="0"/>
        <v/>
      </c>
      <c r="K14"/>
      <c r="L14" s="9"/>
      <c r="N14" t="str">
        <f>N9</f>
        <v>Technology Advancement - Conventional Technologies/ processes - INVCOST, FIXOM, VAROM</v>
      </c>
      <c r="O14" s="9" t="str" cm="1">
        <f t="array" ref="O14">"*"&amp;ROUNDUP((1-$O$2*(HLOOKUP(HLOOKUP(VLOOKUP(controller!$E$3,controller!$B$3:$C$32,2,),Scenarios_Qualitative!$H$3:$AK$33,MATCH(N14,Scenarios_Qualitative!$C$3:$C$34,0),FALSE),Scenarios_Data!$B$3:$J$119,MATCH(1,(Scenarios_Data!$B$3:$B$119=N14)*(Scenarios_Data!$G$3:$G$119=I14),0),FALSE))),2)</f>
        <v>*0,98</v>
      </c>
      <c r="Q14" t="s">
        <v>582</v>
      </c>
      <c r="W14"/>
      <c r="Y14" s="10"/>
    </row>
    <row r="15" spans="1:25" x14ac:dyDescent="0.3">
      <c r="F15"/>
      <c r="G15" t="s">
        <v>770</v>
      </c>
      <c r="H15" s="9">
        <v>2019</v>
      </c>
      <c r="I15" s="9">
        <v>2030</v>
      </c>
      <c r="J15" t="str">
        <f t="shared" si="0"/>
        <v>-EFFICIENCY</v>
      </c>
      <c r="K15"/>
      <c r="L15" s="9" t="str">
        <f>"&gt;="&amp;"0."&amp;RIGHT(M15,LEN(M15)-2)</f>
        <v>&gt;=0.97</v>
      </c>
      <c r="M15" s="9" cm="1">
        <f t="array" ref="M15">ROUNDUP(1-(HLOOKUP(HLOOKUP(VLOOKUP(controller!$E$3,controller!$B$3:$C$32,2,),Scenarios_Qualitative!$H$3:$AK$33,MATCH(N15,Scenarios_Qualitative!$C$3:$C$34,0),FALSE),Scenarios_Data!$B$3:$J$119,MATCH(1,(Scenarios_Data!$B$3:$B$119=N15)*(Scenarios_Data!$G$3:$G$119=I15),0),FALSE)),2)</f>
        <v>0.97</v>
      </c>
      <c r="N15" t="str">
        <f>N10</f>
        <v>Technology Advancement - Conventional Technologies/ processes - EFFICIENCY</v>
      </c>
      <c r="O15" s="9">
        <v>1</v>
      </c>
      <c r="Q15" t="s">
        <v>835</v>
      </c>
      <c r="W15"/>
      <c r="Y15" s="10"/>
    </row>
    <row r="16" spans="1:25" x14ac:dyDescent="0.3">
      <c r="A16" t="s">
        <v>584</v>
      </c>
      <c r="F16"/>
      <c r="G16" t="s">
        <v>770</v>
      </c>
      <c r="H16" s="9">
        <v>2019</v>
      </c>
      <c r="I16" s="9">
        <v>2030</v>
      </c>
      <c r="J16" t="str">
        <f t="shared" si="0"/>
        <v>-EFFICIENCY</v>
      </c>
      <c r="K16"/>
      <c r="L16" s="9" t="str">
        <f t="shared" ref="L16:L21" si="2">"&lt;"&amp;"0."&amp;RIGHT(M16,LEN(M16)-2)</f>
        <v>&lt;0.97</v>
      </c>
      <c r="M16" s="9" cm="1">
        <f t="array" ref="M16">ROUNDUP(1-(HLOOKUP(HLOOKUP(VLOOKUP(controller!$E$3,controller!$B$3:$C$32,2,),Scenarios_Qualitative!$H$3:$AK$33,MATCH(N16,Scenarios_Qualitative!$C$3:$C$34,0),FALSE),Scenarios_Data!$B$3:$J$119,MATCH(1,(Scenarios_Data!$B$3:$B$119=N16)*(Scenarios_Data!$G$3:$G$119=I16),0),FALSE)),2)</f>
        <v>0.97</v>
      </c>
      <c r="N16" t="str">
        <f>N11</f>
        <v>Technology Advancement - Conventional Technologies/ processes - EFFICIENCY</v>
      </c>
      <c r="O16" s="9" t="str" cm="1">
        <f t="array" ref="O16">"*"&amp;ROUNDUP((1+$O$2*(HLOOKUP(HLOOKUP(VLOOKUP(controller!$E$3,controller!$B$3:$C$32,2,),Scenarios_Qualitative!$H$3:$AK$33,MATCH(N16,Scenarios_Qualitative!$C$3:$C$34,0),FALSE),Scenarios_Data!$B$3:$J$119,MATCH(1,(Scenarios_Data!$B$3:$B$119=N16)*(Scenarios_Data!$G$3:$G$119=I16),0),FALSE))),2)</f>
        <v>*1,03</v>
      </c>
      <c r="Q16" t="s">
        <v>582</v>
      </c>
      <c r="W16"/>
      <c r="Y16" s="10"/>
    </row>
    <row r="17" spans="1:25" x14ac:dyDescent="0.3">
      <c r="A17" t="s">
        <v>585</v>
      </c>
      <c r="F17"/>
      <c r="G17" t="s">
        <v>765</v>
      </c>
      <c r="H17" s="9">
        <v>2019</v>
      </c>
      <c r="I17" s="9">
        <v>2030</v>
      </c>
      <c r="J17" t="str">
        <f t="shared" si="0"/>
        <v/>
      </c>
      <c r="K17"/>
      <c r="L17" s="9"/>
      <c r="N17" t="s">
        <v>131</v>
      </c>
      <c r="O17" s="9" t="str" cm="1">
        <f t="array" ref="O17">"*"&amp;ROUNDUP((1-$O$2*(HLOOKUP(HLOOKUP(VLOOKUP(controller!$E$3,controller!$B$3:$C$32,2,),Scenarios_Qualitative!$H$3:$AK$33,MATCH(N17,Scenarios_Qualitative!$C$3:$C$34,0),FALSE),Scenarios_Data!$B$3:$J$119,MATCH(1,(Scenarios_Data!$B$3:$B$119=N17)*(Scenarios_Data!$G$3:$G$119=I17),0),FALSE))),2)</f>
        <v>*0,91</v>
      </c>
      <c r="Q17" t="s">
        <v>832</v>
      </c>
      <c r="W17"/>
      <c r="Y17" s="10"/>
    </row>
    <row r="18" spans="1:25" x14ac:dyDescent="0.3">
      <c r="A18" t="s">
        <v>585</v>
      </c>
      <c r="F18"/>
      <c r="G18" t="s">
        <v>766</v>
      </c>
      <c r="H18" s="9">
        <v>2019</v>
      </c>
      <c r="I18" s="9">
        <v>2030</v>
      </c>
      <c r="J18" t="str">
        <f t="shared" si="0"/>
        <v/>
      </c>
      <c r="K18"/>
      <c r="L18" s="9"/>
      <c r="N18" t="s">
        <v>131</v>
      </c>
      <c r="O18" s="9" t="str" cm="1">
        <f t="array" ref="O18">"*"&amp;ROUNDUP((1-$O$2*(HLOOKUP(HLOOKUP(VLOOKUP(controller!$E$3,controller!$B$3:$C$32,2,),Scenarios_Qualitative!$H$3:$AK$33,MATCH(N18,Scenarios_Qualitative!$C$3:$C$34,0),FALSE),Scenarios_Data!$B$3:$J$119,MATCH(1,(Scenarios_Data!$B$3:$B$119=N18)*(Scenarios_Data!$G$3:$G$119=I18),0),FALSE))),2)</f>
        <v>*0,91</v>
      </c>
      <c r="Q18" t="s">
        <v>832</v>
      </c>
      <c r="W18"/>
      <c r="Y18" s="10"/>
    </row>
    <row r="19" spans="1:25" x14ac:dyDescent="0.3">
      <c r="A19" t="s">
        <v>585</v>
      </c>
      <c r="F19"/>
      <c r="G19" t="s">
        <v>767</v>
      </c>
      <c r="H19" s="9">
        <v>2019</v>
      </c>
      <c r="I19" s="9">
        <v>2030</v>
      </c>
      <c r="J19" t="str">
        <f t="shared" si="0"/>
        <v/>
      </c>
      <c r="K19"/>
      <c r="L19" s="9"/>
      <c r="N19" t="s">
        <v>131</v>
      </c>
      <c r="O19" s="9" t="str" cm="1">
        <f t="array" ref="O19">"*"&amp;ROUNDUP((1-$O$2*(HLOOKUP(HLOOKUP(VLOOKUP(controller!$E$3,controller!$B$3:$C$32,2,),Scenarios_Qualitative!$H$3:$AK$33,MATCH(N19,Scenarios_Qualitative!$C$3:$C$34,0),FALSE),Scenarios_Data!$B$3:$J$119,MATCH(1,(Scenarios_Data!$B$3:$B$119=N19)*(Scenarios_Data!$G$3:$G$119=I19),0),FALSE))),2)</f>
        <v>*0,91</v>
      </c>
      <c r="Q19" t="s">
        <v>832</v>
      </c>
      <c r="W19"/>
      <c r="Y19" s="10"/>
    </row>
    <row r="20" spans="1:25" x14ac:dyDescent="0.3">
      <c r="A20" t="s">
        <v>585</v>
      </c>
      <c r="F20"/>
      <c r="G20" t="s">
        <v>770</v>
      </c>
      <c r="H20" s="9">
        <v>2019</v>
      </c>
      <c r="I20" s="9">
        <v>2030</v>
      </c>
      <c r="J20" t="str">
        <f t="shared" si="0"/>
        <v>-EFFICIENCY</v>
      </c>
      <c r="K20"/>
      <c r="L20" s="9" t="str">
        <f>"&gt;="&amp;"0."&amp;RIGHT(M20,LEN(M20)-2)</f>
        <v>&gt;=0.89</v>
      </c>
      <c r="M20" s="9" cm="1">
        <f t="array" ref="M20">ROUNDUP(1-(HLOOKUP(HLOOKUP(VLOOKUP(controller!$E$3,controller!$B$3:$C$32,2,),Scenarios_Qualitative!$H$3:$AK$33,MATCH(N20,Scenarios_Qualitative!$C$3:$C$34,0),FALSE),Scenarios_Data!$B$3:$J$119,MATCH(1,(Scenarios_Data!$B$3:$B$119=N20)*(Scenarios_Data!$G$3:$G$119=I20),0),FALSE)),2)</f>
        <v>0.89</v>
      </c>
      <c r="N20" t="s">
        <v>132</v>
      </c>
      <c r="O20" s="52">
        <v>1</v>
      </c>
      <c r="P20" s="162"/>
      <c r="Q20" t="s">
        <v>832</v>
      </c>
      <c r="W20"/>
      <c r="Y20" s="10"/>
    </row>
    <row r="21" spans="1:25" x14ac:dyDescent="0.3">
      <c r="A21" t="s">
        <v>585</v>
      </c>
      <c r="F21"/>
      <c r="G21" t="s">
        <v>770</v>
      </c>
      <c r="H21" s="9">
        <v>2019</v>
      </c>
      <c r="I21" s="9">
        <v>2030</v>
      </c>
      <c r="J21" t="str">
        <f t="shared" si="0"/>
        <v>-EFFICIENCY</v>
      </c>
      <c r="K21"/>
      <c r="L21" s="9" t="str">
        <f t="shared" si="2"/>
        <v>&lt;0.89</v>
      </c>
      <c r="M21" s="9" cm="1">
        <f t="array" ref="M21">ROUNDUP(1-(HLOOKUP(HLOOKUP(VLOOKUP(controller!$E$3,controller!$B$3:$C$32,2,),Scenarios_Qualitative!$H$3:$AK$33,MATCH(N21,Scenarios_Qualitative!$C$3:$C$34,0),FALSE),Scenarios_Data!$B$3:$J$119,MATCH(1,(Scenarios_Data!$B$3:$B$119=N21)*(Scenarios_Data!$G$3:$G$119=I21),0),FALSE)),2)</f>
        <v>0.89</v>
      </c>
      <c r="N21" t="s">
        <v>132</v>
      </c>
      <c r="O21" s="9" t="str" cm="1">
        <f t="array" ref="O21">"*"&amp;ROUNDUP((1+$O$2*(HLOOKUP(HLOOKUP(VLOOKUP(controller!$E$3,controller!$B$3:$C$32,2,),Scenarios_Qualitative!$H$3:$AK$33,MATCH(N21,Scenarios_Qualitative!$C$3:$C$34,0),FALSE),Scenarios_Data!$B$3:$J$119,MATCH(1,(Scenarios_Data!$B$3:$B$119=N21)*(Scenarios_Data!$G$3:$G$119=I21),0),FALSE))),2)</f>
        <v>*1,1</v>
      </c>
      <c r="Q21" t="s">
        <v>832</v>
      </c>
      <c r="W21"/>
      <c r="Y21" s="10"/>
    </row>
    <row r="22" spans="1:25" x14ac:dyDescent="0.3">
      <c r="A22" t="s">
        <v>834</v>
      </c>
      <c r="F22"/>
      <c r="G22" t="s">
        <v>765</v>
      </c>
      <c r="H22" s="9">
        <v>2019</v>
      </c>
      <c r="I22" s="9">
        <v>2030</v>
      </c>
      <c r="J22" t="str">
        <f t="shared" ref="J22:J25" si="3">IF(G22="EFFICIENCY","-EFFICIENCY","")</f>
        <v/>
      </c>
      <c r="K22"/>
      <c r="L22" s="9"/>
      <c r="N22" t="s">
        <v>131</v>
      </c>
      <c r="O22" s="9" t="str" cm="1">
        <f t="array" ref="O22">"*"&amp;ROUNDUP((1-$O$2*(HLOOKUP(HLOOKUP(VLOOKUP(controller!$E$3,controller!$B$3:$C$32,2,),Scenarios_Qualitative!$H$3:$AK$33,MATCH(N22,Scenarios_Qualitative!$C$3:$C$34,0),FALSE),Scenarios_Data!$B$3:$J$119,MATCH(1,(Scenarios_Data!$B$3:$B$119=N22)*(Scenarios_Data!$G$3:$G$119=I22),0),FALSE))),2)</f>
        <v>*0,91</v>
      </c>
      <c r="Q22" t="s">
        <v>833</v>
      </c>
      <c r="W22"/>
      <c r="Y22" s="10"/>
    </row>
    <row r="23" spans="1:25" x14ac:dyDescent="0.3">
      <c r="A23" t="s">
        <v>834</v>
      </c>
      <c r="F23"/>
      <c r="G23" t="s">
        <v>766</v>
      </c>
      <c r="H23" s="9">
        <v>2019</v>
      </c>
      <c r="I23" s="9">
        <v>2030</v>
      </c>
      <c r="J23" t="str">
        <f t="shared" si="3"/>
        <v/>
      </c>
      <c r="K23"/>
      <c r="L23" s="9"/>
      <c r="N23" t="s">
        <v>131</v>
      </c>
      <c r="O23" s="9" t="str" cm="1">
        <f t="array" ref="O23">"*"&amp;ROUNDUP((1-$O$2*(HLOOKUP(HLOOKUP(VLOOKUP(controller!$E$3,controller!$B$3:$C$32,2,),Scenarios_Qualitative!$H$3:$AK$33,MATCH(N23,Scenarios_Qualitative!$C$3:$C$34,0),FALSE),Scenarios_Data!$B$3:$J$119,MATCH(1,(Scenarios_Data!$B$3:$B$119=N23)*(Scenarios_Data!$G$3:$G$119=I23),0),FALSE))),2)</f>
        <v>*0,91</v>
      </c>
      <c r="Q23" t="s">
        <v>833</v>
      </c>
      <c r="W23"/>
      <c r="Y23" s="10"/>
    </row>
    <row r="24" spans="1:25" x14ac:dyDescent="0.3">
      <c r="A24" t="s">
        <v>834</v>
      </c>
      <c r="F24"/>
      <c r="G24" t="s">
        <v>767</v>
      </c>
      <c r="H24" s="9">
        <v>2019</v>
      </c>
      <c r="I24" s="9">
        <v>2030</v>
      </c>
      <c r="J24" t="str">
        <f t="shared" si="3"/>
        <v/>
      </c>
      <c r="K24"/>
      <c r="L24" s="9"/>
      <c r="N24" t="s">
        <v>131</v>
      </c>
      <c r="O24" s="9" t="str" cm="1">
        <f t="array" ref="O24">"*"&amp;ROUNDUP((1-$O$2*(HLOOKUP(HLOOKUP(VLOOKUP(controller!$E$3,controller!$B$3:$C$32,2,),Scenarios_Qualitative!$H$3:$AK$33,MATCH(N24,Scenarios_Qualitative!$C$3:$C$34,0),FALSE),Scenarios_Data!$B$3:$J$119,MATCH(1,(Scenarios_Data!$B$3:$B$119=N24)*(Scenarios_Data!$G$3:$G$119=I24),0),FALSE))),2)</f>
        <v>*0,91</v>
      </c>
      <c r="Q24" t="s">
        <v>833</v>
      </c>
      <c r="W24"/>
      <c r="Y24" s="10"/>
    </row>
    <row r="25" spans="1:25" x14ac:dyDescent="0.3">
      <c r="A25" t="s">
        <v>834</v>
      </c>
      <c r="F25"/>
      <c r="G25" t="s">
        <v>770</v>
      </c>
      <c r="H25" s="9">
        <v>2019</v>
      </c>
      <c r="I25" s="9">
        <v>2030</v>
      </c>
      <c r="J25" t="str">
        <f t="shared" si="3"/>
        <v>-EFFICIENCY</v>
      </c>
      <c r="K25"/>
      <c r="L25" s="9"/>
      <c r="N25" t="s">
        <v>132</v>
      </c>
      <c r="O25" s="9" t="str" cm="1">
        <f t="array" ref="O25">"*"&amp;ROUNDUP((1+$O$2*(HLOOKUP(HLOOKUP(VLOOKUP(controller!$E$3,controller!$B$3:$C$32,2,),Scenarios_Qualitative!$H$3:$AK$33,MATCH(N25,Scenarios_Qualitative!$C$3:$C$34,0),FALSE),Scenarios_Data!$B$3:$J$119,MATCH(1,(Scenarios_Data!$B$3:$B$119=N25)*(Scenarios_Data!$G$3:$G$119=I25),0),FALSE))),2)</f>
        <v>*1,1</v>
      </c>
      <c r="Q25" t="s">
        <v>833</v>
      </c>
      <c r="W25"/>
      <c r="Y25" s="10"/>
    </row>
    <row r="28" spans="1:25" x14ac:dyDescent="0.3">
      <c r="E28" s="2" t="s">
        <v>13</v>
      </c>
      <c r="F28"/>
      <c r="G28"/>
      <c r="H28" s="9"/>
      <c r="I28" s="9"/>
      <c r="K28"/>
      <c r="O28" s="4"/>
      <c r="P28" s="4"/>
      <c r="Q28" s="4"/>
      <c r="R28" s="4"/>
      <c r="S28" s="4"/>
    </row>
    <row r="29" spans="1:25" ht="43.8" thickBot="1" x14ac:dyDescent="0.35">
      <c r="A29" s="8" t="s">
        <v>775</v>
      </c>
      <c r="B29" s="8" t="s">
        <v>776</v>
      </c>
      <c r="C29" s="8" t="s">
        <v>777</v>
      </c>
      <c r="E29" s="234" t="s">
        <v>9</v>
      </c>
      <c r="F29" s="234" t="s">
        <v>7</v>
      </c>
      <c r="G29" s="234" t="s">
        <v>6</v>
      </c>
      <c r="H29" s="235" t="s">
        <v>1</v>
      </c>
      <c r="I29" s="235" t="s">
        <v>769</v>
      </c>
      <c r="J29" s="234" t="s">
        <v>772</v>
      </c>
      <c r="K29" s="234" t="s">
        <v>774</v>
      </c>
      <c r="L29" s="234" t="s">
        <v>773</v>
      </c>
      <c r="M29" s="235" t="s">
        <v>771</v>
      </c>
      <c r="N29" s="236" t="s">
        <v>226</v>
      </c>
      <c r="O29" s="235" t="s">
        <v>225</v>
      </c>
      <c r="P29" s="234" t="s">
        <v>3</v>
      </c>
      <c r="Q29" s="234" t="s">
        <v>2</v>
      </c>
      <c r="R29" s="234" t="s">
        <v>10</v>
      </c>
      <c r="S29" s="234"/>
    </row>
    <row r="30" spans="1:25" x14ac:dyDescent="0.3">
      <c r="A30" t="s">
        <v>779</v>
      </c>
      <c r="B30" t="s">
        <v>780</v>
      </c>
      <c r="C30" t="s">
        <v>781</v>
      </c>
      <c r="E30" s="31"/>
      <c r="F30" s="229"/>
      <c r="G30" s="230" t="s">
        <v>765</v>
      </c>
      <c r="H30" s="229">
        <v>2020</v>
      </c>
      <c r="I30" s="229">
        <v>2030</v>
      </c>
      <c r="J30" s="31"/>
      <c r="K30" s="229"/>
      <c r="L30" s="31"/>
      <c r="M30" s="229"/>
      <c r="N30" s="31" t="s">
        <v>125</v>
      </c>
      <c r="O30" s="229" t="str" cm="1">
        <f t="array" ref="O30">"*"&amp;ROUNDUP((1-$O$2*(HLOOKUP(HLOOKUP(VLOOKUP(controller!$E$3,controller!$B$3:$C$32,2,),Scenarios_Qualitative!$H$3:$AK$33,MATCH(N30,Scenarios_Qualitative!$C$3:$C$34,0),FALSE),Scenarios_Data!$B$3:$J$119,MATCH(1,(Scenarios_Data!$B$3:$B$119=N30)*(Scenarios_Data!$G$3:$G$119=I30),0),FALSE))),2)</f>
        <v>*0,98</v>
      </c>
      <c r="P30" s="31"/>
      <c r="Q30" s="31" t="s">
        <v>778</v>
      </c>
      <c r="R30" s="31"/>
      <c r="S30" s="31"/>
    </row>
    <row r="31" spans="1:25" x14ac:dyDescent="0.3">
      <c r="A31" t="s">
        <v>782</v>
      </c>
      <c r="B31" t="s">
        <v>783</v>
      </c>
      <c r="C31" t="s">
        <v>784</v>
      </c>
      <c r="E31" s="31"/>
      <c r="F31" s="229"/>
      <c r="G31" s="230" t="s">
        <v>766</v>
      </c>
      <c r="H31" s="229">
        <v>2020</v>
      </c>
      <c r="I31" s="229">
        <v>2030</v>
      </c>
      <c r="J31" s="31"/>
      <c r="K31" s="229"/>
      <c r="L31" s="229"/>
      <c r="M31" s="229"/>
      <c r="N31" s="31" t="s">
        <v>125</v>
      </c>
      <c r="O31" s="229" t="str" cm="1">
        <f t="array" ref="O31">"*"&amp;ROUNDUP((1-$O$2*(HLOOKUP(HLOOKUP(VLOOKUP(controller!$E$3,controller!$B$3:$C$32,2,),Scenarios_Qualitative!$H$3:$AK$33,MATCH(N31,Scenarios_Qualitative!$C$3:$C$34,0),FALSE),Scenarios_Data!$B$3:$J$119,MATCH(1,(Scenarios_Data!$B$3:$B$119=N31)*(Scenarios_Data!$G$3:$G$119=I31),0),FALSE))),2)</f>
        <v>*0,98</v>
      </c>
      <c r="P31" s="31"/>
      <c r="Q31" s="31" t="s">
        <v>778</v>
      </c>
      <c r="R31" s="31"/>
      <c r="S31" s="31"/>
    </row>
    <row r="32" spans="1:25" x14ac:dyDescent="0.3">
      <c r="A32" t="s">
        <v>785</v>
      </c>
      <c r="B32" t="s">
        <v>786</v>
      </c>
      <c r="C32" t="s">
        <v>787</v>
      </c>
      <c r="E32" s="31"/>
      <c r="F32" s="229"/>
      <c r="G32" s="230" t="s">
        <v>767</v>
      </c>
      <c r="H32" s="229">
        <v>2020</v>
      </c>
      <c r="I32" s="229">
        <v>2030</v>
      </c>
      <c r="J32" s="31"/>
      <c r="K32" s="229"/>
      <c r="L32" s="229"/>
      <c r="M32" s="229"/>
      <c r="N32" s="31" t="s">
        <v>125</v>
      </c>
      <c r="O32" s="229" t="str" cm="1">
        <f t="array" ref="O32">"*"&amp;ROUNDUP((1-$O$2*(HLOOKUP(HLOOKUP(VLOOKUP(controller!$E$3,controller!$B$3:$C$32,2,),Scenarios_Qualitative!$H$3:$AK$33,MATCH(N32,Scenarios_Qualitative!$C$3:$C$34,0),FALSE),Scenarios_Data!$B$3:$J$119,MATCH(1,(Scenarios_Data!$B$3:$B$119=N32)*(Scenarios_Data!$G$3:$G$119=I32),0),FALSE))),2)</f>
        <v>*0,98</v>
      </c>
      <c r="P32" s="31"/>
      <c r="Q32" s="31" t="s">
        <v>778</v>
      </c>
      <c r="R32" s="31"/>
      <c r="S32" s="31"/>
    </row>
    <row r="33" spans="1:19" x14ac:dyDescent="0.3">
      <c r="E33" s="31"/>
      <c r="F33" s="229"/>
      <c r="G33" s="230" t="s">
        <v>770</v>
      </c>
      <c r="H33" s="229">
        <v>2020</v>
      </c>
      <c r="I33" s="229">
        <v>2030</v>
      </c>
      <c r="J33" s="31" t="s">
        <v>788</v>
      </c>
      <c r="K33" s="229"/>
      <c r="L33" s="229" t="str">
        <f>"&gt;="&amp;"0."&amp;RIGHT(M33,LEN(M33)-2)</f>
        <v>&gt;=0.98</v>
      </c>
      <c r="M33" s="229" cm="1">
        <f t="array" ref="M33">ROUNDUP(1-$O$2*(HLOOKUP(HLOOKUP(VLOOKUP(controller!$E$3,controller!$B$3:$C$32,2,),Scenarios_Qualitative!$H$3:$AK$33,MATCH(N33,Scenarios_Qualitative!$C$3:$C$34,0),FALSE),Scenarios_Data!$B$3:$J$119,MATCH(1,(Scenarios_Data!$B$3:$B$119=N33)*(Scenarios_Data!$G$3:$G$119=I33),0),FALSE)),2)</f>
        <v>0.98</v>
      </c>
      <c r="N33" s="31" t="s">
        <v>129</v>
      </c>
      <c r="O33" s="229">
        <v>1</v>
      </c>
      <c r="P33" s="31"/>
      <c r="Q33" s="31" t="s">
        <v>778</v>
      </c>
      <c r="R33" s="31"/>
      <c r="S33" s="31"/>
    </row>
    <row r="34" spans="1:19" x14ac:dyDescent="0.3">
      <c r="A34" t="s">
        <v>789</v>
      </c>
      <c r="B34" t="s">
        <v>790</v>
      </c>
      <c r="C34" t="s">
        <v>791</v>
      </c>
      <c r="E34" s="31"/>
      <c r="F34" s="229"/>
      <c r="G34" s="230" t="s">
        <v>770</v>
      </c>
      <c r="H34" s="229">
        <v>2020</v>
      </c>
      <c r="I34" s="229">
        <v>2030</v>
      </c>
      <c r="J34" s="31" t="s">
        <v>788</v>
      </c>
      <c r="K34" s="229"/>
      <c r="L34" s="229" t="str">
        <f>"&lt;"&amp;"0."&amp;RIGHT(M34,LEN(M34)-2)</f>
        <v>&lt;0.98</v>
      </c>
      <c r="M34" s="229" cm="1">
        <f t="array" ref="M34">ROUNDUP(1-$O$2*(HLOOKUP(HLOOKUP(VLOOKUP(controller!$E$3,controller!$B$3:$C$32,2,),Scenarios_Qualitative!$H$3:$AK$33,MATCH(N34,Scenarios_Qualitative!$C$3:$C$34,0),FALSE),Scenarios_Data!$B$3:$J$119,MATCH(1,(Scenarios_Data!$B$3:$B$119=N34)*(Scenarios_Data!$G$3:$G$119=I34),0),FALSE)),2)</f>
        <v>0.98</v>
      </c>
      <c r="N34" s="31" t="s">
        <v>129</v>
      </c>
      <c r="O34" s="229" t="str" cm="1">
        <f t="array" ref="O34">"*"&amp;ROUNDUP((1+$O$2*(HLOOKUP(HLOOKUP(VLOOKUP(controller!$E$3,controller!$B$3:$C$32,2,),Scenarios_Qualitative!$H$3:$AK$33,MATCH(N34,Scenarios_Qualitative!$C$3:$C$34,0),FALSE),Scenarios_Data!$B$3:$J$119,MATCH(1,(Scenarios_Data!$B$3:$B$119=N34)*(Scenarios_Data!$G$3:$G$119=I34),0),FALSE))),2)</f>
        <v>*1,03</v>
      </c>
      <c r="P34" s="31"/>
      <c r="Q34" s="31" t="s">
        <v>778</v>
      </c>
      <c r="R34" s="31"/>
      <c r="S34" s="31"/>
    </row>
    <row r="35" spans="1:19" x14ac:dyDescent="0.3">
      <c r="A35" t="s">
        <v>793</v>
      </c>
      <c r="B35" t="s">
        <v>794</v>
      </c>
      <c r="C35" t="s">
        <v>795</v>
      </c>
      <c r="E35" s="31"/>
      <c r="F35" s="229"/>
      <c r="G35" s="230" t="s">
        <v>765</v>
      </c>
      <c r="H35" s="229">
        <v>2020</v>
      </c>
      <c r="I35" s="229">
        <v>2030</v>
      </c>
      <c r="J35" s="31"/>
      <c r="K35" s="229"/>
      <c r="L35" s="229"/>
      <c r="M35" s="229"/>
      <c r="N35" s="31" t="s">
        <v>131</v>
      </c>
      <c r="O35" s="229" t="str" cm="1">
        <f t="array" ref="O35">"*"&amp;ROUNDUP((1-$O$2*(HLOOKUP(HLOOKUP(VLOOKUP(controller!$E$3,controller!$B$3:$C$32,2,),Scenarios_Qualitative!$H$3:$AK$33,MATCH(N35,Scenarios_Qualitative!$C$3:$C$34,0),FALSE),Scenarios_Data!$B$3:$J$119,MATCH(1,(Scenarios_Data!$B$3:$B$119=N35)*(Scenarios_Data!$G$3:$G$119=I35),0),FALSE))),2)</f>
        <v>*0,91</v>
      </c>
      <c r="P35" s="31"/>
      <c r="Q35" s="31" t="s">
        <v>792</v>
      </c>
      <c r="R35" s="31"/>
      <c r="S35" s="31"/>
    </row>
    <row r="36" spans="1:19" x14ac:dyDescent="0.3">
      <c r="A36" t="s">
        <v>796</v>
      </c>
      <c r="B36" t="s">
        <v>797</v>
      </c>
      <c r="C36" t="s">
        <v>798</v>
      </c>
      <c r="E36" s="31"/>
      <c r="F36" s="229"/>
      <c r="G36" s="230" t="s">
        <v>766</v>
      </c>
      <c r="H36" s="229">
        <v>2020</v>
      </c>
      <c r="I36" s="229">
        <v>2030</v>
      </c>
      <c r="J36" s="31"/>
      <c r="K36" s="229"/>
      <c r="L36" s="229"/>
      <c r="M36" s="229"/>
      <c r="N36" s="31" t="s">
        <v>131</v>
      </c>
      <c r="O36" s="229" t="str" cm="1">
        <f t="array" ref="O36">"*"&amp;ROUNDUP((1-$O$2*(HLOOKUP(HLOOKUP(VLOOKUP(controller!$E$3,controller!$B$3:$C$32,2,),Scenarios_Qualitative!$H$3:$AK$33,MATCH(N36,Scenarios_Qualitative!$C$3:$C$34,0),FALSE),Scenarios_Data!$B$3:$J$119,MATCH(1,(Scenarios_Data!$B$3:$B$119=N36)*(Scenarios_Data!$G$3:$G$119=I36),0),FALSE))),2)</f>
        <v>*0,91</v>
      </c>
      <c r="P36" s="31"/>
      <c r="Q36" s="31" t="s">
        <v>792</v>
      </c>
      <c r="R36" s="31"/>
      <c r="S36" s="31"/>
    </row>
    <row r="37" spans="1:19" x14ac:dyDescent="0.3">
      <c r="A37" t="s">
        <v>799</v>
      </c>
      <c r="B37" t="s">
        <v>800</v>
      </c>
      <c r="C37" t="s">
        <v>801</v>
      </c>
      <c r="E37" s="31"/>
      <c r="F37" s="229"/>
      <c r="G37" s="230" t="s">
        <v>767</v>
      </c>
      <c r="H37" s="229">
        <v>2020</v>
      </c>
      <c r="I37" s="229">
        <v>2030</v>
      </c>
      <c r="J37" s="31"/>
      <c r="K37" s="229"/>
      <c r="L37" s="229"/>
      <c r="M37" s="229"/>
      <c r="N37" s="31" t="s">
        <v>131</v>
      </c>
      <c r="O37" s="229" t="str" cm="1">
        <f t="array" ref="O37">"*"&amp;ROUNDUP((1-$O$2*(HLOOKUP(HLOOKUP(VLOOKUP(controller!$E$3,controller!$B$3:$C$32,2,),Scenarios_Qualitative!$H$3:$AK$33,MATCH(N37,Scenarios_Qualitative!$C$3:$C$34,0),FALSE),Scenarios_Data!$B$3:$J$119,MATCH(1,(Scenarios_Data!$B$3:$B$119=N37)*(Scenarios_Data!$G$3:$G$119=I37),0),FALSE))),2)</f>
        <v>*0,91</v>
      </c>
      <c r="P37" s="31"/>
      <c r="Q37" s="31" t="s">
        <v>792</v>
      </c>
      <c r="R37" s="31"/>
      <c r="S37" s="31"/>
    </row>
    <row r="38" spans="1:19" x14ac:dyDescent="0.3">
      <c r="A38" t="s">
        <v>802</v>
      </c>
      <c r="B38" t="s">
        <v>803</v>
      </c>
      <c r="C38" t="s">
        <v>804</v>
      </c>
      <c r="E38" s="31"/>
      <c r="F38" s="229"/>
      <c r="G38" s="230" t="s">
        <v>770</v>
      </c>
      <c r="H38" s="229">
        <v>2020</v>
      </c>
      <c r="I38" s="229">
        <v>2030</v>
      </c>
      <c r="J38" s="31" t="s">
        <v>788</v>
      </c>
      <c r="K38" s="229"/>
      <c r="L38" s="229" t="str">
        <f>"&gt;="&amp;"0."&amp;RIGHT(M38,LEN(M38)-2)</f>
        <v>&gt;=0.91</v>
      </c>
      <c r="M38" s="229" cm="1">
        <f t="array" ref="M38">ROUNDUP(1-$O$2*(HLOOKUP(HLOOKUP(VLOOKUP(controller!$E$3,controller!$B$3:$C$32,2,),Scenarios_Qualitative!$H$3:$AK$33,MATCH(N38,Scenarios_Qualitative!$C$3:$C$34,0),FALSE),Scenarios_Data!$B$3:$J$119,MATCH(1,(Scenarios_Data!$B$3:$B$119=N38)*(Scenarios_Data!$G$3:$G$119=I38),0),FALSE)),2)</f>
        <v>0.91</v>
      </c>
      <c r="N38" s="31" t="s">
        <v>132</v>
      </c>
      <c r="O38" s="229">
        <v>1</v>
      </c>
      <c r="P38" s="31"/>
      <c r="Q38" s="31" t="s">
        <v>792</v>
      </c>
      <c r="R38" s="31"/>
      <c r="S38" s="31"/>
    </row>
    <row r="39" spans="1:19" x14ac:dyDescent="0.3">
      <c r="A39" t="s">
        <v>802</v>
      </c>
      <c r="B39" t="s">
        <v>803</v>
      </c>
      <c r="C39" t="s">
        <v>804</v>
      </c>
      <c r="E39" s="31"/>
      <c r="F39" s="229"/>
      <c r="G39" s="230" t="s">
        <v>770</v>
      </c>
      <c r="H39" s="229">
        <v>2020</v>
      </c>
      <c r="I39" s="229">
        <v>2030</v>
      </c>
      <c r="J39" s="31" t="s">
        <v>788</v>
      </c>
      <c r="K39" s="229"/>
      <c r="L39" s="229" t="str">
        <f t="shared" ref="L39:L74" si="4">"&lt;"&amp;"0."&amp;RIGHT(M39,LEN(M39)-2)</f>
        <v>&lt;0.91</v>
      </c>
      <c r="M39" s="229" cm="1">
        <f t="array" ref="M39">ROUNDUP(1-$O$2*(HLOOKUP(HLOOKUP(VLOOKUP(controller!$E$3,controller!$B$3:$C$32,2,),Scenarios_Qualitative!$H$3:$AK$33,MATCH(N39,Scenarios_Qualitative!$C$3:$C$34,0),FALSE),Scenarios_Data!$B$3:$J$119,MATCH(1,(Scenarios_Data!$B$3:$B$119=N39)*(Scenarios_Data!$G$3:$G$119=I39),0),FALSE)),2)</f>
        <v>0.91</v>
      </c>
      <c r="N39" s="31" t="s">
        <v>132</v>
      </c>
      <c r="O39" s="229" t="str" cm="1">
        <f t="array" ref="O39">"*"&amp;ROUNDUP((1+$O$2*(HLOOKUP(HLOOKUP(VLOOKUP(controller!$E$3,controller!$B$3:$C$32,2,),Scenarios_Qualitative!$H$3:$AK$33,MATCH(N39,Scenarios_Qualitative!$C$3:$C$34,0),FALSE),Scenarios_Data!$B$3:$J$119,MATCH(1,(Scenarios_Data!$B$3:$B$119=N39)*(Scenarios_Data!$G$3:$G$119=I39),0),FALSE))),2)</f>
        <v>*1,1</v>
      </c>
      <c r="P39" s="31"/>
      <c r="Q39" s="31" t="s">
        <v>792</v>
      </c>
      <c r="R39" s="31"/>
      <c r="S39" s="31"/>
    </row>
    <row r="40" spans="1:19" x14ac:dyDescent="0.3">
      <c r="A40" t="s">
        <v>806</v>
      </c>
      <c r="B40" t="s">
        <v>807</v>
      </c>
      <c r="C40" t="s">
        <v>808</v>
      </c>
      <c r="E40" s="31"/>
      <c r="F40" s="229"/>
      <c r="G40" s="230" t="s">
        <v>765</v>
      </c>
      <c r="H40" s="229">
        <v>2020</v>
      </c>
      <c r="I40" s="229">
        <v>2030</v>
      </c>
      <c r="J40" s="31"/>
      <c r="K40" s="229"/>
      <c r="L40" s="229"/>
      <c r="M40" s="229"/>
      <c r="N40" s="31" t="s">
        <v>133</v>
      </c>
      <c r="O40" s="229" t="str" cm="1">
        <f t="array" ref="O40">"*"&amp;ROUNDUP((1-$O$2*(HLOOKUP(HLOOKUP(VLOOKUP(controller!$E$3,controller!$B$3:$C$32,2,),Scenarios_Qualitative!$H$3:$AK$33,MATCH(N40,Scenarios_Qualitative!$C$3:$C$34,0),FALSE),Scenarios_Data!$B$3:$J$119,MATCH(1,(Scenarios_Data!$B$3:$B$119=N40)*(Scenarios_Data!$G$3:$G$119=I40),0),FALSE))),2)</f>
        <v>*0,94</v>
      </c>
      <c r="P40" s="31"/>
      <c r="Q40" s="31" t="s">
        <v>805</v>
      </c>
      <c r="R40" s="31"/>
      <c r="S40" s="31"/>
    </row>
    <row r="41" spans="1:19" x14ac:dyDescent="0.3">
      <c r="A41" t="s">
        <v>809</v>
      </c>
      <c r="B41" t="s">
        <v>810</v>
      </c>
      <c r="E41" s="31"/>
      <c r="F41" s="229"/>
      <c r="G41" s="230" t="s">
        <v>766</v>
      </c>
      <c r="H41" s="229">
        <v>2020</v>
      </c>
      <c r="I41" s="229">
        <v>2030</v>
      </c>
      <c r="J41" s="31"/>
      <c r="K41" s="229"/>
      <c r="L41" s="229"/>
      <c r="M41" s="229"/>
      <c r="N41" s="31" t="s">
        <v>133</v>
      </c>
      <c r="O41" s="229" t="str" cm="1">
        <f t="array" ref="O41">"*"&amp;ROUNDUP((1-$O$2*(HLOOKUP(HLOOKUP(VLOOKUP(controller!$E$3,controller!$B$3:$C$32,2,),Scenarios_Qualitative!$H$3:$AK$33,MATCH(N41,Scenarios_Qualitative!$C$3:$C$34,0),FALSE),Scenarios_Data!$B$3:$J$119,MATCH(1,(Scenarios_Data!$B$3:$B$119=N41)*(Scenarios_Data!$G$3:$G$119=I41),0),FALSE))),2)</f>
        <v>*0,94</v>
      </c>
      <c r="P41" s="31"/>
      <c r="Q41" s="31" t="s">
        <v>805</v>
      </c>
      <c r="R41" s="31"/>
      <c r="S41" s="31"/>
    </row>
    <row r="42" spans="1:19" x14ac:dyDescent="0.3">
      <c r="A42" t="s">
        <v>811</v>
      </c>
      <c r="B42" t="s">
        <v>812</v>
      </c>
      <c r="E42" s="31"/>
      <c r="F42" s="229"/>
      <c r="G42" s="230" t="s">
        <v>767</v>
      </c>
      <c r="H42" s="229">
        <v>2020</v>
      </c>
      <c r="I42" s="229">
        <v>2030</v>
      </c>
      <c r="J42" s="31"/>
      <c r="K42" s="229"/>
      <c r="L42" s="229"/>
      <c r="M42" s="229"/>
      <c r="N42" s="31" t="s">
        <v>133</v>
      </c>
      <c r="O42" s="229" t="str" cm="1">
        <f t="array" ref="O42">"*"&amp;ROUNDUP((1-$O$2*(HLOOKUP(HLOOKUP(VLOOKUP(controller!$E$3,controller!$B$3:$C$32,2,),Scenarios_Qualitative!$H$3:$AK$33,MATCH(N42,Scenarios_Qualitative!$C$3:$C$34,0),FALSE),Scenarios_Data!$B$3:$J$119,MATCH(1,(Scenarios_Data!$B$3:$B$119=N42)*(Scenarios_Data!$G$3:$G$119=I42),0),FALSE))),2)</f>
        <v>*0,94</v>
      </c>
      <c r="P42" s="31"/>
      <c r="Q42" s="31" t="s">
        <v>805</v>
      </c>
      <c r="R42" s="31"/>
      <c r="S42" s="31"/>
    </row>
    <row r="43" spans="1:19" x14ac:dyDescent="0.3">
      <c r="A43" t="s">
        <v>813</v>
      </c>
      <c r="B43" t="s">
        <v>814</v>
      </c>
      <c r="E43" s="31"/>
      <c r="F43" s="229"/>
      <c r="G43" s="230" t="s">
        <v>770</v>
      </c>
      <c r="H43" s="229">
        <v>2020</v>
      </c>
      <c r="I43" s="229">
        <v>2030</v>
      </c>
      <c r="J43" s="31" t="s">
        <v>788</v>
      </c>
      <c r="K43" s="229"/>
      <c r="L43" s="229" t="str">
        <f>"&gt;="&amp;"0."&amp;RIGHT(M43,LEN(M43)-2)</f>
        <v>&gt;=0.94</v>
      </c>
      <c r="M43" s="229" cm="1">
        <f t="array" ref="M43">ROUNDUP(1-$O$2*(HLOOKUP(HLOOKUP(VLOOKUP(controller!$E$3,controller!$B$3:$C$32,2,),Scenarios_Qualitative!$H$3:$AK$33,MATCH(N43,Scenarios_Qualitative!$C$3:$C$34,0),FALSE),Scenarios_Data!$B$3:$J$119,MATCH(1,(Scenarios_Data!$B$3:$B$119=N43)*(Scenarios_Data!$G$3:$G$119=I43),0),FALSE)),2)</f>
        <v>0.94000000000000006</v>
      </c>
      <c r="N43" s="31" t="s">
        <v>134</v>
      </c>
      <c r="O43" s="229">
        <v>1</v>
      </c>
      <c r="P43" s="31"/>
      <c r="Q43" s="31" t="s">
        <v>805</v>
      </c>
      <c r="R43" s="31"/>
      <c r="S43" s="31"/>
    </row>
    <row r="44" spans="1:19" x14ac:dyDescent="0.3">
      <c r="A44" t="s">
        <v>813</v>
      </c>
      <c r="B44" t="s">
        <v>814</v>
      </c>
      <c r="E44" s="31"/>
      <c r="F44" s="229"/>
      <c r="G44" s="230" t="s">
        <v>770</v>
      </c>
      <c r="H44" s="229">
        <v>2020</v>
      </c>
      <c r="I44" s="229">
        <v>2030</v>
      </c>
      <c r="J44" s="31" t="s">
        <v>788</v>
      </c>
      <c r="K44" s="229"/>
      <c r="L44" s="229" t="str">
        <f t="shared" si="4"/>
        <v>&lt;0.94</v>
      </c>
      <c r="M44" s="229" cm="1">
        <f t="array" ref="M44">ROUNDUP(1-$O$2*(HLOOKUP(HLOOKUP(VLOOKUP(controller!$E$3,controller!$B$3:$C$32,2,),Scenarios_Qualitative!$H$3:$AK$33,MATCH(N44,Scenarios_Qualitative!$C$3:$C$34,0),FALSE),Scenarios_Data!$B$3:$J$119,MATCH(1,(Scenarios_Data!$B$3:$B$119=N44)*(Scenarios_Data!$G$3:$G$119=I44),0),FALSE)),2)</f>
        <v>0.94000000000000006</v>
      </c>
      <c r="N44" s="31" t="s">
        <v>134</v>
      </c>
      <c r="O44" s="229" t="str" cm="1">
        <f t="array" ref="O44">"*"&amp;ROUNDUP((1+$O$2*(HLOOKUP(HLOOKUP(VLOOKUP(controller!$E$3,controller!$B$3:$C$32,2,),Scenarios_Qualitative!$H$3:$AK$33,MATCH(N44,Scenarios_Qualitative!$C$3:$C$34,0),FALSE),Scenarios_Data!$B$3:$J$119,MATCH(1,(Scenarios_Data!$B$3:$B$119=N44)*(Scenarios_Data!$G$3:$G$119=I44),0),FALSE))),2)</f>
        <v>*1,07</v>
      </c>
      <c r="P44" s="31"/>
      <c r="Q44" s="31" t="s">
        <v>805</v>
      </c>
      <c r="R44" s="31"/>
      <c r="S44" s="31"/>
    </row>
    <row r="45" spans="1:19" x14ac:dyDescent="0.3">
      <c r="A45" t="s">
        <v>815</v>
      </c>
      <c r="B45" t="s">
        <v>816</v>
      </c>
      <c r="E45" s="198"/>
      <c r="F45" s="30"/>
      <c r="G45" s="231" t="s">
        <v>765</v>
      </c>
      <c r="H45" s="30">
        <v>2030</v>
      </c>
      <c r="I45" s="30">
        <v>2050</v>
      </c>
      <c r="J45" s="198"/>
      <c r="K45" s="30"/>
      <c r="L45" s="30"/>
      <c r="M45" s="30"/>
      <c r="N45" s="198" t="str">
        <f t="shared" ref="N45:N52" si="5">N30</f>
        <v>Technology Advancement - Conventional Technologies/ processes - INVCOST, FIXOM, VAROM</v>
      </c>
      <c r="O45" s="30" t="str" cm="1">
        <f t="array" ref="O45">"*"&amp;ROUNDUP((1-(HLOOKUP(HLOOKUP(VLOOKUP(controller!$E$3,controller!$B$3:$C$32,2,),Scenarios_Qualitative!$H$3:$AK$33,MATCH(N45,Scenarios_Qualitative!$C$3:$C$34,0),FALSE),Scenarios_Data!$B$3:$J$119,MATCH(1,(Scenarios_Data!$B$3:$B$119=N45)*(Scenarios_Data!$G$3:$G$119=I45),0),FALSE))),2)</f>
        <v>*0,89</v>
      </c>
      <c r="P45" s="198"/>
      <c r="Q45" s="198" t="s">
        <v>778</v>
      </c>
      <c r="R45" s="198"/>
      <c r="S45" s="198"/>
    </row>
    <row r="46" spans="1:19" x14ac:dyDescent="0.3">
      <c r="A46" t="s">
        <v>817</v>
      </c>
      <c r="B46" t="s">
        <v>818</v>
      </c>
      <c r="E46" s="198"/>
      <c r="F46" s="30"/>
      <c r="G46" s="231" t="s">
        <v>766</v>
      </c>
      <c r="H46" s="30">
        <v>2030</v>
      </c>
      <c r="I46" s="30">
        <v>2050</v>
      </c>
      <c r="J46" s="198"/>
      <c r="K46" s="30"/>
      <c r="L46" s="30"/>
      <c r="M46" s="30"/>
      <c r="N46" s="198" t="str">
        <f t="shared" si="5"/>
        <v>Technology Advancement - Conventional Technologies/ processes - INVCOST, FIXOM, VAROM</v>
      </c>
      <c r="O46" s="30" t="str" cm="1">
        <f t="array" ref="O46">"*"&amp;ROUNDUP((1-(HLOOKUP(HLOOKUP(VLOOKUP(controller!$E$3,controller!$B$3:$C$32,2,),Scenarios_Qualitative!$H$3:$AK$33,MATCH(N46,Scenarios_Qualitative!$C$3:$C$34,0),FALSE),Scenarios_Data!$B$3:$J$119,MATCH(1,(Scenarios_Data!$B$3:$B$119=N46)*(Scenarios_Data!$G$3:$G$119=I46),0),FALSE))),2)</f>
        <v>*0,89</v>
      </c>
      <c r="P46" s="198"/>
      <c r="Q46" s="198" t="s">
        <v>778</v>
      </c>
      <c r="R46" s="198"/>
      <c r="S46" s="198"/>
    </row>
    <row r="47" spans="1:19" x14ac:dyDescent="0.3">
      <c r="A47" t="s">
        <v>819</v>
      </c>
      <c r="B47" t="s">
        <v>820</v>
      </c>
      <c r="E47" s="198"/>
      <c r="F47" s="30"/>
      <c r="G47" s="231" t="s">
        <v>767</v>
      </c>
      <c r="H47" s="30">
        <v>2030</v>
      </c>
      <c r="I47" s="30">
        <v>2050</v>
      </c>
      <c r="J47" s="198"/>
      <c r="K47" s="30"/>
      <c r="L47" s="30"/>
      <c r="M47" s="30"/>
      <c r="N47" s="198" t="str">
        <f t="shared" si="5"/>
        <v>Technology Advancement - Conventional Technologies/ processes - INVCOST, FIXOM, VAROM</v>
      </c>
      <c r="O47" s="30" t="str" cm="1">
        <f t="array" ref="O47">"*"&amp;ROUNDUP((1-(HLOOKUP(HLOOKUP(VLOOKUP(controller!$E$3,controller!$B$3:$C$32,2,),Scenarios_Qualitative!$H$3:$AK$33,MATCH(N47,Scenarios_Qualitative!$C$3:$C$34,0),FALSE),Scenarios_Data!$B$3:$J$119,MATCH(1,(Scenarios_Data!$B$3:$B$119=N47)*(Scenarios_Data!$G$3:$G$119=I47),0),FALSE))),2)</f>
        <v>*0,89</v>
      </c>
      <c r="P47" s="198"/>
      <c r="Q47" s="198" t="s">
        <v>778</v>
      </c>
      <c r="R47" s="198"/>
      <c r="S47" s="198"/>
    </row>
    <row r="48" spans="1:19" x14ac:dyDescent="0.3">
      <c r="A48" t="s">
        <v>821</v>
      </c>
      <c r="B48" t="s">
        <v>822</v>
      </c>
      <c r="E48" s="198"/>
      <c r="F48" s="30"/>
      <c r="G48" s="231" t="s">
        <v>770</v>
      </c>
      <c r="H48" s="30">
        <v>2030</v>
      </c>
      <c r="I48" s="30">
        <v>2050</v>
      </c>
      <c r="J48" s="198" t="s">
        <v>788</v>
      </c>
      <c r="K48" s="30"/>
      <c r="L48" s="30" t="str">
        <f>"&gt;="&amp;"0."&amp;RIGHT(M48,LEN(M48)-2)</f>
        <v>&gt;=0.89</v>
      </c>
      <c r="M48" s="30" cm="1">
        <f t="array" ref="M48">ROUNDUP(1-(HLOOKUP(HLOOKUP(VLOOKUP(controller!$E$3,controller!$B$3:$C$32,2,),Scenarios_Qualitative!$H$3:$AK$33,MATCH(N48,Scenarios_Qualitative!$C$3:$C$34,0),FALSE),Scenarios_Data!$B$3:$J$119,MATCH(1,(Scenarios_Data!$B$3:$B$119=N48)*(Scenarios_Data!$G$3:$G$119=I48),0),FALSE)),2)</f>
        <v>0.89</v>
      </c>
      <c r="N48" s="198" t="str">
        <f t="shared" si="5"/>
        <v>Technology Advancement - Conventional Technologies/ processes - EFFICIENCY</v>
      </c>
      <c r="O48" s="30">
        <v>1</v>
      </c>
      <c r="P48" s="198"/>
      <c r="Q48" s="198" t="s">
        <v>778</v>
      </c>
      <c r="R48" s="198"/>
      <c r="S48" s="198"/>
    </row>
    <row r="49" spans="1:20" x14ac:dyDescent="0.3">
      <c r="A49" t="s">
        <v>821</v>
      </c>
      <c r="B49" t="s">
        <v>822</v>
      </c>
      <c r="E49" s="198"/>
      <c r="F49" s="30"/>
      <c r="G49" s="231" t="s">
        <v>770</v>
      </c>
      <c r="H49" s="30">
        <v>2030</v>
      </c>
      <c r="I49" s="30">
        <v>2050</v>
      </c>
      <c r="J49" s="198" t="s">
        <v>788</v>
      </c>
      <c r="K49" s="30"/>
      <c r="L49" s="30" t="str">
        <f t="shared" si="4"/>
        <v>&lt;0.89</v>
      </c>
      <c r="M49" s="30" cm="1">
        <f t="array" ref="M49">ROUNDUP(1-(HLOOKUP(HLOOKUP(VLOOKUP(controller!$E$3,controller!$B$3:$C$32,2,),Scenarios_Qualitative!$H$3:$AK$33,MATCH(N49,Scenarios_Qualitative!$C$3:$C$34,0),FALSE),Scenarios_Data!$B$3:$J$119,MATCH(1,(Scenarios_Data!$B$3:$B$119=N49)*(Scenarios_Data!$G$3:$G$119=I49),0),FALSE)),2)</f>
        <v>0.89</v>
      </c>
      <c r="N49" s="198" t="str">
        <f t="shared" si="5"/>
        <v>Technology Advancement - Conventional Technologies/ processes - EFFICIENCY</v>
      </c>
      <c r="O49" s="30" t="str" cm="1">
        <f t="array" ref="O49">"*"&amp;ROUNDUP((1+(HLOOKUP(HLOOKUP(VLOOKUP(controller!$E$3,controller!$B$3:$C$32,2,),Scenarios_Qualitative!$H$3:$AK$33,MATCH(N49,Scenarios_Qualitative!$C$3:$C$34,0),FALSE),Scenarios_Data!$B$3:$J$119,MATCH(1,(Scenarios_Data!$B$3:$B$119=N49)*(Scenarios_Data!$G$3:$G$119=I49),0),FALSE))),2)</f>
        <v>*1,12</v>
      </c>
      <c r="P49" s="198"/>
      <c r="Q49" s="198" t="s">
        <v>778</v>
      </c>
      <c r="R49" s="198"/>
      <c r="S49" s="198"/>
    </row>
    <row r="50" spans="1:20" x14ac:dyDescent="0.3">
      <c r="B50" t="s">
        <v>823</v>
      </c>
      <c r="E50" s="198"/>
      <c r="F50" s="30"/>
      <c r="G50" s="231" t="s">
        <v>765</v>
      </c>
      <c r="H50" s="30">
        <v>2030</v>
      </c>
      <c r="I50" s="30">
        <v>2050</v>
      </c>
      <c r="J50" s="198"/>
      <c r="K50" s="30"/>
      <c r="L50" s="30"/>
      <c r="M50" s="30"/>
      <c r="N50" s="198" t="str">
        <f t="shared" si="5"/>
        <v>Technology Advancement  - Green Technologies/ processes - INVCOST, FIXOM, VAROM</v>
      </c>
      <c r="O50" s="30" t="str" cm="1">
        <f t="array" ref="O50">"*"&amp;ROUNDUP((1-(HLOOKUP(HLOOKUP(VLOOKUP(controller!$E$3,controller!$B$3:$C$32,2,),Scenarios_Qualitative!$H$3:$AK$33,MATCH(N50,Scenarios_Qualitative!$C$3:$C$34,0),FALSE),Scenarios_Data!$B$3:$J$119,MATCH(1,(Scenarios_Data!$B$3:$B$119=N50)*(Scenarios_Data!$G$3:$G$119=I50),0),FALSE))),2)</f>
        <v>*0,59</v>
      </c>
      <c r="P50" s="198"/>
      <c r="Q50" s="198" t="s">
        <v>792</v>
      </c>
      <c r="R50" s="198"/>
      <c r="S50" s="198"/>
    </row>
    <row r="51" spans="1:20" x14ac:dyDescent="0.3">
      <c r="B51" t="s">
        <v>824</v>
      </c>
      <c r="E51" s="198"/>
      <c r="F51" s="30"/>
      <c r="G51" s="231" t="s">
        <v>766</v>
      </c>
      <c r="H51" s="30">
        <v>2030</v>
      </c>
      <c r="I51" s="30">
        <v>2050</v>
      </c>
      <c r="J51" s="198"/>
      <c r="K51" s="30"/>
      <c r="L51" s="30"/>
      <c r="M51" s="30"/>
      <c r="N51" s="198" t="str">
        <f t="shared" si="5"/>
        <v>Technology Advancement  - Green Technologies/ processes - INVCOST, FIXOM, VAROM</v>
      </c>
      <c r="O51" s="30" t="str" cm="1">
        <f t="array" ref="O51">"*"&amp;ROUNDUP((1-(HLOOKUP(HLOOKUP(VLOOKUP(controller!$E$3,controller!$B$3:$C$32,2,),Scenarios_Qualitative!$H$3:$AK$33,MATCH(N51,Scenarios_Qualitative!$C$3:$C$34,0),FALSE),Scenarios_Data!$B$3:$J$119,MATCH(1,(Scenarios_Data!$B$3:$B$119=N51)*(Scenarios_Data!$G$3:$G$119=I51),0),FALSE))),2)</f>
        <v>*0,59</v>
      </c>
      <c r="P51" s="198"/>
      <c r="Q51" s="198" t="s">
        <v>792</v>
      </c>
      <c r="R51" s="198"/>
      <c r="S51" s="198"/>
    </row>
    <row r="52" spans="1:20" x14ac:dyDescent="0.3">
      <c r="B52" t="s">
        <v>825</v>
      </c>
      <c r="E52" s="198"/>
      <c r="F52" s="30"/>
      <c r="G52" s="231" t="s">
        <v>767</v>
      </c>
      <c r="H52" s="30">
        <v>2030</v>
      </c>
      <c r="I52" s="30">
        <v>2050</v>
      </c>
      <c r="J52" s="198"/>
      <c r="K52" s="30"/>
      <c r="L52" s="30"/>
      <c r="M52" s="30"/>
      <c r="N52" s="198" t="str">
        <f t="shared" si="5"/>
        <v>Technology Advancement  - Green Technologies/ processes - INVCOST, FIXOM, VAROM</v>
      </c>
      <c r="O52" s="30" t="str" cm="1">
        <f t="array" ref="O52">"*"&amp;ROUNDUP((1-(HLOOKUP(HLOOKUP(VLOOKUP(controller!$E$3,controller!$B$3:$C$32,2,),Scenarios_Qualitative!$H$3:$AK$33,MATCH(N52,Scenarios_Qualitative!$C$3:$C$34,0),FALSE),Scenarios_Data!$B$3:$J$119,MATCH(1,(Scenarios_Data!$B$3:$B$119=N52)*(Scenarios_Data!$G$3:$G$119=I52),0),FALSE))),2)</f>
        <v>*0,59</v>
      </c>
      <c r="P52" s="198"/>
      <c r="Q52" s="198" t="s">
        <v>792</v>
      </c>
      <c r="R52" s="198"/>
      <c r="S52" s="198"/>
    </row>
    <row r="53" spans="1:20" x14ac:dyDescent="0.3">
      <c r="E53" s="198"/>
      <c r="F53" s="30"/>
      <c r="G53" s="231" t="s">
        <v>770</v>
      </c>
      <c r="H53" s="30">
        <v>2030</v>
      </c>
      <c r="I53" s="30">
        <v>2050</v>
      </c>
      <c r="J53" s="198" t="s">
        <v>788</v>
      </c>
      <c r="K53" s="30"/>
      <c r="L53" s="30" t="str">
        <f>"&gt;="&amp;"0."&amp;RIGHT(M53,LEN(M53)-2)</f>
        <v>&gt;=0.59</v>
      </c>
      <c r="M53" s="30" cm="1">
        <f t="array" ref="M53">ROUNDUP(1-(HLOOKUP(HLOOKUP(VLOOKUP(controller!$E$3,controller!$B$3:$C$32,2,),Scenarios_Qualitative!$H$3:$AK$33,MATCH(N53,Scenarios_Qualitative!$C$3:$C$34,0),FALSE),Scenarios_Data!$B$3:$J$119,MATCH(1,(Scenarios_Data!$B$3:$B$119=N53)*(Scenarios_Data!$G$3:$G$119=I53),0),FALSE)),2)</f>
        <v>0.59</v>
      </c>
      <c r="N53" s="198" t="str">
        <f>N36</f>
        <v>Technology Advancement  - Green Technologies/ processes - INVCOST, FIXOM, VAROM</v>
      </c>
      <c r="O53" s="30">
        <v>1</v>
      </c>
      <c r="P53" s="198"/>
      <c r="Q53" s="198" t="s">
        <v>792</v>
      </c>
      <c r="R53" s="198"/>
      <c r="S53" s="198"/>
    </row>
    <row r="54" spans="1:20" x14ac:dyDescent="0.3">
      <c r="B54" t="s">
        <v>826</v>
      </c>
      <c r="E54" s="198"/>
      <c r="F54" s="30"/>
      <c r="G54" s="231" t="s">
        <v>770</v>
      </c>
      <c r="H54" s="30">
        <v>2030</v>
      </c>
      <c r="I54" s="30">
        <v>2050</v>
      </c>
      <c r="J54" s="198" t="s">
        <v>788</v>
      </c>
      <c r="K54" s="30"/>
      <c r="L54" s="30" t="str">
        <f t="shared" si="4"/>
        <v>&lt;0.59</v>
      </c>
      <c r="M54" s="30" cm="1">
        <f t="array" ref="M54">ROUNDUP(1-(HLOOKUP(HLOOKUP(VLOOKUP(controller!$E$3,controller!$B$3:$C$32,2,),Scenarios_Qualitative!$H$3:$AK$33,MATCH(N54,Scenarios_Qualitative!$C$3:$C$34,0),FALSE),Scenarios_Data!$B$3:$J$119,MATCH(1,(Scenarios_Data!$B$3:$B$119=N54)*(Scenarios_Data!$G$3:$G$119=I54),0),FALSE)),2)</f>
        <v>0.59</v>
      </c>
      <c r="N54" s="198" t="str">
        <f t="shared" ref="N54:N59" si="6">N39</f>
        <v>Technology Advancement  - Green Technologies/ processes - EFFICIENCY</v>
      </c>
      <c r="O54" s="30" t="str" cm="1">
        <f t="array" ref="O54">"*"&amp;ROUNDUP((1+(HLOOKUP(HLOOKUP(VLOOKUP(controller!$E$3,controller!$B$3:$C$32,2,),Scenarios_Qualitative!$H$3:$AK$33,MATCH(N54,Scenarios_Qualitative!$C$3:$C$34,0),FALSE),Scenarios_Data!$B$3:$J$119,MATCH(1,(Scenarios_Data!$B$3:$B$119=N54)*(Scenarios_Data!$G$3:$G$119=I54),0),FALSE))),2)</f>
        <v>*1,42</v>
      </c>
      <c r="P54" s="198"/>
      <c r="Q54" s="198" t="s">
        <v>792</v>
      </c>
      <c r="R54" s="198"/>
      <c r="S54" s="198"/>
    </row>
    <row r="55" spans="1:20" x14ac:dyDescent="0.3">
      <c r="B55" t="s">
        <v>827</v>
      </c>
      <c r="E55" s="198"/>
      <c r="F55" s="30"/>
      <c r="G55" s="231" t="s">
        <v>765</v>
      </c>
      <c r="H55" s="30">
        <v>2030</v>
      </c>
      <c r="I55" s="30">
        <v>2050</v>
      </c>
      <c r="J55" s="198"/>
      <c r="K55" s="30"/>
      <c r="L55" s="30"/>
      <c r="M55" s="30"/>
      <c r="N55" s="198" t="str">
        <f t="shared" si="6"/>
        <v>Technology Advancement - Biomass Technologies/ processes - INVCOST, FIXOM, VAROM</v>
      </c>
      <c r="O55" s="30" t="str" cm="1">
        <f t="array" ref="O55">"*"&amp;ROUNDUP((1-(HLOOKUP(HLOOKUP(VLOOKUP(controller!$E$3,controller!$B$3:$C$32,2,),Scenarios_Qualitative!$H$3:$AK$33,MATCH(N55,Scenarios_Qualitative!$C$3:$C$34,0),FALSE),Scenarios_Data!$B$3:$J$119,MATCH(1,(Scenarios_Data!$B$3:$B$119=N55)*(Scenarios_Data!$G$3:$G$119=I55),0),FALSE))),2)</f>
        <v>*0,7</v>
      </c>
      <c r="P55" s="198"/>
      <c r="Q55" s="198" t="s">
        <v>805</v>
      </c>
      <c r="R55" s="198"/>
      <c r="S55" s="198"/>
    </row>
    <row r="56" spans="1:20" x14ac:dyDescent="0.3">
      <c r="B56" t="s">
        <v>828</v>
      </c>
      <c r="E56" s="198"/>
      <c r="F56" s="30"/>
      <c r="G56" s="231" t="s">
        <v>766</v>
      </c>
      <c r="H56" s="30">
        <v>2030</v>
      </c>
      <c r="I56" s="30">
        <v>2050</v>
      </c>
      <c r="J56" s="198"/>
      <c r="K56" s="30"/>
      <c r="L56" s="30"/>
      <c r="M56" s="30"/>
      <c r="N56" s="198" t="str">
        <f t="shared" si="6"/>
        <v>Technology Advancement - Biomass Technologies/ processes - INVCOST, FIXOM, VAROM</v>
      </c>
      <c r="O56" s="30" t="str" cm="1">
        <f t="array" ref="O56">"*"&amp;ROUNDUP((1-(HLOOKUP(HLOOKUP(VLOOKUP(controller!$E$3,controller!$B$3:$C$32,2,),Scenarios_Qualitative!$H$3:$AK$33,MATCH(N56,Scenarios_Qualitative!$C$3:$C$34,0),FALSE),Scenarios_Data!$B$3:$J$119,MATCH(1,(Scenarios_Data!$B$3:$B$119=N56)*(Scenarios_Data!$G$3:$G$119=I56),0),FALSE))),2)</f>
        <v>*0,7</v>
      </c>
      <c r="P56" s="198"/>
      <c r="Q56" s="198" t="s">
        <v>805</v>
      </c>
      <c r="R56" s="198"/>
      <c r="S56" s="198"/>
    </row>
    <row r="57" spans="1:20" x14ac:dyDescent="0.3">
      <c r="B57" t="s">
        <v>829</v>
      </c>
      <c r="E57" s="198"/>
      <c r="F57" s="30"/>
      <c r="G57" s="231" t="s">
        <v>767</v>
      </c>
      <c r="H57" s="30">
        <v>2030</v>
      </c>
      <c r="I57" s="30">
        <v>2050</v>
      </c>
      <c r="J57" s="198"/>
      <c r="K57" s="30"/>
      <c r="L57" s="30"/>
      <c r="M57" s="30"/>
      <c r="N57" s="198" t="str">
        <f t="shared" si="6"/>
        <v>Technology Advancement - Biomass Technologies/ processes - INVCOST, FIXOM, VAROM</v>
      </c>
      <c r="O57" s="30" t="str" cm="1">
        <f t="array" ref="O57">"*"&amp;ROUNDUP((1-(HLOOKUP(HLOOKUP(VLOOKUP(controller!$E$3,controller!$B$3:$C$32,2,),Scenarios_Qualitative!$H$3:$AK$33,MATCH(N57,Scenarios_Qualitative!$C$3:$C$34,0),FALSE),Scenarios_Data!$B$3:$J$119,MATCH(1,(Scenarios_Data!$B$3:$B$119=N57)*(Scenarios_Data!$G$3:$G$119=I57),0),FALSE))),2)</f>
        <v>*0,7</v>
      </c>
      <c r="P57" s="198"/>
      <c r="Q57" s="198" t="s">
        <v>805</v>
      </c>
      <c r="R57" s="198"/>
      <c r="S57" s="198"/>
    </row>
    <row r="58" spans="1:20" x14ac:dyDescent="0.3">
      <c r="E58" s="198"/>
      <c r="F58" s="30"/>
      <c r="G58" s="231" t="s">
        <v>770</v>
      </c>
      <c r="H58" s="30">
        <v>2030</v>
      </c>
      <c r="I58" s="30">
        <v>2050</v>
      </c>
      <c r="J58" s="198" t="s">
        <v>788</v>
      </c>
      <c r="K58" s="30"/>
      <c r="L58" s="30" t="str">
        <f>"&gt;="&amp;"0."&amp;RIGHT(M58,LEN(M58)-2)</f>
        <v>&gt;=0.7</v>
      </c>
      <c r="M58" s="30" cm="1">
        <f t="array" ref="M58">ROUNDUP(1-(HLOOKUP(HLOOKUP(VLOOKUP(controller!$E$3,controller!$B$3:$C$32,2,),Scenarios_Qualitative!$H$3:$AK$33,MATCH(N58,Scenarios_Qualitative!$C$3:$C$34,0),FALSE),Scenarios_Data!$B$3:$J$119,MATCH(1,(Scenarios_Data!$B$3:$B$119=N58)*(Scenarios_Data!$G$3:$G$119=I58),0),FALSE)),2)</f>
        <v>0.7</v>
      </c>
      <c r="N58" s="198" t="str">
        <f t="shared" si="6"/>
        <v>Technology Advancement  - Biomass Technologies/ processes - EFFICIENCY</v>
      </c>
      <c r="O58" s="30">
        <v>1</v>
      </c>
      <c r="P58" s="198"/>
      <c r="Q58" s="198" t="s">
        <v>805</v>
      </c>
      <c r="R58" s="198"/>
      <c r="S58" s="198"/>
    </row>
    <row r="59" spans="1:20" x14ac:dyDescent="0.3">
      <c r="E59" s="198"/>
      <c r="F59" s="30"/>
      <c r="G59" s="231" t="s">
        <v>770</v>
      </c>
      <c r="H59" s="30">
        <v>2030</v>
      </c>
      <c r="I59" s="30">
        <v>2050</v>
      </c>
      <c r="J59" s="198" t="s">
        <v>788</v>
      </c>
      <c r="K59" s="30"/>
      <c r="L59" s="30" t="str">
        <f t="shared" si="4"/>
        <v>&lt;0.7</v>
      </c>
      <c r="M59" s="30" cm="1">
        <f t="array" ref="M59">ROUNDUP(1-(HLOOKUP(HLOOKUP(VLOOKUP(controller!$E$3,controller!$B$3:$C$32,2,),Scenarios_Qualitative!$H$3:$AK$33,MATCH(N59,Scenarios_Qualitative!$C$3:$C$34,0),FALSE),Scenarios_Data!$B$3:$J$119,MATCH(1,(Scenarios_Data!$B$3:$B$119=N59)*(Scenarios_Data!$G$3:$G$119=I59),0),FALSE)),2)</f>
        <v>0.7</v>
      </c>
      <c r="N59" s="198" t="str">
        <f t="shared" si="6"/>
        <v>Technology Advancement  - Biomass Technologies/ processes - EFFICIENCY</v>
      </c>
      <c r="O59" s="30" t="str" cm="1">
        <f t="array" ref="O59">"*"&amp;ROUNDUP((1+(HLOOKUP(HLOOKUP(VLOOKUP(controller!$E$3,controller!$B$3:$C$32,2,),Scenarios_Qualitative!$H$3:$AK$33,MATCH(N59,Scenarios_Qualitative!$C$3:$C$34,0),FALSE),Scenarios_Data!$B$3:$J$119,MATCH(1,(Scenarios_Data!$B$3:$B$119=N59)*(Scenarios_Data!$G$3:$G$119=I59),0),FALSE))),2)</f>
        <v>*1,3</v>
      </c>
      <c r="P59" s="198"/>
      <c r="Q59" s="198" t="s">
        <v>805</v>
      </c>
      <c r="R59" s="198"/>
      <c r="S59" s="198"/>
    </row>
    <row r="60" spans="1:20" x14ac:dyDescent="0.3">
      <c r="E60" s="232"/>
      <c r="F60" s="232"/>
      <c r="G60" s="232" t="s">
        <v>765</v>
      </c>
      <c r="H60" s="119">
        <v>2050</v>
      </c>
      <c r="I60" s="119">
        <v>2050</v>
      </c>
      <c r="J60" s="232"/>
      <c r="K60" s="232"/>
      <c r="L60" s="232"/>
      <c r="M60" s="232"/>
      <c r="N60" s="232" t="str">
        <f t="shared" ref="N60:N72" si="7">N30</f>
        <v>Technology Advancement - Conventional Technologies/ processes - INVCOST, FIXOM, VAROM</v>
      </c>
      <c r="O60" s="119" t="str" cm="1">
        <f t="array" ref="O60">"*"&amp;ROUNDUP((1-(HLOOKUP(HLOOKUP(VLOOKUP(controller!$E$3,controller!$B$3:$C$32,2,),Scenarios_Qualitative!$H$3:$AK$33,MATCH(N60,Scenarios_Qualitative!$C$3:$C$34,0),FALSE),Scenarios_Data!$B$3:$J$119,MATCH(1,(Scenarios_Data!$B$3:$B$119=N60)*(Scenarios_Data!$G$3:$G$119=I60),0),FALSE))),2)</f>
        <v>*0,89</v>
      </c>
      <c r="P60" s="232"/>
      <c r="Q60" s="232" t="s">
        <v>778</v>
      </c>
      <c r="R60" s="232"/>
      <c r="S60" s="232"/>
      <c r="T60" s="232"/>
    </row>
    <row r="61" spans="1:20" x14ac:dyDescent="0.3">
      <c r="E61" s="232"/>
      <c r="F61" s="232"/>
      <c r="G61" s="232" t="s">
        <v>766</v>
      </c>
      <c r="H61" s="119">
        <v>2050</v>
      </c>
      <c r="I61" s="119">
        <v>2050</v>
      </c>
      <c r="J61" s="232"/>
      <c r="K61" s="232"/>
      <c r="L61" s="119"/>
      <c r="M61" s="119"/>
      <c r="N61" s="232" t="str">
        <f t="shared" si="7"/>
        <v>Technology Advancement - Conventional Technologies/ processes - INVCOST, FIXOM, VAROM</v>
      </c>
      <c r="O61" s="119" t="str" cm="1">
        <f t="array" ref="O61">"*"&amp;ROUNDUP((1-(HLOOKUP(HLOOKUP(VLOOKUP(controller!$E$3,controller!$B$3:$C$32,2,),Scenarios_Qualitative!$H$3:$AK$33,MATCH(N61,Scenarios_Qualitative!$C$3:$C$34,0),FALSE),Scenarios_Data!$B$3:$J$119,MATCH(1,(Scenarios_Data!$B$3:$B$119=N61)*(Scenarios_Data!$G$3:$G$119=I61),0),FALSE))),2)</f>
        <v>*0,89</v>
      </c>
      <c r="P61" s="232"/>
      <c r="Q61" s="232" t="s">
        <v>778</v>
      </c>
      <c r="R61" s="232"/>
      <c r="S61" s="232"/>
      <c r="T61" s="232"/>
    </row>
    <row r="62" spans="1:20" x14ac:dyDescent="0.3">
      <c r="E62" s="232"/>
      <c r="F62" s="232"/>
      <c r="G62" s="232" t="s">
        <v>767</v>
      </c>
      <c r="H62" s="119">
        <v>2050</v>
      </c>
      <c r="I62" s="119">
        <v>2050</v>
      </c>
      <c r="J62" s="232"/>
      <c r="K62" s="232"/>
      <c r="L62" s="119"/>
      <c r="M62" s="119"/>
      <c r="N62" s="232" t="str">
        <f t="shared" si="7"/>
        <v>Technology Advancement - Conventional Technologies/ processes - INVCOST, FIXOM, VAROM</v>
      </c>
      <c r="O62" s="119" t="str" cm="1">
        <f t="array" ref="O62">"*"&amp;ROUNDUP((1-(HLOOKUP(HLOOKUP(VLOOKUP(controller!$E$3,controller!$B$3:$C$32,2,),Scenarios_Qualitative!$H$3:$AK$33,MATCH(N62,Scenarios_Qualitative!$C$3:$C$34,0),FALSE),Scenarios_Data!$B$3:$J$119,MATCH(1,(Scenarios_Data!$B$3:$B$119=N62)*(Scenarios_Data!$G$3:$G$119=I62),0),FALSE))),2)</f>
        <v>*0,89</v>
      </c>
      <c r="P62" s="232"/>
      <c r="Q62" s="232" t="s">
        <v>778</v>
      </c>
      <c r="R62" s="232"/>
      <c r="S62" s="232"/>
      <c r="T62" s="232"/>
    </row>
    <row r="63" spans="1:20" x14ac:dyDescent="0.3">
      <c r="E63" s="232"/>
      <c r="F63" s="232"/>
      <c r="G63" s="232" t="s">
        <v>770</v>
      </c>
      <c r="H63" s="119">
        <v>2050</v>
      </c>
      <c r="I63" s="119">
        <v>2050</v>
      </c>
      <c r="J63" s="232" t="s">
        <v>788</v>
      </c>
      <c r="K63" s="232"/>
      <c r="L63" s="119" t="str">
        <f>"&gt;="&amp;"0."&amp;RIGHT(M63,LEN(M63)-2)</f>
        <v>&gt;=0.89</v>
      </c>
      <c r="M63" s="119" cm="1">
        <f t="array" ref="M63">ROUNDUP(1-(HLOOKUP(HLOOKUP(VLOOKUP(controller!$E$3,controller!$B$3:$C$32,2,),Scenarios_Qualitative!$H$3:$AK$33,MATCH(N63,Scenarios_Qualitative!$C$3:$C$34,0),FALSE),Scenarios_Data!$B$3:$J$119,MATCH(1,(Scenarios_Data!$B$3:$B$119=N63)*(Scenarios_Data!$G$3:$G$119=I63),0),FALSE)),2)</f>
        <v>0.89</v>
      </c>
      <c r="N63" s="232" t="str">
        <f t="shared" si="7"/>
        <v>Technology Advancement - Conventional Technologies/ processes - EFFICIENCY</v>
      </c>
      <c r="O63" s="119">
        <v>1</v>
      </c>
      <c r="P63" s="232"/>
      <c r="Q63" s="232" t="s">
        <v>778</v>
      </c>
      <c r="R63" s="232"/>
      <c r="S63" s="232"/>
      <c r="T63" s="232"/>
    </row>
    <row r="64" spans="1:20" x14ac:dyDescent="0.3">
      <c r="E64" s="232"/>
      <c r="F64" s="232"/>
      <c r="G64" s="232" t="s">
        <v>770</v>
      </c>
      <c r="H64" s="119">
        <v>2050</v>
      </c>
      <c r="I64" s="119">
        <v>2050</v>
      </c>
      <c r="J64" s="232" t="s">
        <v>788</v>
      </c>
      <c r="K64" s="232"/>
      <c r="L64" s="119" t="str">
        <f t="shared" si="4"/>
        <v>&lt;0.89</v>
      </c>
      <c r="M64" s="119" cm="1">
        <f t="array" ref="M64">ROUNDUP(1-(HLOOKUP(HLOOKUP(VLOOKUP(controller!$E$3,controller!$B$3:$C$32,2,),Scenarios_Qualitative!$H$3:$AK$33,MATCH(N64,Scenarios_Qualitative!$C$3:$C$34,0),FALSE),Scenarios_Data!$B$3:$J$119,MATCH(1,(Scenarios_Data!$B$3:$B$119=N64)*(Scenarios_Data!$G$3:$G$119=I64),0),FALSE)),2)</f>
        <v>0.89</v>
      </c>
      <c r="N64" s="232" t="str">
        <f t="shared" si="7"/>
        <v>Technology Advancement - Conventional Technologies/ processes - EFFICIENCY</v>
      </c>
      <c r="O64" s="119" t="str" cm="1">
        <f t="array" ref="O64">"*"&amp;ROUNDUP((1+(HLOOKUP(HLOOKUP(VLOOKUP(controller!$E$3,controller!$B$3:$C$32,2,),Scenarios_Qualitative!$H$3:$AK$33,MATCH(N64,Scenarios_Qualitative!$C$3:$C$34,0),FALSE),Scenarios_Data!$B$3:$J$119,MATCH(1,(Scenarios_Data!$B$3:$B$119=N64)*(Scenarios_Data!$G$3:$G$119=I64),0),FALSE))),2)</f>
        <v>*1,12</v>
      </c>
      <c r="P64" s="232"/>
      <c r="Q64" s="232" t="s">
        <v>778</v>
      </c>
      <c r="R64" s="232"/>
      <c r="S64" s="232"/>
      <c r="T64" s="232"/>
    </row>
    <row r="65" spans="5:20" x14ac:dyDescent="0.3">
      <c r="E65" s="232"/>
      <c r="F65" s="232"/>
      <c r="G65" s="232" t="s">
        <v>765</v>
      </c>
      <c r="H65" s="119">
        <v>2050</v>
      </c>
      <c r="I65" s="119">
        <v>2050</v>
      </c>
      <c r="J65" s="232"/>
      <c r="K65" s="232"/>
      <c r="L65" s="119"/>
      <c r="M65" s="119"/>
      <c r="N65" s="232" t="str">
        <f t="shared" si="7"/>
        <v>Technology Advancement  - Green Technologies/ processes - INVCOST, FIXOM, VAROM</v>
      </c>
      <c r="O65" s="119" t="str" cm="1">
        <f t="array" ref="O65">"*"&amp;ROUNDUP((1-(HLOOKUP(HLOOKUP(VLOOKUP(controller!$E$3,controller!$B$3:$C$32,2,),Scenarios_Qualitative!$H$3:$AK$33,MATCH(N65,Scenarios_Qualitative!$C$3:$C$34,0),FALSE),Scenarios_Data!$B$3:$J$119,MATCH(1,(Scenarios_Data!$B$3:$B$119=N65)*(Scenarios_Data!$G$3:$G$119=I65),0),FALSE))),2)</f>
        <v>*0,59</v>
      </c>
      <c r="P65" s="232"/>
      <c r="Q65" s="232" t="s">
        <v>792</v>
      </c>
      <c r="R65" s="232"/>
      <c r="S65" s="232"/>
      <c r="T65" s="232"/>
    </row>
    <row r="66" spans="5:20" x14ac:dyDescent="0.3">
      <c r="E66" s="232"/>
      <c r="F66" s="232"/>
      <c r="G66" s="232" t="s">
        <v>766</v>
      </c>
      <c r="H66" s="119">
        <v>2050</v>
      </c>
      <c r="I66" s="119">
        <v>2050</v>
      </c>
      <c r="J66" s="232"/>
      <c r="K66" s="232"/>
      <c r="L66" s="119"/>
      <c r="M66" s="119"/>
      <c r="N66" s="232" t="str">
        <f t="shared" si="7"/>
        <v>Technology Advancement  - Green Technologies/ processes - INVCOST, FIXOM, VAROM</v>
      </c>
      <c r="O66" s="119" t="str" cm="1">
        <f t="array" ref="O66">"*"&amp;ROUNDUP((1-(HLOOKUP(HLOOKUP(VLOOKUP(controller!$E$3,controller!$B$3:$C$32,2,),Scenarios_Qualitative!$H$3:$AK$33,MATCH(N66,Scenarios_Qualitative!$C$3:$C$34,0),FALSE),Scenarios_Data!$B$3:$J$119,MATCH(1,(Scenarios_Data!$B$3:$B$119=N66)*(Scenarios_Data!$G$3:$G$119=I66),0),FALSE))),2)</f>
        <v>*0,59</v>
      </c>
      <c r="P66" s="232"/>
      <c r="Q66" s="232" t="s">
        <v>792</v>
      </c>
      <c r="R66" s="232"/>
      <c r="S66" s="232"/>
      <c r="T66" s="232"/>
    </row>
    <row r="67" spans="5:20" x14ac:dyDescent="0.3">
      <c r="E67" s="232"/>
      <c r="F67" s="232"/>
      <c r="G67" s="232" t="s">
        <v>767</v>
      </c>
      <c r="H67" s="119">
        <v>2050</v>
      </c>
      <c r="I67" s="119">
        <v>2050</v>
      </c>
      <c r="J67" s="232"/>
      <c r="K67" s="232"/>
      <c r="L67" s="119"/>
      <c r="M67" s="119"/>
      <c r="N67" s="232" t="str">
        <f t="shared" si="7"/>
        <v>Technology Advancement  - Green Technologies/ processes - INVCOST, FIXOM, VAROM</v>
      </c>
      <c r="O67" s="119" t="str" cm="1">
        <f t="array" ref="O67">"*"&amp;ROUNDUP((1-(HLOOKUP(HLOOKUP(VLOOKUP(controller!$E$3,controller!$B$3:$C$32,2,),Scenarios_Qualitative!$H$3:$AK$33,MATCH(N67,Scenarios_Qualitative!$C$3:$C$34,0),FALSE),Scenarios_Data!$B$3:$J$119,MATCH(1,(Scenarios_Data!$B$3:$B$119=N67)*(Scenarios_Data!$G$3:$G$119=I67),0),FALSE))),2)</f>
        <v>*0,59</v>
      </c>
      <c r="P67" s="232"/>
      <c r="Q67" s="232" t="s">
        <v>792</v>
      </c>
      <c r="R67" s="232"/>
      <c r="S67" s="232"/>
      <c r="T67" s="232"/>
    </row>
    <row r="68" spans="5:20" x14ac:dyDescent="0.3">
      <c r="E68" s="232"/>
      <c r="F68" s="232"/>
      <c r="G68" s="232" t="s">
        <v>770</v>
      </c>
      <c r="H68" s="119">
        <v>2050</v>
      </c>
      <c r="I68" s="119">
        <v>2050</v>
      </c>
      <c r="J68" s="232" t="s">
        <v>788</v>
      </c>
      <c r="K68" s="232"/>
      <c r="L68" s="119" t="str">
        <f>"&gt;="&amp;"0."&amp;RIGHT(M68,LEN(M68)-2)</f>
        <v>&gt;=0.59</v>
      </c>
      <c r="M68" s="119" cm="1">
        <f t="array" ref="M68">ROUNDUP(1-(HLOOKUP(HLOOKUP(VLOOKUP(controller!$E$3,controller!$B$3:$C$32,2,),Scenarios_Qualitative!$H$3:$AK$33,MATCH(N68,Scenarios_Qualitative!$C$3:$C$34,0),FALSE),Scenarios_Data!$B$3:$J$119,MATCH(1,(Scenarios_Data!$B$3:$B$119=N68)*(Scenarios_Data!$G$3:$G$119=I68),0),FALSE)),2)</f>
        <v>0.59</v>
      </c>
      <c r="N68" s="232" t="str">
        <f t="shared" si="7"/>
        <v>Technology Advancement  - Green Technologies/ processes - EFFICIENCY</v>
      </c>
      <c r="O68" s="119">
        <v>1</v>
      </c>
      <c r="P68" s="232"/>
      <c r="Q68" s="232" t="s">
        <v>792</v>
      </c>
      <c r="R68" s="232"/>
      <c r="S68" s="232"/>
      <c r="T68" s="232"/>
    </row>
    <row r="69" spans="5:20" x14ac:dyDescent="0.3">
      <c r="E69" s="232"/>
      <c r="F69" s="232"/>
      <c r="G69" s="232" t="s">
        <v>770</v>
      </c>
      <c r="H69" s="119">
        <v>2050</v>
      </c>
      <c r="I69" s="119">
        <v>2050</v>
      </c>
      <c r="J69" s="232" t="s">
        <v>788</v>
      </c>
      <c r="K69" s="232"/>
      <c r="L69" s="119" t="str">
        <f t="shared" si="4"/>
        <v>&lt;0.59</v>
      </c>
      <c r="M69" s="119" cm="1">
        <f t="array" ref="M69">ROUNDUP(1-(HLOOKUP(HLOOKUP(VLOOKUP(controller!$E$3,controller!$B$3:$C$32,2,),Scenarios_Qualitative!$H$3:$AK$33,MATCH(N69,Scenarios_Qualitative!$C$3:$C$34,0),FALSE),Scenarios_Data!$B$3:$J$119,MATCH(1,(Scenarios_Data!$B$3:$B$119=N69)*(Scenarios_Data!$G$3:$G$119=I69),0),FALSE)),2)</f>
        <v>0.59</v>
      </c>
      <c r="N69" s="232" t="str">
        <f t="shared" si="7"/>
        <v>Technology Advancement  - Green Technologies/ processes - EFFICIENCY</v>
      </c>
      <c r="O69" s="119" t="str" cm="1">
        <f t="array" ref="O69">"*"&amp;ROUNDUP((1+(HLOOKUP(HLOOKUP(VLOOKUP(controller!$E$3,controller!$B$3:$C$32,2,),Scenarios_Qualitative!$H$3:$AK$33,MATCH(N69,Scenarios_Qualitative!$C$3:$C$34,0),FALSE),Scenarios_Data!$B$3:$J$119,MATCH(1,(Scenarios_Data!$B$3:$B$119=N69)*(Scenarios_Data!$G$3:$G$119=I69),0),FALSE))),2)</f>
        <v>*1,42</v>
      </c>
      <c r="P69" s="232"/>
      <c r="Q69" s="232" t="s">
        <v>792</v>
      </c>
      <c r="R69" s="232"/>
      <c r="S69" s="232"/>
      <c r="T69" s="232"/>
    </row>
    <row r="70" spans="5:20" x14ac:dyDescent="0.3">
      <c r="E70" s="232"/>
      <c r="F70" s="232"/>
      <c r="G70" s="232" t="s">
        <v>765</v>
      </c>
      <c r="H70" s="119">
        <v>2050</v>
      </c>
      <c r="I70" s="119">
        <v>2050</v>
      </c>
      <c r="J70" s="232"/>
      <c r="K70" s="232"/>
      <c r="L70" s="119"/>
      <c r="M70" s="119"/>
      <c r="N70" s="232" t="str">
        <f t="shared" si="7"/>
        <v>Technology Advancement - Biomass Technologies/ processes - INVCOST, FIXOM, VAROM</v>
      </c>
      <c r="O70" s="119" t="str" cm="1">
        <f t="array" ref="O70">"*"&amp;ROUNDUP((1-(HLOOKUP(HLOOKUP(VLOOKUP(controller!$E$3,controller!$B$3:$C$32,2,),Scenarios_Qualitative!$H$3:$AK$33,MATCH(N70,Scenarios_Qualitative!$C$3:$C$34,0),FALSE),Scenarios_Data!$B$3:$J$119,MATCH(1,(Scenarios_Data!$B$3:$B$119=N70)*(Scenarios_Data!$G$3:$G$119=I70),0),FALSE))),2)</f>
        <v>*0,7</v>
      </c>
      <c r="P70" s="232"/>
      <c r="Q70" s="232" t="s">
        <v>805</v>
      </c>
      <c r="R70" s="232"/>
      <c r="S70" s="232"/>
      <c r="T70" s="232"/>
    </row>
    <row r="71" spans="5:20" x14ac:dyDescent="0.3">
      <c r="E71" s="232"/>
      <c r="F71" s="232"/>
      <c r="G71" s="232" t="s">
        <v>766</v>
      </c>
      <c r="H71" s="119">
        <v>2050</v>
      </c>
      <c r="I71" s="119">
        <v>2050</v>
      </c>
      <c r="J71" s="232"/>
      <c r="K71" s="232"/>
      <c r="L71" s="119"/>
      <c r="M71" s="119"/>
      <c r="N71" s="232" t="str">
        <f t="shared" si="7"/>
        <v>Technology Advancement - Biomass Technologies/ processes - INVCOST, FIXOM, VAROM</v>
      </c>
      <c r="O71" s="119" t="str" cm="1">
        <f t="array" ref="O71">"*"&amp;ROUNDUP((1-(HLOOKUP(HLOOKUP(VLOOKUP(controller!$E$3,controller!$B$3:$C$32,2,),Scenarios_Qualitative!$H$3:$AK$33,MATCH(N71,Scenarios_Qualitative!$C$3:$C$34,0),FALSE),Scenarios_Data!$B$3:$J$119,MATCH(1,(Scenarios_Data!$B$3:$B$119=N71)*(Scenarios_Data!$G$3:$G$119=I71),0),FALSE))),2)</f>
        <v>*0,7</v>
      </c>
      <c r="P71" s="232"/>
      <c r="Q71" s="232" t="s">
        <v>805</v>
      </c>
      <c r="R71" s="232"/>
      <c r="S71" s="232"/>
      <c r="T71" s="232"/>
    </row>
    <row r="72" spans="5:20" x14ac:dyDescent="0.3">
      <c r="E72" s="232"/>
      <c r="F72" s="232"/>
      <c r="G72" s="232" t="s">
        <v>767</v>
      </c>
      <c r="H72" s="119">
        <v>2050</v>
      </c>
      <c r="I72" s="119">
        <v>2050</v>
      </c>
      <c r="J72" s="232"/>
      <c r="K72" s="232"/>
      <c r="L72" s="119"/>
      <c r="M72" s="119"/>
      <c r="N72" s="232" t="str">
        <f t="shared" si="7"/>
        <v>Technology Advancement - Biomass Technologies/ processes - INVCOST, FIXOM, VAROM</v>
      </c>
      <c r="O72" s="119" t="str" cm="1">
        <f t="array" ref="O72">"*"&amp;ROUNDUP((1-(HLOOKUP(HLOOKUP(VLOOKUP(controller!$E$3,controller!$B$3:$C$32,2,),Scenarios_Qualitative!$H$3:$AK$33,MATCH(N72,Scenarios_Qualitative!$C$3:$C$34,0),FALSE),Scenarios_Data!$B$3:$J$119,MATCH(1,(Scenarios_Data!$B$3:$B$119=N72)*(Scenarios_Data!$G$3:$G$119=I72),0),FALSE))),2)</f>
        <v>*0,7</v>
      </c>
      <c r="P72" s="232"/>
      <c r="Q72" s="232" t="s">
        <v>805</v>
      </c>
      <c r="R72" s="232"/>
      <c r="S72" s="232"/>
      <c r="T72" s="232"/>
    </row>
    <row r="73" spans="5:20" x14ac:dyDescent="0.3">
      <c r="E73" s="232"/>
      <c r="F73" s="232"/>
      <c r="G73" s="232" t="s">
        <v>770</v>
      </c>
      <c r="H73" s="119">
        <v>2050</v>
      </c>
      <c r="I73" s="119">
        <v>2050</v>
      </c>
      <c r="J73" s="232" t="s">
        <v>788</v>
      </c>
      <c r="K73" s="232"/>
      <c r="L73" s="119" t="str">
        <f>"&gt;="&amp;"0."&amp;RIGHT(M73,LEN(M73)-2)</f>
        <v>&gt;=0.7</v>
      </c>
      <c r="M73" s="119" cm="1">
        <f t="array" ref="M73">ROUNDUP(1-(HLOOKUP(HLOOKUP(VLOOKUP(controller!$E$3,controller!$B$3:$C$32,2,),Scenarios_Qualitative!$H$3:$AK$33,MATCH(N73,Scenarios_Qualitative!$C$3:$C$34,0),FALSE),Scenarios_Data!$B$3:$J$119,MATCH(1,(Scenarios_Data!$B$3:$B$119=N73)*(Scenarios_Data!$G$3:$G$119=I73),0),FALSE)),2)</f>
        <v>0.7</v>
      </c>
      <c r="N73" s="232" t="str">
        <f t="shared" ref="N73:N74" si="8">N43</f>
        <v>Technology Advancement  - Biomass Technologies/ processes - EFFICIENCY</v>
      </c>
      <c r="O73" s="119">
        <v>1</v>
      </c>
      <c r="P73" s="232"/>
      <c r="Q73" s="232" t="s">
        <v>805</v>
      </c>
      <c r="R73" s="232"/>
      <c r="S73" s="232"/>
      <c r="T73" s="232"/>
    </row>
    <row r="74" spans="5:20" x14ac:dyDescent="0.3">
      <c r="E74" s="232"/>
      <c r="F74" s="232"/>
      <c r="G74" s="232" t="s">
        <v>770</v>
      </c>
      <c r="H74" s="119">
        <v>2050</v>
      </c>
      <c r="I74" s="119">
        <v>2050</v>
      </c>
      <c r="J74" s="232" t="s">
        <v>788</v>
      </c>
      <c r="K74" s="232"/>
      <c r="L74" s="119" t="str">
        <f t="shared" si="4"/>
        <v>&lt;0.7</v>
      </c>
      <c r="M74" s="119" cm="1">
        <f t="array" ref="M74">ROUNDUP(1-(HLOOKUP(HLOOKUP(VLOOKUP(controller!$E$3,controller!$B$3:$C$32,2,),Scenarios_Qualitative!$H$3:$AK$33,MATCH(N74,Scenarios_Qualitative!$C$3:$C$34,0),FALSE),Scenarios_Data!$B$3:$J$119,MATCH(1,(Scenarios_Data!$B$3:$B$119=N74)*(Scenarios_Data!$G$3:$G$119=I74),0),FALSE)),2)</f>
        <v>0.7</v>
      </c>
      <c r="N74" s="232" t="str">
        <f t="shared" si="8"/>
        <v>Technology Advancement  - Biomass Technologies/ processes - EFFICIENCY</v>
      </c>
      <c r="O74" s="119" t="str" cm="1">
        <f t="array" ref="O74">"*"&amp;ROUNDUP((1+(HLOOKUP(HLOOKUP(VLOOKUP(controller!$E$3,controller!$B$3:$C$32,2,),Scenarios_Qualitative!$H$3:$AK$33,MATCH(N74,Scenarios_Qualitative!$C$3:$C$34,0),FALSE),Scenarios_Data!$B$3:$J$119,MATCH(1,(Scenarios_Data!$B$3:$B$119=N74)*(Scenarios_Data!$G$3:$G$119=I74),0),FALSE))),2)</f>
        <v>*1,3</v>
      </c>
      <c r="P74" s="232"/>
      <c r="Q74" s="232" t="s">
        <v>805</v>
      </c>
      <c r="R74" s="232"/>
      <c r="S74" s="232"/>
      <c r="T74" s="232"/>
    </row>
  </sheetData>
  <phoneticPr fontId="55" type="noConversion"/>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V22" sqref="V22"/>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7.3821000000000003</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10.352399999999999</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157.5146</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22.2774</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1.80618541459531</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2.5329345754975701</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38.539080503140198</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5.4506187067669201</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1.7519749026448501E-2</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2.4569115498628901E-2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0.37382375733356898</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5.2870248541353401E-2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3.6737966594880302E-3</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5.1520106999920897E-3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7.8388821030259404E-2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1.10866053037805E-2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7.0014785015479905E-2</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9.8186414489164098E-2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1.4939249394427201</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0.21128722105263201</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3.5811647999999998</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29.465920799999999</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0</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3.5309376000000001</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3.6844128</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5.1019775999999997</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11.5604496</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1.7367840000000001</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0.80778240000000001</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7.3760472000000004</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0</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0.88785360000000002</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0.76908960000000004</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1.2896783999999999</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2.9270304</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0.4284</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0.26411111999999998</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0.63409437000000002</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6.7604040000000004E-2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0.40247171999999998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8.3366640000000006E-2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0.17881794000000001</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5.0790599999999998E-2</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0.34952591387999998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0.83916350875500001</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8.9467508459999998E-2</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0.53263299078000004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0.11032780836</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0.23664851331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6.7216521900000006E-2</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1.6563268799999999</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3.9766123800000002</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0.42396696</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2.52403128</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0.52281935999999996</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1.12142556</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0.31852439999999999</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B25" sqref="B25:B26"/>
    </sheetView>
  </sheetViews>
  <sheetFormatPr defaultColWidth="23.5546875" defaultRowHeight="14.4" x14ac:dyDescent="0.3"/>
  <cols>
    <col min="1" max="1" width="6.77734375" customWidth="1"/>
    <col min="2" max="2" width="69.33203125" customWidth="1"/>
    <col min="3" max="3" width="19.21875" customWidth="1"/>
    <col min="4" max="4" width="49" style="85" customWidth="1"/>
    <col min="5" max="5" width="16.5546875" customWidth="1"/>
    <col min="6" max="6" width="38.21875" bestFit="1" customWidth="1"/>
    <col min="7" max="7" width="12" style="9" customWidth="1"/>
    <col min="8" max="8" width="21.21875" customWidth="1"/>
    <col min="9" max="9" width="18.33203125" customWidth="1"/>
    <col min="10" max="10" width="17.109375" customWidth="1"/>
    <col min="12" max="12" width="6.21875" customWidth="1"/>
    <col min="13" max="13" width="5.6640625" customWidth="1"/>
    <col min="14" max="14" width="86.6640625" style="8" customWidth="1"/>
    <col min="15" max="15" width="8.21875" customWidth="1"/>
  </cols>
  <sheetData>
    <row r="1" spans="2:37" x14ac:dyDescent="0.3">
      <c r="B1" s="199" t="s">
        <v>46</v>
      </c>
      <c r="C1" s="199"/>
      <c r="G1" s="200" t="s">
        <v>47</v>
      </c>
      <c r="H1" s="9"/>
      <c r="I1" s="9"/>
      <c r="J1" s="9"/>
    </row>
    <row r="2" spans="2:37" x14ac:dyDescent="0.3">
      <c r="H2" s="182"/>
      <c r="I2" s="182"/>
      <c r="J2" s="182"/>
      <c r="K2" s="50"/>
      <c r="L2" s="50"/>
      <c r="M2" s="50"/>
      <c r="N2" s="151"/>
      <c r="O2" s="50"/>
      <c r="P2" s="50"/>
      <c r="Q2" s="50"/>
      <c r="R2" s="50"/>
      <c r="S2" s="50"/>
      <c r="T2" s="50"/>
      <c r="U2" s="50"/>
      <c r="V2" s="50"/>
      <c r="W2" s="50"/>
      <c r="X2" s="50"/>
      <c r="Y2" s="50"/>
      <c r="Z2" s="50"/>
      <c r="AA2" s="50"/>
      <c r="AB2" s="50"/>
      <c r="AC2" s="50"/>
      <c r="AD2" s="50"/>
      <c r="AE2" s="50"/>
      <c r="AF2" s="50"/>
      <c r="AG2" s="50"/>
      <c r="AH2" s="50"/>
      <c r="AI2" s="50"/>
      <c r="AJ2" s="50"/>
      <c r="AK2" s="50"/>
    </row>
    <row r="3" spans="2:37" x14ac:dyDescent="0.3">
      <c r="B3" s="183" t="s">
        <v>48</v>
      </c>
      <c r="C3" s="183" t="s">
        <v>49</v>
      </c>
      <c r="D3" s="201" t="s">
        <v>50</v>
      </c>
      <c r="E3" s="183" t="s">
        <v>51</v>
      </c>
      <c r="F3" s="183" t="s">
        <v>15</v>
      </c>
      <c r="G3" s="34" t="s">
        <v>1</v>
      </c>
      <c r="H3" s="185" t="s">
        <v>52</v>
      </c>
      <c r="I3" s="186" t="s">
        <v>53</v>
      </c>
      <c r="J3" s="187" t="s">
        <v>54</v>
      </c>
      <c r="K3" s="50" t="s">
        <v>55</v>
      </c>
      <c r="L3" s="50"/>
      <c r="M3" s="50"/>
      <c r="N3" s="151"/>
      <c r="O3" s="50"/>
      <c r="P3" s="50"/>
      <c r="Q3" s="50"/>
      <c r="R3" s="50"/>
      <c r="S3" s="50"/>
      <c r="T3" s="50"/>
      <c r="U3" s="50"/>
      <c r="V3" s="50"/>
      <c r="W3" s="50"/>
      <c r="X3" s="50"/>
      <c r="Y3" s="50"/>
      <c r="Z3" s="50"/>
      <c r="AA3" s="50"/>
      <c r="AB3" s="50"/>
      <c r="AC3" s="50"/>
      <c r="AD3" s="50"/>
      <c r="AE3" s="50"/>
      <c r="AF3" s="50"/>
      <c r="AG3" s="50"/>
      <c r="AH3" s="50"/>
      <c r="AI3" s="50"/>
      <c r="AJ3" s="50"/>
      <c r="AK3" s="50"/>
    </row>
    <row r="4" spans="2:37" ht="20.399999999999999" x14ac:dyDescent="0.3">
      <c r="B4" s="202" t="s">
        <v>56</v>
      </c>
      <c r="C4" s="148" t="s">
        <v>57</v>
      </c>
      <c r="D4" s="195" t="s">
        <v>58</v>
      </c>
      <c r="E4" s="148" t="s">
        <v>59</v>
      </c>
      <c r="F4" s="148"/>
      <c r="G4" s="203">
        <v>2030</v>
      </c>
      <c r="H4" s="204">
        <f>INDATA_Defining_Quantitative!F3*0.154</f>
        <v>5.39</v>
      </c>
      <c r="I4" s="204">
        <f>INDATA_Defining_Quantitative!G3*0.154</f>
        <v>9.8559999999999999</v>
      </c>
      <c r="J4" s="204">
        <f>INDATA_Defining_Quantitative!H3*0.154</f>
        <v>12.628</v>
      </c>
      <c r="K4" s="9" t="s">
        <v>60</v>
      </c>
      <c r="M4" s="9" t="s">
        <v>60</v>
      </c>
      <c r="N4" s="188" t="s">
        <v>61</v>
      </c>
      <c r="P4" s="85" t="s">
        <v>62</v>
      </c>
    </row>
    <row r="5" spans="2:37" ht="20.399999999999999" x14ac:dyDescent="0.3">
      <c r="B5" s="202" t="s">
        <v>63</v>
      </c>
      <c r="C5" s="148" t="s">
        <v>57</v>
      </c>
      <c r="D5" s="195" t="s">
        <v>64</v>
      </c>
      <c r="E5" s="148" t="s">
        <v>65</v>
      </c>
      <c r="F5" s="148"/>
      <c r="G5" s="203">
        <v>2030</v>
      </c>
      <c r="H5" s="204">
        <f>INDATA_Defining_Quantitative!F4*0.891</f>
        <v>4.0985999999999994</v>
      </c>
      <c r="I5" s="204">
        <f>INDATA_Defining_Quantitative!G4*0.891</f>
        <v>7.0389000000000008</v>
      </c>
      <c r="J5" s="204">
        <f>INDATA_Defining_Quantitative!H4*0.891</f>
        <v>7.5735000000000001</v>
      </c>
      <c r="K5" s="9" t="s">
        <v>60</v>
      </c>
      <c r="M5" s="9" t="s">
        <v>66</v>
      </c>
      <c r="N5" s="188" t="s">
        <v>67</v>
      </c>
      <c r="P5" s="85" t="s">
        <v>68</v>
      </c>
    </row>
    <row r="6" spans="2:37" x14ac:dyDescent="0.3">
      <c r="B6" s="202" t="s">
        <v>69</v>
      </c>
      <c r="C6" s="148" t="s">
        <v>57</v>
      </c>
      <c r="D6" s="195" t="s">
        <v>70</v>
      </c>
      <c r="E6" s="148" t="s">
        <v>65</v>
      </c>
      <c r="F6" s="148"/>
      <c r="G6" s="203">
        <v>2030</v>
      </c>
      <c r="H6" s="204">
        <f>INDATA_Defining_Quantitative!F5*0.038</f>
        <v>1.976</v>
      </c>
      <c r="I6" s="204">
        <f>INDATA_Defining_Quantitative!G5*0.038</f>
        <v>2.3559999999999999</v>
      </c>
      <c r="J6" s="204">
        <f>INDATA_Defining_Quantitative!H5*0.038</f>
        <v>2.2799999999999998</v>
      </c>
      <c r="K6" s="9" t="s">
        <v>60</v>
      </c>
      <c r="M6" s="9" t="s">
        <v>71</v>
      </c>
      <c r="N6" s="188" t="s">
        <v>72</v>
      </c>
      <c r="P6" s="85" t="s">
        <v>73</v>
      </c>
    </row>
    <row r="7" spans="2:37" ht="20.399999999999999" x14ac:dyDescent="0.3">
      <c r="B7" s="202" t="s">
        <v>74</v>
      </c>
      <c r="C7" s="148" t="s">
        <v>57</v>
      </c>
      <c r="D7" s="195" t="s">
        <v>75</v>
      </c>
      <c r="E7" s="148" t="s">
        <v>76</v>
      </c>
      <c r="F7" s="148"/>
      <c r="G7" s="203">
        <v>2030</v>
      </c>
      <c r="H7" s="189" t="s">
        <v>77</v>
      </c>
      <c r="I7" s="189"/>
      <c r="J7" s="189"/>
      <c r="K7" s="111" t="s">
        <v>78</v>
      </c>
      <c r="M7" s="9" t="s">
        <v>79</v>
      </c>
      <c r="N7" s="188" t="s">
        <v>80</v>
      </c>
      <c r="P7" t="s">
        <v>81</v>
      </c>
    </row>
    <row r="8" spans="2:37" x14ac:dyDescent="0.3">
      <c r="B8" s="202" t="s">
        <v>82</v>
      </c>
      <c r="C8" s="148" t="s">
        <v>57</v>
      </c>
      <c r="D8" s="195" t="s">
        <v>83</v>
      </c>
      <c r="E8" s="148" t="s">
        <v>84</v>
      </c>
      <c r="F8" s="190"/>
      <c r="G8" s="203">
        <v>2030</v>
      </c>
      <c r="H8" s="204">
        <f>INDATA_Defining_Quantitative!F7*0.25</f>
        <v>16.677631578947366</v>
      </c>
      <c r="I8" s="204">
        <f>INDATA_Defining_Quantitative!G7*0.25</f>
        <v>19.884868421052634</v>
      </c>
      <c r="J8" s="204">
        <f>INDATA_Defining_Quantitative!H7*0.25</f>
        <v>19.243421052631579</v>
      </c>
      <c r="K8" s="9" t="s">
        <v>85</v>
      </c>
      <c r="M8" s="9" t="s">
        <v>86</v>
      </c>
      <c r="N8" s="188" t="s">
        <v>87</v>
      </c>
      <c r="P8" t="s">
        <v>88</v>
      </c>
    </row>
    <row r="9" spans="2:37" ht="20.399999999999999" x14ac:dyDescent="0.3">
      <c r="B9" s="202" t="s">
        <v>89</v>
      </c>
      <c r="C9" s="148" t="s">
        <v>57</v>
      </c>
      <c r="D9" s="195" t="s">
        <v>90</v>
      </c>
      <c r="E9" s="148" t="s">
        <v>84</v>
      </c>
      <c r="F9" s="190"/>
      <c r="G9" s="203">
        <v>2030</v>
      </c>
      <c r="H9" s="205">
        <f>INDATA_Defining_Quantitative!F8*0.035</f>
        <v>1.3513852756302047</v>
      </c>
      <c r="I9" s="205">
        <f>INDATA_Defining_Quantitative!G8*0.035</f>
        <v>1.8018470341736061</v>
      </c>
      <c r="J9" s="205">
        <f>INDATA_Defining_Quantitative!H8*0.035</f>
        <v>2.2523087927170073</v>
      </c>
      <c r="K9" s="111" t="s">
        <v>91</v>
      </c>
      <c r="M9" s="9" t="s">
        <v>92</v>
      </c>
      <c r="N9" s="188" t="s">
        <v>93</v>
      </c>
    </row>
    <row r="10" spans="2:37" x14ac:dyDescent="0.3">
      <c r="B10" s="202" t="s">
        <v>94</v>
      </c>
      <c r="C10" s="148" t="s">
        <v>57</v>
      </c>
      <c r="D10" s="195" t="s">
        <v>95</v>
      </c>
      <c r="E10" s="148" t="s">
        <v>84</v>
      </c>
      <c r="F10" s="190"/>
      <c r="G10" s="203">
        <v>2030</v>
      </c>
      <c r="H10" s="205">
        <f>INDATA_Defining_Quantitative!F9*0.026</f>
        <v>1.8982126791405667</v>
      </c>
      <c r="I10" s="205">
        <f>INDATA_Defining_Quantitative!G9*0.026</f>
        <v>2.5309502388540888</v>
      </c>
      <c r="J10" s="205">
        <f>INDATA_Defining_Quantitative!H9*0.026</f>
        <v>3.1636877985676106</v>
      </c>
      <c r="K10" s="111" t="s">
        <v>91</v>
      </c>
      <c r="M10" s="9" t="s">
        <v>96</v>
      </c>
      <c r="N10" s="188" t="s">
        <v>97</v>
      </c>
    </row>
    <row r="11" spans="2:37" x14ac:dyDescent="0.3">
      <c r="B11" s="202" t="s">
        <v>98</v>
      </c>
      <c r="C11" s="148" t="s">
        <v>57</v>
      </c>
      <c r="D11" s="195"/>
      <c r="E11" s="148" t="s">
        <v>84</v>
      </c>
      <c r="F11" s="190"/>
      <c r="G11" s="203">
        <v>2030</v>
      </c>
      <c r="H11" s="205">
        <f>INDATA_Defining_Quantitative!F10</f>
        <v>7.1279999942976016</v>
      </c>
      <c r="I11" s="205">
        <f>INDATA_Defining_Quantitative!G10</f>
        <v>9.5039999923968015</v>
      </c>
      <c r="J11" s="205">
        <f>INDATA_Defining_Quantitative!H10</f>
        <v>11.879999990496001</v>
      </c>
      <c r="K11" s="111" t="s">
        <v>99</v>
      </c>
      <c r="M11" s="9"/>
      <c r="N11" s="188"/>
    </row>
    <row r="12" spans="2:37" ht="21.6" x14ac:dyDescent="0.3">
      <c r="B12" s="202" t="s">
        <v>100</v>
      </c>
      <c r="C12" s="148" t="s">
        <v>57</v>
      </c>
      <c r="D12" s="195"/>
      <c r="E12" s="148" t="s">
        <v>84</v>
      </c>
      <c r="G12" s="203">
        <v>2030</v>
      </c>
      <c r="H12" s="205">
        <f>INDATA_Defining_Quantitative!F11</f>
        <v>5.3459999957232007</v>
      </c>
      <c r="I12" s="205">
        <f>INDATA_Defining_Quantitative!G11</f>
        <v>7.1279999942976016</v>
      </c>
      <c r="J12" s="205">
        <f>INDATA_Defining_Quantitative!H11</f>
        <v>8.9099999928720024</v>
      </c>
      <c r="K12" s="111" t="s">
        <v>99</v>
      </c>
      <c r="M12" s="111" t="s">
        <v>91</v>
      </c>
      <c r="N12" s="192" t="s">
        <v>101</v>
      </c>
    </row>
    <row r="13" spans="2:37" x14ac:dyDescent="0.3">
      <c r="B13" s="206" t="s">
        <v>102</v>
      </c>
      <c r="C13" s="206" t="s">
        <v>103</v>
      </c>
      <c r="D13" s="207"/>
      <c r="E13" s="208" t="s">
        <v>104</v>
      </c>
      <c r="F13" s="209"/>
      <c r="G13" s="210">
        <v>2030</v>
      </c>
      <c r="H13" s="211">
        <f>INDATA_Defining_Quantitative!F12*0.94</f>
        <v>13592.4</v>
      </c>
      <c r="I13" s="211">
        <f>INDATA_Defining_Quantitative!G12*0.94</f>
        <v>13656.32</v>
      </c>
      <c r="J13" s="211">
        <f>INDATA_Defining_Quantitative!H12*0.94</f>
        <v>13804.839999999998</v>
      </c>
      <c r="K13" s="212" t="s">
        <v>60</v>
      </c>
      <c r="M13" s="111" t="s">
        <v>91</v>
      </c>
      <c r="N13" s="192" t="s">
        <v>105</v>
      </c>
    </row>
    <row r="14" spans="2:37" ht="21.6" x14ac:dyDescent="0.3">
      <c r="B14" s="206" t="s">
        <v>106</v>
      </c>
      <c r="C14" s="206" t="s">
        <v>103</v>
      </c>
      <c r="D14" s="207"/>
      <c r="E14" s="208" t="s">
        <v>104</v>
      </c>
      <c r="F14" s="209"/>
      <c r="G14" s="210">
        <v>2030</v>
      </c>
      <c r="H14" s="211">
        <f>INDATA_Defining_Quantitative!F13*0.94</f>
        <v>13896.019999999999</v>
      </c>
      <c r="I14" s="211">
        <f>INDATA_Defining_Quantitative!G13*0.94</f>
        <v>14349.099999999999</v>
      </c>
      <c r="J14" s="211">
        <f>INDATA_Defining_Quantitative!H13*0.94</f>
        <v>14825.679999999998</v>
      </c>
      <c r="K14" s="212" t="s">
        <v>60</v>
      </c>
      <c r="M14" s="111" t="s">
        <v>107</v>
      </c>
      <c r="N14" s="192" t="s">
        <v>108</v>
      </c>
    </row>
    <row r="15" spans="2:37" ht="21.6" x14ac:dyDescent="0.3">
      <c r="B15" s="206" t="s">
        <v>109</v>
      </c>
      <c r="C15" s="206" t="s">
        <v>110</v>
      </c>
      <c r="D15" s="207"/>
      <c r="E15" s="208" t="s">
        <v>104</v>
      </c>
      <c r="F15" s="209"/>
      <c r="G15" s="210">
        <v>2030</v>
      </c>
      <c r="H15" s="211">
        <f>INDATA_Defining_Quantitative!F14*0.94</f>
        <v>296.09999999999997</v>
      </c>
      <c r="I15" s="211">
        <f>INDATA_Defining_Quantitative!G14*0.94</f>
        <v>366.59999999999997</v>
      </c>
      <c r="J15" s="211">
        <f>INDATA_Defining_Quantitative!H14*0.94</f>
        <v>540.5</v>
      </c>
      <c r="K15" s="212" t="s">
        <v>60</v>
      </c>
      <c r="M15" s="111" t="s">
        <v>111</v>
      </c>
      <c r="N15" s="193" t="s">
        <v>112</v>
      </c>
    </row>
    <row r="16" spans="2:37" ht="30.6" x14ac:dyDescent="0.3">
      <c r="B16" s="206" t="s">
        <v>113</v>
      </c>
      <c r="C16" s="206" t="s">
        <v>110</v>
      </c>
      <c r="D16" s="207"/>
      <c r="E16" s="208" t="s">
        <v>104</v>
      </c>
      <c r="F16" s="209"/>
      <c r="G16" s="210">
        <v>2030</v>
      </c>
      <c r="H16" s="211">
        <f>INDATA_Defining_Quantitative!F15*0.94</f>
        <v>42.111999999999995</v>
      </c>
      <c r="I16" s="211">
        <f>INDATA_Defining_Quantitative!G15*0.94</f>
        <v>49.255999999999993</v>
      </c>
      <c r="J16" s="211">
        <f>INDATA_Defining_Quantitative!H15*0.94</f>
        <v>56.681999999999995</v>
      </c>
      <c r="K16" s="212" t="s">
        <v>60</v>
      </c>
      <c r="M16" s="111" t="s">
        <v>114</v>
      </c>
      <c r="N16" s="194" t="s">
        <v>115</v>
      </c>
    </row>
    <row r="17" spans="2:14" x14ac:dyDescent="0.3">
      <c r="B17" s="206" t="s">
        <v>116</v>
      </c>
      <c r="C17" s="206" t="s">
        <v>117</v>
      </c>
      <c r="D17" s="207"/>
      <c r="E17" s="208" t="s">
        <v>104</v>
      </c>
      <c r="F17" s="209"/>
      <c r="G17" s="210">
        <v>2030</v>
      </c>
      <c r="H17" s="211">
        <f>INDATA_Defining_Quantitative!F16*0.94</f>
        <v>167.32</v>
      </c>
      <c r="I17" s="211">
        <f>INDATA_Defining_Quantitative!G16*0.94</f>
        <v>172.95999999999998</v>
      </c>
      <c r="J17" s="211">
        <f>INDATA_Defining_Quantitative!H16*0.94</f>
        <v>173.89999999999998</v>
      </c>
      <c r="K17" s="212" t="s">
        <v>60</v>
      </c>
      <c r="M17" s="111" t="s">
        <v>78</v>
      </c>
      <c r="N17" s="192" t="s">
        <v>118</v>
      </c>
    </row>
    <row r="18" spans="2:14" ht="14.4" customHeight="1" x14ac:dyDescent="0.3">
      <c r="B18" t="s">
        <v>119</v>
      </c>
      <c r="E18" s="190" t="s">
        <v>120</v>
      </c>
      <c r="F18" s="104"/>
      <c r="G18" s="213">
        <v>2030</v>
      </c>
      <c r="H18" s="213" t="s">
        <v>121</v>
      </c>
      <c r="I18" s="213"/>
      <c r="J18" s="213"/>
      <c r="K18" s="9" t="s">
        <v>122</v>
      </c>
    </row>
    <row r="19" spans="2:14" x14ac:dyDescent="0.3">
      <c r="B19" t="s">
        <v>123</v>
      </c>
      <c r="E19" s="190" t="s">
        <v>120</v>
      </c>
      <c r="F19" s="195"/>
      <c r="G19" s="213">
        <v>2030</v>
      </c>
      <c r="H19" s="213"/>
      <c r="I19" s="213"/>
      <c r="J19" s="213"/>
      <c r="K19" s="9" t="s">
        <v>122</v>
      </c>
    </row>
    <row r="20" spans="2:14" x14ac:dyDescent="0.3">
      <c r="B20" s="148" t="s">
        <v>124</v>
      </c>
      <c r="C20" s="148"/>
      <c r="D20" s="195"/>
      <c r="E20" s="190" t="s">
        <v>120</v>
      </c>
      <c r="F20" s="195"/>
      <c r="G20" s="213">
        <v>2030</v>
      </c>
      <c r="H20" s="213"/>
      <c r="I20" s="213"/>
      <c r="J20" s="213"/>
      <c r="K20" s="9" t="s">
        <v>122</v>
      </c>
    </row>
    <row r="21" spans="2:14" ht="28.8" x14ac:dyDescent="0.3">
      <c r="B21" s="190" t="s">
        <v>125</v>
      </c>
      <c r="C21" s="190"/>
      <c r="D21" s="214"/>
      <c r="E21" s="190" t="s">
        <v>104</v>
      </c>
      <c r="F21" t="s">
        <v>126</v>
      </c>
      <c r="G21" s="213">
        <v>2030</v>
      </c>
      <c r="H21" s="215">
        <f>INDATA_Defining_Quantitative!F20</f>
        <v>0.03</v>
      </c>
      <c r="I21" s="215">
        <f>INDATA_Defining_Quantitative!G20</f>
        <v>0.03</v>
      </c>
      <c r="J21" s="215">
        <f>INDATA_Defining_Quantitative!H20</f>
        <v>3.4999999999999996E-2</v>
      </c>
      <c r="K21" s="111" t="s">
        <v>127</v>
      </c>
      <c r="N21" s="8" t="s">
        <v>128</v>
      </c>
    </row>
    <row r="22" spans="2:14" x14ac:dyDescent="0.3">
      <c r="B22" s="190" t="s">
        <v>129</v>
      </c>
      <c r="C22" s="190"/>
      <c r="D22" s="214"/>
      <c r="E22" s="190" t="s">
        <v>104</v>
      </c>
      <c r="F22" t="s">
        <v>130</v>
      </c>
      <c r="G22" s="213">
        <v>2030</v>
      </c>
      <c r="H22" s="196">
        <f>INDATA_Defining_Quantitative!F21</f>
        <v>0.03</v>
      </c>
      <c r="I22" s="196">
        <f>INDATA_Defining_Quantitative!G21</f>
        <v>0.03</v>
      </c>
      <c r="J22" s="196">
        <f>INDATA_Defining_Quantitative!H21</f>
        <v>3.4999999999999996E-2</v>
      </c>
      <c r="K22" s="9" t="s">
        <v>127</v>
      </c>
    </row>
    <row r="23" spans="2:14" ht="28.8" x14ac:dyDescent="0.3">
      <c r="B23" s="190" t="s">
        <v>131</v>
      </c>
      <c r="C23" s="190"/>
      <c r="D23" s="214"/>
      <c r="E23" s="190" t="s">
        <v>104</v>
      </c>
      <c r="F23" t="s">
        <v>126</v>
      </c>
      <c r="G23" s="213">
        <v>2030</v>
      </c>
      <c r="H23" s="196">
        <f>INDATA_Defining_Quantitative!F22</f>
        <v>4.0000000000000008E-2</v>
      </c>
      <c r="I23" s="196">
        <f>INDATA_Defining_Quantitative!G22</f>
        <v>8.8000000000000009E-2</v>
      </c>
      <c r="J23" s="196">
        <f>INDATA_Defining_Quantitative!H22</f>
        <v>0.11000000000000001</v>
      </c>
      <c r="K23" s="9" t="s">
        <v>127</v>
      </c>
    </row>
    <row r="24" spans="2:14" x14ac:dyDescent="0.3">
      <c r="B24" s="190" t="s">
        <v>132</v>
      </c>
      <c r="C24" s="190"/>
      <c r="D24" s="214"/>
      <c r="E24" s="190" t="s">
        <v>104</v>
      </c>
      <c r="F24" t="s">
        <v>130</v>
      </c>
      <c r="G24" s="213">
        <v>2030</v>
      </c>
      <c r="H24" s="196">
        <f>INDATA_Defining_Quantitative!F23</f>
        <v>4.0000000000000008E-2</v>
      </c>
      <c r="I24" s="196">
        <f>INDATA_Defining_Quantitative!G23</f>
        <v>8.8000000000000009E-2</v>
      </c>
      <c r="J24" s="196">
        <f>INDATA_Defining_Quantitative!H23</f>
        <v>0.11000000000000001</v>
      </c>
      <c r="K24" s="9" t="s">
        <v>127</v>
      </c>
    </row>
    <row r="25" spans="2:14" ht="28.8" x14ac:dyDescent="0.3">
      <c r="B25" s="190" t="s">
        <v>133</v>
      </c>
      <c r="C25" s="190"/>
      <c r="D25" s="214"/>
      <c r="E25" s="190" t="s">
        <v>104</v>
      </c>
      <c r="F25" t="s">
        <v>126</v>
      </c>
      <c r="G25" s="213">
        <v>2030</v>
      </c>
      <c r="H25" s="196">
        <f>INDATA_Defining_Quantitative!F24</f>
        <v>0.03</v>
      </c>
      <c r="I25" s="196">
        <f>INDATA_Defining_Quantitative!G24</f>
        <v>0.06</v>
      </c>
      <c r="J25" s="196">
        <f>INDATA_Defining_Quantitative!H24</f>
        <v>8.0000000000000016E-2</v>
      </c>
      <c r="K25" s="9" t="s">
        <v>127</v>
      </c>
    </row>
    <row r="26" spans="2:14" x14ac:dyDescent="0.3">
      <c r="B26" s="190" t="s">
        <v>134</v>
      </c>
      <c r="C26" s="190"/>
      <c r="D26" s="214"/>
      <c r="E26" s="190" t="s">
        <v>104</v>
      </c>
      <c r="F26" t="s">
        <v>130</v>
      </c>
      <c r="G26" s="213">
        <v>2030</v>
      </c>
      <c r="H26" s="196">
        <f>INDATA_Defining_Quantitative!F25</f>
        <v>0.03</v>
      </c>
      <c r="I26" s="196">
        <f>INDATA_Defining_Quantitative!G25</f>
        <v>0.06</v>
      </c>
      <c r="J26" s="196">
        <f>INDATA_Defining_Quantitative!H25</f>
        <v>8.0000000000000016E-2</v>
      </c>
      <c r="K26" s="9" t="s">
        <v>127</v>
      </c>
    </row>
    <row r="27" spans="2:14" x14ac:dyDescent="0.3">
      <c r="B27" s="190" t="s">
        <v>135</v>
      </c>
      <c r="C27" s="190" t="s">
        <v>136</v>
      </c>
      <c r="D27" s="214"/>
      <c r="E27" s="190" t="s">
        <v>65</v>
      </c>
      <c r="G27" s="216">
        <v>2030</v>
      </c>
      <c r="H27" s="217">
        <f>INDATA_Defining_Quantitative!F26*0.94</f>
        <v>84.6</v>
      </c>
      <c r="I27" s="217">
        <f>INDATA_Defining_Quantitative!G26*0.94</f>
        <v>126.89999999999999</v>
      </c>
      <c r="J27" s="217">
        <f>INDATA_Defining_Quantitative!H26*0.94</f>
        <v>131.6</v>
      </c>
      <c r="K27" s="9" t="s">
        <v>60</v>
      </c>
    </row>
    <row r="28" spans="2:14" x14ac:dyDescent="0.3">
      <c r="B28" s="175" t="s">
        <v>221</v>
      </c>
      <c r="C28" s="190"/>
      <c r="D28" s="214"/>
      <c r="E28" s="190"/>
      <c r="F28" t="s">
        <v>137</v>
      </c>
      <c r="G28" s="213">
        <v>2030</v>
      </c>
      <c r="H28" s="196">
        <f>INDATA_Defining_Quantitative!F27</f>
        <v>0.1</v>
      </c>
      <c r="I28" s="196">
        <f>INDATA_Defining_Quantitative!G27</f>
        <v>0.3</v>
      </c>
      <c r="J28" s="196">
        <f>INDATA_Defining_Quantitative!H27</f>
        <v>0.6</v>
      </c>
      <c r="K28" s="9" t="s">
        <v>138</v>
      </c>
    </row>
    <row r="29" spans="2:14" x14ac:dyDescent="0.3">
      <c r="B29" s="190" t="s">
        <v>139</v>
      </c>
      <c r="C29" s="190"/>
      <c r="D29" s="214"/>
      <c r="E29" s="190"/>
      <c r="G29" s="213">
        <v>2030</v>
      </c>
      <c r="H29" s="196">
        <f>INDATA_Defining_Quantitative!F28</f>
        <v>0</v>
      </c>
      <c r="I29" s="196">
        <f>INDATA_Defining_Quantitative!G28</f>
        <v>0.15</v>
      </c>
      <c r="J29" s="196">
        <f>INDATA_Defining_Quantitative!H28</f>
        <v>0.3</v>
      </c>
      <c r="K29" s="9" t="s">
        <v>138</v>
      </c>
    </row>
    <row r="30" spans="2:14" x14ac:dyDescent="0.3">
      <c r="B30" s="218" t="s">
        <v>140</v>
      </c>
      <c r="C30" s="218"/>
      <c r="D30" s="219"/>
      <c r="E30" s="218"/>
      <c r="F30" s="128" t="s">
        <v>141</v>
      </c>
      <c r="G30" s="220">
        <v>2030</v>
      </c>
      <c r="H30" s="221">
        <f>INDATA_Defining_Quantitative!F29</f>
        <v>4.0000000000000008E-2</v>
      </c>
      <c r="I30" s="221">
        <f>INDATA_Defining_Quantitative!G29</f>
        <v>8.8000000000000009E-2</v>
      </c>
      <c r="J30" s="221">
        <f>INDATA_Defining_Quantitative!H29</f>
        <v>0.11000000000000001</v>
      </c>
      <c r="K30" s="129" t="s">
        <v>127</v>
      </c>
    </row>
    <row r="31" spans="2:14" x14ac:dyDescent="0.3">
      <c r="B31" s="218" t="s">
        <v>142</v>
      </c>
      <c r="C31" s="218"/>
      <c r="D31" s="219"/>
      <c r="E31" s="218"/>
      <c r="F31" s="128" t="s">
        <v>141</v>
      </c>
      <c r="G31" s="220">
        <v>2030</v>
      </c>
      <c r="H31" s="221">
        <f>INDATA_Defining_Quantitative!F30</f>
        <v>4.0000000000000008E-2</v>
      </c>
      <c r="I31" s="221">
        <f>INDATA_Defining_Quantitative!G30</f>
        <v>8.8000000000000009E-2</v>
      </c>
      <c r="J31" s="221">
        <f>INDATA_Defining_Quantitative!H30</f>
        <v>0.11000000000000001</v>
      </c>
      <c r="K31" s="129" t="s">
        <v>127</v>
      </c>
    </row>
    <row r="32" spans="2:14" x14ac:dyDescent="0.3">
      <c r="B32" s="222" t="s">
        <v>143</v>
      </c>
      <c r="C32" s="222" t="s">
        <v>144</v>
      </c>
      <c r="D32" s="223"/>
      <c r="E32" s="222" t="s">
        <v>65</v>
      </c>
      <c r="F32" s="224" t="s">
        <v>145</v>
      </c>
      <c r="G32" s="225">
        <v>2030</v>
      </c>
      <c r="H32" s="226">
        <f>IF(ISBLANK(INDATA_Defining_Quantitative!F31),"",IFERROR(INDATA_Defining_Quantitative!F31*0.94,INDATA_Defining_Quantitative!F31))</f>
        <v>4794</v>
      </c>
      <c r="I32" s="226">
        <f>IF(ISBLANK(INDATA_Defining_Quantitative!G31),"",IFERROR(INDATA_Defining_Quantitative!G31*0.94,INDATA_Defining_Quantitative!G31))</f>
        <v>4794</v>
      </c>
      <c r="J32" s="226">
        <f>IF(ISBLANK(INDATA_Defining_Quantitative!H31),"",IFERROR(INDATA_Defining_Quantitative!H31*0.94,INDATA_Defining_Quantitative!H31))</f>
        <v>4794</v>
      </c>
      <c r="K32" s="129" t="s">
        <v>60</v>
      </c>
    </row>
    <row r="33" spans="2:11" x14ac:dyDescent="0.3">
      <c r="B33" s="222"/>
      <c r="C33" s="222"/>
      <c r="D33" s="223"/>
      <c r="E33" s="222" t="s">
        <v>65</v>
      </c>
      <c r="F33" s="224" t="s">
        <v>146</v>
      </c>
      <c r="G33" s="225">
        <v>2030</v>
      </c>
      <c r="H33" s="226">
        <f>IF(ISBLANK(INDATA_Defining_Quantitative!F32),"",IFERROR(INDATA_Defining_Quantitative!F32*0.94,INDATA_Defining_Quantitative!F32))</f>
        <v>1880</v>
      </c>
      <c r="I33" s="226">
        <f>IF(ISBLANK(INDATA_Defining_Quantitative!G32),"",IFERROR(INDATA_Defining_Quantitative!G32*0.94,INDATA_Defining_Quantitative!G32))</f>
        <v>1880</v>
      </c>
      <c r="J33" s="226">
        <f>IF(ISBLANK(INDATA_Defining_Quantitative!H32),"",IFERROR(INDATA_Defining_Quantitative!H32*0.94,INDATA_Defining_Quantitative!H32))</f>
        <v>1880</v>
      </c>
      <c r="K33" s="129" t="s">
        <v>60</v>
      </c>
    </row>
    <row r="34" spans="2:11" x14ac:dyDescent="0.3">
      <c r="B34" s="222"/>
      <c r="C34" s="222"/>
      <c r="D34" s="223"/>
      <c r="E34" s="222" t="s">
        <v>65</v>
      </c>
      <c r="F34" s="224" t="s">
        <v>147</v>
      </c>
      <c r="G34" s="225">
        <v>2030</v>
      </c>
      <c r="H34" s="226">
        <f>IF(ISBLANK(INDATA_Defining_Quantitative!F33),"",IFERROR(INDATA_Defining_Quantitative!F33*0.94,INDATA_Defining_Quantitative!F33))</f>
        <v>940</v>
      </c>
      <c r="I34" s="226">
        <f>IF(ISBLANK(INDATA_Defining_Quantitative!G33),"",IFERROR(INDATA_Defining_Quantitative!G33*0.94,INDATA_Defining_Quantitative!G33))</f>
        <v>940</v>
      </c>
      <c r="J34" s="226">
        <f>IF(ISBLANK(INDATA_Defining_Quantitative!H33),"",IFERROR(INDATA_Defining_Quantitative!H33*0.94,INDATA_Defining_Quantitative!H33))</f>
        <v>940</v>
      </c>
      <c r="K34" s="129" t="s">
        <v>60</v>
      </c>
    </row>
    <row r="35" spans="2:11" x14ac:dyDescent="0.3">
      <c r="B35" s="222"/>
      <c r="C35" s="222"/>
      <c r="D35" s="223"/>
      <c r="E35" s="222" t="s">
        <v>65</v>
      </c>
      <c r="F35" s="224" t="s">
        <v>148</v>
      </c>
      <c r="G35" s="225">
        <v>2030</v>
      </c>
      <c r="H35" s="226">
        <f>IF(ISBLANK(INDATA_Defining_Quantitative!F34),"",IFERROR(INDATA_Defining_Quantitative!F34*0.94,INDATA_Defining_Quantitative!F34))</f>
        <v>441.79999999999995</v>
      </c>
      <c r="I35" s="226">
        <f>IF(ISBLANK(INDATA_Defining_Quantitative!G34),"",IFERROR(INDATA_Defining_Quantitative!G34*0.94,INDATA_Defining_Quantitative!G34))</f>
        <v>479.4</v>
      </c>
      <c r="J35" s="226">
        <f>IF(ISBLANK(INDATA_Defining_Quantitative!H34),"",IFERROR(INDATA_Defining_Quantitative!H34*0.94,INDATA_Defining_Quantitative!H34))</f>
        <v>498.2</v>
      </c>
      <c r="K35" s="129" t="s">
        <v>60</v>
      </c>
    </row>
    <row r="36" spans="2:11" x14ac:dyDescent="0.3">
      <c r="B36" s="222"/>
      <c r="C36" s="222"/>
      <c r="D36" s="223"/>
      <c r="E36" s="222" t="s">
        <v>65</v>
      </c>
      <c r="F36" s="227" t="s">
        <v>149</v>
      </c>
      <c r="G36" s="225">
        <v>2030</v>
      </c>
      <c r="H36" s="226">
        <f>IF(ISBLANK(INDATA_Defining_Quantitative!F35),"",IFERROR(INDATA_Defining_Quantitative!F35*0.94,INDATA_Defining_Quantitative!F35))</f>
        <v>1381.8</v>
      </c>
      <c r="I36" s="226">
        <f>IF(ISBLANK(INDATA_Defining_Quantitative!G35),"",IFERROR(INDATA_Defining_Quantitative!G35*0.94,INDATA_Defining_Quantitative!G35))</f>
        <v>1400.6</v>
      </c>
      <c r="J36" s="226">
        <f>IF(ISBLANK(INDATA_Defining_Quantitative!H35),"",IFERROR(INDATA_Defining_Quantitative!H35*0.94,INDATA_Defining_Quantitative!H35))</f>
        <v>1419.3999999999999</v>
      </c>
      <c r="K36" s="129" t="s">
        <v>60</v>
      </c>
    </row>
    <row r="37" spans="2:11" x14ac:dyDescent="0.3">
      <c r="B37" s="222"/>
      <c r="C37" s="222"/>
      <c r="D37" s="223"/>
      <c r="E37" s="222" t="s">
        <v>65</v>
      </c>
      <c r="F37" s="227" t="s">
        <v>150</v>
      </c>
      <c r="G37" s="225">
        <v>2030</v>
      </c>
      <c r="H37" s="226">
        <f>IF(ISBLANK(INDATA_Defining_Quantitative!F36),"",IFERROR(INDATA_Defining_Quantitative!F36*0.94,INDATA_Defining_Quantitative!F36))</f>
        <v>1692</v>
      </c>
      <c r="I37" s="226">
        <f>IF(ISBLANK(INDATA_Defining_Quantitative!G36),"",IFERROR(INDATA_Defining_Quantitative!G36*0.94,INDATA_Defining_Quantitative!G36))</f>
        <v>1804.8</v>
      </c>
      <c r="J37" s="226">
        <f>IF(ISBLANK(INDATA_Defining_Quantitative!H36),"",IFERROR(INDATA_Defining_Quantitative!H36*0.94,INDATA_Defining_Quantitative!H36))</f>
        <v>1880</v>
      </c>
      <c r="K37" s="129" t="s">
        <v>60</v>
      </c>
    </row>
    <row r="38" spans="2:11" x14ac:dyDescent="0.3">
      <c r="B38" s="222" t="s">
        <v>151</v>
      </c>
      <c r="C38" s="228"/>
      <c r="D38" s="223"/>
      <c r="E38" s="222" t="s">
        <v>65</v>
      </c>
      <c r="F38" s="224" t="s">
        <v>145</v>
      </c>
      <c r="G38" s="225">
        <v>2030</v>
      </c>
      <c r="H38" s="226">
        <f>INDATA_Defining_Quantitative!F37</f>
        <v>80</v>
      </c>
      <c r="I38" s="226">
        <f>INDATA_Defining_Quantitative!G37</f>
        <v>80</v>
      </c>
      <c r="J38" s="226">
        <f>INDATA_Defining_Quantitative!H37</f>
        <v>80</v>
      </c>
      <c r="K38" s="129" t="s">
        <v>60</v>
      </c>
    </row>
    <row r="39" spans="2:11" x14ac:dyDescent="0.3">
      <c r="B39" s="222"/>
      <c r="C39" s="228"/>
      <c r="D39" s="223"/>
      <c r="E39" s="222" t="s">
        <v>65</v>
      </c>
      <c r="F39" s="224" t="s">
        <v>146</v>
      </c>
      <c r="G39" s="225">
        <v>2030</v>
      </c>
      <c r="H39" s="226" t="str">
        <f>INDATA_Defining_Quantitative!F38</f>
        <v>n,a,</v>
      </c>
      <c r="I39" s="226" t="str">
        <f>INDATA_Defining_Quantitative!G38</f>
        <v>n,a,</v>
      </c>
      <c r="J39" s="226">
        <f>INDATA_Defining_Quantitative!H38</f>
        <v>20</v>
      </c>
      <c r="K39" s="129" t="s">
        <v>60</v>
      </c>
    </row>
    <row r="40" spans="2:11" x14ac:dyDescent="0.3">
      <c r="B40" s="222"/>
      <c r="C40" s="228"/>
      <c r="D40" s="223"/>
      <c r="E40" s="222" t="s">
        <v>65</v>
      </c>
      <c r="F40" s="224" t="s">
        <v>147</v>
      </c>
      <c r="G40" s="225">
        <v>2030</v>
      </c>
      <c r="H40" s="226">
        <f>INDATA_Defining_Quantitative!F39</f>
        <v>15</v>
      </c>
      <c r="I40" s="226">
        <f>INDATA_Defining_Quantitative!G39</f>
        <v>10</v>
      </c>
      <c r="J40" s="226">
        <f>INDATA_Defining_Quantitative!H39</f>
        <v>10</v>
      </c>
      <c r="K40" s="129" t="s">
        <v>60</v>
      </c>
    </row>
    <row r="41" spans="2:11" x14ac:dyDescent="0.3">
      <c r="B41" s="222"/>
      <c r="C41" s="228"/>
      <c r="D41" s="223"/>
      <c r="E41" s="222" t="s">
        <v>65</v>
      </c>
      <c r="F41" s="224" t="s">
        <v>148</v>
      </c>
      <c r="G41" s="225">
        <v>2030</v>
      </c>
      <c r="H41" s="226">
        <f>INDATA_Defining_Quantitative!F40</f>
        <v>14</v>
      </c>
      <c r="I41" s="226">
        <f>INDATA_Defining_Quantitative!G40</f>
        <v>14</v>
      </c>
      <c r="J41" s="226">
        <f>INDATA_Defining_Quantitative!H40</f>
        <v>14</v>
      </c>
      <c r="K41" s="129" t="s">
        <v>60</v>
      </c>
    </row>
    <row r="42" spans="2:11" x14ac:dyDescent="0.3">
      <c r="B42" s="222"/>
      <c r="C42" s="228"/>
      <c r="D42" s="223"/>
      <c r="E42" s="222" t="s">
        <v>65</v>
      </c>
      <c r="F42" s="227" t="s">
        <v>149</v>
      </c>
      <c r="G42" s="225">
        <v>2030</v>
      </c>
      <c r="H42" s="226">
        <f>INDATA_Defining_Quantitative!F41</f>
        <v>30</v>
      </c>
      <c r="I42" s="226">
        <f>INDATA_Defining_Quantitative!G41</f>
        <v>30</v>
      </c>
      <c r="J42" s="226">
        <f>INDATA_Defining_Quantitative!H41</f>
        <v>30</v>
      </c>
      <c r="K42" s="129" t="s">
        <v>60</v>
      </c>
    </row>
    <row r="43" spans="2:11" x14ac:dyDescent="0.3">
      <c r="B43" s="222"/>
      <c r="C43" s="228"/>
      <c r="D43" s="223"/>
      <c r="E43" s="222" t="s">
        <v>65</v>
      </c>
      <c r="F43" s="227" t="s">
        <v>150</v>
      </c>
      <c r="G43" s="225">
        <v>2030</v>
      </c>
      <c r="H43" s="226">
        <f>INDATA_Defining_Quantitative!F42</f>
        <v>56</v>
      </c>
      <c r="I43" s="226">
        <f>INDATA_Defining_Quantitative!G42</f>
        <v>56</v>
      </c>
      <c r="J43" s="226">
        <f>INDATA_Defining_Quantitative!H42</f>
        <v>56</v>
      </c>
      <c r="K43" s="129" t="s">
        <v>60</v>
      </c>
    </row>
    <row r="44" spans="2:11" x14ac:dyDescent="0.3">
      <c r="B44" s="222" t="s">
        <v>153</v>
      </c>
      <c r="C44" s="222" t="s">
        <v>154</v>
      </c>
      <c r="D44" s="223" t="s">
        <v>155</v>
      </c>
      <c r="E44" s="222" t="s">
        <v>65</v>
      </c>
      <c r="F44" s="224" t="s">
        <v>145</v>
      </c>
      <c r="G44" s="225">
        <v>2030</v>
      </c>
      <c r="H44" s="226">
        <f>IF(ISBLANK(INDATA_Defining_Quantitative!F43),"",IFERROR(INDATA_Defining_Quantitative!F43*0.261,INDATA_Defining_Quantitative!F43))</f>
        <v>9.1349999999999998</v>
      </c>
      <c r="I44" s="226">
        <f>IF(ISBLANK(INDATA_Defining_Quantitative!G43),"",IFERROR(INDATA_Defining_Quantitative!G43*0.261,INDATA_Defining_Quantitative!G43))</f>
        <v>9.1349999999999998</v>
      </c>
      <c r="J44" s="226">
        <f>IF(ISBLANK(INDATA_Defining_Quantitative!H43),"",IFERROR(INDATA_Defining_Quantitative!H43*0.261,INDATA_Defining_Quantitative!H43))</f>
        <v>9.1349999999999998</v>
      </c>
      <c r="K44" s="129" t="s">
        <v>60</v>
      </c>
    </row>
    <row r="45" spans="2:11" x14ac:dyDescent="0.3">
      <c r="B45" s="222"/>
      <c r="C45" s="222"/>
      <c r="D45" s="223"/>
      <c r="E45" s="222" t="s">
        <v>65</v>
      </c>
      <c r="F45" s="224" t="s">
        <v>146</v>
      </c>
      <c r="G45" s="225">
        <v>2030</v>
      </c>
      <c r="H45" s="226">
        <f>IF(ISBLANK(INDATA_Defining_Quantitative!F44),"",IFERROR(INDATA_Defining_Quantitative!F44*0.261,INDATA_Defining_Quantitative!F44))</f>
        <v>48.285000000000004</v>
      </c>
      <c r="I45" s="226">
        <f>IF(ISBLANK(INDATA_Defining_Quantitative!G44),"",IFERROR(INDATA_Defining_Quantitative!G44*0.261,INDATA_Defining_Quantitative!G44))</f>
        <v>45.675000000000004</v>
      </c>
      <c r="J45" s="226">
        <f>IF(ISBLANK(INDATA_Defining_Quantitative!H44),"",IFERROR(INDATA_Defining_Quantitative!H44*0.261,INDATA_Defining_Quantitative!H44))</f>
        <v>33.93</v>
      </c>
      <c r="K45" s="129" t="s">
        <v>60</v>
      </c>
    </row>
    <row r="46" spans="2:11" x14ac:dyDescent="0.3">
      <c r="B46" s="222"/>
      <c r="C46" s="222"/>
      <c r="D46" s="223"/>
      <c r="E46" s="222" t="s">
        <v>65</v>
      </c>
      <c r="F46" s="224" t="s">
        <v>147</v>
      </c>
      <c r="G46" s="225">
        <v>2030</v>
      </c>
      <c r="H46" s="226">
        <f>IF(ISBLANK(INDATA_Defining_Quantitative!F45),"",IFERROR(INDATA_Defining_Quantitative!F45*0.261,INDATA_Defining_Quantitative!F45))</f>
        <v>30.015000000000001</v>
      </c>
      <c r="I46" s="226">
        <f>IF(ISBLANK(INDATA_Defining_Quantitative!G45),"",IFERROR(INDATA_Defining_Quantitative!G45*0.261,INDATA_Defining_Quantitative!G45))</f>
        <v>33.93</v>
      </c>
      <c r="J46" s="226">
        <f>IF(ISBLANK(INDATA_Defining_Quantitative!H45),"",IFERROR(INDATA_Defining_Quantitative!H45*0.261,INDATA_Defining_Quantitative!H45))</f>
        <v>31.32</v>
      </c>
      <c r="K46" s="129" t="s">
        <v>60</v>
      </c>
    </row>
    <row r="47" spans="2:11" x14ac:dyDescent="0.3">
      <c r="B47" s="222"/>
      <c r="C47" s="222"/>
      <c r="D47" s="223"/>
      <c r="E47" s="222" t="s">
        <v>65</v>
      </c>
      <c r="F47" s="224" t="s">
        <v>148</v>
      </c>
      <c r="G47" s="225">
        <v>2030</v>
      </c>
      <c r="H47" s="226">
        <f>IF(ISBLANK(INDATA_Defining_Quantitative!F46),"",IFERROR(INDATA_Defining_Quantitative!F46*0.261,INDATA_Defining_Quantitative!F46))</f>
        <v>2.6100000000000003</v>
      </c>
      <c r="I47" s="226">
        <f>IF(ISBLANK(INDATA_Defining_Quantitative!G46),"",IFERROR(INDATA_Defining_Quantitative!G46*0.261,INDATA_Defining_Quantitative!G46))</f>
        <v>2.6100000000000003</v>
      </c>
      <c r="J47" s="226">
        <f>IF(ISBLANK(INDATA_Defining_Quantitative!H46),"",IFERROR(INDATA_Defining_Quantitative!H46*0.261,INDATA_Defining_Quantitative!H46))</f>
        <v>2.6100000000000003</v>
      </c>
      <c r="K47" s="129" t="s">
        <v>60</v>
      </c>
    </row>
    <row r="48" spans="2:11" x14ac:dyDescent="0.3">
      <c r="B48" s="222"/>
      <c r="C48" s="222"/>
      <c r="D48" s="223"/>
      <c r="E48" s="222" t="s">
        <v>65</v>
      </c>
      <c r="F48" s="227" t="s">
        <v>149</v>
      </c>
      <c r="G48" s="225">
        <v>2030</v>
      </c>
      <c r="H48" s="226">
        <f>IF(ISBLANK(INDATA_Defining_Quantitative!F47),"",IFERROR(INDATA_Defining_Quantitative!F47*0.261,INDATA_Defining_Quantitative!F47))</f>
        <v>3.915</v>
      </c>
      <c r="I48" s="226">
        <f>IF(ISBLANK(INDATA_Defining_Quantitative!G47),"",IFERROR(INDATA_Defining_Quantitative!G47*0.261,INDATA_Defining_Quantitative!G47))</f>
        <v>3.915</v>
      </c>
      <c r="J48" s="226">
        <f>IF(ISBLANK(INDATA_Defining_Quantitative!H47),"",IFERROR(INDATA_Defining_Quantitative!H47*0.261,INDATA_Defining_Quantitative!H47))</f>
        <v>3.915</v>
      </c>
      <c r="K48" s="129" t="s">
        <v>60</v>
      </c>
    </row>
    <row r="49" spans="2:11" x14ac:dyDescent="0.3">
      <c r="B49" s="222"/>
      <c r="C49" s="222"/>
      <c r="D49" s="223"/>
      <c r="E49" s="222" t="s">
        <v>65</v>
      </c>
      <c r="F49" s="227" t="s">
        <v>150</v>
      </c>
      <c r="G49" s="225">
        <v>2030</v>
      </c>
      <c r="H49" s="226">
        <f>IF(ISBLANK(INDATA_Defining_Quantitative!F48),"",IFERROR(INDATA_Defining_Quantitative!F48*0.261,INDATA_Defining_Quantitative!F48))</f>
        <v>2.6100000000000003</v>
      </c>
      <c r="I49" s="226">
        <f>IF(ISBLANK(INDATA_Defining_Quantitative!G48),"",IFERROR(INDATA_Defining_Quantitative!G48*0.261,INDATA_Defining_Quantitative!G48))</f>
        <v>2.6100000000000003</v>
      </c>
      <c r="J49" s="226">
        <f>IF(ISBLANK(INDATA_Defining_Quantitative!H48),"",IFERROR(INDATA_Defining_Quantitative!H48*0.261,INDATA_Defining_Quantitative!H48))</f>
        <v>2.6100000000000003</v>
      </c>
      <c r="K49" s="129" t="s">
        <v>60</v>
      </c>
    </row>
    <row r="50" spans="2:11" x14ac:dyDescent="0.3">
      <c r="B50" s="222" t="s">
        <v>156</v>
      </c>
      <c r="C50" s="222" t="s">
        <v>154</v>
      </c>
      <c r="D50" s="223"/>
      <c r="E50" s="222" t="s">
        <v>65</v>
      </c>
      <c r="F50" s="224" t="s">
        <v>145</v>
      </c>
      <c r="G50" s="225">
        <v>2030</v>
      </c>
      <c r="H50" s="226">
        <f>IF(ISBLANK(INDATA_Defining_Quantitative!F49),"",IFERROR(INDATA_Defining_Quantitative!F49*0.261,INDATA_Defining_Quantitative!F49))</f>
        <v>30.015000000000001</v>
      </c>
      <c r="I50" s="226">
        <f>IF(ISBLANK(INDATA_Defining_Quantitative!G49),"",IFERROR(INDATA_Defining_Quantitative!G49*0.261,INDATA_Defining_Quantitative!G49))</f>
        <v>30.015000000000001</v>
      </c>
      <c r="J50" s="226">
        <f>IF(ISBLANK(INDATA_Defining_Quantitative!H49),"",IFERROR(INDATA_Defining_Quantitative!H49*0.261,INDATA_Defining_Quantitative!H49))</f>
        <v>31.32</v>
      </c>
      <c r="K50" s="129" t="s">
        <v>60</v>
      </c>
    </row>
    <row r="51" spans="2:11" x14ac:dyDescent="0.3">
      <c r="B51" s="222"/>
      <c r="C51" s="222"/>
      <c r="D51" s="223"/>
      <c r="E51" s="222" t="s">
        <v>65</v>
      </c>
      <c r="F51" s="224" t="s">
        <v>146</v>
      </c>
      <c r="G51" s="225">
        <v>2030</v>
      </c>
      <c r="H51" s="226" t="str">
        <f>IF(ISBLANK(INDATA_Defining_Quantitative!F50),"",IFERROR(INDATA_Defining_Quantitative!F50*0.261,INDATA_Defining_Quantitative!F50))</f>
        <v>n,a,</v>
      </c>
      <c r="I51" s="226" t="str">
        <f>IF(ISBLANK(INDATA_Defining_Quantitative!G50),"",IFERROR(INDATA_Defining_Quantitative!G50*0.261,INDATA_Defining_Quantitative!G50))</f>
        <v>n,a,</v>
      </c>
      <c r="J51" s="226">
        <f>IF(ISBLANK(INDATA_Defining_Quantitative!H50),"",IFERROR(INDATA_Defining_Quantitative!H50*0.261,INDATA_Defining_Quantitative!H50))</f>
        <v>66.555000000000007</v>
      </c>
      <c r="K51" s="129" t="s">
        <v>60</v>
      </c>
    </row>
    <row r="52" spans="2:11" x14ac:dyDescent="0.3">
      <c r="B52" s="222"/>
      <c r="C52" s="222"/>
      <c r="D52" s="223"/>
      <c r="E52" s="222" t="s">
        <v>65</v>
      </c>
      <c r="F52" s="224" t="s">
        <v>147</v>
      </c>
      <c r="G52" s="225">
        <v>2030</v>
      </c>
      <c r="H52" s="226">
        <f>IF(ISBLANK(INDATA_Defining_Quantitative!F51),"",IFERROR(INDATA_Defining_Quantitative!F51*0.261,INDATA_Defining_Quantitative!F51))</f>
        <v>50.895000000000003</v>
      </c>
      <c r="I52" s="226">
        <f>IF(ISBLANK(INDATA_Defining_Quantitative!G51),"",IFERROR(INDATA_Defining_Quantitative!G51*0.261,INDATA_Defining_Quantitative!G51))</f>
        <v>62.64</v>
      </c>
      <c r="J52" s="226">
        <f>IF(ISBLANK(INDATA_Defining_Quantitative!H51),"",IFERROR(INDATA_Defining_Quantitative!H51*0.261,INDATA_Defining_Quantitative!H51))</f>
        <v>70.47</v>
      </c>
      <c r="K52" s="129" t="s">
        <v>60</v>
      </c>
    </row>
    <row r="53" spans="2:11" x14ac:dyDescent="0.3">
      <c r="B53" s="222"/>
      <c r="C53" s="222"/>
      <c r="D53" s="223"/>
      <c r="E53" s="222" t="s">
        <v>65</v>
      </c>
      <c r="F53" s="224" t="s">
        <v>148</v>
      </c>
      <c r="G53" s="225">
        <v>2030</v>
      </c>
      <c r="H53" s="226">
        <f>IF(ISBLANK(INDATA_Defining_Quantitative!F52),"",IFERROR(INDATA_Defining_Quantitative!F52*0.261,INDATA_Defining_Quantitative!F52))</f>
        <v>9.1349999999999998</v>
      </c>
      <c r="I53" s="226">
        <f>IF(ISBLANK(INDATA_Defining_Quantitative!G52),"",IFERROR(INDATA_Defining_Quantitative!G52*0.261,INDATA_Defining_Quantitative!G52))</f>
        <v>9.1349999999999998</v>
      </c>
      <c r="J53" s="226">
        <f>IF(ISBLANK(INDATA_Defining_Quantitative!H52),"",IFERROR(INDATA_Defining_Quantitative!H52*0.261,INDATA_Defining_Quantitative!H52))</f>
        <v>9.1349999999999998</v>
      </c>
      <c r="K53" s="129" t="s">
        <v>60</v>
      </c>
    </row>
    <row r="54" spans="2:11" x14ac:dyDescent="0.3">
      <c r="B54" s="222"/>
      <c r="C54" s="222"/>
      <c r="D54" s="223"/>
      <c r="E54" s="222" t="s">
        <v>65</v>
      </c>
      <c r="F54" s="227" t="s">
        <v>149</v>
      </c>
      <c r="G54" s="225">
        <v>2030</v>
      </c>
      <c r="H54" s="226">
        <f>IF(ISBLANK(INDATA_Defining_Quantitative!F53),"",IFERROR(INDATA_Defining_Quantitative!F53*0.261,INDATA_Defining_Quantitative!F53))</f>
        <v>13.05</v>
      </c>
      <c r="I54" s="226">
        <f>IF(ISBLANK(INDATA_Defining_Quantitative!G53),"",IFERROR(INDATA_Defining_Quantitative!G53*0.261,INDATA_Defining_Quantitative!G53))</f>
        <v>13.05</v>
      </c>
      <c r="J54" s="226">
        <f>IF(ISBLANK(INDATA_Defining_Quantitative!H53),"",IFERROR(INDATA_Defining_Quantitative!H53*0.261,INDATA_Defining_Quantitative!H53))</f>
        <v>13.05</v>
      </c>
      <c r="K54" s="129" t="s">
        <v>60</v>
      </c>
    </row>
    <row r="55" spans="2:11" x14ac:dyDescent="0.3">
      <c r="B55" s="222"/>
      <c r="C55" s="222"/>
      <c r="D55" s="223"/>
      <c r="E55" s="222" t="s">
        <v>65</v>
      </c>
      <c r="F55" s="227" t="s">
        <v>150</v>
      </c>
      <c r="G55" s="225">
        <v>2030</v>
      </c>
      <c r="H55" s="226">
        <f>IF(ISBLANK(INDATA_Defining_Quantitative!F54),"",IFERROR(INDATA_Defining_Quantitative!F54*0.261,INDATA_Defining_Quantitative!F54))</f>
        <v>9.1349999999999998</v>
      </c>
      <c r="I55" s="226">
        <f>IF(ISBLANK(INDATA_Defining_Quantitative!G54),"",IFERROR(INDATA_Defining_Quantitative!G54*0.261,INDATA_Defining_Quantitative!G54))</f>
        <v>9.1349999999999998</v>
      </c>
      <c r="J55" s="226">
        <f>IF(ISBLANK(INDATA_Defining_Quantitative!H54),"",IFERROR(INDATA_Defining_Quantitative!H54*0.261,INDATA_Defining_Quantitative!H54))</f>
        <v>10.440000000000001</v>
      </c>
      <c r="K55" s="129" t="s">
        <v>60</v>
      </c>
    </row>
    <row r="56" spans="2:11" x14ac:dyDescent="0.3">
      <c r="B56" s="222" t="s">
        <v>157</v>
      </c>
      <c r="C56" s="222" t="s">
        <v>154</v>
      </c>
      <c r="D56" s="223"/>
      <c r="E56" s="222" t="s">
        <v>65</v>
      </c>
      <c r="F56" s="224" t="s">
        <v>145</v>
      </c>
      <c r="G56" s="225">
        <v>2030</v>
      </c>
      <c r="H56" s="226" t="str">
        <f>IF(ISBLANK(INDATA_Defining_Quantitative!F55),"",IFERROR(INDATA_Defining_Quantitative!F55*0.261,INDATA_Defining_Quantitative!F55))</f>
        <v/>
      </c>
      <c r="I56" s="226" t="str">
        <f>IF(ISBLANK(INDATA_Defining_Quantitative!G55),"",IFERROR(INDATA_Defining_Quantitative!G55*0.261,INDATA_Defining_Quantitative!G55))</f>
        <v/>
      </c>
      <c r="J56" s="226">
        <f>IF(ISBLANK(INDATA_Defining_Quantitative!H55),"",IFERROR(INDATA_Defining_Quantitative!H55*0.261,INDATA_Defining_Quantitative!H55))</f>
        <v>31.32</v>
      </c>
      <c r="K56" s="129" t="s">
        <v>60</v>
      </c>
    </row>
    <row r="57" spans="2:11" x14ac:dyDescent="0.3">
      <c r="B57" s="222"/>
      <c r="C57" s="222"/>
      <c r="D57" s="223"/>
      <c r="E57" s="222" t="s">
        <v>65</v>
      </c>
      <c r="F57" s="224" t="s">
        <v>146</v>
      </c>
      <c r="G57" s="225">
        <v>2030</v>
      </c>
      <c r="H57" s="226" t="str">
        <f>IF(ISBLANK(INDATA_Defining_Quantitative!F56),"",IFERROR(INDATA_Defining_Quantitative!F56*0.261,INDATA_Defining_Quantitative!F56))</f>
        <v/>
      </c>
      <c r="I57" s="226" t="str">
        <f>IF(ISBLANK(INDATA_Defining_Quantitative!G56),"",IFERROR(INDATA_Defining_Quantitative!G56*0.261,INDATA_Defining_Quantitative!G56))</f>
        <v/>
      </c>
      <c r="J57" s="226">
        <f>IF(ISBLANK(INDATA_Defining_Quantitative!H56),"",IFERROR(INDATA_Defining_Quantitative!H56*0.261,INDATA_Defining_Quantitative!H56))</f>
        <v>56.115000000000002</v>
      </c>
      <c r="K57" s="129" t="s">
        <v>60</v>
      </c>
    </row>
    <row r="58" spans="2:11" x14ac:dyDescent="0.3">
      <c r="B58" s="222"/>
      <c r="C58" s="222"/>
      <c r="D58" s="223"/>
      <c r="E58" s="222" t="s">
        <v>65</v>
      </c>
      <c r="F58" s="224" t="s">
        <v>147</v>
      </c>
      <c r="G58" s="225">
        <v>2030</v>
      </c>
      <c r="H58" s="226" t="str">
        <f>IF(ISBLANK(INDATA_Defining_Quantitative!F57),"",IFERROR(INDATA_Defining_Quantitative!F57*0.261,INDATA_Defining_Quantitative!F57))</f>
        <v/>
      </c>
      <c r="I58" s="226" t="str">
        <f>IF(ISBLANK(INDATA_Defining_Quantitative!G57),"",IFERROR(INDATA_Defining_Quantitative!G57*0.261,INDATA_Defining_Quantitative!G57))</f>
        <v/>
      </c>
      <c r="J58" s="226">
        <f>IF(ISBLANK(INDATA_Defining_Quantitative!H57),"",IFERROR(INDATA_Defining_Quantitative!H57*0.261,INDATA_Defining_Quantitative!H57))</f>
        <v>57.42</v>
      </c>
      <c r="K58" s="129" t="s">
        <v>60</v>
      </c>
    </row>
    <row r="59" spans="2:11" x14ac:dyDescent="0.3">
      <c r="B59" s="222"/>
      <c r="C59" s="222"/>
      <c r="D59" s="223"/>
      <c r="E59" s="222" t="s">
        <v>65</v>
      </c>
      <c r="F59" s="224" t="s">
        <v>148</v>
      </c>
      <c r="G59" s="225">
        <v>2030</v>
      </c>
      <c r="H59" s="226" t="str">
        <f>IF(ISBLANK(INDATA_Defining_Quantitative!F58),"",IFERROR(INDATA_Defining_Quantitative!F58*0.261,INDATA_Defining_Quantitative!F58))</f>
        <v/>
      </c>
      <c r="I59" s="226" t="str">
        <f>IF(ISBLANK(INDATA_Defining_Quantitative!G58),"",IFERROR(INDATA_Defining_Quantitative!G58*0.261,INDATA_Defining_Quantitative!G58))</f>
        <v/>
      </c>
      <c r="J59" s="226">
        <f>IF(ISBLANK(INDATA_Defining_Quantitative!H58),"",IFERROR(INDATA_Defining_Quantitative!H58*0.261,INDATA_Defining_Quantitative!H58))</f>
        <v>20.880000000000003</v>
      </c>
      <c r="K59" s="129" t="s">
        <v>60</v>
      </c>
    </row>
    <row r="60" spans="2:11" x14ac:dyDescent="0.3">
      <c r="B60" s="222"/>
      <c r="C60" s="222"/>
      <c r="D60" s="223"/>
      <c r="E60" s="222" t="s">
        <v>65</v>
      </c>
      <c r="F60" s="227" t="s">
        <v>149</v>
      </c>
      <c r="G60" s="225">
        <v>2030</v>
      </c>
      <c r="H60" s="226" t="str">
        <f>IF(ISBLANK(INDATA_Defining_Quantitative!F59),"",IFERROR(INDATA_Defining_Quantitative!F59*0.261,INDATA_Defining_Quantitative!F59))</f>
        <v/>
      </c>
      <c r="I60" s="226" t="str">
        <f>IF(ISBLANK(INDATA_Defining_Quantitative!G59),"",IFERROR(INDATA_Defining_Quantitative!G59*0.261,INDATA_Defining_Quantitative!G59))</f>
        <v/>
      </c>
      <c r="J60" s="226">
        <f>IF(ISBLANK(INDATA_Defining_Quantitative!H59),"",IFERROR(INDATA_Defining_Quantitative!H59*0.261,INDATA_Defining_Quantitative!H59))</f>
        <v>15.66</v>
      </c>
      <c r="K60" s="129" t="s">
        <v>60</v>
      </c>
    </row>
    <row r="61" spans="2:11" x14ac:dyDescent="0.3">
      <c r="B61" s="222"/>
      <c r="C61" s="222"/>
      <c r="D61" s="223"/>
      <c r="E61" s="222" t="s">
        <v>65</v>
      </c>
      <c r="F61" s="227" t="s">
        <v>150</v>
      </c>
      <c r="G61" s="225">
        <v>2030</v>
      </c>
      <c r="H61" s="226" t="str">
        <f>IF(ISBLANK(INDATA_Defining_Quantitative!F60),"",IFERROR(INDATA_Defining_Quantitative!F60*0.261,INDATA_Defining_Quantitative!F60))</f>
        <v/>
      </c>
      <c r="I61" s="226" t="str">
        <f>IF(ISBLANK(INDATA_Defining_Quantitative!G60),"",IFERROR(INDATA_Defining_Quantitative!G60*0.261,INDATA_Defining_Quantitative!G60))</f>
        <v/>
      </c>
      <c r="J61" s="226">
        <f>IF(ISBLANK(INDATA_Defining_Quantitative!H60),"",IFERROR(INDATA_Defining_Quantitative!H60*0.261,INDATA_Defining_Quantitative!H60))</f>
        <v>11.745000000000001</v>
      </c>
      <c r="K61" s="129" t="s">
        <v>60</v>
      </c>
    </row>
    <row r="62" spans="2:11" ht="28.8" x14ac:dyDescent="0.3">
      <c r="B62" s="148" t="str">
        <f t="shared" ref="B62:E77" si="0">B4</f>
        <v>Price of Crude Oil</v>
      </c>
      <c r="C62" s="148" t="str">
        <f t="shared" si="0"/>
        <v>Euro/GJ</v>
      </c>
      <c r="D62" s="148" t="str">
        <f t="shared" si="0"/>
        <v>(1 USD / 1 barrel crude oil) * (1 barrel crude oil / 6.1 GJ ) * (0.94 EUR / 1 USD) = 0.154 EUR/GJ</v>
      </c>
      <c r="E62" s="148" t="str">
        <f t="shared" si="0"/>
        <v>International</v>
      </c>
      <c r="F62" s="148"/>
      <c r="G62" s="203">
        <v>2050</v>
      </c>
      <c r="H62" s="204">
        <f>INDATA_Defining_Quantitative!F61*0.154</f>
        <v>3.6959999999999997</v>
      </c>
      <c r="I62" s="204">
        <f>INDATA_Defining_Quantitative!G61*0.154</f>
        <v>9.24</v>
      </c>
      <c r="J62" s="204">
        <f>INDATA_Defining_Quantitative!H61*0.154</f>
        <v>14.629999999999999</v>
      </c>
    </row>
    <row r="63" spans="2:11" ht="28.8" x14ac:dyDescent="0.3">
      <c r="B63" s="148" t="str">
        <f t="shared" si="0"/>
        <v>Price of Natural gas</v>
      </c>
      <c r="C63" s="148" t="str">
        <f t="shared" si="0"/>
        <v>Euro/GJ</v>
      </c>
      <c r="D63" s="148" t="str">
        <f t="shared" si="0"/>
        <v>(1 USD / 1 MBtu natural gas) * (1 Mbtu / 1.055 GJ) * (0.94 EUR / 1 USD) = 0.891 EUR/GJ</v>
      </c>
      <c r="E63" s="148" t="str">
        <f t="shared" si="0"/>
        <v>EU</v>
      </c>
      <c r="F63" s="148"/>
      <c r="G63" s="203">
        <v>2050</v>
      </c>
      <c r="H63" s="204">
        <f>INDATA_Defining_Quantitative!F62*0.891</f>
        <v>3.3857999999999997</v>
      </c>
      <c r="I63" s="204">
        <f>INDATA_Defining_Quantitative!G62*0.891</f>
        <v>5.6132999999999997</v>
      </c>
      <c r="J63" s="204">
        <f>INDATA_Defining_Quantitative!H62*0.891</f>
        <v>8.1971999999999987</v>
      </c>
    </row>
    <row r="64" spans="2:11" ht="28.8" x14ac:dyDescent="0.3">
      <c r="B64" s="148" t="str">
        <f t="shared" si="0"/>
        <v>Price of Coal</v>
      </c>
      <c r="C64" s="148" t="str">
        <f t="shared" si="0"/>
        <v>Euro/GJ</v>
      </c>
      <c r="D64" s="148" t="str">
        <f t="shared" si="0"/>
        <v>(1 USD / tonne) * (1 tonne / 24.7 GJ) * (0.94 EUR / 1 USD) = 0.038 EUR/GJ</v>
      </c>
      <c r="E64" s="148" t="str">
        <f t="shared" si="0"/>
        <v>EU</v>
      </c>
      <c r="F64" s="148"/>
      <c r="G64" s="203">
        <v>2050</v>
      </c>
      <c r="H64" s="204">
        <f>INDATA_Defining_Quantitative!F63*0.038</f>
        <v>1.5959999999999999</v>
      </c>
      <c r="I64" s="204">
        <f>INDATA_Defining_Quantitative!G63*0.038</f>
        <v>2.0139999999999998</v>
      </c>
      <c r="J64" s="204">
        <f>INDATA_Defining_Quantitative!H63*0.038</f>
        <v>2.4319999999999999</v>
      </c>
    </row>
    <row r="65" spans="2:10" x14ac:dyDescent="0.3">
      <c r="B65" s="148" t="str">
        <f t="shared" si="0"/>
        <v>Price of Electricity</v>
      </c>
      <c r="C65" s="148" t="str">
        <f t="shared" si="0"/>
        <v>Euro/GJ</v>
      </c>
      <c r="D65" s="148" t="str">
        <f t="shared" si="0"/>
        <v>(1 EUR/MWh) * (MWh / 3.6 GJ) = 0.277 EUR/GJ</v>
      </c>
      <c r="E65" s="148" t="str">
        <f t="shared" si="0"/>
        <v>SE1</v>
      </c>
      <c r="F65" s="148"/>
      <c r="G65" s="203">
        <v>2050</v>
      </c>
      <c r="H65" s="189" t="s">
        <v>77</v>
      </c>
      <c r="I65" s="189"/>
      <c r="J65" s="189"/>
    </row>
    <row r="66" spans="2:10" ht="28.8" x14ac:dyDescent="0.3">
      <c r="B66" s="148" t="str">
        <f t="shared" si="0"/>
        <v>Price of Peat</v>
      </c>
      <c r="C66" s="148" t="str">
        <f t="shared" si="0"/>
        <v>Euro/GJ</v>
      </c>
      <c r="D66" s="148" t="str">
        <f t="shared" si="0"/>
        <v>(SEK / MWh) * (EUR / 11.15 SEK) * (MWh / 3.6 GJ) = 0.025  EUR/GJ</v>
      </c>
      <c r="E66" s="148" t="str">
        <f t="shared" si="0"/>
        <v>Sweden</v>
      </c>
      <c r="F66" s="148"/>
      <c r="G66" s="203">
        <v>2050</v>
      </c>
      <c r="H66" s="204">
        <f>INDATA_Defining_Quantitative!F65*0.25</f>
        <v>13.470394736842104</v>
      </c>
      <c r="I66" s="204">
        <f>INDATA_Defining_Quantitative!G65*0.25</f>
        <v>16.998355263157894</v>
      </c>
      <c r="J66" s="204">
        <f>INDATA_Defining_Quantitative!H65*0.25</f>
        <v>20.526315789473681</v>
      </c>
    </row>
    <row r="67" spans="2:10" ht="28.8" x14ac:dyDescent="0.3">
      <c r="B67" s="148" t="str">
        <f t="shared" si="0"/>
        <v>Price of Biofuels - Bioethanol</v>
      </c>
      <c r="C67" s="148" t="str">
        <f t="shared" si="0"/>
        <v>Euro/GJ</v>
      </c>
      <c r="D67" s="148" t="str">
        <f t="shared" si="0"/>
        <v>(1 USD / hl) * (1 hl / 26.8 GJ) * (0.94 EUR / 1 USD) = 0.035 EUR/GJ</v>
      </c>
      <c r="E67" s="148" t="str">
        <f t="shared" si="0"/>
        <v>Sweden</v>
      </c>
      <c r="F67" s="148"/>
      <c r="G67" s="203">
        <v>2050</v>
      </c>
      <c r="H67" s="205">
        <f>INDATA_Defining_Quantitative!F66*0.035</f>
        <v>1.7062500000000003</v>
      </c>
      <c r="I67" s="205">
        <f>INDATA_Defining_Quantitative!G66*0.035</f>
        <v>2.2750000000000004</v>
      </c>
      <c r="J67" s="205">
        <f>INDATA_Defining_Quantitative!H66*0.035</f>
        <v>2.8437500000000004</v>
      </c>
    </row>
    <row r="68" spans="2:10" ht="28.8" x14ac:dyDescent="0.3">
      <c r="B68" s="148" t="str">
        <f t="shared" si="0"/>
        <v>Price of Biofuels - Biodiesel</v>
      </c>
      <c r="C68" s="148" t="str">
        <f t="shared" si="0"/>
        <v>Euro/GJ</v>
      </c>
      <c r="D68" s="148" t="str">
        <f t="shared" si="0"/>
        <v>(1 USD / hl) * (1 hl / 35.7 GJ) * (0.94 EUR / 1 USD) = 0.026 EUR/GJ</v>
      </c>
      <c r="E68" s="148" t="str">
        <f t="shared" si="0"/>
        <v>Sweden</v>
      </c>
      <c r="F68" s="148"/>
      <c r="G68" s="203">
        <v>2050</v>
      </c>
      <c r="H68" s="205">
        <f>INDATA_Defining_Quantitative!F67*0.026</f>
        <v>2.1059999999999999</v>
      </c>
      <c r="I68" s="205">
        <f>INDATA_Defining_Quantitative!G67*0.026</f>
        <v>2.8079999999999998</v>
      </c>
      <c r="J68" s="205">
        <f>INDATA_Defining_Quantitative!H67*0.026</f>
        <v>3.51</v>
      </c>
    </row>
    <row r="69" spans="2:10" x14ac:dyDescent="0.3">
      <c r="B69" s="148" t="str">
        <f t="shared" si="0"/>
        <v>Price of Solid biomass - Wood chips</v>
      </c>
      <c r="C69" s="148" t="str">
        <f t="shared" si="0"/>
        <v>Euro/GJ</v>
      </c>
      <c r="D69" s="148"/>
      <c r="E69" s="148" t="str">
        <f t="shared" si="0"/>
        <v>Sweden</v>
      </c>
      <c r="F69" s="148"/>
      <c r="G69" s="203">
        <v>2050</v>
      </c>
      <c r="H69" s="205">
        <f>INDATA_Defining_Quantitative!F68</f>
        <v>6.236999995010402</v>
      </c>
      <c r="I69" s="205">
        <f>INDATA_Defining_Quantitative!G68</f>
        <v>8.3159999933472033</v>
      </c>
      <c r="J69" s="205">
        <f>INDATA_Defining_Quantitative!H68</f>
        <v>10.394999991684005</v>
      </c>
    </row>
    <row r="70" spans="2:10" x14ac:dyDescent="0.3">
      <c r="B70" s="148" t="str">
        <f t="shared" si="0"/>
        <v>Price of Solid biomass - By-products (Saw dust)</v>
      </c>
      <c r="C70" s="148" t="str">
        <f t="shared" si="0"/>
        <v>Euro/GJ</v>
      </c>
      <c r="D70" s="148"/>
      <c r="E70" s="148" t="str">
        <f t="shared" si="0"/>
        <v>Sweden</v>
      </c>
      <c r="F70" s="148"/>
      <c r="G70" s="203">
        <v>2050</v>
      </c>
      <c r="H70" s="205">
        <f>INDATA_Defining_Quantitative!F69</f>
        <v>4.4549999964360003</v>
      </c>
      <c r="I70" s="205">
        <f>INDATA_Defining_Quantitative!G69</f>
        <v>5.9399999952480007</v>
      </c>
      <c r="J70" s="205">
        <f>INDATA_Defining_Quantitative!H69</f>
        <v>7.4249999940600011</v>
      </c>
    </row>
    <row r="71" spans="2:10" x14ac:dyDescent="0.3">
      <c r="B71" s="148" t="str">
        <f t="shared" si="0"/>
        <v>Price of Hybrid cars</v>
      </c>
      <c r="C71" s="148" t="str">
        <f t="shared" si="0"/>
        <v>Euro/vehicle</v>
      </c>
      <c r="D71" s="148"/>
      <c r="E71" s="148" t="str">
        <f t="shared" si="0"/>
        <v>Global</v>
      </c>
      <c r="F71" s="148"/>
      <c r="G71" s="210">
        <v>2050</v>
      </c>
      <c r="H71" s="204">
        <f>INDATA_Defining_Quantitative!F70*0.94</f>
        <v>13759.72</v>
      </c>
      <c r="I71" s="204">
        <f>INDATA_Defining_Quantitative!G70*0.94</f>
        <v>13834.92</v>
      </c>
      <c r="J71" s="204">
        <f>INDATA_Defining_Quantitative!H70*0.94</f>
        <v>13969.339999999998</v>
      </c>
    </row>
    <row r="72" spans="2:10" x14ac:dyDescent="0.3">
      <c r="B72" s="148" t="str">
        <f t="shared" si="0"/>
        <v>Price of Battery electric cars (Euro/vehicle)</v>
      </c>
      <c r="C72" s="148" t="str">
        <f t="shared" si="0"/>
        <v>Euro/vehicle</v>
      </c>
      <c r="D72" s="148"/>
      <c r="E72" s="148" t="str">
        <f t="shared" si="0"/>
        <v>Global</v>
      </c>
      <c r="F72" s="148"/>
      <c r="G72" s="210">
        <v>2050</v>
      </c>
      <c r="H72" s="204">
        <f>INDATA_Defining_Quantitative!F71*0.94</f>
        <v>12455.939999999999</v>
      </c>
      <c r="I72" s="204">
        <f>INDATA_Defining_Quantitative!G71*0.94</f>
        <v>12800.92</v>
      </c>
      <c r="J72" s="204">
        <f>INDATA_Defining_Quantitative!H71*0.94</f>
        <v>13333.9</v>
      </c>
    </row>
    <row r="73" spans="2:10" x14ac:dyDescent="0.3">
      <c r="B73" s="148" t="str">
        <f t="shared" si="0"/>
        <v>Price of Hydrogen electrolysers</v>
      </c>
      <c r="C73" s="148" t="str">
        <f t="shared" si="0"/>
        <v>Euro/kW</v>
      </c>
      <c r="D73" s="148"/>
      <c r="E73" s="148" t="str">
        <f t="shared" si="0"/>
        <v>Global</v>
      </c>
      <c r="F73" s="148"/>
      <c r="G73" s="210">
        <v>2050</v>
      </c>
      <c r="H73" s="204">
        <f>INDATA_Defining_Quantitative!F72*0.94</f>
        <v>216.2</v>
      </c>
      <c r="I73" s="204">
        <f>INDATA_Defining_Quantitative!G72*0.94</f>
        <v>249.1</v>
      </c>
      <c r="J73" s="204">
        <f>INDATA_Defining_Quantitative!H72*0.94</f>
        <v>418.29999999999995</v>
      </c>
    </row>
    <row r="74" spans="2:10" x14ac:dyDescent="0.3">
      <c r="B74" s="148" t="str">
        <f t="shared" si="0"/>
        <v>Price of Fuel cells</v>
      </c>
      <c r="C74" s="148" t="str">
        <f t="shared" si="0"/>
        <v>Euro/kW</v>
      </c>
      <c r="D74" s="148"/>
      <c r="E74" s="148" t="str">
        <f t="shared" si="0"/>
        <v>Global</v>
      </c>
      <c r="F74" s="148"/>
      <c r="G74" s="210">
        <v>2050</v>
      </c>
      <c r="H74" s="204">
        <f>INDATA_Defining_Quantitative!F73*0.94</f>
        <v>27.541999999999998</v>
      </c>
      <c r="I74" s="204">
        <f>INDATA_Defining_Quantitative!G73*0.94</f>
        <v>31.208000000000002</v>
      </c>
      <c r="J74" s="204">
        <f>INDATA_Defining_Quantitative!H73*0.94</f>
        <v>37.975999999999999</v>
      </c>
    </row>
    <row r="75" spans="2:10" x14ac:dyDescent="0.3">
      <c r="B75" s="148" t="str">
        <f t="shared" si="0"/>
        <v>Price of  Utility-scale stationary batteries</v>
      </c>
      <c r="C75" s="148" t="str">
        <f t="shared" si="0"/>
        <v>Euro/kWh</v>
      </c>
      <c r="D75" s="148"/>
      <c r="E75" s="148" t="str">
        <f t="shared" si="0"/>
        <v>Global</v>
      </c>
      <c r="F75" s="148"/>
      <c r="G75" s="210">
        <v>2050</v>
      </c>
      <c r="H75" s="204">
        <f>INDATA_Defining_Quantitative!F74*0.94</f>
        <v>125.96</v>
      </c>
      <c r="I75" s="204">
        <f>INDATA_Defining_Quantitative!G74*0.94</f>
        <v>126.89999999999999</v>
      </c>
      <c r="J75" s="204">
        <f>INDATA_Defining_Quantitative!H74*0.94</f>
        <v>128.78</v>
      </c>
    </row>
    <row r="76" spans="2:10" ht="14.4" customHeight="1" x14ac:dyDescent="0.3">
      <c r="B76" s="148" t="str">
        <f t="shared" si="0"/>
        <v>End-use demand Projection - RSD, TRA, COM, MUN</v>
      </c>
      <c r="C76" s="148"/>
      <c r="D76" s="148"/>
      <c r="E76" s="148" t="str">
        <f t="shared" si="0"/>
        <v>Local</v>
      </c>
      <c r="F76" s="148"/>
      <c r="G76" s="213">
        <v>2050</v>
      </c>
      <c r="H76" s="213" t="s">
        <v>121</v>
      </c>
      <c r="I76" s="213"/>
      <c r="J76" s="213"/>
    </row>
    <row r="77" spans="2:10" x14ac:dyDescent="0.3">
      <c r="B77" s="148" t="str">
        <f t="shared" si="0"/>
        <v>End-use demand Projection - TRA</v>
      </c>
      <c r="C77" s="148"/>
      <c r="D77" s="148"/>
      <c r="E77" s="148" t="str">
        <f t="shared" si="0"/>
        <v>Local</v>
      </c>
      <c r="F77" s="148"/>
      <c r="G77" s="213">
        <v>2050</v>
      </c>
      <c r="H77" s="213"/>
      <c r="I77" s="213"/>
      <c r="J77" s="213"/>
    </row>
    <row r="78" spans="2:10" x14ac:dyDescent="0.3">
      <c r="B78" s="148" t="str">
        <f t="shared" ref="B78:F93" si="1">B20</f>
        <v>End-use demand Projection - RSD, COM, MUN</v>
      </c>
      <c r="C78" s="148"/>
      <c r="D78" s="148"/>
      <c r="E78" s="148" t="str">
        <f t="shared" ref="E78:F85" si="2">E20</f>
        <v>Local</v>
      </c>
      <c r="F78" s="148"/>
      <c r="G78" s="213">
        <v>2050</v>
      </c>
      <c r="H78" s="213"/>
      <c r="I78" s="213"/>
      <c r="J78" s="213"/>
    </row>
    <row r="79" spans="2:10" ht="28.8" x14ac:dyDescent="0.3">
      <c r="B79" s="148" t="str">
        <f t="shared" si="1"/>
        <v>Technology Advancement - Conventional Technologies/ processes - INVCOST, FIXOM, VAROM</v>
      </c>
      <c r="C79" s="148"/>
      <c r="D79" s="148"/>
      <c r="E79" s="148" t="str">
        <f t="shared" si="2"/>
        <v>Global</v>
      </c>
      <c r="F79" s="148" t="str">
        <f t="shared" si="2"/>
        <v>Cost Reduction</v>
      </c>
      <c r="G79" s="213">
        <v>2050</v>
      </c>
      <c r="H79" s="196">
        <f>INDATA_Defining_Quantitative!F78</f>
        <v>0.11249999999999999</v>
      </c>
      <c r="I79" s="196">
        <f>INDATA_Defining_Quantitative!G78</f>
        <v>0.11249999999999999</v>
      </c>
      <c r="J79" s="196">
        <f>INDATA_Defining_Quantitative!H78</f>
        <v>0.13124999999999998</v>
      </c>
    </row>
    <row r="80" spans="2:10" x14ac:dyDescent="0.3">
      <c r="B80" s="148" t="str">
        <f t="shared" si="1"/>
        <v>Technology Advancement - Conventional Technologies/ processes - EFFICIENCY</v>
      </c>
      <c r="C80" s="148"/>
      <c r="D80" s="148"/>
      <c r="E80" s="148" t="str">
        <f t="shared" si="2"/>
        <v>Global</v>
      </c>
      <c r="F80" s="148" t="str">
        <f t="shared" si="2"/>
        <v>Efficiency improvement</v>
      </c>
      <c r="G80" s="213">
        <v>2050</v>
      </c>
      <c r="H80" s="196">
        <f>INDATA_Defining_Quantitative!F79</f>
        <v>0.11249999999999999</v>
      </c>
      <c r="I80" s="196">
        <f>INDATA_Defining_Quantitative!G79</f>
        <v>0.11249999999999999</v>
      </c>
      <c r="J80" s="196">
        <f>INDATA_Defining_Quantitative!H79</f>
        <v>0.13124999999999998</v>
      </c>
    </row>
    <row r="81" spans="2:10" ht="28.8" x14ac:dyDescent="0.3">
      <c r="B81" s="148" t="str">
        <f t="shared" si="1"/>
        <v>Technology Advancement  - Green Technologies/ processes - INVCOST, FIXOM, VAROM</v>
      </c>
      <c r="C81" s="148"/>
      <c r="D81" s="148"/>
      <c r="E81" s="148" t="str">
        <f t="shared" si="2"/>
        <v>Global</v>
      </c>
      <c r="F81" s="148" t="str">
        <f t="shared" si="2"/>
        <v>Cost Reduction</v>
      </c>
      <c r="G81" s="213">
        <v>2050</v>
      </c>
      <c r="H81" s="196">
        <f>INDATA_Defining_Quantitative!F80</f>
        <v>0.15000000000000002</v>
      </c>
      <c r="I81" s="196">
        <f>INDATA_Defining_Quantitative!G80</f>
        <v>0.11249999999999999</v>
      </c>
      <c r="J81" s="196">
        <f>INDATA_Defining_Quantitative!H80</f>
        <v>0.41250000000000003</v>
      </c>
    </row>
    <row r="82" spans="2:10" x14ac:dyDescent="0.3">
      <c r="B82" s="148" t="str">
        <f t="shared" si="1"/>
        <v>Technology Advancement  - Green Technologies/ processes - EFFICIENCY</v>
      </c>
      <c r="C82" s="148"/>
      <c r="D82" s="148"/>
      <c r="E82" s="148" t="str">
        <f t="shared" si="2"/>
        <v>Global</v>
      </c>
      <c r="F82" s="148" t="str">
        <f t="shared" si="2"/>
        <v>Efficiency improvement</v>
      </c>
      <c r="G82" s="213">
        <v>2050</v>
      </c>
      <c r="H82" s="196">
        <f>INDATA_Defining_Quantitative!F81</f>
        <v>0.15000000000000002</v>
      </c>
      <c r="I82" s="196">
        <f>INDATA_Defining_Quantitative!G81</f>
        <v>0.11249999999999999</v>
      </c>
      <c r="J82" s="196">
        <f>INDATA_Defining_Quantitative!H81</f>
        <v>0.41250000000000003</v>
      </c>
    </row>
    <row r="83" spans="2:10" ht="28.8" x14ac:dyDescent="0.3">
      <c r="B83" s="148" t="str">
        <f t="shared" si="1"/>
        <v>Technology Advancement - Biomass Technologies/ processes - INVCOST, FIXOM, VAROM</v>
      </c>
      <c r="C83" s="148"/>
      <c r="D83" s="148"/>
      <c r="E83" s="148" t="str">
        <f t="shared" si="2"/>
        <v>Global</v>
      </c>
      <c r="F83" s="148" t="str">
        <f t="shared" si="2"/>
        <v>Cost Reduction</v>
      </c>
      <c r="G83" s="213">
        <v>2050</v>
      </c>
      <c r="H83" s="196">
        <f>INDATA_Defining_Quantitative!F82</f>
        <v>0.11249999999999999</v>
      </c>
      <c r="I83" s="196">
        <f>INDATA_Defining_Quantitative!G82</f>
        <v>0.22499999999999998</v>
      </c>
      <c r="J83" s="196">
        <f>INDATA_Defining_Quantitative!H82</f>
        <v>0.30000000000000004</v>
      </c>
    </row>
    <row r="84" spans="2:10" x14ac:dyDescent="0.3">
      <c r="B84" s="148" t="str">
        <f t="shared" si="1"/>
        <v>Technology Advancement  - Biomass Technologies/ processes - EFFICIENCY</v>
      </c>
      <c r="C84" s="148"/>
      <c r="D84" s="148"/>
      <c r="E84" s="148" t="str">
        <f t="shared" si="2"/>
        <v>Global</v>
      </c>
      <c r="F84" s="148" t="str">
        <f t="shared" si="2"/>
        <v>Efficiency improvement</v>
      </c>
      <c r="G84" s="213">
        <v>2050</v>
      </c>
      <c r="H84" s="196">
        <f>INDATA_Defining_Quantitative!F83</f>
        <v>0.11249999999999999</v>
      </c>
      <c r="I84" s="196">
        <f>INDATA_Defining_Quantitative!G83</f>
        <v>0.22499999999999998</v>
      </c>
      <c r="J84" s="196">
        <f>INDATA_Defining_Quantitative!H83</f>
        <v>0.30000000000000004</v>
      </c>
    </row>
    <row r="85" spans="2:10" x14ac:dyDescent="0.3">
      <c r="B85" s="148" t="str">
        <f t="shared" si="1"/>
        <v>EU ETS price level</v>
      </c>
      <c r="C85" s="148" t="str">
        <f>C27</f>
        <v>Euro/ tonne of CO2</v>
      </c>
      <c r="D85" s="148"/>
      <c r="E85" s="148" t="str">
        <f t="shared" si="2"/>
        <v>EU</v>
      </c>
      <c r="F85" s="148"/>
      <c r="G85" s="216">
        <v>2050</v>
      </c>
      <c r="H85" s="217">
        <f>INDATA_Defining_Quantitative!F84*0.94</f>
        <v>106.22</v>
      </c>
      <c r="I85" s="217">
        <f>INDATA_Defining_Quantitative!G84*0.94</f>
        <v>188</v>
      </c>
      <c r="J85" s="217">
        <f>INDATA_Defining_Quantitative!H84*0.94</f>
        <v>235</v>
      </c>
    </row>
    <row r="86" spans="2:10" x14ac:dyDescent="0.3">
      <c r="B86" s="148" t="str">
        <f t="shared" si="1"/>
        <v>National Emission Target</v>
      </c>
      <c r="C86" s="148"/>
      <c r="D86" s="148"/>
      <c r="E86" s="148"/>
      <c r="F86" s="148" t="str">
        <f>F28</f>
        <v>Emission reduction compared to base year</v>
      </c>
      <c r="G86" s="213">
        <v>2050</v>
      </c>
      <c r="H86" s="196">
        <f>INDATA_Defining_Quantitative!F85</f>
        <v>0.3</v>
      </c>
      <c r="I86" s="196">
        <f>INDATA_Defining_Quantitative!G85</f>
        <v>0.6</v>
      </c>
      <c r="J86" s="196">
        <f>INDATA_Defining_Quantitative!H85</f>
        <v>1</v>
      </c>
    </row>
    <row r="87" spans="2:10" x14ac:dyDescent="0.3">
      <c r="B87" s="148" t="str">
        <f t="shared" si="1"/>
        <v>EV subsidies</v>
      </c>
      <c r="C87" s="148"/>
      <c r="D87" s="148"/>
      <c r="E87" s="148"/>
      <c r="F87" s="148"/>
      <c r="G87" s="213">
        <v>2050</v>
      </c>
      <c r="H87" s="196">
        <f>INDATA_Defining_Quantitative!F86</f>
        <v>0</v>
      </c>
      <c r="I87" s="196">
        <f>INDATA_Defining_Quantitative!G86</f>
        <v>0.1</v>
      </c>
      <c r="J87" s="196">
        <f>INDATA_Defining_Quantitative!H86</f>
        <v>0.2</v>
      </c>
    </row>
    <row r="88" spans="2:10" x14ac:dyDescent="0.3">
      <c r="B88" s="148" t="str">
        <f t="shared" si="1"/>
        <v>NCAP_BND of wind power technologies</v>
      </c>
      <c r="C88" s="148"/>
      <c r="D88" s="148"/>
      <c r="E88" s="148"/>
      <c r="F88" s="148" t="str">
        <f t="shared" si="1"/>
        <v>Percentage of Increase in o/p due to ƞ</v>
      </c>
      <c r="G88" s="220">
        <v>2050</v>
      </c>
      <c r="H88" s="196">
        <f>INDATA_Defining_Quantitative!F87</f>
        <v>0.15000000000000002</v>
      </c>
      <c r="I88" s="196">
        <f>INDATA_Defining_Quantitative!G87</f>
        <v>0.11249999999999999</v>
      </c>
      <c r="J88" s="196">
        <f>INDATA_Defining_Quantitative!H87</f>
        <v>0.41250000000000003</v>
      </c>
    </row>
    <row r="89" spans="2:10" x14ac:dyDescent="0.3">
      <c r="B89" s="148" t="str">
        <f t="shared" si="1"/>
        <v>NCAP_BND of PV technologies</v>
      </c>
      <c r="C89" s="148"/>
      <c r="D89" s="148"/>
      <c r="E89" s="148"/>
      <c r="F89" s="148" t="str">
        <f t="shared" si="1"/>
        <v>Percentage of Increase in o/p due to ƞ</v>
      </c>
      <c r="G89" s="220">
        <v>2050</v>
      </c>
      <c r="H89" s="196">
        <f>INDATA_Defining_Quantitative!F88</f>
        <v>0.15000000000000002</v>
      </c>
      <c r="I89" s="196">
        <f>INDATA_Defining_Quantitative!G88</f>
        <v>0.11249999999999999</v>
      </c>
      <c r="J89" s="196">
        <f>INDATA_Defining_Quantitative!H88</f>
        <v>0.41250000000000003</v>
      </c>
    </row>
    <row r="90" spans="2:10" x14ac:dyDescent="0.3">
      <c r="B90" s="152" t="str">
        <f t="shared" si="1"/>
        <v>Electricity Technology - Capital Cost</v>
      </c>
      <c r="C90" s="152" t="str">
        <f t="shared" si="1"/>
        <v xml:space="preserve"> Euro/kW</v>
      </c>
      <c r="D90" s="148"/>
      <c r="E90" s="148" t="str">
        <f t="shared" si="1"/>
        <v>EU</v>
      </c>
      <c r="F90" s="148" t="str">
        <f t="shared" si="1"/>
        <v>Nuclear</v>
      </c>
      <c r="G90" s="225">
        <v>2050</v>
      </c>
      <c r="H90" s="204">
        <f>IF(ISBLANK(INDATA_Defining_Quantitative!F89),"",IFERROR(INDATA_Defining_Quantitative!F89*0.94,INDATA_Defining_Quantitative!F89))</f>
        <v>4230</v>
      </c>
      <c r="I90" s="204">
        <f>IF(ISBLANK(INDATA_Defining_Quantitative!G89),"",IFERROR(INDATA_Defining_Quantitative!G89*0.94,INDATA_Defining_Quantitative!G89))</f>
        <v>4230</v>
      </c>
      <c r="J90" s="204">
        <f>IF(ISBLANK(INDATA_Defining_Quantitative!H89),"",IFERROR(INDATA_Defining_Quantitative!H89*0.94,INDATA_Defining_Quantitative!H89))</f>
        <v>4230</v>
      </c>
    </row>
    <row r="91" spans="2:10" x14ac:dyDescent="0.3">
      <c r="B91" s="152"/>
      <c r="C91" s="152"/>
      <c r="D91" s="148"/>
      <c r="E91" s="148" t="str">
        <f t="shared" si="1"/>
        <v>EU</v>
      </c>
      <c r="F91" s="148" t="str">
        <f t="shared" si="1"/>
        <v>Coal</v>
      </c>
      <c r="G91" s="225">
        <v>2050</v>
      </c>
      <c r="H91" s="204">
        <f>IF(ISBLANK(INDATA_Defining_Quantitative!F90),"",IFERROR(INDATA_Defining_Quantitative!F90*0.94,INDATA_Defining_Quantitative!F90))</f>
        <v>1880</v>
      </c>
      <c r="I91" s="204">
        <f>IF(ISBLANK(INDATA_Defining_Quantitative!G90),"",IFERROR(INDATA_Defining_Quantitative!G90*0.94,INDATA_Defining_Quantitative!G90))</f>
        <v>1880</v>
      </c>
      <c r="J91" s="204">
        <f>IF(ISBLANK(INDATA_Defining_Quantitative!H90),"",IFERROR(INDATA_Defining_Quantitative!H90*0.94,INDATA_Defining_Quantitative!H90))</f>
        <v>1880</v>
      </c>
    </row>
    <row r="92" spans="2:10" x14ac:dyDescent="0.3">
      <c r="B92" s="152"/>
      <c r="C92" s="152"/>
      <c r="D92" s="148"/>
      <c r="E92" s="148" t="str">
        <f t="shared" si="1"/>
        <v>EU</v>
      </c>
      <c r="F92" s="148" t="str">
        <f t="shared" si="1"/>
        <v>Gas CCGT</v>
      </c>
      <c r="G92" s="225">
        <v>2050</v>
      </c>
      <c r="H92" s="204">
        <f>IF(ISBLANK(INDATA_Defining_Quantitative!F91),"",IFERROR(INDATA_Defining_Quantitative!F91*0.94,INDATA_Defining_Quantitative!F91))</f>
        <v>940</v>
      </c>
      <c r="I92" s="204">
        <f>IF(ISBLANK(INDATA_Defining_Quantitative!G91),"",IFERROR(INDATA_Defining_Quantitative!G91*0.94,INDATA_Defining_Quantitative!G91))</f>
        <v>940</v>
      </c>
      <c r="J92" s="204">
        <f>IF(ISBLANK(INDATA_Defining_Quantitative!H91),"",IFERROR(INDATA_Defining_Quantitative!H91*0.94,INDATA_Defining_Quantitative!H91))</f>
        <v>940</v>
      </c>
    </row>
    <row r="93" spans="2:10" x14ac:dyDescent="0.3">
      <c r="B93" s="152"/>
      <c r="C93" s="152"/>
      <c r="D93" s="148"/>
      <c r="E93" s="148" t="str">
        <f t="shared" si="1"/>
        <v>EU</v>
      </c>
      <c r="F93" s="148" t="str">
        <f t="shared" si="1"/>
        <v>Solar PV</v>
      </c>
      <c r="G93" s="225">
        <v>2050</v>
      </c>
      <c r="H93" s="204">
        <f>IF(ISBLANK(INDATA_Defining_Quantitative!F92),"",IFERROR(INDATA_Defining_Quantitative!F92*0.94,INDATA_Defining_Quantitative!F92))</f>
        <v>319.59999999999997</v>
      </c>
      <c r="I93" s="204">
        <f>IF(ISBLANK(INDATA_Defining_Quantitative!G92),"",IFERROR(INDATA_Defining_Quantitative!G92*0.94,INDATA_Defining_Quantitative!G92))</f>
        <v>338.4</v>
      </c>
      <c r="J93" s="204">
        <f>IF(ISBLANK(INDATA_Defining_Quantitative!H92),"",IFERROR(INDATA_Defining_Quantitative!H92*0.94,INDATA_Defining_Quantitative!H92))</f>
        <v>385.4</v>
      </c>
    </row>
    <row r="94" spans="2:10" x14ac:dyDescent="0.3">
      <c r="B94" s="152"/>
      <c r="C94" s="152"/>
      <c r="D94" s="148"/>
      <c r="E94" s="148" t="str">
        <f t="shared" ref="E94:F95" si="3">E36</f>
        <v>EU</v>
      </c>
      <c r="F94" s="148" t="str">
        <f t="shared" si="3"/>
        <v>Wind onshore</v>
      </c>
      <c r="G94" s="225">
        <v>2050</v>
      </c>
      <c r="H94" s="204">
        <f>IF(ISBLANK(INDATA_Defining_Quantitative!F93),"",IFERROR(INDATA_Defining_Quantitative!F93*0.94,INDATA_Defining_Quantitative!F93))</f>
        <v>1297.1999999999998</v>
      </c>
      <c r="I94" s="204">
        <f>IF(ISBLANK(INDATA_Defining_Quantitative!G93),"",IFERROR(INDATA_Defining_Quantitative!G93*0.94,INDATA_Defining_Quantitative!G93))</f>
        <v>1325.3999999999999</v>
      </c>
      <c r="J94" s="204">
        <f>IF(ISBLANK(INDATA_Defining_Quantitative!H93),"",IFERROR(INDATA_Defining_Quantitative!H93*0.94,INDATA_Defining_Quantitative!H93))</f>
        <v>1363</v>
      </c>
    </row>
    <row r="95" spans="2:10" x14ac:dyDescent="0.3">
      <c r="B95" s="152"/>
      <c r="C95" s="152"/>
      <c r="D95" s="148"/>
      <c r="E95" s="148" t="str">
        <f t="shared" si="3"/>
        <v>EU</v>
      </c>
      <c r="F95" s="148" t="str">
        <f t="shared" si="3"/>
        <v>Wind offshore</v>
      </c>
      <c r="G95" s="225">
        <v>2050</v>
      </c>
      <c r="H95" s="204">
        <f>IF(ISBLANK(INDATA_Defining_Quantitative!F94),"",IFERROR(INDATA_Defining_Quantitative!F94*0.94,INDATA_Defining_Quantitative!F94))</f>
        <v>1165.5999999999999</v>
      </c>
      <c r="I95" s="204">
        <f>IF(ISBLANK(INDATA_Defining_Quantitative!G94),"",IFERROR(INDATA_Defining_Quantitative!G94*0.94,INDATA_Defining_Quantitative!G94))</f>
        <v>1240.8</v>
      </c>
      <c r="J95" s="204">
        <f>IF(ISBLANK(INDATA_Defining_Quantitative!H94),"",IFERROR(INDATA_Defining_Quantitative!H94*0.94,INDATA_Defining_Quantitative!H94))</f>
        <v>1410</v>
      </c>
    </row>
    <row r="96" spans="2:10" x14ac:dyDescent="0.3">
      <c r="B96" s="152" t="str">
        <f t="shared" ref="B96:F101" si="4">B38</f>
        <v>Electricity Technology - Capacity factor (%)</v>
      </c>
      <c r="C96" s="213"/>
      <c r="D96" s="148"/>
      <c r="E96" s="148" t="str">
        <f t="shared" si="4"/>
        <v>EU</v>
      </c>
      <c r="F96" s="148" t="str">
        <f t="shared" si="4"/>
        <v>Nuclear</v>
      </c>
      <c r="G96" s="225">
        <v>2050</v>
      </c>
      <c r="H96" s="204">
        <f>INDATA_Defining_Quantitative!F95</f>
        <v>70</v>
      </c>
      <c r="I96" s="204">
        <f>INDATA_Defining_Quantitative!G95</f>
        <v>70</v>
      </c>
      <c r="J96" s="204">
        <f>INDATA_Defining_Quantitative!H95</f>
        <v>80</v>
      </c>
    </row>
    <row r="97" spans="2:10" x14ac:dyDescent="0.3">
      <c r="B97" s="152"/>
      <c r="C97" s="213"/>
      <c r="D97" s="148"/>
      <c r="E97" s="148" t="str">
        <f t="shared" si="4"/>
        <v>EU</v>
      </c>
      <c r="F97" s="148" t="str">
        <f t="shared" si="4"/>
        <v>Coal</v>
      </c>
      <c r="G97" s="225">
        <v>2050</v>
      </c>
      <c r="H97" s="204" t="str">
        <f>INDATA_Defining_Quantitative!F96</f>
        <v>n,a,</v>
      </c>
      <c r="I97" s="204" t="str">
        <f>INDATA_Defining_Quantitative!G96</f>
        <v>n,a,</v>
      </c>
      <c r="J97" s="204" t="str">
        <f>INDATA_Defining_Quantitative!H96</f>
        <v>n,a,</v>
      </c>
    </row>
    <row r="98" spans="2:10" x14ac:dyDescent="0.3">
      <c r="B98" s="152"/>
      <c r="C98" s="213"/>
      <c r="D98" s="148"/>
      <c r="E98" s="148" t="str">
        <f t="shared" si="4"/>
        <v>EU</v>
      </c>
      <c r="F98" s="148" t="str">
        <f t="shared" si="4"/>
        <v>Gas CCGT</v>
      </c>
      <c r="G98" s="225">
        <v>2050</v>
      </c>
      <c r="H98" s="204" t="str">
        <f>INDATA_Defining_Quantitative!F97</f>
        <v>n,a,</v>
      </c>
      <c r="I98" s="204" t="str">
        <f>INDATA_Defining_Quantitative!G97</f>
        <v>n,a,</v>
      </c>
      <c r="J98" s="204" t="str">
        <f>INDATA_Defining_Quantitative!H97</f>
        <v>n,a,</v>
      </c>
    </row>
    <row r="99" spans="2:10" x14ac:dyDescent="0.3">
      <c r="B99" s="152"/>
      <c r="C99" s="213"/>
      <c r="D99" s="148"/>
      <c r="E99" s="148" t="str">
        <f t="shared" si="4"/>
        <v>EU</v>
      </c>
      <c r="F99" s="148" t="str">
        <f t="shared" si="4"/>
        <v>Solar PV</v>
      </c>
      <c r="G99" s="225">
        <v>2050</v>
      </c>
      <c r="H99" s="204">
        <f>INDATA_Defining_Quantitative!F98</f>
        <v>14</v>
      </c>
      <c r="I99" s="204">
        <f>INDATA_Defining_Quantitative!G98</f>
        <v>14</v>
      </c>
      <c r="J99" s="204">
        <f>INDATA_Defining_Quantitative!H98</f>
        <v>14</v>
      </c>
    </row>
    <row r="100" spans="2:10" x14ac:dyDescent="0.3">
      <c r="B100" s="152"/>
      <c r="C100" s="213"/>
      <c r="D100" s="148"/>
      <c r="E100" s="148" t="str">
        <f t="shared" si="4"/>
        <v>EU</v>
      </c>
      <c r="F100" s="148" t="str">
        <f t="shared" si="4"/>
        <v>Wind onshore</v>
      </c>
      <c r="G100" s="225">
        <v>2050</v>
      </c>
      <c r="H100" s="204">
        <f>INDATA_Defining_Quantitative!F99</f>
        <v>30</v>
      </c>
      <c r="I100" s="204">
        <f>INDATA_Defining_Quantitative!G99</f>
        <v>30</v>
      </c>
      <c r="J100" s="204">
        <f>INDATA_Defining_Quantitative!H99</f>
        <v>30</v>
      </c>
    </row>
    <row r="101" spans="2:10" x14ac:dyDescent="0.3">
      <c r="B101" s="152"/>
      <c r="C101" s="213"/>
      <c r="D101" s="148"/>
      <c r="E101" s="148" t="str">
        <f t="shared" si="4"/>
        <v>EU</v>
      </c>
      <c r="F101" s="148" t="str">
        <f t="shared" si="4"/>
        <v>Wind offshore</v>
      </c>
      <c r="G101" s="225">
        <v>2050</v>
      </c>
      <c r="H101" s="204">
        <f>INDATA_Defining_Quantitative!F100</f>
        <v>59</v>
      </c>
      <c r="I101" s="204">
        <f>INDATA_Defining_Quantitative!G100</f>
        <v>59</v>
      </c>
      <c r="J101" s="204">
        <f>INDATA_Defining_Quantitative!H100</f>
        <v>59</v>
      </c>
    </row>
    <row r="102" spans="2:10" ht="28.8" x14ac:dyDescent="0.3">
      <c r="B102" s="152" t="str">
        <f t="shared" ref="B102:F107" si="5">B44</f>
        <v>Electricity Technology - Fuel, CO2 and O&amp;M</v>
      </c>
      <c r="C102" s="152" t="str">
        <f t="shared" si="5"/>
        <v>Euro/MWh</v>
      </c>
      <c r="D102" s="148" t="str">
        <f t="shared" si="5"/>
        <v>(USD / MWh) * (.94 EUR / USD) * (MWh / 3.6 GJ) = 0.0261  EUR/GJ</v>
      </c>
      <c r="E102" s="148" t="str">
        <f t="shared" si="5"/>
        <v>EU</v>
      </c>
      <c r="F102" s="148" t="str">
        <f t="shared" si="5"/>
        <v>Nuclear</v>
      </c>
      <c r="G102" s="225">
        <v>2050</v>
      </c>
      <c r="H102" s="204">
        <f>IF(ISBLANK(INDATA_Defining_Quantitative!F101),"",IFERROR(INDATA_Defining_Quantitative!F101*0.261,INDATA_Defining_Quantitative!F101))</f>
        <v>9.1349999999999998</v>
      </c>
      <c r="I102" s="204">
        <f>IF(ISBLANK(INDATA_Defining_Quantitative!G101),"",IFERROR(INDATA_Defining_Quantitative!G101*0.261,INDATA_Defining_Quantitative!G101))</f>
        <v>9.1349999999999998</v>
      </c>
      <c r="J102" s="204">
        <f>IF(ISBLANK(INDATA_Defining_Quantitative!H101),"",IFERROR(INDATA_Defining_Quantitative!H101*0.261,INDATA_Defining_Quantitative!H101))</f>
        <v>9.1349999999999998</v>
      </c>
    </row>
    <row r="103" spans="2:10" x14ac:dyDescent="0.3">
      <c r="B103" s="152"/>
      <c r="C103" s="152"/>
      <c r="D103" s="148"/>
      <c r="E103" s="148" t="str">
        <f t="shared" si="5"/>
        <v>EU</v>
      </c>
      <c r="F103" s="148" t="str">
        <f t="shared" si="5"/>
        <v>Coal</v>
      </c>
      <c r="G103" s="225">
        <v>2050</v>
      </c>
      <c r="H103" s="204">
        <f>IF(ISBLANK(INDATA_Defining_Quantitative!F102),"",IFERROR(INDATA_Defining_Quantitative!F102*0.261,INDATA_Defining_Quantitative!F102))</f>
        <v>65.25</v>
      </c>
      <c r="I103" s="204">
        <f>IF(ISBLANK(INDATA_Defining_Quantitative!G102),"",IFERROR(INDATA_Defining_Quantitative!G102*0.261,INDATA_Defining_Quantitative!G102))</f>
        <v>54.81</v>
      </c>
      <c r="J103" s="204">
        <f>IF(ISBLANK(INDATA_Defining_Quantitative!H102),"",IFERROR(INDATA_Defining_Quantitative!H102*0.261,INDATA_Defining_Quantitative!H102))</f>
        <v>36.54</v>
      </c>
    </row>
    <row r="104" spans="2:10" x14ac:dyDescent="0.3">
      <c r="B104" s="152"/>
      <c r="C104" s="152"/>
      <c r="D104" s="148"/>
      <c r="E104" s="148" t="str">
        <f t="shared" si="5"/>
        <v>EU</v>
      </c>
      <c r="F104" s="148" t="str">
        <f t="shared" si="5"/>
        <v>Gas CCGT</v>
      </c>
      <c r="G104" s="225">
        <v>2050</v>
      </c>
      <c r="H104" s="204">
        <f>IF(ISBLANK(INDATA_Defining_Quantitative!F103),"",IFERROR(INDATA_Defining_Quantitative!F103*0.261,INDATA_Defining_Quantitative!F103))</f>
        <v>35.234999999999999</v>
      </c>
      <c r="I104" s="204">
        <f>IF(ISBLANK(INDATA_Defining_Quantitative!G103),"",IFERROR(INDATA_Defining_Quantitative!G103*0.261,INDATA_Defining_Quantitative!G103))</f>
        <v>35.234999999999999</v>
      </c>
      <c r="J104" s="204">
        <f>IF(ISBLANK(INDATA_Defining_Quantitative!H103),"",IFERROR(INDATA_Defining_Quantitative!H103*0.261,INDATA_Defining_Quantitative!H103))</f>
        <v>33.93</v>
      </c>
    </row>
    <row r="105" spans="2:10" x14ac:dyDescent="0.3">
      <c r="B105" s="152"/>
      <c r="C105" s="152"/>
      <c r="D105" s="148"/>
      <c r="E105" s="148" t="str">
        <f t="shared" si="5"/>
        <v>EU</v>
      </c>
      <c r="F105" s="148" t="str">
        <f t="shared" si="5"/>
        <v>Solar PV</v>
      </c>
      <c r="G105" s="225">
        <v>2050</v>
      </c>
      <c r="H105" s="204">
        <f>IF(ISBLANK(INDATA_Defining_Quantitative!F104),"",IFERROR(INDATA_Defining_Quantitative!F104*0.261,INDATA_Defining_Quantitative!F104))</f>
        <v>2.6100000000000003</v>
      </c>
      <c r="I105" s="204">
        <f>IF(ISBLANK(INDATA_Defining_Quantitative!G104),"",IFERROR(INDATA_Defining_Quantitative!G104*0.261,INDATA_Defining_Quantitative!G104))</f>
        <v>2.6100000000000003</v>
      </c>
      <c r="J105" s="204">
        <f>IF(ISBLANK(INDATA_Defining_Quantitative!H104),"",IFERROR(INDATA_Defining_Quantitative!H104*0.261,INDATA_Defining_Quantitative!H104))</f>
        <v>2.6100000000000003</v>
      </c>
    </row>
    <row r="106" spans="2:10" x14ac:dyDescent="0.3">
      <c r="B106" s="152"/>
      <c r="C106" s="152"/>
      <c r="D106" s="148"/>
      <c r="E106" s="148" t="str">
        <f t="shared" si="5"/>
        <v>EU</v>
      </c>
      <c r="F106" s="148" t="str">
        <f t="shared" si="5"/>
        <v>Wind onshore</v>
      </c>
      <c r="G106" s="225">
        <v>2050</v>
      </c>
      <c r="H106" s="204">
        <f>IF(ISBLANK(INDATA_Defining_Quantitative!F105),"",IFERROR(INDATA_Defining_Quantitative!F105*0.261,INDATA_Defining_Quantitative!F105))</f>
        <v>3.915</v>
      </c>
      <c r="I106" s="204">
        <f>IF(ISBLANK(INDATA_Defining_Quantitative!G105),"",IFERROR(INDATA_Defining_Quantitative!G105*0.261,INDATA_Defining_Quantitative!G105))</f>
        <v>3.915</v>
      </c>
      <c r="J106" s="204">
        <f>IF(ISBLANK(INDATA_Defining_Quantitative!H105),"",IFERROR(INDATA_Defining_Quantitative!H105*0.261,INDATA_Defining_Quantitative!H105))</f>
        <v>3.915</v>
      </c>
    </row>
    <row r="107" spans="2:10" x14ac:dyDescent="0.3">
      <c r="B107" s="152"/>
      <c r="C107" s="152"/>
      <c r="D107" s="148"/>
      <c r="E107" s="148" t="str">
        <f t="shared" si="5"/>
        <v>EU</v>
      </c>
      <c r="F107" s="148" t="str">
        <f t="shared" si="5"/>
        <v>Wind offshore</v>
      </c>
      <c r="G107" s="225">
        <v>2050</v>
      </c>
      <c r="H107" s="204">
        <f>IF(ISBLANK(INDATA_Defining_Quantitative!F106),"",IFERROR(INDATA_Defining_Quantitative!F106*0.261,INDATA_Defining_Quantitative!F106))</f>
        <v>1.3050000000000002</v>
      </c>
      <c r="I107" s="204">
        <f>IF(ISBLANK(INDATA_Defining_Quantitative!G106),"",IFERROR(INDATA_Defining_Quantitative!G106*0.261,INDATA_Defining_Quantitative!G106))</f>
        <v>1.3050000000000002</v>
      </c>
      <c r="J107" s="204">
        <f>IF(ISBLANK(INDATA_Defining_Quantitative!H106),"",IFERROR(INDATA_Defining_Quantitative!H106*0.261,INDATA_Defining_Quantitative!H106))</f>
        <v>2.6100000000000003</v>
      </c>
    </row>
    <row r="108" spans="2:10" x14ac:dyDescent="0.3">
      <c r="B108" s="152" t="str">
        <f t="shared" ref="B108:F113" si="6">B50</f>
        <v>Electricity Technology - LCOE</v>
      </c>
      <c r="C108" s="152" t="str">
        <f t="shared" si="6"/>
        <v>Euro/MWh</v>
      </c>
      <c r="D108" s="148"/>
      <c r="E108" s="148" t="str">
        <f t="shared" si="6"/>
        <v>EU</v>
      </c>
      <c r="F108" s="148" t="str">
        <f t="shared" si="6"/>
        <v>Nuclear</v>
      </c>
      <c r="G108" s="225">
        <v>2050</v>
      </c>
      <c r="H108" s="204">
        <f>IF(ISBLANK(INDATA_Defining_Quantitative!F107),"",IFERROR(INDATA_Defining_Quantitative!F107*0.261,INDATA_Defining_Quantitative!F107))</f>
        <v>30.015000000000001</v>
      </c>
      <c r="I108" s="204">
        <f>IF(ISBLANK(INDATA_Defining_Quantitative!G107),"",IFERROR(INDATA_Defining_Quantitative!G107*0.261,INDATA_Defining_Quantitative!G107))</f>
        <v>30.015000000000001</v>
      </c>
      <c r="J108" s="204">
        <f>IF(ISBLANK(INDATA_Defining_Quantitative!H107),"",IFERROR(INDATA_Defining_Quantitative!H107*0.261,INDATA_Defining_Quantitative!H107))</f>
        <v>27.405000000000001</v>
      </c>
    </row>
    <row r="109" spans="2:10" x14ac:dyDescent="0.3">
      <c r="B109" s="152"/>
      <c r="C109" s="152"/>
      <c r="D109" s="148"/>
      <c r="E109" s="148" t="str">
        <f t="shared" si="6"/>
        <v>EU</v>
      </c>
      <c r="F109" s="148" t="str">
        <f t="shared" si="6"/>
        <v>Coal</v>
      </c>
      <c r="G109" s="225">
        <v>2050</v>
      </c>
      <c r="H109" s="204" t="str">
        <f>IF(ISBLANK(INDATA_Defining_Quantitative!F108),"",IFERROR(INDATA_Defining_Quantitative!F108*0.261,INDATA_Defining_Quantitative!F108))</f>
        <v>n,a,</v>
      </c>
      <c r="I109" s="204" t="str">
        <f>IF(ISBLANK(INDATA_Defining_Quantitative!G108),"",IFERROR(INDATA_Defining_Quantitative!G108*0.261,INDATA_Defining_Quantitative!G108))</f>
        <v>n,a,</v>
      </c>
      <c r="J109" s="204" t="str">
        <f>IF(ISBLANK(INDATA_Defining_Quantitative!H108),"",IFERROR(INDATA_Defining_Quantitative!H108*0.261,INDATA_Defining_Quantitative!H108))</f>
        <v>n,a,</v>
      </c>
    </row>
    <row r="110" spans="2:10" x14ac:dyDescent="0.3">
      <c r="B110" s="152"/>
      <c r="C110" s="152"/>
      <c r="D110" s="148"/>
      <c r="E110" s="148" t="str">
        <f t="shared" si="6"/>
        <v>EU</v>
      </c>
      <c r="F110" s="148" t="str">
        <f t="shared" si="6"/>
        <v>Gas CCGT</v>
      </c>
      <c r="G110" s="225">
        <v>2050</v>
      </c>
      <c r="H110" s="204" t="str">
        <f>IF(ISBLANK(INDATA_Defining_Quantitative!F109),"",IFERROR(INDATA_Defining_Quantitative!F109*0.261,INDATA_Defining_Quantitative!F109))</f>
        <v>n,a,</v>
      </c>
      <c r="I110" s="204" t="str">
        <f>IF(ISBLANK(INDATA_Defining_Quantitative!G109),"",IFERROR(INDATA_Defining_Quantitative!G109*0.261,INDATA_Defining_Quantitative!G109))</f>
        <v>n,a,</v>
      </c>
      <c r="J110" s="204" t="str">
        <f>IF(ISBLANK(INDATA_Defining_Quantitative!H109),"",IFERROR(INDATA_Defining_Quantitative!H109*0.261,INDATA_Defining_Quantitative!H109))</f>
        <v>n,a,</v>
      </c>
    </row>
    <row r="111" spans="2:10" x14ac:dyDescent="0.3">
      <c r="B111" s="152"/>
      <c r="C111" s="152"/>
      <c r="D111" s="148"/>
      <c r="E111" s="148" t="str">
        <f t="shared" si="6"/>
        <v>EU</v>
      </c>
      <c r="F111" s="148" t="str">
        <f t="shared" si="6"/>
        <v>Solar PV</v>
      </c>
      <c r="G111" s="225">
        <v>2050</v>
      </c>
      <c r="H111" s="204">
        <f>IF(ISBLANK(INDATA_Defining_Quantitative!F110),"",IFERROR(INDATA_Defining_Quantitative!F110*0.261,INDATA_Defining_Quantitative!F110))</f>
        <v>6.5250000000000004</v>
      </c>
      <c r="I111" s="204">
        <f>IF(ISBLANK(INDATA_Defining_Quantitative!G110),"",IFERROR(INDATA_Defining_Quantitative!G110*0.261,INDATA_Defining_Quantitative!G110))</f>
        <v>6.5250000000000004</v>
      </c>
      <c r="J111" s="204">
        <f>IF(ISBLANK(INDATA_Defining_Quantitative!H110),"",IFERROR(INDATA_Defining_Quantitative!H110*0.261,INDATA_Defining_Quantitative!H110))</f>
        <v>7.83</v>
      </c>
    </row>
    <row r="112" spans="2:10" x14ac:dyDescent="0.3">
      <c r="B112" s="152"/>
      <c r="C112" s="152"/>
      <c r="D112" s="148"/>
      <c r="E112" s="148" t="str">
        <f t="shared" si="6"/>
        <v>EU</v>
      </c>
      <c r="F112" s="148" t="str">
        <f t="shared" si="6"/>
        <v>Wind onshore</v>
      </c>
      <c r="G112" s="225">
        <v>2050</v>
      </c>
      <c r="H112" s="204">
        <f>IF(ISBLANK(INDATA_Defining_Quantitative!F111),"",IFERROR(INDATA_Defining_Quantitative!F111*0.261,INDATA_Defining_Quantitative!F111))</f>
        <v>11.745000000000001</v>
      </c>
      <c r="I112" s="204">
        <f>IF(ISBLANK(INDATA_Defining_Quantitative!G111),"",IFERROR(INDATA_Defining_Quantitative!G111*0.261,INDATA_Defining_Quantitative!G111))</f>
        <v>11.745000000000001</v>
      </c>
      <c r="J112" s="204">
        <f>IF(ISBLANK(INDATA_Defining_Quantitative!H111),"",IFERROR(INDATA_Defining_Quantitative!H111*0.261,INDATA_Defining_Quantitative!H111))</f>
        <v>11.745000000000001</v>
      </c>
    </row>
    <row r="113" spans="2:10" x14ac:dyDescent="0.3">
      <c r="B113" s="152"/>
      <c r="C113" s="152"/>
      <c r="D113" s="148"/>
      <c r="E113" s="148" t="str">
        <f t="shared" si="6"/>
        <v>EU</v>
      </c>
      <c r="F113" s="148" t="str">
        <f t="shared" si="6"/>
        <v>Wind offshore</v>
      </c>
      <c r="G113" s="225">
        <v>2050</v>
      </c>
      <c r="H113" s="204">
        <f>IF(ISBLANK(INDATA_Defining_Quantitative!F112),"",IFERROR(INDATA_Defining_Quantitative!F112*0.261,INDATA_Defining_Quantitative!F112))</f>
        <v>6.5250000000000004</v>
      </c>
      <c r="I113" s="204">
        <f>IF(ISBLANK(INDATA_Defining_Quantitative!G112),"",IFERROR(INDATA_Defining_Quantitative!G112*0.261,INDATA_Defining_Quantitative!G112))</f>
        <v>6.5250000000000004</v>
      </c>
      <c r="J113" s="204">
        <f>IF(ISBLANK(INDATA_Defining_Quantitative!H112),"",IFERROR(INDATA_Defining_Quantitative!H112*0.261,INDATA_Defining_Quantitative!H112))</f>
        <v>7.83</v>
      </c>
    </row>
    <row r="114" spans="2:10" x14ac:dyDescent="0.3">
      <c r="B114" s="152" t="str">
        <f t="shared" ref="B114:F119" si="7">B56</f>
        <v>Electricity Technology - VALCOE</v>
      </c>
      <c r="C114" s="152" t="str">
        <f t="shared" si="7"/>
        <v>Euro/MWh</v>
      </c>
      <c r="D114" s="148"/>
      <c r="E114" s="148" t="str">
        <f t="shared" si="7"/>
        <v>EU</v>
      </c>
      <c r="F114" s="148" t="str">
        <f t="shared" si="7"/>
        <v>Nuclear</v>
      </c>
      <c r="G114" s="225">
        <v>2050</v>
      </c>
      <c r="H114" s="204" t="str">
        <f>IF(ISBLANK(INDATA_Defining_Quantitative!F113),"",IFERROR(INDATA_Defining_Quantitative!F113*0.261,INDATA_Defining_Quantitative!F113))</f>
        <v/>
      </c>
      <c r="I114" s="204" t="str">
        <f>IF(ISBLANK(INDATA_Defining_Quantitative!G113),"",IFERROR(INDATA_Defining_Quantitative!G113*0.261,INDATA_Defining_Quantitative!G113))</f>
        <v/>
      </c>
      <c r="J114" s="204">
        <f>IF(ISBLANK(INDATA_Defining_Quantitative!H113),"",IFERROR(INDATA_Defining_Quantitative!H113*0.261,INDATA_Defining_Quantitative!H113))</f>
        <v>27.405000000000001</v>
      </c>
    </row>
    <row r="115" spans="2:10" x14ac:dyDescent="0.3">
      <c r="B115" s="152"/>
      <c r="C115" s="152"/>
      <c r="D115" s="148"/>
      <c r="E115" s="148" t="str">
        <f t="shared" si="7"/>
        <v>EU</v>
      </c>
      <c r="F115" s="148" t="str">
        <f t="shared" si="7"/>
        <v>Coal</v>
      </c>
      <c r="G115" s="225">
        <v>2050</v>
      </c>
      <c r="H115" s="204" t="str">
        <f>IF(ISBLANK(INDATA_Defining_Quantitative!F114),"",IFERROR(INDATA_Defining_Quantitative!F114*0.261,INDATA_Defining_Quantitative!F114))</f>
        <v/>
      </c>
      <c r="I115" s="204" t="str">
        <f>IF(ISBLANK(INDATA_Defining_Quantitative!G114),"",IFERROR(INDATA_Defining_Quantitative!G114*0.261,INDATA_Defining_Quantitative!G114))</f>
        <v/>
      </c>
      <c r="J115" s="204" t="str">
        <f>IF(ISBLANK(INDATA_Defining_Quantitative!H114),"",IFERROR(INDATA_Defining_Quantitative!H114*0.261,INDATA_Defining_Quantitative!H114))</f>
        <v>n,a,</v>
      </c>
    </row>
    <row r="116" spans="2:10" x14ac:dyDescent="0.3">
      <c r="B116" s="152"/>
      <c r="C116" s="152"/>
      <c r="D116" s="148"/>
      <c r="E116" s="148" t="str">
        <f t="shared" si="7"/>
        <v>EU</v>
      </c>
      <c r="F116" s="148" t="str">
        <f t="shared" si="7"/>
        <v>Gas CCGT</v>
      </c>
      <c r="G116" s="225">
        <v>2050</v>
      </c>
      <c r="H116" s="204" t="str">
        <f>IF(ISBLANK(INDATA_Defining_Quantitative!F115),"",IFERROR(INDATA_Defining_Quantitative!F115*0.261,INDATA_Defining_Quantitative!F115))</f>
        <v/>
      </c>
      <c r="I116" s="204" t="str">
        <f>IF(ISBLANK(INDATA_Defining_Quantitative!G115),"",IFERROR(INDATA_Defining_Quantitative!G115*0.261,INDATA_Defining_Quantitative!G115))</f>
        <v/>
      </c>
      <c r="J116" s="204" t="str">
        <f>IF(ISBLANK(INDATA_Defining_Quantitative!H115),"",IFERROR(INDATA_Defining_Quantitative!H115*0.261,INDATA_Defining_Quantitative!H115))</f>
        <v>n,a,</v>
      </c>
    </row>
    <row r="117" spans="2:10" x14ac:dyDescent="0.3">
      <c r="B117" s="152"/>
      <c r="C117" s="152"/>
      <c r="D117" s="148"/>
      <c r="E117" s="148" t="str">
        <f t="shared" si="7"/>
        <v>EU</v>
      </c>
      <c r="F117" s="148" t="str">
        <f t="shared" si="7"/>
        <v>Solar PV</v>
      </c>
      <c r="G117" s="225">
        <v>2050</v>
      </c>
      <c r="H117" s="204" t="str">
        <f>IF(ISBLANK(INDATA_Defining_Quantitative!F116),"",IFERROR(INDATA_Defining_Quantitative!F116*0.261,INDATA_Defining_Quantitative!F116))</f>
        <v/>
      </c>
      <c r="I117" s="204" t="str">
        <f>IF(ISBLANK(INDATA_Defining_Quantitative!G116),"",IFERROR(INDATA_Defining_Quantitative!G116*0.261,INDATA_Defining_Quantitative!G116))</f>
        <v/>
      </c>
      <c r="J117" s="204">
        <f>IF(ISBLANK(INDATA_Defining_Quantitative!H116),"",IFERROR(INDATA_Defining_Quantitative!H116*0.261,INDATA_Defining_Quantitative!H116))</f>
        <v>20.880000000000003</v>
      </c>
    </row>
    <row r="118" spans="2:10" x14ac:dyDescent="0.3">
      <c r="B118" s="152"/>
      <c r="C118" s="152"/>
      <c r="D118" s="148"/>
      <c r="E118" s="148" t="str">
        <f t="shared" si="7"/>
        <v>EU</v>
      </c>
      <c r="F118" s="148" t="str">
        <f t="shared" si="7"/>
        <v>Wind onshore</v>
      </c>
      <c r="G118" s="225">
        <v>2050</v>
      </c>
      <c r="H118" s="204" t="str">
        <f>IF(ISBLANK(INDATA_Defining_Quantitative!F117),"",IFERROR(INDATA_Defining_Quantitative!F117*0.261,INDATA_Defining_Quantitative!F117))</f>
        <v/>
      </c>
      <c r="I118" s="204" t="str">
        <f>IF(ISBLANK(INDATA_Defining_Quantitative!G117),"",IFERROR(INDATA_Defining_Quantitative!G117*0.261,INDATA_Defining_Quantitative!G117))</f>
        <v/>
      </c>
      <c r="J118" s="204">
        <f>IF(ISBLANK(INDATA_Defining_Quantitative!H117),"",IFERROR(INDATA_Defining_Quantitative!H117*0.261,INDATA_Defining_Quantitative!H117))</f>
        <v>15.66</v>
      </c>
    </row>
    <row r="119" spans="2:10" x14ac:dyDescent="0.3">
      <c r="B119" s="152"/>
      <c r="C119" s="152"/>
      <c r="D119" s="148"/>
      <c r="E119" s="148" t="str">
        <f t="shared" si="7"/>
        <v>EU</v>
      </c>
      <c r="F119" s="148" t="str">
        <f t="shared" si="7"/>
        <v>Wind offshore</v>
      </c>
      <c r="G119" s="225">
        <v>2050</v>
      </c>
      <c r="H119" s="204" t="str">
        <f>IF(ISBLANK(INDATA_Defining_Quantitative!F118),"",IFERROR(INDATA_Defining_Quantitative!F118*0.261,INDATA_Defining_Quantitative!F118))</f>
        <v/>
      </c>
      <c r="I119" s="204" t="str">
        <f>IF(ISBLANK(INDATA_Defining_Quantitative!G118),"",IFERROR(INDATA_Defining_Quantitative!G118*0.261,INDATA_Defining_Quantitative!G118))</f>
        <v/>
      </c>
      <c r="J119" s="204">
        <f>IF(ISBLANK(INDATA_Defining_Quantitative!H118),"",IFERROR(INDATA_Defining_Quantitative!H118*0.261,INDATA_Defining_Quantitative!H118))</f>
        <v>10.440000000000001</v>
      </c>
    </row>
  </sheetData>
  <hyperlinks>
    <hyperlink ref="N15" r:id="rId1" xr:uid="{530E6A53-19FD-498E-BC70-7B3416F0EDFF}"/>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40" sqref="F40"/>
    </sheetView>
  </sheetViews>
  <sheetFormatPr defaultColWidth="23.5546875" defaultRowHeight="14.4" x14ac:dyDescent="0.3"/>
  <cols>
    <col min="1" max="1" width="6.77734375" customWidth="1"/>
    <col min="2" max="2" width="88" customWidth="1"/>
    <col min="3" max="3" width="12.21875" bestFit="1" customWidth="1"/>
    <col min="4" max="4" width="38.21875" bestFit="1" customWidth="1"/>
    <col min="5" max="5" width="10.44140625" style="10" customWidth="1"/>
    <col min="6" max="6" width="23.21875" customWidth="1"/>
    <col min="7" max="7" width="22.109375" customWidth="1"/>
    <col min="8" max="8" width="22.44140625" customWidth="1"/>
    <col min="10" max="10" width="6.21875" customWidth="1"/>
    <col min="11" max="11" width="5.6640625" customWidth="1"/>
    <col min="12" max="12" width="119.109375" style="8" customWidth="1"/>
    <col min="13" max="13" width="8.21875" customWidth="1"/>
  </cols>
  <sheetData>
    <row r="1" spans="2:35" x14ac:dyDescent="0.3">
      <c r="F1" s="182"/>
      <c r="G1" s="182"/>
      <c r="H1" s="182"/>
      <c r="I1" s="50" t="s">
        <v>55</v>
      </c>
      <c r="J1" s="50"/>
      <c r="K1" s="50"/>
      <c r="L1" s="151"/>
      <c r="M1" s="50"/>
      <c r="N1" s="50"/>
      <c r="O1" s="50"/>
      <c r="P1" s="50"/>
      <c r="Q1" s="50"/>
      <c r="R1" s="50"/>
      <c r="S1" s="50"/>
      <c r="T1" s="50"/>
      <c r="U1" s="50"/>
      <c r="V1" s="50"/>
      <c r="W1" s="50"/>
      <c r="X1" s="50"/>
      <c r="Y1" s="50"/>
      <c r="Z1" s="50"/>
      <c r="AA1" s="50"/>
      <c r="AB1" s="50"/>
      <c r="AC1" s="50"/>
      <c r="AD1" s="50"/>
      <c r="AE1" s="50"/>
      <c r="AF1" s="50"/>
      <c r="AG1" s="50"/>
      <c r="AH1" s="50"/>
      <c r="AI1" s="50"/>
    </row>
    <row r="2" spans="2:35" x14ac:dyDescent="0.3">
      <c r="B2" s="183" t="s">
        <v>48</v>
      </c>
      <c r="C2" s="183" t="s">
        <v>51</v>
      </c>
      <c r="D2" s="183" t="s">
        <v>15</v>
      </c>
      <c r="E2" s="184" t="s">
        <v>1</v>
      </c>
      <c r="F2" s="185" t="s">
        <v>52</v>
      </c>
      <c r="G2" s="186" t="s">
        <v>53</v>
      </c>
      <c r="H2" s="187" t="s">
        <v>54</v>
      </c>
      <c r="I2" s="50"/>
      <c r="J2" s="50"/>
      <c r="K2" s="50"/>
      <c r="L2" s="151"/>
      <c r="M2" s="50"/>
      <c r="N2" s="50"/>
      <c r="O2" s="50"/>
      <c r="P2" s="50"/>
      <c r="Q2" s="50"/>
      <c r="R2" s="50"/>
      <c r="S2" s="50"/>
      <c r="T2" s="50"/>
      <c r="U2" s="50"/>
      <c r="V2" s="50"/>
      <c r="W2" s="50"/>
      <c r="X2" s="50"/>
      <c r="Y2" s="50"/>
      <c r="Z2" s="50"/>
      <c r="AA2" s="50"/>
      <c r="AB2" s="50"/>
      <c r="AC2" s="50"/>
      <c r="AD2" s="50"/>
      <c r="AE2" s="50"/>
      <c r="AF2" s="50"/>
      <c r="AG2" s="50"/>
      <c r="AH2" s="50"/>
      <c r="AI2" s="50"/>
    </row>
    <row r="3" spans="2:35" ht="20.399999999999999" x14ac:dyDescent="0.3">
      <c r="B3" s="148" t="s">
        <v>741</v>
      </c>
      <c r="C3" s="148" t="s">
        <v>59</v>
      </c>
      <c r="D3" s="148"/>
      <c r="E3" s="152">
        <v>2030</v>
      </c>
      <c r="F3" s="30">
        <v>35</v>
      </c>
      <c r="G3" s="30">
        <v>64</v>
      </c>
      <c r="H3" s="30">
        <v>82</v>
      </c>
      <c r="I3" s="9" t="s">
        <v>60</v>
      </c>
      <c r="K3" s="9" t="s">
        <v>60</v>
      </c>
      <c r="L3" s="188" t="s">
        <v>61</v>
      </c>
      <c r="N3" s="85" t="s">
        <v>62</v>
      </c>
    </row>
    <row r="4" spans="2:35" x14ac:dyDescent="0.3">
      <c r="B4" s="148" t="s">
        <v>742</v>
      </c>
      <c r="C4" s="148" t="s">
        <v>65</v>
      </c>
      <c r="D4" s="148"/>
      <c r="E4" s="152">
        <v>2030</v>
      </c>
      <c r="F4" s="30">
        <v>4.5999999999999996</v>
      </c>
      <c r="G4" s="30">
        <v>7.9</v>
      </c>
      <c r="H4" s="30">
        <v>8.5</v>
      </c>
      <c r="I4" s="9" t="s">
        <v>60</v>
      </c>
      <c r="K4" s="9" t="s">
        <v>66</v>
      </c>
      <c r="L4" s="188" t="s">
        <v>67</v>
      </c>
      <c r="N4" s="85" t="s">
        <v>68</v>
      </c>
    </row>
    <row r="5" spans="2:35" x14ac:dyDescent="0.3">
      <c r="B5" s="148" t="s">
        <v>743</v>
      </c>
      <c r="C5" s="148" t="s">
        <v>65</v>
      </c>
      <c r="D5" s="148"/>
      <c r="E5" s="152">
        <v>2030</v>
      </c>
      <c r="F5" s="30">
        <v>52</v>
      </c>
      <c r="G5" s="30">
        <v>62</v>
      </c>
      <c r="H5" s="30">
        <v>60</v>
      </c>
      <c r="I5" s="9" t="s">
        <v>60</v>
      </c>
      <c r="K5" s="9" t="s">
        <v>71</v>
      </c>
      <c r="L5" s="188" t="s">
        <v>72</v>
      </c>
      <c r="N5" s="85" t="s">
        <v>73</v>
      </c>
    </row>
    <row r="6" spans="2:35" ht="20.399999999999999" x14ac:dyDescent="0.3">
      <c r="B6" s="148" t="s">
        <v>744</v>
      </c>
      <c r="C6" s="148" t="s">
        <v>76</v>
      </c>
      <c r="D6" s="148"/>
      <c r="E6" s="152">
        <v>2030</v>
      </c>
      <c r="F6" s="240" t="s">
        <v>77</v>
      </c>
      <c r="G6" s="240"/>
      <c r="H6" s="240"/>
      <c r="I6" s="111" t="s">
        <v>78</v>
      </c>
      <c r="K6" s="9" t="s">
        <v>79</v>
      </c>
      <c r="L6" s="188" t="s">
        <v>80</v>
      </c>
      <c r="N6" t="s">
        <v>81</v>
      </c>
    </row>
    <row r="7" spans="2:35" x14ac:dyDescent="0.3">
      <c r="B7" s="148" t="s">
        <v>745</v>
      </c>
      <c r="C7" s="148" t="s">
        <v>84</v>
      </c>
      <c r="D7" s="190"/>
      <c r="E7" s="152">
        <v>2030</v>
      </c>
      <c r="F7" s="191">
        <f>'Price of Peat'!N27</f>
        <v>66.710526315789465</v>
      </c>
      <c r="G7" s="191">
        <f>'Price of Peat'!Q27</f>
        <v>79.539473684210535</v>
      </c>
      <c r="H7" s="191">
        <f>'Price of Peat'!T27</f>
        <v>76.973684210526315</v>
      </c>
      <c r="I7" s="9" t="s">
        <v>85</v>
      </c>
      <c r="K7" s="9" t="s">
        <v>86</v>
      </c>
      <c r="L7" s="188" t="s">
        <v>87</v>
      </c>
      <c r="N7" t="s">
        <v>88</v>
      </c>
    </row>
    <row r="8" spans="2:35" x14ac:dyDescent="0.3">
      <c r="B8" s="148" t="s">
        <v>746</v>
      </c>
      <c r="C8" s="148" t="s">
        <v>84</v>
      </c>
      <c r="D8" s="190"/>
      <c r="E8" s="152">
        <v>2030</v>
      </c>
      <c r="F8" s="191">
        <f>'Price of Biofuels'!I9</f>
        <v>38.611007875148701</v>
      </c>
      <c r="G8" s="191">
        <f>'Price of Biofuels'!J9</f>
        <v>51.481343833531596</v>
      </c>
      <c r="H8" s="191">
        <f>'Price of Biofuels'!K9</f>
        <v>64.351679791914492</v>
      </c>
      <c r="I8" s="111" t="s">
        <v>91</v>
      </c>
      <c r="K8" s="9" t="s">
        <v>92</v>
      </c>
      <c r="L8" s="188" t="s">
        <v>93</v>
      </c>
    </row>
    <row r="9" spans="2:35" x14ac:dyDescent="0.3">
      <c r="B9" s="148" t="s">
        <v>747</v>
      </c>
      <c r="C9" s="148" t="s">
        <v>84</v>
      </c>
      <c r="D9" s="190"/>
      <c r="E9" s="152">
        <v>2030</v>
      </c>
      <c r="F9" s="191">
        <f>'Price of Biofuels'!I10</f>
        <v>73.00817996694488</v>
      </c>
      <c r="G9" s="191">
        <f>'Price of Biofuels'!J10</f>
        <v>97.344239955926497</v>
      </c>
      <c r="H9" s="191">
        <f>'Price of Biofuels'!K10</f>
        <v>121.68029994490811</v>
      </c>
      <c r="I9" s="111" t="s">
        <v>91</v>
      </c>
      <c r="K9" s="9" t="s">
        <v>96</v>
      </c>
      <c r="L9" s="188" t="s">
        <v>97</v>
      </c>
    </row>
    <row r="10" spans="2:35" x14ac:dyDescent="0.3">
      <c r="B10" s="148" t="s">
        <v>748</v>
      </c>
      <c r="C10" s="148" t="s">
        <v>84</v>
      </c>
      <c r="D10" s="190"/>
      <c r="E10" s="152">
        <v>2030</v>
      </c>
      <c r="F10" s="191">
        <f>'Price of Solid biomass'!M13</f>
        <v>7.1279999942976016</v>
      </c>
      <c r="G10" s="191">
        <f>'Price of Solid biomass'!N13</f>
        <v>9.5039999923968015</v>
      </c>
      <c r="H10" s="191">
        <f>'Price of Solid biomass'!O13</f>
        <v>11.879999990496001</v>
      </c>
      <c r="I10" s="111" t="s">
        <v>99</v>
      </c>
      <c r="K10" s="9"/>
      <c r="L10" s="188"/>
    </row>
    <row r="11" spans="2:35" ht="21.6" x14ac:dyDescent="0.3">
      <c r="B11" s="148" t="s">
        <v>749</v>
      </c>
      <c r="C11" s="148" t="s">
        <v>84</v>
      </c>
      <c r="E11" s="152">
        <v>2030</v>
      </c>
      <c r="F11" s="191">
        <f>'Price of Solid biomass'!M14</f>
        <v>5.3459999957232007</v>
      </c>
      <c r="G11" s="191">
        <f>'Price of Solid biomass'!N14</f>
        <v>7.1279999942976016</v>
      </c>
      <c r="H11" s="191">
        <f>'Price of Solid biomass'!O14</f>
        <v>8.9099999928720024</v>
      </c>
      <c r="I11" s="111" t="s">
        <v>99</v>
      </c>
      <c r="K11" s="111" t="s">
        <v>91</v>
      </c>
      <c r="L11" s="192" t="s">
        <v>101</v>
      </c>
    </row>
    <row r="12" spans="2:35" x14ac:dyDescent="0.3">
      <c r="B12" s="152" t="s">
        <v>750</v>
      </c>
      <c r="C12" s="190" t="s">
        <v>104</v>
      </c>
      <c r="E12" s="152">
        <v>2030</v>
      </c>
      <c r="F12" s="30">
        <v>14460</v>
      </c>
      <c r="G12" s="30">
        <v>14528</v>
      </c>
      <c r="H12" s="30">
        <v>14686</v>
      </c>
      <c r="I12" s="9" t="s">
        <v>60</v>
      </c>
      <c r="K12" s="111" t="s">
        <v>91</v>
      </c>
      <c r="L12" s="192" t="s">
        <v>105</v>
      </c>
    </row>
    <row r="13" spans="2:35" ht="21.6" x14ac:dyDescent="0.3">
      <c r="B13" s="152" t="s">
        <v>751</v>
      </c>
      <c r="C13" s="190" t="s">
        <v>104</v>
      </c>
      <c r="E13" s="152">
        <v>2030</v>
      </c>
      <c r="F13" s="30">
        <v>14783</v>
      </c>
      <c r="G13" s="30">
        <v>15265</v>
      </c>
      <c r="H13" s="30">
        <v>15772</v>
      </c>
      <c r="I13" s="9" t="s">
        <v>60</v>
      </c>
      <c r="K13" s="111" t="s">
        <v>107</v>
      </c>
      <c r="L13" s="192" t="s">
        <v>108</v>
      </c>
    </row>
    <row r="14" spans="2:35" x14ac:dyDescent="0.3">
      <c r="B14" s="152" t="s">
        <v>752</v>
      </c>
      <c r="C14" s="190" t="s">
        <v>104</v>
      </c>
      <c r="E14" s="152">
        <v>2030</v>
      </c>
      <c r="F14" s="30">
        <v>315</v>
      </c>
      <c r="G14" s="30">
        <v>390</v>
      </c>
      <c r="H14" s="30">
        <v>575</v>
      </c>
      <c r="I14" s="9" t="s">
        <v>60</v>
      </c>
      <c r="K14" s="111" t="s">
        <v>111</v>
      </c>
      <c r="L14" s="193" t="s">
        <v>112</v>
      </c>
    </row>
    <row r="15" spans="2:35" ht="20.399999999999999" x14ac:dyDescent="0.3">
      <c r="B15" s="152" t="s">
        <v>753</v>
      </c>
      <c r="C15" s="190" t="s">
        <v>104</v>
      </c>
      <c r="E15" s="152">
        <v>2030</v>
      </c>
      <c r="F15" s="30">
        <v>44.8</v>
      </c>
      <c r="G15" s="30">
        <v>52.4</v>
      </c>
      <c r="H15" s="30">
        <v>60.3</v>
      </c>
      <c r="I15" s="9" t="s">
        <v>60</v>
      </c>
      <c r="K15" s="111" t="s">
        <v>114</v>
      </c>
      <c r="L15" s="194" t="s">
        <v>115</v>
      </c>
    </row>
    <row r="16" spans="2:35" x14ac:dyDescent="0.3">
      <c r="B16" s="152" t="s">
        <v>754</v>
      </c>
      <c r="C16" s="190" t="s">
        <v>104</v>
      </c>
      <c r="E16" s="152">
        <v>2030</v>
      </c>
      <c r="F16" s="30">
        <v>178</v>
      </c>
      <c r="G16" s="30">
        <v>184</v>
      </c>
      <c r="H16" s="30">
        <v>185</v>
      </c>
      <c r="I16" s="9" t="s">
        <v>60</v>
      </c>
      <c r="K16" s="111" t="s">
        <v>78</v>
      </c>
      <c r="L16" s="192" t="s">
        <v>118</v>
      </c>
    </row>
    <row r="17" spans="2:12" x14ac:dyDescent="0.3">
      <c r="B17" t="s">
        <v>119</v>
      </c>
      <c r="C17" s="190" t="s">
        <v>120</v>
      </c>
      <c r="D17" s="104"/>
      <c r="E17" s="152">
        <v>2030</v>
      </c>
      <c r="F17" s="241" t="s">
        <v>121</v>
      </c>
      <c r="G17" s="241"/>
      <c r="H17" s="241"/>
      <c r="I17" s="9" t="s">
        <v>122</v>
      </c>
    </row>
    <row r="18" spans="2:12" x14ac:dyDescent="0.3">
      <c r="B18" t="s">
        <v>123</v>
      </c>
      <c r="C18" s="190" t="s">
        <v>120</v>
      </c>
      <c r="D18" s="195"/>
      <c r="E18" s="152">
        <v>2030</v>
      </c>
      <c r="F18" s="241"/>
      <c r="G18" s="241"/>
      <c r="H18" s="241"/>
      <c r="I18" s="9" t="s">
        <v>122</v>
      </c>
    </row>
    <row r="19" spans="2:12" x14ac:dyDescent="0.3">
      <c r="B19" s="148" t="s">
        <v>124</v>
      </c>
      <c r="C19" s="190" t="s">
        <v>120</v>
      </c>
      <c r="D19" s="195"/>
      <c r="E19" s="152">
        <v>2030</v>
      </c>
      <c r="F19" s="241"/>
      <c r="G19" s="241"/>
      <c r="H19" s="241"/>
      <c r="I19" s="9" t="s">
        <v>122</v>
      </c>
    </row>
    <row r="20" spans="2:12" ht="22.2" customHeight="1" x14ac:dyDescent="0.3">
      <c r="B20" s="190" t="s">
        <v>125</v>
      </c>
      <c r="C20" s="190" t="s">
        <v>104</v>
      </c>
      <c r="D20" t="s">
        <v>126</v>
      </c>
      <c r="E20" s="152">
        <v>2030</v>
      </c>
      <c r="F20" s="196">
        <f>0.2*15%</f>
        <v>0.03</v>
      </c>
      <c r="G20" s="197">
        <f>0.2*15%</f>
        <v>0.03</v>
      </c>
      <c r="H20" s="197">
        <f>0.2*17.5%</f>
        <v>3.4999999999999996E-2</v>
      </c>
      <c r="I20" s="9" t="s">
        <v>127</v>
      </c>
      <c r="L20" s="8" t="s">
        <v>755</v>
      </c>
    </row>
    <row r="21" spans="2:12" x14ac:dyDescent="0.3">
      <c r="B21" s="190" t="s">
        <v>129</v>
      </c>
      <c r="C21" s="190" t="s">
        <v>104</v>
      </c>
      <c r="D21" t="s">
        <v>130</v>
      </c>
      <c r="E21" s="152">
        <v>2030</v>
      </c>
      <c r="F21" s="197">
        <f>F20</f>
        <v>0.03</v>
      </c>
      <c r="G21" s="197">
        <f>G20</f>
        <v>0.03</v>
      </c>
      <c r="H21" s="197">
        <f>H20</f>
        <v>3.4999999999999996E-2</v>
      </c>
      <c r="I21" s="9" t="s">
        <v>127</v>
      </c>
    </row>
    <row r="22" spans="2:12" x14ac:dyDescent="0.3">
      <c r="B22" s="190" t="s">
        <v>131</v>
      </c>
      <c r="C22" s="190" t="s">
        <v>104</v>
      </c>
      <c r="D22" t="s">
        <v>126</v>
      </c>
      <c r="E22" s="152">
        <v>2030</v>
      </c>
      <c r="F22" s="196">
        <f>0.2*20%</f>
        <v>4.0000000000000008E-2</v>
      </c>
      <c r="G22" s="196">
        <f>0.2*44%</f>
        <v>8.8000000000000009E-2</v>
      </c>
      <c r="H22" s="196">
        <f>0.2*55%</f>
        <v>0.11000000000000001</v>
      </c>
      <c r="I22" s="9" t="s">
        <v>127</v>
      </c>
      <c r="J22" s="196"/>
      <c r="K22" s="196"/>
      <c r="L22" s="196"/>
    </row>
    <row r="23" spans="2:12" x14ac:dyDescent="0.3">
      <c r="B23" s="190" t="s">
        <v>132</v>
      </c>
      <c r="C23" s="190" t="s">
        <v>104</v>
      </c>
      <c r="D23" t="s">
        <v>130</v>
      </c>
      <c r="E23" s="152">
        <v>2030</v>
      </c>
      <c r="F23" s="196">
        <f>F22</f>
        <v>4.0000000000000008E-2</v>
      </c>
      <c r="G23" s="196">
        <f t="shared" ref="G23:H23" si="0">G22</f>
        <v>8.8000000000000009E-2</v>
      </c>
      <c r="H23" s="196">
        <f t="shared" si="0"/>
        <v>0.11000000000000001</v>
      </c>
      <c r="I23" s="9" t="s">
        <v>127</v>
      </c>
    </row>
    <row r="24" spans="2:12" x14ac:dyDescent="0.3">
      <c r="B24" s="190" t="s">
        <v>133</v>
      </c>
      <c r="C24" s="190" t="s">
        <v>104</v>
      </c>
      <c r="D24" t="s">
        <v>126</v>
      </c>
      <c r="E24" s="152">
        <v>2030</v>
      </c>
      <c r="F24" s="196">
        <f>0.2*15%</f>
        <v>0.03</v>
      </c>
      <c r="G24" s="196">
        <f>0.2*30%</f>
        <v>0.06</v>
      </c>
      <c r="H24" s="196">
        <f>0.2*40%</f>
        <v>8.0000000000000016E-2</v>
      </c>
      <c r="I24" s="9" t="s">
        <v>127</v>
      </c>
      <c r="J24" s="196"/>
      <c r="K24" s="196"/>
      <c r="L24" s="196"/>
    </row>
    <row r="25" spans="2:12" x14ac:dyDescent="0.3">
      <c r="B25" s="190" t="s">
        <v>134</v>
      </c>
      <c r="C25" s="190" t="s">
        <v>104</v>
      </c>
      <c r="D25" t="s">
        <v>130</v>
      </c>
      <c r="E25" s="152">
        <v>2030</v>
      </c>
      <c r="F25" s="196">
        <f>F24</f>
        <v>0.03</v>
      </c>
      <c r="G25" s="196">
        <f t="shared" ref="G25:H25" si="1">G24</f>
        <v>0.06</v>
      </c>
      <c r="H25" s="196">
        <f t="shared" si="1"/>
        <v>8.0000000000000016E-2</v>
      </c>
      <c r="I25" s="9" t="s">
        <v>127</v>
      </c>
    </row>
    <row r="26" spans="2:12" x14ac:dyDescent="0.3">
      <c r="B26" s="190" t="s">
        <v>756</v>
      </c>
      <c r="C26" s="190" t="s">
        <v>65</v>
      </c>
      <c r="E26" s="152">
        <v>2030</v>
      </c>
      <c r="F26" s="9">
        <v>90</v>
      </c>
      <c r="G26" s="9">
        <v>135</v>
      </c>
      <c r="H26" s="9">
        <v>140</v>
      </c>
      <c r="I26" s="9" t="s">
        <v>60</v>
      </c>
    </row>
    <row r="27" spans="2:12" x14ac:dyDescent="0.3">
      <c r="B27" s="175" t="s">
        <v>221</v>
      </c>
      <c r="C27" s="190"/>
      <c r="D27" t="s">
        <v>137</v>
      </c>
      <c r="E27" s="152">
        <v>2030</v>
      </c>
      <c r="F27" s="196">
        <v>0.1</v>
      </c>
      <c r="G27" s="196">
        <v>0.3</v>
      </c>
      <c r="H27" s="196">
        <v>0.6</v>
      </c>
      <c r="I27" s="9" t="s">
        <v>138</v>
      </c>
    </row>
    <row r="28" spans="2:12" x14ac:dyDescent="0.3">
      <c r="B28" s="190" t="s">
        <v>139</v>
      </c>
      <c r="C28" s="190"/>
      <c r="E28" s="152">
        <v>2030</v>
      </c>
      <c r="F28" s="196">
        <v>0</v>
      </c>
      <c r="G28" s="196">
        <v>0.15</v>
      </c>
      <c r="H28" s="196">
        <v>0.3</v>
      </c>
      <c r="I28" s="9" t="s">
        <v>138</v>
      </c>
    </row>
    <row r="29" spans="2:12" x14ac:dyDescent="0.3">
      <c r="B29" s="190" t="s">
        <v>140</v>
      </c>
      <c r="C29" s="190"/>
      <c r="D29" t="s">
        <v>141</v>
      </c>
      <c r="E29" s="152">
        <v>2030</v>
      </c>
      <c r="F29" s="197">
        <f t="shared" ref="F29:H30" si="2">F22</f>
        <v>4.0000000000000008E-2</v>
      </c>
      <c r="G29" s="197">
        <f t="shared" si="2"/>
        <v>8.8000000000000009E-2</v>
      </c>
      <c r="H29" s="197">
        <f t="shared" si="2"/>
        <v>0.11000000000000001</v>
      </c>
      <c r="I29" s="9" t="s">
        <v>127</v>
      </c>
    </row>
    <row r="30" spans="2:12" x14ac:dyDescent="0.3">
      <c r="B30" s="190" t="s">
        <v>142</v>
      </c>
      <c r="C30" s="190"/>
      <c r="D30" t="s">
        <v>141</v>
      </c>
      <c r="E30" s="152">
        <v>2030</v>
      </c>
      <c r="F30" s="197">
        <f t="shared" si="2"/>
        <v>4.0000000000000008E-2</v>
      </c>
      <c r="G30" s="197">
        <f t="shared" si="2"/>
        <v>8.8000000000000009E-2</v>
      </c>
      <c r="H30" s="197">
        <f t="shared" si="2"/>
        <v>0.11000000000000001</v>
      </c>
      <c r="I30" s="9" t="s">
        <v>127</v>
      </c>
    </row>
    <row r="31" spans="2:12" x14ac:dyDescent="0.3">
      <c r="B31" s="239" t="s">
        <v>757</v>
      </c>
      <c r="C31" s="152" t="s">
        <v>65</v>
      </c>
      <c r="D31" s="148" t="s">
        <v>145</v>
      </c>
      <c r="E31" s="152">
        <v>2030</v>
      </c>
      <c r="F31" s="30">
        <v>5100</v>
      </c>
      <c r="G31" s="30">
        <v>5100</v>
      </c>
      <c r="H31" s="30">
        <v>5100</v>
      </c>
      <c r="I31" s="9" t="s">
        <v>60</v>
      </c>
    </row>
    <row r="32" spans="2:12" x14ac:dyDescent="0.3">
      <c r="B32" s="239"/>
      <c r="C32" s="152" t="s">
        <v>65</v>
      </c>
      <c r="D32" s="148" t="s">
        <v>146</v>
      </c>
      <c r="E32" s="152">
        <v>2030</v>
      </c>
      <c r="F32" s="30">
        <v>2000</v>
      </c>
      <c r="G32" s="30">
        <v>2000</v>
      </c>
      <c r="H32" s="30">
        <v>2000</v>
      </c>
      <c r="I32" s="9" t="s">
        <v>60</v>
      </c>
    </row>
    <row r="33" spans="2:9" x14ac:dyDescent="0.3">
      <c r="B33" s="239"/>
      <c r="C33" s="152" t="s">
        <v>65</v>
      </c>
      <c r="D33" s="148" t="s">
        <v>147</v>
      </c>
      <c r="E33" s="152">
        <v>2030</v>
      </c>
      <c r="F33" s="30">
        <v>1000</v>
      </c>
      <c r="G33" s="30">
        <v>1000</v>
      </c>
      <c r="H33" s="30">
        <v>1000</v>
      </c>
      <c r="I33" s="9" t="s">
        <v>60</v>
      </c>
    </row>
    <row r="34" spans="2:9" x14ac:dyDescent="0.3">
      <c r="B34" s="239"/>
      <c r="C34" s="152" t="s">
        <v>65</v>
      </c>
      <c r="D34" s="148" t="s">
        <v>148</v>
      </c>
      <c r="E34" s="152">
        <v>2030</v>
      </c>
      <c r="F34" s="30">
        <v>470</v>
      </c>
      <c r="G34" s="30">
        <v>510</v>
      </c>
      <c r="H34" s="30">
        <v>530</v>
      </c>
      <c r="I34" s="9" t="s">
        <v>60</v>
      </c>
    </row>
    <row r="35" spans="2:9" x14ac:dyDescent="0.3">
      <c r="B35" s="239"/>
      <c r="C35" s="152" t="s">
        <v>65</v>
      </c>
      <c r="D35" t="s">
        <v>149</v>
      </c>
      <c r="E35" s="152">
        <v>2030</v>
      </c>
      <c r="F35" s="30">
        <v>1470</v>
      </c>
      <c r="G35" s="30">
        <v>1490</v>
      </c>
      <c r="H35" s="30">
        <v>1510</v>
      </c>
      <c r="I35" s="9" t="s">
        <v>60</v>
      </c>
    </row>
    <row r="36" spans="2:9" x14ac:dyDescent="0.3">
      <c r="B36" s="239"/>
      <c r="C36" s="152" t="s">
        <v>65</v>
      </c>
      <c r="D36" t="s">
        <v>150</v>
      </c>
      <c r="E36" s="152">
        <v>2030</v>
      </c>
      <c r="F36" s="30">
        <v>1800</v>
      </c>
      <c r="G36" s="30">
        <v>1920</v>
      </c>
      <c r="H36" s="30">
        <v>2000</v>
      </c>
      <c r="I36" s="9" t="s">
        <v>60</v>
      </c>
    </row>
    <row r="37" spans="2:9" x14ac:dyDescent="0.3">
      <c r="B37" s="239" t="s">
        <v>151</v>
      </c>
      <c r="C37" s="152" t="s">
        <v>65</v>
      </c>
      <c r="D37" s="148" t="s">
        <v>145</v>
      </c>
      <c r="E37" s="152">
        <v>2030</v>
      </c>
      <c r="F37" s="30">
        <v>80</v>
      </c>
      <c r="G37" s="30">
        <v>80</v>
      </c>
      <c r="H37" s="30">
        <v>80</v>
      </c>
      <c r="I37" s="9" t="s">
        <v>60</v>
      </c>
    </row>
    <row r="38" spans="2:9" x14ac:dyDescent="0.3">
      <c r="B38" s="239"/>
      <c r="C38" s="152" t="s">
        <v>65</v>
      </c>
      <c r="D38" s="148" t="s">
        <v>146</v>
      </c>
      <c r="E38" s="152">
        <v>2030</v>
      </c>
      <c r="F38" s="30" t="s">
        <v>152</v>
      </c>
      <c r="G38" s="30" t="s">
        <v>152</v>
      </c>
      <c r="H38" s="30">
        <v>20</v>
      </c>
      <c r="I38" s="9" t="s">
        <v>60</v>
      </c>
    </row>
    <row r="39" spans="2:9" x14ac:dyDescent="0.3">
      <c r="B39" s="239"/>
      <c r="C39" s="152" t="s">
        <v>65</v>
      </c>
      <c r="D39" s="148" t="s">
        <v>147</v>
      </c>
      <c r="E39" s="152">
        <v>2030</v>
      </c>
      <c r="F39" s="30">
        <v>15</v>
      </c>
      <c r="G39" s="30">
        <v>10</v>
      </c>
      <c r="H39" s="30">
        <v>10</v>
      </c>
      <c r="I39" s="9" t="s">
        <v>60</v>
      </c>
    </row>
    <row r="40" spans="2:9" x14ac:dyDescent="0.3">
      <c r="B40" s="239"/>
      <c r="C40" s="152" t="s">
        <v>65</v>
      </c>
      <c r="D40" s="148" t="s">
        <v>148</v>
      </c>
      <c r="E40" s="152">
        <v>2030</v>
      </c>
      <c r="F40" s="30">
        <v>14</v>
      </c>
      <c r="G40" s="30">
        <v>14</v>
      </c>
      <c r="H40" s="30">
        <v>14</v>
      </c>
      <c r="I40" s="9" t="s">
        <v>60</v>
      </c>
    </row>
    <row r="41" spans="2:9" x14ac:dyDescent="0.3">
      <c r="B41" s="239"/>
      <c r="C41" s="152" t="s">
        <v>65</v>
      </c>
      <c r="D41" t="s">
        <v>149</v>
      </c>
      <c r="E41" s="152">
        <v>2030</v>
      </c>
      <c r="F41" s="30">
        <v>30</v>
      </c>
      <c r="G41" s="30">
        <v>30</v>
      </c>
      <c r="H41" s="30">
        <v>30</v>
      </c>
      <c r="I41" s="9" t="s">
        <v>60</v>
      </c>
    </row>
    <row r="42" spans="2:9" x14ac:dyDescent="0.3">
      <c r="B42" s="239"/>
      <c r="C42" s="152" t="s">
        <v>65</v>
      </c>
      <c r="D42" t="s">
        <v>150</v>
      </c>
      <c r="E42" s="152">
        <v>2030</v>
      </c>
      <c r="F42" s="30">
        <v>56</v>
      </c>
      <c r="G42" s="30">
        <v>56</v>
      </c>
      <c r="H42" s="30">
        <v>56</v>
      </c>
      <c r="I42" s="9" t="s">
        <v>60</v>
      </c>
    </row>
    <row r="43" spans="2:9" x14ac:dyDescent="0.3">
      <c r="B43" s="239" t="s">
        <v>758</v>
      </c>
      <c r="C43" s="152" t="s">
        <v>65</v>
      </c>
      <c r="D43" s="148" t="s">
        <v>145</v>
      </c>
      <c r="E43" s="152">
        <v>2030</v>
      </c>
      <c r="F43" s="30">
        <v>35</v>
      </c>
      <c r="G43" s="30">
        <v>35</v>
      </c>
      <c r="H43" s="30">
        <v>35</v>
      </c>
      <c r="I43" s="9" t="s">
        <v>60</v>
      </c>
    </row>
    <row r="44" spans="2:9" x14ac:dyDescent="0.3">
      <c r="B44" s="239"/>
      <c r="C44" s="152" t="s">
        <v>65</v>
      </c>
      <c r="D44" s="148" t="s">
        <v>146</v>
      </c>
      <c r="E44" s="152">
        <v>2030</v>
      </c>
      <c r="F44" s="30">
        <v>185</v>
      </c>
      <c r="G44" s="30">
        <v>175</v>
      </c>
      <c r="H44" s="30">
        <v>130</v>
      </c>
      <c r="I44" s="9" t="s">
        <v>60</v>
      </c>
    </row>
    <row r="45" spans="2:9" x14ac:dyDescent="0.3">
      <c r="B45" s="239"/>
      <c r="C45" s="152" t="s">
        <v>65</v>
      </c>
      <c r="D45" s="148" t="s">
        <v>147</v>
      </c>
      <c r="E45" s="152">
        <v>2030</v>
      </c>
      <c r="F45" s="30">
        <v>115</v>
      </c>
      <c r="G45" s="30">
        <v>130</v>
      </c>
      <c r="H45" s="30">
        <v>120</v>
      </c>
      <c r="I45" s="9" t="s">
        <v>60</v>
      </c>
    </row>
    <row r="46" spans="2:9" x14ac:dyDescent="0.3">
      <c r="B46" s="239"/>
      <c r="C46" s="152" t="s">
        <v>65</v>
      </c>
      <c r="D46" s="148" t="s">
        <v>148</v>
      </c>
      <c r="E46" s="152">
        <v>2030</v>
      </c>
      <c r="F46" s="30">
        <v>10</v>
      </c>
      <c r="G46" s="30">
        <v>10</v>
      </c>
      <c r="H46" s="30">
        <v>10</v>
      </c>
      <c r="I46" s="9" t="s">
        <v>60</v>
      </c>
    </row>
    <row r="47" spans="2:9" x14ac:dyDescent="0.3">
      <c r="B47" s="239"/>
      <c r="C47" s="152" t="s">
        <v>65</v>
      </c>
      <c r="D47" t="s">
        <v>149</v>
      </c>
      <c r="E47" s="152">
        <v>2030</v>
      </c>
      <c r="F47" s="30">
        <v>15</v>
      </c>
      <c r="G47" s="30">
        <v>15</v>
      </c>
      <c r="H47" s="30">
        <v>15</v>
      </c>
      <c r="I47" s="9" t="s">
        <v>60</v>
      </c>
    </row>
    <row r="48" spans="2:9" x14ac:dyDescent="0.3">
      <c r="B48" s="239"/>
      <c r="C48" s="152" t="s">
        <v>65</v>
      </c>
      <c r="D48" t="s">
        <v>150</v>
      </c>
      <c r="E48" s="152">
        <v>2030</v>
      </c>
      <c r="F48" s="30">
        <v>10</v>
      </c>
      <c r="G48" s="30">
        <v>10</v>
      </c>
      <c r="H48" s="30">
        <v>10</v>
      </c>
      <c r="I48" s="9" t="s">
        <v>60</v>
      </c>
    </row>
    <row r="49" spans="2:9" x14ac:dyDescent="0.3">
      <c r="B49" s="239" t="s">
        <v>759</v>
      </c>
      <c r="C49" s="152" t="s">
        <v>65</v>
      </c>
      <c r="D49" s="148" t="s">
        <v>145</v>
      </c>
      <c r="E49" s="152">
        <v>2030</v>
      </c>
      <c r="F49" s="30">
        <v>115</v>
      </c>
      <c r="G49" s="30">
        <v>115</v>
      </c>
      <c r="H49" s="30">
        <v>120</v>
      </c>
      <c r="I49" s="9" t="s">
        <v>60</v>
      </c>
    </row>
    <row r="50" spans="2:9" x14ac:dyDescent="0.3">
      <c r="B50" s="239"/>
      <c r="C50" s="152" t="s">
        <v>65</v>
      </c>
      <c r="D50" s="148" t="s">
        <v>146</v>
      </c>
      <c r="E50" s="152">
        <v>2030</v>
      </c>
      <c r="F50" s="30" t="s">
        <v>152</v>
      </c>
      <c r="G50" s="30" t="s">
        <v>152</v>
      </c>
      <c r="H50" s="30">
        <v>255</v>
      </c>
      <c r="I50" s="9" t="s">
        <v>60</v>
      </c>
    </row>
    <row r="51" spans="2:9" x14ac:dyDescent="0.3">
      <c r="B51" s="239"/>
      <c r="C51" s="152" t="s">
        <v>65</v>
      </c>
      <c r="D51" s="148" t="s">
        <v>147</v>
      </c>
      <c r="E51" s="152">
        <v>2030</v>
      </c>
      <c r="F51" s="30">
        <v>195</v>
      </c>
      <c r="G51" s="30">
        <v>240</v>
      </c>
      <c r="H51" s="30">
        <v>270</v>
      </c>
      <c r="I51" s="9" t="s">
        <v>60</v>
      </c>
    </row>
    <row r="52" spans="2:9" x14ac:dyDescent="0.3">
      <c r="B52" s="239"/>
      <c r="C52" s="152" t="s">
        <v>65</v>
      </c>
      <c r="D52" s="148" t="s">
        <v>148</v>
      </c>
      <c r="E52" s="152">
        <v>2030</v>
      </c>
      <c r="F52" s="30">
        <v>35</v>
      </c>
      <c r="G52" s="30">
        <v>35</v>
      </c>
      <c r="H52" s="30">
        <v>35</v>
      </c>
      <c r="I52" s="9" t="s">
        <v>60</v>
      </c>
    </row>
    <row r="53" spans="2:9" x14ac:dyDescent="0.3">
      <c r="B53" s="239"/>
      <c r="C53" s="152" t="s">
        <v>65</v>
      </c>
      <c r="D53" t="s">
        <v>149</v>
      </c>
      <c r="E53" s="152">
        <v>2030</v>
      </c>
      <c r="F53" s="30">
        <v>50</v>
      </c>
      <c r="G53" s="30">
        <v>50</v>
      </c>
      <c r="H53" s="30">
        <v>50</v>
      </c>
      <c r="I53" s="9" t="s">
        <v>60</v>
      </c>
    </row>
    <row r="54" spans="2:9" x14ac:dyDescent="0.3">
      <c r="B54" s="239"/>
      <c r="C54" s="152" t="s">
        <v>65</v>
      </c>
      <c r="D54" t="s">
        <v>150</v>
      </c>
      <c r="E54" s="152">
        <v>2030</v>
      </c>
      <c r="F54" s="30">
        <v>35</v>
      </c>
      <c r="G54" s="30">
        <v>35</v>
      </c>
      <c r="H54" s="30">
        <v>40</v>
      </c>
      <c r="I54" s="9" t="s">
        <v>60</v>
      </c>
    </row>
    <row r="55" spans="2:9" x14ac:dyDescent="0.3">
      <c r="B55" s="239" t="s">
        <v>760</v>
      </c>
      <c r="C55" s="152" t="s">
        <v>65</v>
      </c>
      <c r="D55" s="148" t="s">
        <v>145</v>
      </c>
      <c r="E55" s="152">
        <v>2030</v>
      </c>
      <c r="F55" s="198"/>
      <c r="G55" s="198"/>
      <c r="H55" s="30">
        <v>120</v>
      </c>
      <c r="I55" s="9" t="s">
        <v>60</v>
      </c>
    </row>
    <row r="56" spans="2:9" x14ac:dyDescent="0.3">
      <c r="B56" s="239"/>
      <c r="C56" s="152" t="s">
        <v>65</v>
      </c>
      <c r="D56" s="148" t="s">
        <v>146</v>
      </c>
      <c r="E56" s="152">
        <v>2030</v>
      </c>
      <c r="F56" s="198"/>
      <c r="G56" s="198"/>
      <c r="H56" s="30">
        <v>215</v>
      </c>
      <c r="I56" s="9" t="s">
        <v>60</v>
      </c>
    </row>
    <row r="57" spans="2:9" x14ac:dyDescent="0.3">
      <c r="B57" s="239"/>
      <c r="C57" s="152" t="s">
        <v>65</v>
      </c>
      <c r="D57" s="148" t="s">
        <v>147</v>
      </c>
      <c r="E57" s="152">
        <v>2030</v>
      </c>
      <c r="F57" s="198"/>
      <c r="G57" s="198"/>
      <c r="H57" s="30">
        <v>220</v>
      </c>
      <c r="I57" s="9" t="s">
        <v>60</v>
      </c>
    </row>
    <row r="58" spans="2:9" x14ac:dyDescent="0.3">
      <c r="B58" s="239"/>
      <c r="C58" s="152" t="s">
        <v>65</v>
      </c>
      <c r="D58" s="148" t="s">
        <v>148</v>
      </c>
      <c r="E58" s="152">
        <v>2030</v>
      </c>
      <c r="F58" s="198"/>
      <c r="G58" s="198"/>
      <c r="H58" s="30">
        <v>80</v>
      </c>
      <c r="I58" s="9" t="s">
        <v>60</v>
      </c>
    </row>
    <row r="59" spans="2:9" x14ac:dyDescent="0.3">
      <c r="B59" s="239"/>
      <c r="C59" s="152" t="s">
        <v>65</v>
      </c>
      <c r="D59" t="s">
        <v>149</v>
      </c>
      <c r="E59" s="152">
        <v>2030</v>
      </c>
      <c r="F59" s="198"/>
      <c r="G59" s="198"/>
      <c r="H59" s="30">
        <v>60</v>
      </c>
      <c r="I59" s="9" t="s">
        <v>60</v>
      </c>
    </row>
    <row r="60" spans="2:9" x14ac:dyDescent="0.3">
      <c r="B60" s="239"/>
      <c r="C60" s="152" t="s">
        <v>65</v>
      </c>
      <c r="D60" t="s">
        <v>150</v>
      </c>
      <c r="E60" s="152">
        <v>2030</v>
      </c>
      <c r="F60" s="198"/>
      <c r="G60" s="198"/>
      <c r="H60" s="30">
        <v>45</v>
      </c>
      <c r="I60" s="9" t="s">
        <v>60</v>
      </c>
    </row>
    <row r="61" spans="2:9" x14ac:dyDescent="0.3">
      <c r="B61" s="148" t="s">
        <v>741</v>
      </c>
      <c r="C61" s="148" t="s">
        <v>59</v>
      </c>
      <c r="D61" s="148"/>
      <c r="E61" s="152">
        <v>2050</v>
      </c>
      <c r="F61" s="30">
        <v>24</v>
      </c>
      <c r="G61" s="30">
        <v>60</v>
      </c>
      <c r="H61" s="30">
        <v>95</v>
      </c>
      <c r="I61" s="9" t="s">
        <v>60</v>
      </c>
    </row>
    <row r="62" spans="2:9" x14ac:dyDescent="0.3">
      <c r="B62" s="148" t="s">
        <v>742</v>
      </c>
      <c r="C62" s="148" t="s">
        <v>65</v>
      </c>
      <c r="D62" s="148"/>
      <c r="E62" s="152">
        <v>2050</v>
      </c>
      <c r="F62" s="30">
        <v>3.8</v>
      </c>
      <c r="G62" s="30">
        <v>6.3</v>
      </c>
      <c r="H62" s="30">
        <v>9.1999999999999993</v>
      </c>
      <c r="I62" s="9" t="s">
        <v>60</v>
      </c>
    </row>
    <row r="63" spans="2:9" x14ac:dyDescent="0.3">
      <c r="B63" s="148" t="s">
        <v>743</v>
      </c>
      <c r="C63" s="148" t="s">
        <v>65</v>
      </c>
      <c r="D63" s="148"/>
      <c r="E63" s="152">
        <v>2050</v>
      </c>
      <c r="F63" s="30">
        <v>42</v>
      </c>
      <c r="G63" s="30">
        <v>53</v>
      </c>
      <c r="H63" s="30">
        <v>64</v>
      </c>
      <c r="I63" s="9" t="s">
        <v>60</v>
      </c>
    </row>
    <row r="64" spans="2:9" x14ac:dyDescent="0.3">
      <c r="B64" s="148" t="s">
        <v>744</v>
      </c>
      <c r="C64" s="148" t="s">
        <v>76</v>
      </c>
      <c r="D64" s="148"/>
      <c r="E64" s="152">
        <v>2050</v>
      </c>
      <c r="F64" s="242" t="s">
        <v>77</v>
      </c>
      <c r="G64" s="242"/>
      <c r="H64" s="242"/>
      <c r="I64" s="111" t="s">
        <v>78</v>
      </c>
    </row>
    <row r="65" spans="2:12" x14ac:dyDescent="0.3">
      <c r="B65" s="148" t="s">
        <v>745</v>
      </c>
      <c r="C65" s="148" t="s">
        <v>84</v>
      </c>
      <c r="D65" s="190"/>
      <c r="E65" s="152">
        <v>2050</v>
      </c>
      <c r="F65" s="191">
        <f>'Price of Peat'!O27</f>
        <v>53.881578947368418</v>
      </c>
      <c r="G65" s="191">
        <f>'Price of Peat'!R27</f>
        <v>67.993421052631575</v>
      </c>
      <c r="H65" s="191">
        <f>'Price of Peat'!U27</f>
        <v>82.105263157894726</v>
      </c>
      <c r="I65" s="9" t="s">
        <v>85</v>
      </c>
    </row>
    <row r="66" spans="2:12" x14ac:dyDescent="0.3">
      <c r="B66" s="148" t="s">
        <v>746</v>
      </c>
      <c r="C66" s="148" t="s">
        <v>84</v>
      </c>
      <c r="D66" s="190"/>
      <c r="E66" s="152">
        <v>2050</v>
      </c>
      <c r="F66" s="191">
        <f>'Price of Biofuels'!L9</f>
        <v>48.75</v>
      </c>
      <c r="G66" s="191">
        <f>'Price of Biofuels'!M9</f>
        <v>65</v>
      </c>
      <c r="H66" s="191">
        <f>'Price of Biofuels'!N9</f>
        <v>81.25</v>
      </c>
      <c r="I66" s="111" t="s">
        <v>91</v>
      </c>
    </row>
    <row r="67" spans="2:12" x14ac:dyDescent="0.3">
      <c r="B67" s="148" t="s">
        <v>747</v>
      </c>
      <c r="C67" s="148" t="s">
        <v>84</v>
      </c>
      <c r="D67" s="190"/>
      <c r="E67" s="152">
        <v>2050</v>
      </c>
      <c r="F67" s="191">
        <f>'Price of Biofuels'!L10</f>
        <v>81</v>
      </c>
      <c r="G67" s="191">
        <f>'Price of Biofuels'!M10</f>
        <v>108</v>
      </c>
      <c r="H67" s="191">
        <f>'Price of Biofuels'!N10</f>
        <v>135</v>
      </c>
      <c r="I67" s="111" t="s">
        <v>91</v>
      </c>
    </row>
    <row r="68" spans="2:12" x14ac:dyDescent="0.3">
      <c r="B68" s="148" t="s">
        <v>748</v>
      </c>
      <c r="C68" s="148" t="s">
        <v>84</v>
      </c>
      <c r="D68" s="190"/>
      <c r="E68" s="152">
        <v>2050</v>
      </c>
      <c r="F68" s="191">
        <f>'Price of Solid biomass'!P13</f>
        <v>6.236999995010402</v>
      </c>
      <c r="G68" s="191">
        <f>'Price of Solid biomass'!Q13</f>
        <v>8.3159999933472033</v>
      </c>
      <c r="H68" s="191">
        <f>'Price of Solid biomass'!R13</f>
        <v>10.394999991684005</v>
      </c>
      <c r="I68" s="111" t="s">
        <v>99</v>
      </c>
    </row>
    <row r="69" spans="2:12" x14ac:dyDescent="0.3">
      <c r="B69" s="148" t="s">
        <v>749</v>
      </c>
      <c r="C69" s="148" t="s">
        <v>84</v>
      </c>
      <c r="E69" s="152">
        <v>2050</v>
      </c>
      <c r="F69" s="191">
        <f>'Price of Solid biomass'!P14</f>
        <v>4.4549999964360003</v>
      </c>
      <c r="G69" s="191">
        <f>'Price of Solid biomass'!Q14</f>
        <v>5.9399999952480007</v>
      </c>
      <c r="H69" s="191">
        <f>'Price of Solid biomass'!R14</f>
        <v>7.4249999940600011</v>
      </c>
      <c r="I69" s="111" t="s">
        <v>99</v>
      </c>
    </row>
    <row r="70" spans="2:12" x14ac:dyDescent="0.3">
      <c r="B70" s="152" t="s">
        <v>750</v>
      </c>
      <c r="C70" s="190" t="s">
        <v>104</v>
      </c>
      <c r="E70" s="152">
        <v>2050</v>
      </c>
      <c r="F70" s="30">
        <v>14638</v>
      </c>
      <c r="G70" s="30">
        <v>14718</v>
      </c>
      <c r="H70" s="30">
        <v>14861</v>
      </c>
      <c r="I70" s="9" t="s">
        <v>60</v>
      </c>
    </row>
    <row r="71" spans="2:12" x14ac:dyDescent="0.3">
      <c r="B71" s="152" t="s">
        <v>751</v>
      </c>
      <c r="C71" s="190" t="s">
        <v>104</v>
      </c>
      <c r="E71" s="152">
        <v>2050</v>
      </c>
      <c r="F71" s="30">
        <v>13251</v>
      </c>
      <c r="G71" s="30">
        <v>13618</v>
      </c>
      <c r="H71" s="30">
        <v>14185</v>
      </c>
      <c r="I71" s="9" t="s">
        <v>60</v>
      </c>
    </row>
    <row r="72" spans="2:12" x14ac:dyDescent="0.3">
      <c r="B72" s="152" t="s">
        <v>752</v>
      </c>
      <c r="C72" s="190" t="s">
        <v>104</v>
      </c>
      <c r="E72" s="152">
        <v>2050</v>
      </c>
      <c r="F72" s="30">
        <v>230</v>
      </c>
      <c r="G72" s="30">
        <v>265</v>
      </c>
      <c r="H72" s="30">
        <v>445</v>
      </c>
      <c r="I72" s="9" t="s">
        <v>60</v>
      </c>
    </row>
    <row r="73" spans="2:12" x14ac:dyDescent="0.3">
      <c r="B73" s="152" t="s">
        <v>753</v>
      </c>
      <c r="C73" s="190" t="s">
        <v>104</v>
      </c>
      <c r="E73" s="152">
        <v>2050</v>
      </c>
      <c r="F73" s="30">
        <v>29.3</v>
      </c>
      <c r="G73" s="30">
        <v>33.200000000000003</v>
      </c>
      <c r="H73" s="30">
        <v>40.4</v>
      </c>
      <c r="I73" s="9" t="s">
        <v>60</v>
      </c>
    </row>
    <row r="74" spans="2:12" x14ac:dyDescent="0.3">
      <c r="B74" s="152" t="s">
        <v>754</v>
      </c>
      <c r="C74" s="190" t="s">
        <v>104</v>
      </c>
      <c r="E74" s="152">
        <v>2050</v>
      </c>
      <c r="F74" s="30">
        <v>134</v>
      </c>
      <c r="G74" s="30">
        <v>135</v>
      </c>
      <c r="H74" s="30">
        <v>137</v>
      </c>
      <c r="I74" s="9" t="s">
        <v>60</v>
      </c>
    </row>
    <row r="75" spans="2:12" x14ac:dyDescent="0.3">
      <c r="B75" t="s">
        <v>119</v>
      </c>
      <c r="C75" s="190" t="s">
        <v>120</v>
      </c>
      <c r="D75" s="104"/>
      <c r="E75" s="152">
        <v>2050</v>
      </c>
      <c r="F75" s="241" t="s">
        <v>121</v>
      </c>
      <c r="G75" s="241"/>
      <c r="H75" s="241"/>
      <c r="I75" s="9" t="s">
        <v>122</v>
      </c>
    </row>
    <row r="76" spans="2:12" x14ac:dyDescent="0.3">
      <c r="B76" t="s">
        <v>123</v>
      </c>
      <c r="C76" s="190" t="s">
        <v>120</v>
      </c>
      <c r="D76" s="195"/>
      <c r="E76" s="152">
        <v>2050</v>
      </c>
      <c r="F76" s="241"/>
      <c r="G76" s="241"/>
      <c r="H76" s="241"/>
      <c r="I76" s="9" t="s">
        <v>122</v>
      </c>
    </row>
    <row r="77" spans="2:12" x14ac:dyDescent="0.3">
      <c r="B77" s="148" t="s">
        <v>124</v>
      </c>
      <c r="C77" s="190" t="s">
        <v>120</v>
      </c>
      <c r="D77" s="195"/>
      <c r="E77" s="152">
        <v>2050</v>
      </c>
      <c r="F77" s="241"/>
      <c r="G77" s="241"/>
      <c r="H77" s="241"/>
      <c r="I77" s="9" t="s">
        <v>122</v>
      </c>
    </row>
    <row r="78" spans="2:12" x14ac:dyDescent="0.3">
      <c r="B78" s="190" t="s">
        <v>761</v>
      </c>
      <c r="C78" s="190" t="s">
        <v>104</v>
      </c>
      <c r="D78" t="s">
        <v>126</v>
      </c>
      <c r="E78" s="152">
        <v>2050</v>
      </c>
      <c r="F78" s="197">
        <f>0.75*15%</f>
        <v>0.11249999999999999</v>
      </c>
      <c r="G78" s="197">
        <f>0.75*15%</f>
        <v>0.11249999999999999</v>
      </c>
      <c r="H78" s="197">
        <f>0.75*17.5%</f>
        <v>0.13124999999999998</v>
      </c>
      <c r="I78" s="9" t="s">
        <v>127</v>
      </c>
      <c r="J78" s="197"/>
      <c r="K78" s="197"/>
      <c r="L78" s="197"/>
    </row>
    <row r="79" spans="2:12" x14ac:dyDescent="0.3">
      <c r="B79" s="190" t="s">
        <v>762</v>
      </c>
      <c r="C79" s="190" t="s">
        <v>104</v>
      </c>
      <c r="D79" t="s">
        <v>130</v>
      </c>
      <c r="E79" s="152">
        <v>2050</v>
      </c>
      <c r="F79" s="197">
        <f>F78</f>
        <v>0.11249999999999999</v>
      </c>
      <c r="G79" s="197">
        <f t="shared" ref="G79:H79" si="3">G78</f>
        <v>0.11249999999999999</v>
      </c>
      <c r="H79" s="197">
        <f t="shared" si="3"/>
        <v>0.13124999999999998</v>
      </c>
      <c r="I79" s="9" t="s">
        <v>127</v>
      </c>
    </row>
    <row r="80" spans="2:12" x14ac:dyDescent="0.3">
      <c r="B80" s="190" t="s">
        <v>763</v>
      </c>
      <c r="C80" s="190" t="s">
        <v>104</v>
      </c>
      <c r="D80" t="s">
        <v>126</v>
      </c>
      <c r="E80" s="152">
        <v>2050</v>
      </c>
      <c r="F80" s="196">
        <f>0.75*20%</f>
        <v>0.15000000000000002</v>
      </c>
      <c r="G80" s="196">
        <f>0.75*15%</f>
        <v>0.11249999999999999</v>
      </c>
      <c r="H80" s="196">
        <f>0.75*55%</f>
        <v>0.41250000000000003</v>
      </c>
      <c r="I80" s="9" t="s">
        <v>127</v>
      </c>
      <c r="J80" s="196"/>
      <c r="K80" s="196"/>
      <c r="L80" s="196"/>
    </row>
    <row r="81" spans="2:12" x14ac:dyDescent="0.3">
      <c r="B81" s="190" t="s">
        <v>764</v>
      </c>
      <c r="C81" s="190" t="s">
        <v>104</v>
      </c>
      <c r="D81" t="s">
        <v>130</v>
      </c>
      <c r="E81" s="152">
        <v>2050</v>
      </c>
      <c r="F81" s="196">
        <f>F80</f>
        <v>0.15000000000000002</v>
      </c>
      <c r="G81" s="196">
        <f t="shared" ref="G81:H81" si="4">G80</f>
        <v>0.11249999999999999</v>
      </c>
      <c r="H81" s="196">
        <f t="shared" si="4"/>
        <v>0.41250000000000003</v>
      </c>
      <c r="I81" s="9" t="s">
        <v>127</v>
      </c>
    </row>
    <row r="82" spans="2:12" x14ac:dyDescent="0.3">
      <c r="B82" s="190" t="s">
        <v>214</v>
      </c>
      <c r="C82" s="190" t="s">
        <v>104</v>
      </c>
      <c r="D82" t="s">
        <v>126</v>
      </c>
      <c r="E82" s="152">
        <v>2050</v>
      </c>
      <c r="F82" s="196">
        <f>0.75*15%</f>
        <v>0.11249999999999999</v>
      </c>
      <c r="G82" s="196">
        <f>0.75*30%</f>
        <v>0.22499999999999998</v>
      </c>
      <c r="H82" s="196">
        <f>0.75*40%</f>
        <v>0.30000000000000004</v>
      </c>
      <c r="I82" s="9" t="s">
        <v>127</v>
      </c>
      <c r="J82" s="196"/>
      <c r="K82" s="196"/>
      <c r="L82" s="196"/>
    </row>
    <row r="83" spans="2:12" x14ac:dyDescent="0.3">
      <c r="B83" s="190" t="s">
        <v>216</v>
      </c>
      <c r="C83" s="190" t="s">
        <v>104</v>
      </c>
      <c r="D83" t="s">
        <v>130</v>
      </c>
      <c r="E83" s="152">
        <v>2050</v>
      </c>
      <c r="F83" s="196">
        <f>F82</f>
        <v>0.11249999999999999</v>
      </c>
      <c r="G83" s="196">
        <f t="shared" ref="G83:H83" si="5">G82</f>
        <v>0.22499999999999998</v>
      </c>
      <c r="H83" s="196">
        <f t="shared" si="5"/>
        <v>0.30000000000000004</v>
      </c>
      <c r="I83" s="9" t="s">
        <v>127</v>
      </c>
    </row>
    <row r="84" spans="2:12" x14ac:dyDescent="0.3">
      <c r="B84" s="190" t="s">
        <v>756</v>
      </c>
      <c r="C84" s="190" t="s">
        <v>65</v>
      </c>
      <c r="E84" s="152">
        <v>2050</v>
      </c>
      <c r="F84" s="9">
        <v>113</v>
      </c>
      <c r="G84" s="9">
        <v>200</v>
      </c>
      <c r="H84" s="9">
        <v>250</v>
      </c>
      <c r="I84" s="9" t="s">
        <v>60</v>
      </c>
    </row>
    <row r="85" spans="2:12" x14ac:dyDescent="0.3">
      <c r="B85" s="175" t="s">
        <v>221</v>
      </c>
      <c r="C85" s="190"/>
      <c r="D85" t="s">
        <v>137</v>
      </c>
      <c r="E85" s="152">
        <v>2050</v>
      </c>
      <c r="F85" s="196">
        <v>0.3</v>
      </c>
      <c r="G85" s="196">
        <f>G27*2</f>
        <v>0.6</v>
      </c>
      <c r="H85" s="196">
        <f>1</f>
        <v>1</v>
      </c>
      <c r="I85" s="9" t="s">
        <v>138</v>
      </c>
    </row>
    <row r="86" spans="2:12" x14ac:dyDescent="0.3">
      <c r="B86" s="190" t="s">
        <v>139</v>
      </c>
      <c r="C86" s="190"/>
      <c r="E86" s="152">
        <v>2050</v>
      </c>
      <c r="F86" s="196">
        <f>F28</f>
        <v>0</v>
      </c>
      <c r="G86" s="196">
        <v>0.1</v>
      </c>
      <c r="H86" s="196">
        <v>0.2</v>
      </c>
      <c r="I86" s="9" t="s">
        <v>138</v>
      </c>
    </row>
    <row r="87" spans="2:12" x14ac:dyDescent="0.3">
      <c r="B87" s="190" t="s">
        <v>140</v>
      </c>
      <c r="C87" s="190"/>
      <c r="D87" t="s">
        <v>141</v>
      </c>
      <c r="E87" s="152">
        <v>2050</v>
      </c>
      <c r="F87" s="197">
        <f>F80</f>
        <v>0.15000000000000002</v>
      </c>
      <c r="G87" s="197">
        <f t="shared" ref="G87:H88" si="6">G80</f>
        <v>0.11249999999999999</v>
      </c>
      <c r="H87" s="197">
        <f t="shared" si="6"/>
        <v>0.41250000000000003</v>
      </c>
      <c r="I87" s="9" t="s">
        <v>127</v>
      </c>
    </row>
    <row r="88" spans="2:12" x14ac:dyDescent="0.3">
      <c r="B88" s="190" t="s">
        <v>142</v>
      </c>
      <c r="C88" s="190"/>
      <c r="D88" t="s">
        <v>141</v>
      </c>
      <c r="E88" s="152">
        <v>2050</v>
      </c>
      <c r="F88" s="197">
        <f>F81</f>
        <v>0.15000000000000002</v>
      </c>
      <c r="G88" s="197">
        <f t="shared" si="6"/>
        <v>0.11249999999999999</v>
      </c>
      <c r="H88" s="197">
        <f t="shared" si="6"/>
        <v>0.41250000000000003</v>
      </c>
      <c r="I88" s="9" t="s">
        <v>127</v>
      </c>
    </row>
    <row r="89" spans="2:12" x14ac:dyDescent="0.3">
      <c r="B89" s="239" t="s">
        <v>757</v>
      </c>
      <c r="C89" s="152" t="s">
        <v>65</v>
      </c>
      <c r="D89" s="148" t="s">
        <v>145</v>
      </c>
      <c r="E89" s="152">
        <v>2050</v>
      </c>
      <c r="F89" s="30">
        <v>4500</v>
      </c>
      <c r="G89" s="30">
        <v>4500</v>
      </c>
      <c r="H89" s="30">
        <v>4500</v>
      </c>
      <c r="I89" s="9" t="s">
        <v>60</v>
      </c>
    </row>
    <row r="90" spans="2:12" x14ac:dyDescent="0.3">
      <c r="B90" s="239"/>
      <c r="C90" s="152" t="s">
        <v>65</v>
      </c>
      <c r="D90" s="148" t="s">
        <v>146</v>
      </c>
      <c r="E90" s="152">
        <v>2050</v>
      </c>
      <c r="F90" s="30">
        <v>2000</v>
      </c>
      <c r="G90" s="30">
        <v>2000</v>
      </c>
      <c r="H90" s="30">
        <v>2000</v>
      </c>
      <c r="I90" s="9" t="s">
        <v>60</v>
      </c>
    </row>
    <row r="91" spans="2:12" x14ac:dyDescent="0.3">
      <c r="B91" s="239"/>
      <c r="C91" s="152" t="s">
        <v>65</v>
      </c>
      <c r="D91" s="148" t="s">
        <v>147</v>
      </c>
      <c r="E91" s="152">
        <v>2050</v>
      </c>
      <c r="F91" s="30">
        <v>1000</v>
      </c>
      <c r="G91" s="30">
        <v>1000</v>
      </c>
      <c r="H91" s="30">
        <v>1000</v>
      </c>
      <c r="I91" s="9" t="s">
        <v>60</v>
      </c>
    </row>
    <row r="92" spans="2:12" x14ac:dyDescent="0.3">
      <c r="B92" s="239"/>
      <c r="C92" s="152" t="s">
        <v>65</v>
      </c>
      <c r="D92" s="148" t="s">
        <v>148</v>
      </c>
      <c r="E92" s="152">
        <v>2050</v>
      </c>
      <c r="F92" s="30">
        <v>340</v>
      </c>
      <c r="G92" s="30">
        <v>360</v>
      </c>
      <c r="H92" s="30">
        <v>410</v>
      </c>
      <c r="I92" s="9" t="s">
        <v>60</v>
      </c>
    </row>
    <row r="93" spans="2:12" x14ac:dyDescent="0.3">
      <c r="B93" s="239"/>
      <c r="C93" s="152" t="s">
        <v>65</v>
      </c>
      <c r="D93" t="s">
        <v>149</v>
      </c>
      <c r="E93" s="152">
        <v>2050</v>
      </c>
      <c r="F93" s="30">
        <v>1380</v>
      </c>
      <c r="G93" s="30">
        <v>1410</v>
      </c>
      <c r="H93" s="30">
        <v>1450</v>
      </c>
      <c r="I93" s="9" t="s">
        <v>60</v>
      </c>
    </row>
    <row r="94" spans="2:12" x14ac:dyDescent="0.3">
      <c r="B94" s="239"/>
      <c r="C94" s="152" t="s">
        <v>65</v>
      </c>
      <c r="D94" t="s">
        <v>150</v>
      </c>
      <c r="E94" s="152">
        <v>2050</v>
      </c>
      <c r="F94" s="30">
        <v>1240</v>
      </c>
      <c r="G94" s="30">
        <v>1320</v>
      </c>
      <c r="H94" s="30">
        <v>1500</v>
      </c>
      <c r="I94" s="9" t="s">
        <v>60</v>
      </c>
    </row>
    <row r="95" spans="2:12" x14ac:dyDescent="0.3">
      <c r="B95" s="239" t="s">
        <v>151</v>
      </c>
      <c r="C95" s="152" t="s">
        <v>65</v>
      </c>
      <c r="D95" s="148" t="s">
        <v>145</v>
      </c>
      <c r="E95" s="152">
        <v>2050</v>
      </c>
      <c r="F95" s="30">
        <v>70</v>
      </c>
      <c r="G95" s="30">
        <v>70</v>
      </c>
      <c r="H95" s="30">
        <v>80</v>
      </c>
      <c r="I95" s="9" t="s">
        <v>60</v>
      </c>
    </row>
    <row r="96" spans="2:12" x14ac:dyDescent="0.3">
      <c r="B96" s="239"/>
      <c r="C96" s="152" t="s">
        <v>65</v>
      </c>
      <c r="D96" s="148" t="s">
        <v>146</v>
      </c>
      <c r="E96" s="152">
        <v>2050</v>
      </c>
      <c r="F96" s="30" t="s">
        <v>152</v>
      </c>
      <c r="G96" s="30" t="s">
        <v>152</v>
      </c>
      <c r="H96" s="30" t="s">
        <v>152</v>
      </c>
      <c r="I96" s="9" t="s">
        <v>60</v>
      </c>
    </row>
    <row r="97" spans="2:9" x14ac:dyDescent="0.3">
      <c r="B97" s="239"/>
      <c r="C97" s="152" t="s">
        <v>65</v>
      </c>
      <c r="D97" s="148" t="s">
        <v>147</v>
      </c>
      <c r="E97" s="152">
        <v>2050</v>
      </c>
      <c r="F97" s="30" t="s">
        <v>152</v>
      </c>
      <c r="G97" s="30" t="s">
        <v>152</v>
      </c>
      <c r="H97" s="30" t="s">
        <v>152</v>
      </c>
      <c r="I97" s="9" t="s">
        <v>60</v>
      </c>
    </row>
    <row r="98" spans="2:9" x14ac:dyDescent="0.3">
      <c r="B98" s="239"/>
      <c r="C98" s="152" t="s">
        <v>65</v>
      </c>
      <c r="D98" s="148" t="s">
        <v>148</v>
      </c>
      <c r="E98" s="152">
        <v>2050</v>
      </c>
      <c r="F98" s="30">
        <v>14</v>
      </c>
      <c r="G98" s="30">
        <v>14</v>
      </c>
      <c r="H98" s="30">
        <v>14</v>
      </c>
      <c r="I98" s="9" t="s">
        <v>60</v>
      </c>
    </row>
    <row r="99" spans="2:9" x14ac:dyDescent="0.3">
      <c r="B99" s="239"/>
      <c r="C99" s="152" t="s">
        <v>65</v>
      </c>
      <c r="D99" t="s">
        <v>149</v>
      </c>
      <c r="E99" s="152">
        <v>2050</v>
      </c>
      <c r="F99" s="30">
        <v>30</v>
      </c>
      <c r="G99" s="30">
        <v>30</v>
      </c>
      <c r="H99" s="30">
        <v>30</v>
      </c>
      <c r="I99" s="9" t="s">
        <v>60</v>
      </c>
    </row>
    <row r="100" spans="2:9" x14ac:dyDescent="0.3">
      <c r="B100" s="239"/>
      <c r="C100" s="152" t="s">
        <v>65</v>
      </c>
      <c r="D100" t="s">
        <v>150</v>
      </c>
      <c r="E100" s="152">
        <v>2050</v>
      </c>
      <c r="F100" s="30">
        <v>59</v>
      </c>
      <c r="G100" s="30">
        <v>59</v>
      </c>
      <c r="H100" s="30">
        <v>59</v>
      </c>
      <c r="I100" s="9" t="s">
        <v>60</v>
      </c>
    </row>
    <row r="101" spans="2:9" x14ac:dyDescent="0.3">
      <c r="B101" s="239" t="s">
        <v>758</v>
      </c>
      <c r="C101" s="152" t="s">
        <v>65</v>
      </c>
      <c r="D101" s="148" t="s">
        <v>145</v>
      </c>
      <c r="E101" s="152">
        <v>2050</v>
      </c>
      <c r="F101" s="30">
        <v>35</v>
      </c>
      <c r="G101" s="30">
        <v>35</v>
      </c>
      <c r="H101" s="30">
        <v>35</v>
      </c>
      <c r="I101" s="9" t="s">
        <v>60</v>
      </c>
    </row>
    <row r="102" spans="2:9" x14ac:dyDescent="0.3">
      <c r="B102" s="239"/>
      <c r="C102" s="152" t="s">
        <v>65</v>
      </c>
      <c r="D102" s="148" t="s">
        <v>146</v>
      </c>
      <c r="E102" s="152">
        <v>2050</v>
      </c>
      <c r="F102" s="30">
        <v>250</v>
      </c>
      <c r="G102" s="30">
        <v>210</v>
      </c>
      <c r="H102" s="30">
        <v>140</v>
      </c>
      <c r="I102" s="9" t="s">
        <v>60</v>
      </c>
    </row>
    <row r="103" spans="2:9" x14ac:dyDescent="0.3">
      <c r="B103" s="239"/>
      <c r="C103" s="152" t="s">
        <v>65</v>
      </c>
      <c r="D103" s="148" t="s">
        <v>147</v>
      </c>
      <c r="E103" s="152">
        <v>2050</v>
      </c>
      <c r="F103" s="30">
        <v>135</v>
      </c>
      <c r="G103" s="30">
        <v>135</v>
      </c>
      <c r="H103" s="30">
        <v>130</v>
      </c>
      <c r="I103" s="9" t="s">
        <v>60</v>
      </c>
    </row>
    <row r="104" spans="2:9" x14ac:dyDescent="0.3">
      <c r="B104" s="239"/>
      <c r="C104" s="152" t="s">
        <v>65</v>
      </c>
      <c r="D104" s="148" t="s">
        <v>148</v>
      </c>
      <c r="E104" s="152">
        <v>2050</v>
      </c>
      <c r="F104" s="30">
        <v>10</v>
      </c>
      <c r="G104" s="30">
        <v>10</v>
      </c>
      <c r="H104" s="30">
        <v>10</v>
      </c>
      <c r="I104" s="9" t="s">
        <v>60</v>
      </c>
    </row>
    <row r="105" spans="2:9" x14ac:dyDescent="0.3">
      <c r="B105" s="239"/>
      <c r="C105" s="152" t="s">
        <v>65</v>
      </c>
      <c r="D105" t="s">
        <v>149</v>
      </c>
      <c r="E105" s="152">
        <v>2050</v>
      </c>
      <c r="F105" s="30">
        <v>15</v>
      </c>
      <c r="G105" s="30">
        <v>15</v>
      </c>
      <c r="H105" s="30">
        <v>15</v>
      </c>
      <c r="I105" s="9" t="s">
        <v>60</v>
      </c>
    </row>
    <row r="106" spans="2:9" x14ac:dyDescent="0.3">
      <c r="B106" s="239"/>
      <c r="C106" s="152" t="s">
        <v>65</v>
      </c>
      <c r="D106" t="s">
        <v>150</v>
      </c>
      <c r="E106" s="152">
        <v>2050</v>
      </c>
      <c r="F106" s="30">
        <v>5</v>
      </c>
      <c r="G106" s="30">
        <v>5</v>
      </c>
      <c r="H106" s="30">
        <v>10</v>
      </c>
      <c r="I106" s="9" t="s">
        <v>60</v>
      </c>
    </row>
    <row r="107" spans="2:9" x14ac:dyDescent="0.3">
      <c r="B107" s="239" t="s">
        <v>759</v>
      </c>
      <c r="C107" s="152" t="s">
        <v>65</v>
      </c>
      <c r="D107" s="148" t="s">
        <v>145</v>
      </c>
      <c r="E107" s="152">
        <v>2050</v>
      </c>
      <c r="F107" s="30">
        <v>115</v>
      </c>
      <c r="G107" s="30">
        <v>115</v>
      </c>
      <c r="H107" s="30">
        <v>105</v>
      </c>
      <c r="I107" s="9" t="s">
        <v>60</v>
      </c>
    </row>
    <row r="108" spans="2:9" x14ac:dyDescent="0.3">
      <c r="B108" s="239"/>
      <c r="C108" s="152" t="s">
        <v>65</v>
      </c>
      <c r="D108" s="148" t="s">
        <v>146</v>
      </c>
      <c r="E108" s="152">
        <v>2050</v>
      </c>
      <c r="F108" s="30" t="s">
        <v>152</v>
      </c>
      <c r="G108" s="30" t="s">
        <v>152</v>
      </c>
      <c r="H108" s="30" t="s">
        <v>152</v>
      </c>
      <c r="I108" s="9" t="s">
        <v>60</v>
      </c>
    </row>
    <row r="109" spans="2:9" x14ac:dyDescent="0.3">
      <c r="B109" s="239"/>
      <c r="C109" s="152" t="s">
        <v>65</v>
      </c>
      <c r="D109" s="148" t="s">
        <v>147</v>
      </c>
      <c r="E109" s="152">
        <v>2050</v>
      </c>
      <c r="F109" s="30" t="s">
        <v>152</v>
      </c>
      <c r="G109" s="30" t="s">
        <v>152</v>
      </c>
      <c r="H109" s="30" t="s">
        <v>152</v>
      </c>
      <c r="I109" s="9" t="s">
        <v>60</v>
      </c>
    </row>
    <row r="110" spans="2:9" x14ac:dyDescent="0.3">
      <c r="B110" s="239"/>
      <c r="C110" s="152" t="s">
        <v>65</v>
      </c>
      <c r="D110" s="148" t="s">
        <v>148</v>
      </c>
      <c r="E110" s="152">
        <v>2050</v>
      </c>
      <c r="F110" s="30">
        <v>25</v>
      </c>
      <c r="G110" s="30">
        <v>25</v>
      </c>
      <c r="H110" s="30">
        <v>30</v>
      </c>
      <c r="I110" s="9" t="s">
        <v>60</v>
      </c>
    </row>
    <row r="111" spans="2:9" x14ac:dyDescent="0.3">
      <c r="B111" s="239"/>
      <c r="C111" s="152" t="s">
        <v>65</v>
      </c>
      <c r="D111" t="s">
        <v>149</v>
      </c>
      <c r="E111" s="152">
        <v>2050</v>
      </c>
      <c r="F111" s="30">
        <v>45</v>
      </c>
      <c r="G111" s="30">
        <v>45</v>
      </c>
      <c r="H111" s="30">
        <v>45</v>
      </c>
      <c r="I111" s="9" t="s">
        <v>60</v>
      </c>
    </row>
    <row r="112" spans="2:9" x14ac:dyDescent="0.3">
      <c r="B112" s="239"/>
      <c r="C112" s="152" t="s">
        <v>65</v>
      </c>
      <c r="D112" t="s">
        <v>150</v>
      </c>
      <c r="E112" s="152">
        <v>2050</v>
      </c>
      <c r="F112" s="30">
        <v>25</v>
      </c>
      <c r="G112" s="30">
        <v>25</v>
      </c>
      <c r="H112" s="30">
        <v>30</v>
      </c>
      <c r="I112" s="9" t="s">
        <v>60</v>
      </c>
    </row>
    <row r="113" spans="2:9" x14ac:dyDescent="0.3">
      <c r="B113" s="239" t="s">
        <v>760</v>
      </c>
      <c r="C113" s="152" t="s">
        <v>65</v>
      </c>
      <c r="D113" s="148" t="s">
        <v>145</v>
      </c>
      <c r="E113" s="152">
        <v>2050</v>
      </c>
      <c r="F113" s="30"/>
      <c r="G113" s="30"/>
      <c r="H113" s="30">
        <v>105</v>
      </c>
      <c r="I113" s="9" t="s">
        <v>60</v>
      </c>
    </row>
    <row r="114" spans="2:9" x14ac:dyDescent="0.3">
      <c r="B114" s="239"/>
      <c r="C114" s="152" t="s">
        <v>65</v>
      </c>
      <c r="D114" s="148" t="s">
        <v>146</v>
      </c>
      <c r="E114" s="152">
        <v>2050</v>
      </c>
      <c r="F114" s="30"/>
      <c r="G114" s="30"/>
      <c r="H114" s="30" t="s">
        <v>152</v>
      </c>
      <c r="I114" s="9" t="s">
        <v>60</v>
      </c>
    </row>
    <row r="115" spans="2:9" x14ac:dyDescent="0.3">
      <c r="B115" s="239"/>
      <c r="C115" s="152" t="s">
        <v>65</v>
      </c>
      <c r="D115" s="148" t="s">
        <v>147</v>
      </c>
      <c r="E115" s="152">
        <v>2050</v>
      </c>
      <c r="F115" s="30"/>
      <c r="G115" s="30"/>
      <c r="H115" s="30" t="s">
        <v>152</v>
      </c>
      <c r="I115" s="9" t="s">
        <v>60</v>
      </c>
    </row>
    <row r="116" spans="2:9" x14ac:dyDescent="0.3">
      <c r="B116" s="239"/>
      <c r="C116" s="152" t="s">
        <v>65</v>
      </c>
      <c r="D116" s="148" t="s">
        <v>148</v>
      </c>
      <c r="E116" s="152">
        <v>2050</v>
      </c>
      <c r="F116" s="30"/>
      <c r="G116" s="30"/>
      <c r="H116" s="30">
        <v>80</v>
      </c>
      <c r="I116" s="9" t="s">
        <v>60</v>
      </c>
    </row>
    <row r="117" spans="2:9" x14ac:dyDescent="0.3">
      <c r="B117" s="239"/>
      <c r="C117" s="152" t="s">
        <v>65</v>
      </c>
      <c r="D117" t="s">
        <v>149</v>
      </c>
      <c r="E117" s="152">
        <v>2050</v>
      </c>
      <c r="F117" s="30"/>
      <c r="G117" s="30"/>
      <c r="H117" s="30">
        <v>60</v>
      </c>
      <c r="I117" s="9" t="s">
        <v>60</v>
      </c>
    </row>
    <row r="118" spans="2:9" x14ac:dyDescent="0.3">
      <c r="B118" s="239"/>
      <c r="C118" s="152" t="s">
        <v>65</v>
      </c>
      <c r="D118" t="s">
        <v>150</v>
      </c>
      <c r="E118" s="152">
        <v>2050</v>
      </c>
      <c r="F118" s="30"/>
      <c r="G118" s="30"/>
      <c r="H118" s="30">
        <v>40</v>
      </c>
      <c r="I118" s="9" t="s">
        <v>60</v>
      </c>
    </row>
  </sheetData>
  <mergeCells count="14">
    <mergeCell ref="B107:B112"/>
    <mergeCell ref="B113:B118"/>
    <mergeCell ref="B55:B60"/>
    <mergeCell ref="F64:H64"/>
    <mergeCell ref="F75:H77"/>
    <mergeCell ref="B89:B94"/>
    <mergeCell ref="B95:B100"/>
    <mergeCell ref="B101:B106"/>
    <mergeCell ref="B49:B54"/>
    <mergeCell ref="F6:H6"/>
    <mergeCell ref="F17:H19"/>
    <mergeCell ref="B31:B36"/>
    <mergeCell ref="B37:B42"/>
    <mergeCell ref="B43:B48"/>
  </mergeCells>
  <hyperlinks>
    <hyperlink ref="L14" r:id="rId1" xr:uid="{B383BE3F-0FE3-401A-BEE4-21151D258445}"/>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D33"/>
  <sheetViews>
    <sheetView zoomScale="60" zoomScaleNormal="60" workbookViewId="0">
      <selection activeCell="J65" sqref="J65"/>
    </sheetView>
  </sheetViews>
  <sheetFormatPr defaultColWidth="25.77734375" defaultRowHeight="14.4" x14ac:dyDescent="0.3"/>
  <cols>
    <col min="1" max="1" width="4" style="162" customWidth="1"/>
    <col min="2" max="2" width="18" style="162" customWidth="1"/>
    <col min="3" max="3" width="47.109375" style="162" customWidth="1"/>
    <col min="4" max="4" width="31.21875" style="162" customWidth="1"/>
    <col min="5" max="5" width="35.5546875" style="162" customWidth="1"/>
    <col min="6" max="6" width="35.77734375" style="162" customWidth="1"/>
    <col min="7" max="7" width="11.88671875" style="162" customWidth="1"/>
    <col min="8" max="36" width="25.77734375" style="162"/>
    <col min="37" max="37" width="34.44140625" style="162" customWidth="1"/>
    <col min="38" max="38" width="11.88671875" style="162" customWidth="1"/>
    <col min="39" max="68" width="30.77734375" style="162" customWidth="1"/>
    <col min="69" max="16384" width="25.77734375" style="162"/>
  </cols>
  <sheetData>
    <row r="1" spans="2:82" ht="18" x14ac:dyDescent="0.3">
      <c r="AM1" s="163"/>
      <c r="BT1" s="164"/>
      <c r="BU1" s="164"/>
      <c r="BV1" s="164"/>
      <c r="BW1" s="164"/>
      <c r="BX1" s="164"/>
      <c r="BY1" s="164"/>
      <c r="BZ1" s="164"/>
      <c r="CA1" s="164"/>
    </row>
    <row r="2" spans="2:82" s="165" customFormat="1" x14ac:dyDescent="0.3">
      <c r="D2" s="166"/>
    </row>
    <row r="3" spans="2:82" ht="46.2" customHeight="1" x14ac:dyDescent="0.3">
      <c r="C3" s="167" t="s">
        <v>158</v>
      </c>
      <c r="D3" s="167" t="s">
        <v>159</v>
      </c>
      <c r="E3" s="167" t="s">
        <v>160</v>
      </c>
      <c r="F3" s="167" t="s">
        <v>161</v>
      </c>
      <c r="G3" s="168"/>
      <c r="H3" s="169" t="str">
        <f>AM3</f>
        <v>SSP1.SL.CB</v>
      </c>
      <c r="I3" s="169" t="str">
        <f t="shared" ref="I3:AK14" si="0">AN3</f>
        <v>SSP1.SL.MT</v>
      </c>
      <c r="J3" s="169" t="str">
        <f t="shared" si="0"/>
        <v>SSP1.SL.LST</v>
      </c>
      <c r="K3" s="169" t="str">
        <f t="shared" si="0"/>
        <v>SSP1.FIFO.CB</v>
      </c>
      <c r="L3" s="169" t="str">
        <f t="shared" si="0"/>
        <v>SSP1.FIFO.MT</v>
      </c>
      <c r="M3" s="169" t="str">
        <f t="shared" si="0"/>
        <v>SSP1.FIFO.LST</v>
      </c>
      <c r="N3" s="169" t="str">
        <f t="shared" si="0"/>
        <v>SSP2.SL.CB</v>
      </c>
      <c r="O3" s="169" t="str">
        <f t="shared" si="0"/>
        <v>SSP2.SL.MT</v>
      </c>
      <c r="P3" s="169" t="str">
        <f t="shared" si="0"/>
        <v>SSP2.SL.LST</v>
      </c>
      <c r="Q3" s="169" t="str">
        <f t="shared" si="0"/>
        <v>SSP2.FIFO.CB</v>
      </c>
      <c r="R3" s="169" t="str">
        <f t="shared" si="0"/>
        <v>SSP2.FIFO.MT</v>
      </c>
      <c r="S3" s="169" t="str">
        <f t="shared" si="0"/>
        <v>SSP2.FIFO.LST</v>
      </c>
      <c r="T3" s="169" t="str">
        <f t="shared" si="0"/>
        <v>SSP3.SL.CB</v>
      </c>
      <c r="U3" s="169" t="str">
        <f t="shared" si="0"/>
        <v>SSP3.SL.MT</v>
      </c>
      <c r="V3" s="169" t="str">
        <f t="shared" si="0"/>
        <v>SSP3.SL.LST</v>
      </c>
      <c r="W3" s="169" t="str">
        <f t="shared" si="0"/>
        <v>SSP3.FIFO.CB</v>
      </c>
      <c r="X3" s="169" t="str">
        <f t="shared" si="0"/>
        <v>SSP3.FIFO.MT</v>
      </c>
      <c r="Y3" s="169" t="str">
        <f t="shared" si="0"/>
        <v>SSP3.FIFO.LST</v>
      </c>
      <c r="Z3" s="169" t="str">
        <f t="shared" si="0"/>
        <v>SSP4.SL.CB</v>
      </c>
      <c r="AA3" s="169" t="str">
        <f t="shared" si="0"/>
        <v>SSP4.SL.MT</v>
      </c>
      <c r="AB3" s="169" t="str">
        <f t="shared" si="0"/>
        <v>SSP4.SL.LST</v>
      </c>
      <c r="AC3" s="169" t="str">
        <f t="shared" si="0"/>
        <v>SSP4.FIFO.CB</v>
      </c>
      <c r="AD3" s="169" t="str">
        <f t="shared" si="0"/>
        <v>SSP4.FIFO.MT</v>
      </c>
      <c r="AE3" s="169" t="str">
        <f t="shared" si="0"/>
        <v>SSP4.FIFO.LST</v>
      </c>
      <c r="AF3" s="169" t="str">
        <f t="shared" si="0"/>
        <v>SSP5.SL.CB</v>
      </c>
      <c r="AG3" s="169" t="str">
        <f t="shared" si="0"/>
        <v>SSP5.SL.MT</v>
      </c>
      <c r="AH3" s="169" t="str">
        <f t="shared" si="0"/>
        <v>SSP5.SL.LST</v>
      </c>
      <c r="AI3" s="169" t="str">
        <f t="shared" si="0"/>
        <v>SSP5.FIFO.CB</v>
      </c>
      <c r="AJ3" s="169" t="str">
        <f t="shared" si="0"/>
        <v>SSP5.FIFO.MT</v>
      </c>
      <c r="AK3" s="169" t="str">
        <f t="shared" si="0"/>
        <v>SSP5.FIFO.LST</v>
      </c>
      <c r="AL3" s="168"/>
      <c r="AM3" s="170" t="s">
        <v>16</v>
      </c>
      <c r="AN3" s="170" t="s">
        <v>17</v>
      </c>
      <c r="AO3" s="170" t="s">
        <v>18</v>
      </c>
      <c r="AP3" s="170" t="s">
        <v>19</v>
      </c>
      <c r="AQ3" s="170" t="s">
        <v>20</v>
      </c>
      <c r="AR3" s="170" t="s">
        <v>21</v>
      </c>
      <c r="AS3" s="170" t="s">
        <v>22</v>
      </c>
      <c r="AT3" s="170" t="s">
        <v>23</v>
      </c>
      <c r="AU3" s="170" t="s">
        <v>24</v>
      </c>
      <c r="AV3" s="170" t="s">
        <v>25</v>
      </c>
      <c r="AW3" s="170" t="s">
        <v>26</v>
      </c>
      <c r="AX3" s="170" t="s">
        <v>27</v>
      </c>
      <c r="AY3" s="170" t="s">
        <v>28</v>
      </c>
      <c r="AZ3" s="170" t="s">
        <v>29</v>
      </c>
      <c r="BA3" s="170" t="s">
        <v>30</v>
      </c>
      <c r="BB3" s="170" t="s">
        <v>31</v>
      </c>
      <c r="BC3" s="170" t="s">
        <v>32</v>
      </c>
      <c r="BD3" s="170" t="s">
        <v>33</v>
      </c>
      <c r="BE3" s="170" t="s">
        <v>34</v>
      </c>
      <c r="BF3" s="170" t="s">
        <v>35</v>
      </c>
      <c r="BG3" s="170" t="s">
        <v>36</v>
      </c>
      <c r="BH3" s="170" t="s">
        <v>37</v>
      </c>
      <c r="BI3" s="170" t="s">
        <v>38</v>
      </c>
      <c r="BJ3" s="170" t="s">
        <v>39</v>
      </c>
      <c r="BK3" s="170" t="s">
        <v>40</v>
      </c>
      <c r="BL3" s="170" t="s">
        <v>41</v>
      </c>
      <c r="BM3" s="170" t="s">
        <v>42</v>
      </c>
      <c r="BN3" s="170" t="s">
        <v>43</v>
      </c>
      <c r="BO3" s="170" t="s">
        <v>44</v>
      </c>
      <c r="BP3" s="170" t="s">
        <v>45</v>
      </c>
      <c r="BQ3" s="165"/>
      <c r="BR3" s="165"/>
      <c r="BS3" s="165"/>
      <c r="BT3" s="244"/>
      <c r="BU3" s="244"/>
      <c r="BV3" s="171"/>
      <c r="BW3" s="171"/>
      <c r="BX3" s="172"/>
      <c r="BY3" s="172"/>
      <c r="BZ3" s="173"/>
      <c r="CA3" s="173"/>
      <c r="CB3" s="165"/>
      <c r="CC3" s="165"/>
      <c r="CD3" s="165"/>
    </row>
    <row r="4" spans="2:82" x14ac:dyDescent="0.3">
      <c r="B4" s="243" t="s">
        <v>162</v>
      </c>
      <c r="C4" s="175" t="s">
        <v>56</v>
      </c>
      <c r="D4" s="175" t="s">
        <v>163</v>
      </c>
      <c r="E4" s="175" t="s">
        <v>164</v>
      </c>
      <c r="F4" s="176" t="s">
        <v>165</v>
      </c>
      <c r="G4" s="176"/>
      <c r="H4" s="175" t="str">
        <f>AM4</f>
        <v>Low</v>
      </c>
      <c r="I4" s="175" t="str">
        <f t="shared" si="0"/>
        <v>Low</v>
      </c>
      <c r="J4" s="175" t="str">
        <f t="shared" si="0"/>
        <v>Low</v>
      </c>
      <c r="K4" s="175" t="str">
        <f t="shared" si="0"/>
        <v>Low</v>
      </c>
      <c r="L4" s="175" t="str">
        <f t="shared" si="0"/>
        <v>Low</v>
      </c>
      <c r="M4" s="175" t="str">
        <f t="shared" si="0"/>
        <v>Low</v>
      </c>
      <c r="N4" s="175" t="str">
        <f t="shared" si="0"/>
        <v>Medium</v>
      </c>
      <c r="O4" s="175" t="str">
        <f t="shared" si="0"/>
        <v>Medium</v>
      </c>
      <c r="P4" s="175" t="str">
        <f t="shared" si="0"/>
        <v>Medium</v>
      </c>
      <c r="Q4" s="175" t="str">
        <f t="shared" si="0"/>
        <v>Medium</v>
      </c>
      <c r="R4" s="175" t="str">
        <f t="shared" si="0"/>
        <v>Medium</v>
      </c>
      <c r="S4" s="175" t="str">
        <f t="shared" si="0"/>
        <v>Medium</v>
      </c>
      <c r="T4" s="175" t="str">
        <f t="shared" si="0"/>
        <v>High</v>
      </c>
      <c r="U4" s="175" t="str">
        <f t="shared" si="0"/>
        <v>High</v>
      </c>
      <c r="V4" s="175" t="str">
        <f t="shared" si="0"/>
        <v>High</v>
      </c>
      <c r="W4" s="175" t="str">
        <f t="shared" si="0"/>
        <v>High</v>
      </c>
      <c r="X4" s="175" t="str">
        <f t="shared" si="0"/>
        <v>High</v>
      </c>
      <c r="Y4" s="175" t="str">
        <f t="shared" si="0"/>
        <v>High</v>
      </c>
      <c r="Z4" s="175" t="str">
        <f t="shared" si="0"/>
        <v>Medium</v>
      </c>
      <c r="AA4" s="175" t="str">
        <f t="shared" si="0"/>
        <v>Medium</v>
      </c>
      <c r="AB4" s="175" t="str">
        <f t="shared" si="0"/>
        <v>Medium</v>
      </c>
      <c r="AC4" s="175" t="str">
        <f t="shared" si="0"/>
        <v>Medium</v>
      </c>
      <c r="AD4" s="175" t="str">
        <f t="shared" si="0"/>
        <v>Medium</v>
      </c>
      <c r="AE4" s="175" t="str">
        <f t="shared" si="0"/>
        <v>Medium</v>
      </c>
      <c r="AF4" s="175" t="str">
        <f t="shared" si="0"/>
        <v>High</v>
      </c>
      <c r="AG4" s="175" t="str">
        <f t="shared" si="0"/>
        <v>High</v>
      </c>
      <c r="AH4" s="175" t="str">
        <f t="shared" si="0"/>
        <v>High</v>
      </c>
      <c r="AI4" s="175" t="str">
        <f t="shared" si="0"/>
        <v>High</v>
      </c>
      <c r="AJ4" s="175" t="str">
        <f t="shared" si="0"/>
        <v>High</v>
      </c>
      <c r="AK4" s="175" t="str">
        <f t="shared" si="0"/>
        <v>High</v>
      </c>
      <c r="AL4" s="176"/>
      <c r="AM4" s="177" t="str">
        <f>IF(AND(HLOOKUP(MID(AM$3,FIND(".",AM$3)+1,FIND(".",AM$3,FIND(".",AM$3)+1)-FIND(".",AM$3)-1),Gällivare!$B$6:$J$36,MATCH($C4,Gällivare!$B$6:$B$36,0),FALSE)="No Impact",HLOOKUP(RIGHT(AM$3,LEN(AM$3)-FIND(".",AM$3,FIND(".",AM$3)+1)),Gällivare!$B$6:$J$36,MATCH($C4,Gällivare!$B$6:$B$36,0),FALSE)="No Impact"),HLOOKUP(LEFT(AM$3,4),Global!$B$6:$J$36,MATCH($C4,Global!$B$6:$B$36,0),FALSE),IF(AND(HLOOKUP(MID(AM$3,FIND(".",AM$3)+1,FIND(".",AM$3,FIND(".",AM$3)+1)-FIND(".",AM$3)-1),Gällivare!$B$6:$J$36,MATCH($C4,Gällivare!$B$6:$B$36,0),FALSE)="No Impact",HLOOKUP(LEFT(AM$3,4),Global!$B$6:$J$36,MATCH($C4,Global!$B$6:$B$36,0),FALSE)="No Impact"),HLOOKUP(RIGHT(AM$3,LEN(AM$3)-FIND(".",AM$3,FIND(".",AM$3)+1)),Gällivare!$B$6:$J$36,MATCH($C4,Gällivare!$B$6:$B$36,0),FALSE),"Global: "&amp;HLOOKUP(LEFT(AM$3,4),Global!$B$6:$J$36,MATCH($C4,Global!$B$6:$B$36,0),FALSE)&amp;CHAR(10)&amp;"Local Trend: "&amp;HLOOKUP(MID(AM$3,FIND(".",AM$3)+1,FIND(".",AM$3,FIND(".",AM$3)+1)-FIND(".",AM$3)-1),Gällivare!$B$6:$J$36,MATCH($C4,Gällivare!$B$6:$B$36,0),FALSE)&amp;CHAR(10)&amp;"Local Target: "&amp;HLOOKUP(RIGHT(AM$3,LEN(AM$3)-FIND(".",AM$3,FIND(".",AM$3)+1)),Gällivare!$B$6:$J$36,MATCH($C4,Gällivare!$B$6:$B$36,0),FALSE)))</f>
        <v>Low</v>
      </c>
      <c r="AN4" s="177" t="str">
        <f>IF(AND(HLOOKUP(MID(AN$3,FIND(".",AN$3)+1,FIND(".",AN$3,FIND(".",AN$3)+1)-FIND(".",AN$3)-1),Gällivare!$B$6:$J$36,MATCH($C4,Gällivare!$B$6:$B$36,0),FALSE)="No Impact",HLOOKUP(RIGHT(AN$3,LEN(AN$3)-FIND(".",AN$3,FIND(".",AN$3)+1)),Gällivare!$B$6:$J$36,MATCH($C4,Gällivare!$B$6:$B$36,0),FALSE)="No Impact"),HLOOKUP(LEFT(AN$3,4),Global!$B$6:$J$36,MATCH($C4,Global!$B$6:$B$36,0),FALSE),IF(AND(HLOOKUP(MID(AN$3,FIND(".",AN$3)+1,FIND(".",AN$3,FIND(".",AN$3)+1)-FIND(".",AN$3)-1),Gällivare!$B$6:$J$36,MATCH($C4,Gällivare!$B$6:$B$36,0),FALSE)="No Impact",HLOOKUP(LEFT(AN$3,4),Global!$B$6:$J$36,MATCH($C4,Global!$B$6:$B$36,0),FALSE)="No Impact"),HLOOKUP(RIGHT(AN$3,LEN(AN$3)-FIND(".",AN$3,FIND(".",AN$3)+1)),Gällivare!$B$6:$J$36,MATCH($C4,Gällivare!$B$6:$B$36,0),FALSE),"Global: "&amp;HLOOKUP(LEFT(AN$3,4),Global!$B$6:$J$36,MATCH($C4,Global!$B$6:$B$36,0),FALSE)&amp;CHAR(10)&amp;"Local Trend: "&amp;HLOOKUP(MID(AN$3,FIND(".",AN$3)+1,FIND(".",AN$3,FIND(".",AN$3)+1)-FIND(".",AN$3)-1),Gällivare!$B$6:$J$36,MATCH($C4,Gällivare!$B$6:$B$36,0),FALSE)&amp;CHAR(10)&amp;"Local Target: "&amp;HLOOKUP(RIGHT(AN$3,LEN(AN$3)-FIND(".",AN$3,FIND(".",AN$3)+1)),Gällivare!$B$6:$J$36,MATCH($C4,Gällivare!$B$6:$B$36,0),FALSE)))</f>
        <v>Low</v>
      </c>
      <c r="AO4" s="177" t="str">
        <f>IF(AND(HLOOKUP(MID(AO$3,FIND(".",AO$3)+1,FIND(".",AO$3,FIND(".",AO$3)+1)-FIND(".",AO$3)-1),Gällivare!$B$6:$J$36,MATCH($C4,Gällivare!$B$6:$B$36,0),FALSE)="No Impact",HLOOKUP(RIGHT(AO$3,LEN(AO$3)-FIND(".",AO$3,FIND(".",AO$3)+1)),Gällivare!$B$6:$J$36,MATCH($C4,Gällivare!$B$6:$B$36,0),FALSE)="No Impact"),HLOOKUP(LEFT(AO$3,4),Global!$B$6:$J$36,MATCH($C4,Global!$B$6:$B$36,0),FALSE),IF(AND(HLOOKUP(MID(AO$3,FIND(".",AO$3)+1,FIND(".",AO$3,FIND(".",AO$3)+1)-FIND(".",AO$3)-1),Gällivare!$B$6:$J$36,MATCH($C4,Gällivare!$B$6:$B$36,0),FALSE)="No Impact",HLOOKUP(LEFT(AO$3,4),Global!$B$6:$J$36,MATCH($C4,Global!$B$6:$B$36,0),FALSE)="No Impact"),HLOOKUP(RIGHT(AO$3,LEN(AO$3)-FIND(".",AO$3,FIND(".",AO$3)+1)),Gällivare!$B$6:$J$36,MATCH($C4,Gällivare!$B$6:$B$36,0),FALSE),"Global: "&amp;HLOOKUP(LEFT(AO$3,4),Global!$B$6:$J$36,MATCH($C4,Global!$B$6:$B$36,0),FALSE)&amp;CHAR(10)&amp;"Local Trend: "&amp;HLOOKUP(MID(AO$3,FIND(".",AO$3)+1,FIND(".",AO$3,FIND(".",AO$3)+1)-FIND(".",AO$3)-1),Gällivare!$B$6:$J$36,MATCH($C4,Gällivare!$B$6:$B$36,0),FALSE)&amp;CHAR(10)&amp;"Local Target: "&amp;HLOOKUP(RIGHT(AO$3,LEN(AO$3)-FIND(".",AO$3,FIND(".",AO$3)+1)),Gällivare!$B$6:$J$36,MATCH($C4,Gällivare!$B$6:$B$36,0),FALSE)))</f>
        <v>Low</v>
      </c>
      <c r="AP4" s="177" t="str">
        <f>IF(AND(HLOOKUP(MID(AP$3,FIND(".",AP$3)+1,FIND(".",AP$3,FIND(".",AP$3)+1)-FIND(".",AP$3)-1),Gällivare!$B$6:$J$36,MATCH($C4,Gällivare!$B$6:$B$36,0),FALSE)="No Impact",HLOOKUP(RIGHT(AP$3,LEN(AP$3)-FIND(".",AP$3,FIND(".",AP$3)+1)),Gällivare!$B$6:$J$36,MATCH($C4,Gällivare!$B$6:$B$36,0),FALSE)="No Impact"),HLOOKUP(LEFT(AP$3,4),Global!$B$6:$J$36,MATCH($C4,Global!$B$6:$B$36,0),FALSE),IF(AND(HLOOKUP(MID(AP$3,FIND(".",AP$3)+1,FIND(".",AP$3,FIND(".",AP$3)+1)-FIND(".",AP$3)-1),Gällivare!$B$6:$J$36,MATCH($C4,Gällivare!$B$6:$B$36,0),FALSE)="No Impact",HLOOKUP(LEFT(AP$3,4),Global!$B$6:$J$36,MATCH($C4,Global!$B$6:$B$36,0),FALSE)="No Impact"),HLOOKUP(RIGHT(AP$3,LEN(AP$3)-FIND(".",AP$3,FIND(".",AP$3)+1)),Gällivare!$B$6:$J$36,MATCH($C4,Gällivare!$B$6:$B$36,0),FALSE),"Global: "&amp;HLOOKUP(LEFT(AP$3,4),Global!$B$6:$J$36,MATCH($C4,Global!$B$6:$B$36,0),FALSE)&amp;CHAR(10)&amp;"Local Trend: "&amp;HLOOKUP(MID(AP$3,FIND(".",AP$3)+1,FIND(".",AP$3,FIND(".",AP$3)+1)-FIND(".",AP$3)-1),Gällivare!$B$6:$J$36,MATCH($C4,Gällivare!$B$6:$B$36,0),FALSE)&amp;CHAR(10)&amp;"Local Target: "&amp;HLOOKUP(RIGHT(AP$3,LEN(AP$3)-FIND(".",AP$3,FIND(".",AP$3)+1)),Gällivare!$B$6:$J$36,MATCH($C4,Gällivare!$B$6:$B$36,0),FALSE)))</f>
        <v>Low</v>
      </c>
      <c r="AQ4" s="177" t="str">
        <f>IF(AND(HLOOKUP(MID(AQ$3,FIND(".",AQ$3)+1,FIND(".",AQ$3,FIND(".",AQ$3)+1)-FIND(".",AQ$3)-1),Gällivare!$B$6:$J$36,MATCH($C4,Gällivare!$B$6:$B$36,0),FALSE)="No Impact",HLOOKUP(RIGHT(AQ$3,LEN(AQ$3)-FIND(".",AQ$3,FIND(".",AQ$3)+1)),Gällivare!$B$6:$J$36,MATCH($C4,Gällivare!$B$6:$B$36,0),FALSE)="No Impact"),HLOOKUP(LEFT(AQ$3,4),Global!$B$6:$J$36,MATCH($C4,Global!$B$6:$B$36,0),FALSE),IF(AND(HLOOKUP(MID(AQ$3,FIND(".",AQ$3)+1,FIND(".",AQ$3,FIND(".",AQ$3)+1)-FIND(".",AQ$3)-1),Gällivare!$B$6:$J$36,MATCH($C4,Gällivare!$B$6:$B$36,0),FALSE)="No Impact",HLOOKUP(LEFT(AQ$3,4),Global!$B$6:$J$36,MATCH($C4,Global!$B$6:$B$36,0),FALSE)="No Impact"),HLOOKUP(RIGHT(AQ$3,LEN(AQ$3)-FIND(".",AQ$3,FIND(".",AQ$3)+1)),Gällivare!$B$6:$J$36,MATCH($C4,Gällivare!$B$6:$B$36,0),FALSE),"Global: "&amp;HLOOKUP(LEFT(AQ$3,4),Global!$B$6:$J$36,MATCH($C4,Global!$B$6:$B$36,0),FALSE)&amp;CHAR(10)&amp;"Local Trend: "&amp;HLOOKUP(MID(AQ$3,FIND(".",AQ$3)+1,FIND(".",AQ$3,FIND(".",AQ$3)+1)-FIND(".",AQ$3)-1),Gällivare!$B$6:$J$36,MATCH($C4,Gällivare!$B$6:$B$36,0),FALSE)&amp;CHAR(10)&amp;"Local Target: "&amp;HLOOKUP(RIGHT(AQ$3,LEN(AQ$3)-FIND(".",AQ$3,FIND(".",AQ$3)+1)),Gällivare!$B$6:$J$36,MATCH($C4,Gällivare!$B$6:$B$36,0),FALSE)))</f>
        <v>Low</v>
      </c>
      <c r="AR4" s="177" t="str">
        <f>IF(AND(HLOOKUP(MID(AR$3,FIND(".",AR$3)+1,FIND(".",AR$3,FIND(".",AR$3)+1)-FIND(".",AR$3)-1),Gällivare!$B$6:$J$36,MATCH($C4,Gällivare!$B$6:$B$36,0),FALSE)="No Impact",HLOOKUP(RIGHT(AR$3,LEN(AR$3)-FIND(".",AR$3,FIND(".",AR$3)+1)),Gällivare!$B$6:$J$36,MATCH($C4,Gällivare!$B$6:$B$36,0),FALSE)="No Impact"),HLOOKUP(LEFT(AR$3,4),Global!$B$6:$J$36,MATCH($C4,Global!$B$6:$B$36,0),FALSE),IF(AND(HLOOKUP(MID(AR$3,FIND(".",AR$3)+1,FIND(".",AR$3,FIND(".",AR$3)+1)-FIND(".",AR$3)-1),Gällivare!$B$6:$J$36,MATCH($C4,Gällivare!$B$6:$B$36,0),FALSE)="No Impact",HLOOKUP(LEFT(AR$3,4),Global!$B$6:$J$36,MATCH($C4,Global!$B$6:$B$36,0),FALSE)="No Impact"),HLOOKUP(RIGHT(AR$3,LEN(AR$3)-FIND(".",AR$3,FIND(".",AR$3)+1)),Gällivare!$B$6:$J$36,MATCH($C4,Gällivare!$B$6:$B$36,0),FALSE),"Global: "&amp;HLOOKUP(LEFT(AR$3,4),Global!$B$6:$J$36,MATCH($C4,Global!$B$6:$B$36,0),FALSE)&amp;CHAR(10)&amp;"Local Trend: "&amp;HLOOKUP(MID(AR$3,FIND(".",AR$3)+1,FIND(".",AR$3,FIND(".",AR$3)+1)-FIND(".",AR$3)-1),Gällivare!$B$6:$J$36,MATCH($C4,Gällivare!$B$6:$B$36,0),FALSE)&amp;CHAR(10)&amp;"Local Target: "&amp;HLOOKUP(RIGHT(AR$3,LEN(AR$3)-FIND(".",AR$3,FIND(".",AR$3)+1)),Gällivare!$B$6:$J$36,MATCH($C4,Gällivare!$B$6:$B$36,0),FALSE)))</f>
        <v>Low</v>
      </c>
      <c r="AS4" s="177" t="str">
        <f>IF(AND(HLOOKUP(MID(AS$3,FIND(".",AS$3)+1,FIND(".",AS$3,FIND(".",AS$3)+1)-FIND(".",AS$3)-1),Gällivare!$B$6:$J$36,MATCH($C4,Gällivare!$B$6:$B$36,0),FALSE)="No Impact",HLOOKUP(RIGHT(AS$3,LEN(AS$3)-FIND(".",AS$3,FIND(".",AS$3)+1)),Gällivare!$B$6:$J$36,MATCH($C4,Gällivare!$B$6:$B$36,0),FALSE)="No Impact"),HLOOKUP(LEFT(AS$3,4),Global!$B$6:$J$36,MATCH($C4,Global!$B$6:$B$36,0),FALSE),IF(AND(HLOOKUP(MID(AS$3,FIND(".",AS$3)+1,FIND(".",AS$3,FIND(".",AS$3)+1)-FIND(".",AS$3)-1),Gällivare!$B$6:$J$36,MATCH($C4,Gällivare!$B$6:$B$36,0),FALSE)="No Impact",HLOOKUP(LEFT(AS$3,4),Global!$B$6:$J$36,MATCH($C4,Global!$B$6:$B$36,0),FALSE)="No Impact"),HLOOKUP(RIGHT(AS$3,LEN(AS$3)-FIND(".",AS$3,FIND(".",AS$3)+1)),Gällivare!$B$6:$J$36,MATCH($C4,Gällivare!$B$6:$B$36,0),FALSE),"Global: "&amp;HLOOKUP(LEFT(AS$3,4),Global!$B$6:$J$36,MATCH($C4,Global!$B$6:$B$36,0),FALSE)&amp;CHAR(10)&amp;"Local Trend: "&amp;HLOOKUP(MID(AS$3,FIND(".",AS$3)+1,FIND(".",AS$3,FIND(".",AS$3)+1)-FIND(".",AS$3)-1),Gällivare!$B$6:$J$36,MATCH($C4,Gällivare!$B$6:$B$36,0),FALSE)&amp;CHAR(10)&amp;"Local Target: "&amp;HLOOKUP(RIGHT(AS$3,LEN(AS$3)-FIND(".",AS$3,FIND(".",AS$3)+1)),Gällivare!$B$6:$J$36,MATCH($C4,Gällivare!$B$6:$B$36,0),FALSE)))</f>
        <v>Medium</v>
      </c>
      <c r="AT4" s="177" t="str">
        <f>IF(AND(HLOOKUP(MID(AT$3,FIND(".",AT$3)+1,FIND(".",AT$3,FIND(".",AT$3)+1)-FIND(".",AT$3)-1),Gällivare!$B$6:$J$36,MATCH($C4,Gällivare!$B$6:$B$36,0),FALSE)="No Impact",HLOOKUP(RIGHT(AT$3,LEN(AT$3)-FIND(".",AT$3,FIND(".",AT$3)+1)),Gällivare!$B$6:$J$36,MATCH($C4,Gällivare!$B$6:$B$36,0),FALSE)="No Impact"),HLOOKUP(LEFT(AT$3,4),Global!$B$6:$J$36,MATCH($C4,Global!$B$6:$B$36,0),FALSE),IF(AND(HLOOKUP(MID(AT$3,FIND(".",AT$3)+1,FIND(".",AT$3,FIND(".",AT$3)+1)-FIND(".",AT$3)-1),Gällivare!$B$6:$J$36,MATCH($C4,Gällivare!$B$6:$B$36,0),FALSE)="No Impact",HLOOKUP(LEFT(AT$3,4),Global!$B$6:$J$36,MATCH($C4,Global!$B$6:$B$36,0),FALSE)="No Impact"),HLOOKUP(RIGHT(AT$3,LEN(AT$3)-FIND(".",AT$3,FIND(".",AT$3)+1)),Gällivare!$B$6:$J$36,MATCH($C4,Gällivare!$B$6:$B$36,0),FALSE),"Global: "&amp;HLOOKUP(LEFT(AT$3,4),Global!$B$6:$J$36,MATCH($C4,Global!$B$6:$B$36,0),FALSE)&amp;CHAR(10)&amp;"Local Trend: "&amp;HLOOKUP(MID(AT$3,FIND(".",AT$3)+1,FIND(".",AT$3,FIND(".",AT$3)+1)-FIND(".",AT$3)-1),Gällivare!$B$6:$J$36,MATCH($C4,Gällivare!$B$6:$B$36,0),FALSE)&amp;CHAR(10)&amp;"Local Target: "&amp;HLOOKUP(RIGHT(AT$3,LEN(AT$3)-FIND(".",AT$3,FIND(".",AT$3)+1)),Gällivare!$B$6:$J$36,MATCH($C4,Gällivare!$B$6:$B$36,0),FALSE)))</f>
        <v>Medium</v>
      </c>
      <c r="AU4" s="177" t="str">
        <f>IF(AND(HLOOKUP(MID(AU$3,FIND(".",AU$3)+1,FIND(".",AU$3,FIND(".",AU$3)+1)-FIND(".",AU$3)-1),Gällivare!$B$6:$J$36,MATCH($C4,Gällivare!$B$6:$B$36,0),FALSE)="No Impact",HLOOKUP(RIGHT(AU$3,LEN(AU$3)-FIND(".",AU$3,FIND(".",AU$3)+1)),Gällivare!$B$6:$J$36,MATCH($C4,Gällivare!$B$6:$B$36,0),FALSE)="No Impact"),HLOOKUP(LEFT(AU$3,4),Global!$B$6:$J$36,MATCH($C4,Global!$B$6:$B$36,0),FALSE),IF(AND(HLOOKUP(MID(AU$3,FIND(".",AU$3)+1,FIND(".",AU$3,FIND(".",AU$3)+1)-FIND(".",AU$3)-1),Gällivare!$B$6:$J$36,MATCH($C4,Gällivare!$B$6:$B$36,0),FALSE)="No Impact",HLOOKUP(LEFT(AU$3,4),Global!$B$6:$J$36,MATCH($C4,Global!$B$6:$B$36,0),FALSE)="No Impact"),HLOOKUP(RIGHT(AU$3,LEN(AU$3)-FIND(".",AU$3,FIND(".",AU$3)+1)),Gällivare!$B$6:$J$36,MATCH($C4,Gällivare!$B$6:$B$36,0),FALSE),"Global: "&amp;HLOOKUP(LEFT(AU$3,4),Global!$B$6:$J$36,MATCH($C4,Global!$B$6:$B$36,0),FALSE)&amp;CHAR(10)&amp;"Local Trend: "&amp;HLOOKUP(MID(AU$3,FIND(".",AU$3)+1,FIND(".",AU$3,FIND(".",AU$3)+1)-FIND(".",AU$3)-1),Gällivare!$B$6:$J$36,MATCH($C4,Gällivare!$B$6:$B$36,0),FALSE)&amp;CHAR(10)&amp;"Local Target: "&amp;HLOOKUP(RIGHT(AU$3,LEN(AU$3)-FIND(".",AU$3,FIND(".",AU$3)+1)),Gällivare!$B$6:$J$36,MATCH($C4,Gällivare!$B$6:$B$36,0),FALSE)))</f>
        <v>Medium</v>
      </c>
      <c r="AV4" s="177" t="str">
        <f>IF(AND(HLOOKUP(MID(AV$3,FIND(".",AV$3)+1,FIND(".",AV$3,FIND(".",AV$3)+1)-FIND(".",AV$3)-1),Gällivare!$B$6:$J$36,MATCH($C4,Gällivare!$B$6:$B$36,0),FALSE)="No Impact",HLOOKUP(RIGHT(AV$3,LEN(AV$3)-FIND(".",AV$3,FIND(".",AV$3)+1)),Gällivare!$B$6:$J$36,MATCH($C4,Gällivare!$B$6:$B$36,0),FALSE)="No Impact"),HLOOKUP(LEFT(AV$3,4),Global!$B$6:$J$36,MATCH($C4,Global!$B$6:$B$36,0),FALSE),IF(AND(HLOOKUP(MID(AV$3,FIND(".",AV$3)+1,FIND(".",AV$3,FIND(".",AV$3)+1)-FIND(".",AV$3)-1),Gällivare!$B$6:$J$36,MATCH($C4,Gällivare!$B$6:$B$36,0),FALSE)="No Impact",HLOOKUP(LEFT(AV$3,4),Global!$B$6:$J$36,MATCH($C4,Global!$B$6:$B$36,0),FALSE)="No Impact"),HLOOKUP(RIGHT(AV$3,LEN(AV$3)-FIND(".",AV$3,FIND(".",AV$3)+1)),Gällivare!$B$6:$J$36,MATCH($C4,Gällivare!$B$6:$B$36,0),FALSE),"Global: "&amp;HLOOKUP(LEFT(AV$3,4),Global!$B$6:$J$36,MATCH($C4,Global!$B$6:$B$36,0),FALSE)&amp;CHAR(10)&amp;"Local Trend: "&amp;HLOOKUP(MID(AV$3,FIND(".",AV$3)+1,FIND(".",AV$3,FIND(".",AV$3)+1)-FIND(".",AV$3)-1),Gällivare!$B$6:$J$36,MATCH($C4,Gällivare!$B$6:$B$36,0),FALSE)&amp;CHAR(10)&amp;"Local Target: "&amp;HLOOKUP(RIGHT(AV$3,LEN(AV$3)-FIND(".",AV$3,FIND(".",AV$3)+1)),Gällivare!$B$6:$J$36,MATCH($C4,Gällivare!$B$6:$B$36,0),FALSE)))</f>
        <v>Medium</v>
      </c>
      <c r="AW4" s="177" t="str">
        <f>IF(AND(HLOOKUP(MID(AW$3,FIND(".",AW$3)+1,FIND(".",AW$3,FIND(".",AW$3)+1)-FIND(".",AW$3)-1),Gällivare!$B$6:$J$36,MATCH($C4,Gällivare!$B$6:$B$36,0),FALSE)="No Impact",HLOOKUP(RIGHT(AW$3,LEN(AW$3)-FIND(".",AW$3,FIND(".",AW$3)+1)),Gällivare!$B$6:$J$36,MATCH($C4,Gällivare!$B$6:$B$36,0),FALSE)="No Impact"),HLOOKUP(LEFT(AW$3,4),Global!$B$6:$J$36,MATCH($C4,Global!$B$6:$B$36,0),FALSE),IF(AND(HLOOKUP(MID(AW$3,FIND(".",AW$3)+1,FIND(".",AW$3,FIND(".",AW$3)+1)-FIND(".",AW$3)-1),Gällivare!$B$6:$J$36,MATCH($C4,Gällivare!$B$6:$B$36,0),FALSE)="No Impact",HLOOKUP(LEFT(AW$3,4),Global!$B$6:$J$36,MATCH($C4,Global!$B$6:$B$36,0),FALSE)="No Impact"),HLOOKUP(RIGHT(AW$3,LEN(AW$3)-FIND(".",AW$3,FIND(".",AW$3)+1)),Gällivare!$B$6:$J$36,MATCH($C4,Gällivare!$B$6:$B$36,0),FALSE),"Global: "&amp;HLOOKUP(LEFT(AW$3,4),Global!$B$6:$J$36,MATCH($C4,Global!$B$6:$B$36,0),FALSE)&amp;CHAR(10)&amp;"Local Trend: "&amp;HLOOKUP(MID(AW$3,FIND(".",AW$3)+1,FIND(".",AW$3,FIND(".",AW$3)+1)-FIND(".",AW$3)-1),Gällivare!$B$6:$J$36,MATCH($C4,Gällivare!$B$6:$B$36,0),FALSE)&amp;CHAR(10)&amp;"Local Target: "&amp;HLOOKUP(RIGHT(AW$3,LEN(AW$3)-FIND(".",AW$3,FIND(".",AW$3)+1)),Gällivare!$B$6:$J$36,MATCH($C4,Gällivare!$B$6:$B$36,0),FALSE)))</f>
        <v>Medium</v>
      </c>
      <c r="AX4" s="177" t="str">
        <f>IF(AND(HLOOKUP(MID(AX$3,FIND(".",AX$3)+1,FIND(".",AX$3,FIND(".",AX$3)+1)-FIND(".",AX$3)-1),Gällivare!$B$6:$J$36,MATCH($C4,Gällivare!$B$6:$B$36,0),FALSE)="No Impact",HLOOKUP(RIGHT(AX$3,LEN(AX$3)-FIND(".",AX$3,FIND(".",AX$3)+1)),Gällivare!$B$6:$J$36,MATCH($C4,Gällivare!$B$6:$B$36,0),FALSE)="No Impact"),HLOOKUP(LEFT(AX$3,4),Global!$B$6:$J$36,MATCH($C4,Global!$B$6:$B$36,0),FALSE),IF(AND(HLOOKUP(MID(AX$3,FIND(".",AX$3)+1,FIND(".",AX$3,FIND(".",AX$3)+1)-FIND(".",AX$3)-1),Gällivare!$B$6:$J$36,MATCH($C4,Gällivare!$B$6:$B$36,0),FALSE)="No Impact",HLOOKUP(LEFT(AX$3,4),Global!$B$6:$J$36,MATCH($C4,Global!$B$6:$B$36,0),FALSE)="No Impact"),HLOOKUP(RIGHT(AX$3,LEN(AX$3)-FIND(".",AX$3,FIND(".",AX$3)+1)),Gällivare!$B$6:$J$36,MATCH($C4,Gällivare!$B$6:$B$36,0),FALSE),"Global: "&amp;HLOOKUP(LEFT(AX$3,4),Global!$B$6:$J$36,MATCH($C4,Global!$B$6:$B$36,0),FALSE)&amp;CHAR(10)&amp;"Local Trend: "&amp;HLOOKUP(MID(AX$3,FIND(".",AX$3)+1,FIND(".",AX$3,FIND(".",AX$3)+1)-FIND(".",AX$3)-1),Gällivare!$B$6:$J$36,MATCH($C4,Gällivare!$B$6:$B$36,0),FALSE)&amp;CHAR(10)&amp;"Local Target: "&amp;HLOOKUP(RIGHT(AX$3,LEN(AX$3)-FIND(".",AX$3,FIND(".",AX$3)+1)),Gällivare!$B$6:$J$36,MATCH($C4,Gällivare!$B$6:$B$36,0),FALSE)))</f>
        <v>Medium</v>
      </c>
      <c r="AY4" s="177" t="str">
        <f>IF(AND(HLOOKUP(MID(AY$3,FIND(".",AY$3)+1,FIND(".",AY$3,FIND(".",AY$3)+1)-FIND(".",AY$3)-1),Gällivare!$B$6:$J$36,MATCH($C4,Gällivare!$B$6:$B$36,0),FALSE)="No Impact",HLOOKUP(RIGHT(AY$3,LEN(AY$3)-FIND(".",AY$3,FIND(".",AY$3)+1)),Gällivare!$B$6:$J$36,MATCH($C4,Gällivare!$B$6:$B$36,0),FALSE)="No Impact"),HLOOKUP(LEFT(AY$3,4),Global!$B$6:$J$36,MATCH($C4,Global!$B$6:$B$36,0),FALSE),IF(AND(HLOOKUP(MID(AY$3,FIND(".",AY$3)+1,FIND(".",AY$3,FIND(".",AY$3)+1)-FIND(".",AY$3)-1),Gällivare!$B$6:$J$36,MATCH($C4,Gällivare!$B$6:$B$36,0),FALSE)="No Impact",HLOOKUP(LEFT(AY$3,4),Global!$B$6:$J$36,MATCH($C4,Global!$B$6:$B$36,0),FALSE)="No Impact"),HLOOKUP(RIGHT(AY$3,LEN(AY$3)-FIND(".",AY$3,FIND(".",AY$3)+1)),Gällivare!$B$6:$J$36,MATCH($C4,Gällivare!$B$6:$B$36,0),FALSE),"Global: "&amp;HLOOKUP(LEFT(AY$3,4),Global!$B$6:$J$36,MATCH($C4,Global!$B$6:$B$36,0),FALSE)&amp;CHAR(10)&amp;"Local Trend: "&amp;HLOOKUP(MID(AY$3,FIND(".",AY$3)+1,FIND(".",AY$3,FIND(".",AY$3)+1)-FIND(".",AY$3)-1),Gällivare!$B$6:$J$36,MATCH($C4,Gällivare!$B$6:$B$36,0),FALSE)&amp;CHAR(10)&amp;"Local Target: "&amp;HLOOKUP(RIGHT(AY$3,LEN(AY$3)-FIND(".",AY$3,FIND(".",AY$3)+1)),Gällivare!$B$6:$J$36,MATCH($C4,Gällivare!$B$6:$B$36,0),FALSE)))</f>
        <v>High</v>
      </c>
      <c r="AZ4" s="177" t="str">
        <f>IF(AND(HLOOKUP(MID(AZ$3,FIND(".",AZ$3)+1,FIND(".",AZ$3,FIND(".",AZ$3)+1)-FIND(".",AZ$3)-1),Gällivare!$B$6:$J$36,MATCH($C4,Gällivare!$B$6:$B$36,0),FALSE)="No Impact",HLOOKUP(RIGHT(AZ$3,LEN(AZ$3)-FIND(".",AZ$3,FIND(".",AZ$3)+1)),Gällivare!$B$6:$J$36,MATCH($C4,Gällivare!$B$6:$B$36,0),FALSE)="No Impact"),HLOOKUP(LEFT(AZ$3,4),Global!$B$6:$J$36,MATCH($C4,Global!$B$6:$B$36,0),FALSE),IF(AND(HLOOKUP(MID(AZ$3,FIND(".",AZ$3)+1,FIND(".",AZ$3,FIND(".",AZ$3)+1)-FIND(".",AZ$3)-1),Gällivare!$B$6:$J$36,MATCH($C4,Gällivare!$B$6:$B$36,0),FALSE)="No Impact",HLOOKUP(LEFT(AZ$3,4),Global!$B$6:$J$36,MATCH($C4,Global!$B$6:$B$36,0),FALSE)="No Impact"),HLOOKUP(RIGHT(AZ$3,LEN(AZ$3)-FIND(".",AZ$3,FIND(".",AZ$3)+1)),Gällivare!$B$6:$J$36,MATCH($C4,Gällivare!$B$6:$B$36,0),FALSE),"Global: "&amp;HLOOKUP(LEFT(AZ$3,4),Global!$B$6:$J$36,MATCH($C4,Global!$B$6:$B$36,0),FALSE)&amp;CHAR(10)&amp;"Local Trend: "&amp;HLOOKUP(MID(AZ$3,FIND(".",AZ$3)+1,FIND(".",AZ$3,FIND(".",AZ$3)+1)-FIND(".",AZ$3)-1),Gällivare!$B$6:$J$36,MATCH($C4,Gällivare!$B$6:$B$36,0),FALSE)&amp;CHAR(10)&amp;"Local Target: "&amp;HLOOKUP(RIGHT(AZ$3,LEN(AZ$3)-FIND(".",AZ$3,FIND(".",AZ$3)+1)),Gällivare!$B$6:$J$36,MATCH($C4,Gällivare!$B$6:$B$36,0),FALSE)))</f>
        <v>High</v>
      </c>
      <c r="BA4" s="177" t="str">
        <f>IF(AND(HLOOKUP(MID(BA$3,FIND(".",BA$3)+1,FIND(".",BA$3,FIND(".",BA$3)+1)-FIND(".",BA$3)-1),Gällivare!$B$6:$J$36,MATCH($C4,Gällivare!$B$6:$B$36,0),FALSE)="No Impact",HLOOKUP(RIGHT(BA$3,LEN(BA$3)-FIND(".",BA$3,FIND(".",BA$3)+1)),Gällivare!$B$6:$J$36,MATCH($C4,Gällivare!$B$6:$B$36,0),FALSE)="No Impact"),HLOOKUP(LEFT(BA$3,4),Global!$B$6:$J$36,MATCH($C4,Global!$B$6:$B$36,0),FALSE),IF(AND(HLOOKUP(MID(BA$3,FIND(".",BA$3)+1,FIND(".",BA$3,FIND(".",BA$3)+1)-FIND(".",BA$3)-1),Gällivare!$B$6:$J$36,MATCH($C4,Gällivare!$B$6:$B$36,0),FALSE)="No Impact",HLOOKUP(LEFT(BA$3,4),Global!$B$6:$J$36,MATCH($C4,Global!$B$6:$B$36,0),FALSE)="No Impact"),HLOOKUP(RIGHT(BA$3,LEN(BA$3)-FIND(".",BA$3,FIND(".",BA$3)+1)),Gällivare!$B$6:$J$36,MATCH($C4,Gällivare!$B$6:$B$36,0),FALSE),"Global: "&amp;HLOOKUP(LEFT(BA$3,4),Global!$B$6:$J$36,MATCH($C4,Global!$B$6:$B$36,0),FALSE)&amp;CHAR(10)&amp;"Local Trend: "&amp;HLOOKUP(MID(BA$3,FIND(".",BA$3)+1,FIND(".",BA$3,FIND(".",BA$3)+1)-FIND(".",BA$3)-1),Gällivare!$B$6:$J$36,MATCH($C4,Gällivare!$B$6:$B$36,0),FALSE)&amp;CHAR(10)&amp;"Local Target: "&amp;HLOOKUP(RIGHT(BA$3,LEN(BA$3)-FIND(".",BA$3,FIND(".",BA$3)+1)),Gällivare!$B$6:$J$36,MATCH($C4,Gällivare!$B$6:$B$36,0),FALSE)))</f>
        <v>High</v>
      </c>
      <c r="BB4" s="177" t="str">
        <f>IF(AND(HLOOKUP(MID(BB$3,FIND(".",BB$3)+1,FIND(".",BB$3,FIND(".",BB$3)+1)-FIND(".",BB$3)-1),Gällivare!$B$6:$J$36,MATCH($C4,Gällivare!$B$6:$B$36,0),FALSE)="No Impact",HLOOKUP(RIGHT(BB$3,LEN(BB$3)-FIND(".",BB$3,FIND(".",BB$3)+1)),Gällivare!$B$6:$J$36,MATCH($C4,Gällivare!$B$6:$B$36,0),FALSE)="No Impact"),HLOOKUP(LEFT(BB$3,4),Global!$B$6:$J$36,MATCH($C4,Global!$B$6:$B$36,0),FALSE),IF(AND(HLOOKUP(MID(BB$3,FIND(".",BB$3)+1,FIND(".",BB$3,FIND(".",BB$3)+1)-FIND(".",BB$3)-1),Gällivare!$B$6:$J$36,MATCH($C4,Gällivare!$B$6:$B$36,0),FALSE)="No Impact",HLOOKUP(LEFT(BB$3,4),Global!$B$6:$J$36,MATCH($C4,Global!$B$6:$B$36,0),FALSE)="No Impact"),HLOOKUP(RIGHT(BB$3,LEN(BB$3)-FIND(".",BB$3,FIND(".",BB$3)+1)),Gällivare!$B$6:$J$36,MATCH($C4,Gällivare!$B$6:$B$36,0),FALSE),"Global: "&amp;HLOOKUP(LEFT(BB$3,4),Global!$B$6:$J$36,MATCH($C4,Global!$B$6:$B$36,0),FALSE)&amp;CHAR(10)&amp;"Local Trend: "&amp;HLOOKUP(MID(BB$3,FIND(".",BB$3)+1,FIND(".",BB$3,FIND(".",BB$3)+1)-FIND(".",BB$3)-1),Gällivare!$B$6:$J$36,MATCH($C4,Gällivare!$B$6:$B$36,0),FALSE)&amp;CHAR(10)&amp;"Local Target: "&amp;HLOOKUP(RIGHT(BB$3,LEN(BB$3)-FIND(".",BB$3,FIND(".",BB$3)+1)),Gällivare!$B$6:$J$36,MATCH($C4,Gällivare!$B$6:$B$36,0),FALSE)))</f>
        <v>High</v>
      </c>
      <c r="BC4" s="177" t="str">
        <f>IF(AND(HLOOKUP(MID(BC$3,FIND(".",BC$3)+1,FIND(".",BC$3,FIND(".",BC$3)+1)-FIND(".",BC$3)-1),Gällivare!$B$6:$J$36,MATCH($C4,Gällivare!$B$6:$B$36,0),FALSE)="No Impact",HLOOKUP(RIGHT(BC$3,LEN(BC$3)-FIND(".",BC$3,FIND(".",BC$3)+1)),Gällivare!$B$6:$J$36,MATCH($C4,Gällivare!$B$6:$B$36,0),FALSE)="No Impact"),HLOOKUP(LEFT(BC$3,4),Global!$B$6:$J$36,MATCH($C4,Global!$B$6:$B$36,0),FALSE),IF(AND(HLOOKUP(MID(BC$3,FIND(".",BC$3)+1,FIND(".",BC$3,FIND(".",BC$3)+1)-FIND(".",BC$3)-1),Gällivare!$B$6:$J$36,MATCH($C4,Gällivare!$B$6:$B$36,0),FALSE)="No Impact",HLOOKUP(LEFT(BC$3,4),Global!$B$6:$J$36,MATCH($C4,Global!$B$6:$B$36,0),FALSE)="No Impact"),HLOOKUP(RIGHT(BC$3,LEN(BC$3)-FIND(".",BC$3,FIND(".",BC$3)+1)),Gällivare!$B$6:$J$36,MATCH($C4,Gällivare!$B$6:$B$36,0),FALSE),"Global: "&amp;HLOOKUP(LEFT(BC$3,4),Global!$B$6:$J$36,MATCH($C4,Global!$B$6:$B$36,0),FALSE)&amp;CHAR(10)&amp;"Local Trend: "&amp;HLOOKUP(MID(BC$3,FIND(".",BC$3)+1,FIND(".",BC$3,FIND(".",BC$3)+1)-FIND(".",BC$3)-1),Gällivare!$B$6:$J$36,MATCH($C4,Gällivare!$B$6:$B$36,0),FALSE)&amp;CHAR(10)&amp;"Local Target: "&amp;HLOOKUP(RIGHT(BC$3,LEN(BC$3)-FIND(".",BC$3,FIND(".",BC$3)+1)),Gällivare!$B$6:$J$36,MATCH($C4,Gällivare!$B$6:$B$36,0),FALSE)))</f>
        <v>High</v>
      </c>
      <c r="BD4" s="177" t="str">
        <f>IF(AND(HLOOKUP(MID(BD$3,FIND(".",BD$3)+1,FIND(".",BD$3,FIND(".",BD$3)+1)-FIND(".",BD$3)-1),Gällivare!$B$6:$J$36,MATCH($C4,Gällivare!$B$6:$B$36,0),FALSE)="No Impact",HLOOKUP(RIGHT(BD$3,LEN(BD$3)-FIND(".",BD$3,FIND(".",BD$3)+1)),Gällivare!$B$6:$J$36,MATCH($C4,Gällivare!$B$6:$B$36,0),FALSE)="No Impact"),HLOOKUP(LEFT(BD$3,4),Global!$B$6:$J$36,MATCH($C4,Global!$B$6:$B$36,0),FALSE),IF(AND(HLOOKUP(MID(BD$3,FIND(".",BD$3)+1,FIND(".",BD$3,FIND(".",BD$3)+1)-FIND(".",BD$3)-1),Gällivare!$B$6:$J$36,MATCH($C4,Gällivare!$B$6:$B$36,0),FALSE)="No Impact",HLOOKUP(LEFT(BD$3,4),Global!$B$6:$J$36,MATCH($C4,Global!$B$6:$B$36,0),FALSE)="No Impact"),HLOOKUP(RIGHT(BD$3,LEN(BD$3)-FIND(".",BD$3,FIND(".",BD$3)+1)),Gällivare!$B$6:$J$36,MATCH($C4,Gällivare!$B$6:$B$36,0),FALSE),"Global: "&amp;HLOOKUP(LEFT(BD$3,4),Global!$B$6:$J$36,MATCH($C4,Global!$B$6:$B$36,0),FALSE)&amp;CHAR(10)&amp;"Local Trend: "&amp;HLOOKUP(MID(BD$3,FIND(".",BD$3)+1,FIND(".",BD$3,FIND(".",BD$3)+1)-FIND(".",BD$3)-1),Gällivare!$B$6:$J$36,MATCH($C4,Gällivare!$B$6:$B$36,0),FALSE)&amp;CHAR(10)&amp;"Local Target: "&amp;HLOOKUP(RIGHT(BD$3,LEN(BD$3)-FIND(".",BD$3,FIND(".",BD$3)+1)),Gällivare!$B$6:$J$36,MATCH($C4,Gällivare!$B$6:$B$36,0),FALSE)))</f>
        <v>High</v>
      </c>
      <c r="BE4" s="177" t="str">
        <f>IF(AND(HLOOKUP(MID(BE$3,FIND(".",BE$3)+1,FIND(".",BE$3,FIND(".",BE$3)+1)-FIND(".",BE$3)-1),Gällivare!$B$6:$J$36,MATCH($C4,Gällivare!$B$6:$B$36,0),FALSE)="No Impact",HLOOKUP(RIGHT(BE$3,LEN(BE$3)-FIND(".",BE$3,FIND(".",BE$3)+1)),Gällivare!$B$6:$J$36,MATCH($C4,Gällivare!$B$6:$B$36,0),FALSE)="No Impact"),HLOOKUP(LEFT(BE$3,4),Global!$B$6:$J$36,MATCH($C4,Global!$B$6:$B$36,0),FALSE),IF(AND(HLOOKUP(MID(BE$3,FIND(".",BE$3)+1,FIND(".",BE$3,FIND(".",BE$3)+1)-FIND(".",BE$3)-1),Gällivare!$B$6:$J$36,MATCH($C4,Gällivare!$B$6:$B$36,0),FALSE)="No Impact",HLOOKUP(LEFT(BE$3,4),Global!$B$6:$J$36,MATCH($C4,Global!$B$6:$B$36,0),FALSE)="No Impact"),HLOOKUP(RIGHT(BE$3,LEN(BE$3)-FIND(".",BE$3,FIND(".",BE$3)+1)),Gällivare!$B$6:$J$36,MATCH($C4,Gällivare!$B$6:$B$36,0),FALSE),"Global: "&amp;HLOOKUP(LEFT(BE$3,4),Global!$B$6:$J$36,MATCH($C4,Global!$B$6:$B$36,0),FALSE)&amp;CHAR(10)&amp;"Local Trend: "&amp;HLOOKUP(MID(BE$3,FIND(".",BE$3)+1,FIND(".",BE$3,FIND(".",BE$3)+1)-FIND(".",BE$3)-1),Gällivare!$B$6:$J$36,MATCH($C4,Gällivare!$B$6:$B$36,0),FALSE)&amp;CHAR(10)&amp;"Local Target: "&amp;HLOOKUP(RIGHT(BE$3,LEN(BE$3)-FIND(".",BE$3,FIND(".",BE$3)+1)),Gällivare!$B$6:$J$36,MATCH($C4,Gällivare!$B$6:$B$36,0),FALSE)))</f>
        <v>Medium</v>
      </c>
      <c r="BF4" s="177" t="str">
        <f>IF(AND(HLOOKUP(MID(BF$3,FIND(".",BF$3)+1,FIND(".",BF$3,FIND(".",BF$3)+1)-FIND(".",BF$3)-1),Gällivare!$B$6:$J$36,MATCH($C4,Gällivare!$B$6:$B$36,0),FALSE)="No Impact",HLOOKUP(RIGHT(BF$3,LEN(BF$3)-FIND(".",BF$3,FIND(".",BF$3)+1)),Gällivare!$B$6:$J$36,MATCH($C4,Gällivare!$B$6:$B$36,0),FALSE)="No Impact"),HLOOKUP(LEFT(BF$3,4),Global!$B$6:$J$36,MATCH($C4,Global!$B$6:$B$36,0),FALSE),IF(AND(HLOOKUP(MID(BF$3,FIND(".",BF$3)+1,FIND(".",BF$3,FIND(".",BF$3)+1)-FIND(".",BF$3)-1),Gällivare!$B$6:$J$36,MATCH($C4,Gällivare!$B$6:$B$36,0),FALSE)="No Impact",HLOOKUP(LEFT(BF$3,4),Global!$B$6:$J$36,MATCH($C4,Global!$B$6:$B$36,0),FALSE)="No Impact"),HLOOKUP(RIGHT(BF$3,LEN(BF$3)-FIND(".",BF$3,FIND(".",BF$3)+1)),Gällivare!$B$6:$J$36,MATCH($C4,Gällivare!$B$6:$B$36,0),FALSE),"Global: "&amp;HLOOKUP(LEFT(BF$3,4),Global!$B$6:$J$36,MATCH($C4,Global!$B$6:$B$36,0),FALSE)&amp;CHAR(10)&amp;"Local Trend: "&amp;HLOOKUP(MID(BF$3,FIND(".",BF$3)+1,FIND(".",BF$3,FIND(".",BF$3)+1)-FIND(".",BF$3)-1),Gällivare!$B$6:$J$36,MATCH($C4,Gällivare!$B$6:$B$36,0),FALSE)&amp;CHAR(10)&amp;"Local Target: "&amp;HLOOKUP(RIGHT(BF$3,LEN(BF$3)-FIND(".",BF$3,FIND(".",BF$3)+1)),Gällivare!$B$6:$J$36,MATCH($C4,Gällivare!$B$6:$B$36,0),FALSE)))</f>
        <v>Medium</v>
      </c>
      <c r="BG4" s="177" t="str">
        <f>IF(AND(HLOOKUP(MID(BG$3,FIND(".",BG$3)+1,FIND(".",BG$3,FIND(".",BG$3)+1)-FIND(".",BG$3)-1),Gällivare!$B$6:$J$36,MATCH($C4,Gällivare!$B$6:$B$36,0),FALSE)="No Impact",HLOOKUP(RIGHT(BG$3,LEN(BG$3)-FIND(".",BG$3,FIND(".",BG$3)+1)),Gällivare!$B$6:$J$36,MATCH($C4,Gällivare!$B$6:$B$36,0),FALSE)="No Impact"),HLOOKUP(LEFT(BG$3,4),Global!$B$6:$J$36,MATCH($C4,Global!$B$6:$B$36,0),FALSE),IF(AND(HLOOKUP(MID(BG$3,FIND(".",BG$3)+1,FIND(".",BG$3,FIND(".",BG$3)+1)-FIND(".",BG$3)-1),Gällivare!$B$6:$J$36,MATCH($C4,Gällivare!$B$6:$B$36,0),FALSE)="No Impact",HLOOKUP(LEFT(BG$3,4),Global!$B$6:$J$36,MATCH($C4,Global!$B$6:$B$36,0),FALSE)="No Impact"),HLOOKUP(RIGHT(BG$3,LEN(BG$3)-FIND(".",BG$3,FIND(".",BG$3)+1)),Gällivare!$B$6:$J$36,MATCH($C4,Gällivare!$B$6:$B$36,0),FALSE),"Global: "&amp;HLOOKUP(LEFT(BG$3,4),Global!$B$6:$J$36,MATCH($C4,Global!$B$6:$B$36,0),FALSE)&amp;CHAR(10)&amp;"Local Trend: "&amp;HLOOKUP(MID(BG$3,FIND(".",BG$3)+1,FIND(".",BG$3,FIND(".",BG$3)+1)-FIND(".",BG$3)-1),Gällivare!$B$6:$J$36,MATCH($C4,Gällivare!$B$6:$B$36,0),FALSE)&amp;CHAR(10)&amp;"Local Target: "&amp;HLOOKUP(RIGHT(BG$3,LEN(BG$3)-FIND(".",BG$3,FIND(".",BG$3)+1)),Gällivare!$B$6:$J$36,MATCH($C4,Gällivare!$B$6:$B$36,0),FALSE)))</f>
        <v>Medium</v>
      </c>
      <c r="BH4" s="177" t="str">
        <f>IF(AND(HLOOKUP(MID(BH$3,FIND(".",BH$3)+1,FIND(".",BH$3,FIND(".",BH$3)+1)-FIND(".",BH$3)-1),Gällivare!$B$6:$J$36,MATCH($C4,Gällivare!$B$6:$B$36,0),FALSE)="No Impact",HLOOKUP(RIGHT(BH$3,LEN(BH$3)-FIND(".",BH$3,FIND(".",BH$3)+1)),Gällivare!$B$6:$J$36,MATCH($C4,Gällivare!$B$6:$B$36,0),FALSE)="No Impact"),HLOOKUP(LEFT(BH$3,4),Global!$B$6:$J$36,MATCH($C4,Global!$B$6:$B$36,0),FALSE),IF(AND(HLOOKUP(MID(BH$3,FIND(".",BH$3)+1,FIND(".",BH$3,FIND(".",BH$3)+1)-FIND(".",BH$3)-1),Gällivare!$B$6:$J$36,MATCH($C4,Gällivare!$B$6:$B$36,0),FALSE)="No Impact",HLOOKUP(LEFT(BH$3,4),Global!$B$6:$J$36,MATCH($C4,Global!$B$6:$B$36,0),FALSE)="No Impact"),HLOOKUP(RIGHT(BH$3,LEN(BH$3)-FIND(".",BH$3,FIND(".",BH$3)+1)),Gällivare!$B$6:$J$36,MATCH($C4,Gällivare!$B$6:$B$36,0),FALSE),"Global: "&amp;HLOOKUP(LEFT(BH$3,4),Global!$B$6:$J$36,MATCH($C4,Global!$B$6:$B$36,0),FALSE)&amp;CHAR(10)&amp;"Local Trend: "&amp;HLOOKUP(MID(BH$3,FIND(".",BH$3)+1,FIND(".",BH$3,FIND(".",BH$3)+1)-FIND(".",BH$3)-1),Gällivare!$B$6:$J$36,MATCH($C4,Gällivare!$B$6:$B$36,0),FALSE)&amp;CHAR(10)&amp;"Local Target: "&amp;HLOOKUP(RIGHT(BH$3,LEN(BH$3)-FIND(".",BH$3,FIND(".",BH$3)+1)),Gällivare!$B$6:$J$36,MATCH($C4,Gällivare!$B$6:$B$36,0),FALSE)))</f>
        <v>Medium</v>
      </c>
      <c r="BI4" s="177" t="str">
        <f>IF(AND(HLOOKUP(MID(BI$3,FIND(".",BI$3)+1,FIND(".",BI$3,FIND(".",BI$3)+1)-FIND(".",BI$3)-1),Gällivare!$B$6:$J$36,MATCH($C4,Gällivare!$B$6:$B$36,0),FALSE)="No Impact",HLOOKUP(RIGHT(BI$3,LEN(BI$3)-FIND(".",BI$3,FIND(".",BI$3)+1)),Gällivare!$B$6:$J$36,MATCH($C4,Gällivare!$B$6:$B$36,0),FALSE)="No Impact"),HLOOKUP(LEFT(BI$3,4),Global!$B$6:$J$36,MATCH($C4,Global!$B$6:$B$36,0),FALSE),IF(AND(HLOOKUP(MID(BI$3,FIND(".",BI$3)+1,FIND(".",BI$3,FIND(".",BI$3)+1)-FIND(".",BI$3)-1),Gällivare!$B$6:$J$36,MATCH($C4,Gällivare!$B$6:$B$36,0),FALSE)="No Impact",HLOOKUP(LEFT(BI$3,4),Global!$B$6:$J$36,MATCH($C4,Global!$B$6:$B$36,0),FALSE)="No Impact"),HLOOKUP(RIGHT(BI$3,LEN(BI$3)-FIND(".",BI$3,FIND(".",BI$3)+1)),Gällivare!$B$6:$J$36,MATCH($C4,Gällivare!$B$6:$B$36,0),FALSE),"Global: "&amp;HLOOKUP(LEFT(BI$3,4),Global!$B$6:$J$36,MATCH($C4,Global!$B$6:$B$36,0),FALSE)&amp;CHAR(10)&amp;"Local Trend: "&amp;HLOOKUP(MID(BI$3,FIND(".",BI$3)+1,FIND(".",BI$3,FIND(".",BI$3)+1)-FIND(".",BI$3)-1),Gällivare!$B$6:$J$36,MATCH($C4,Gällivare!$B$6:$B$36,0),FALSE)&amp;CHAR(10)&amp;"Local Target: "&amp;HLOOKUP(RIGHT(BI$3,LEN(BI$3)-FIND(".",BI$3,FIND(".",BI$3)+1)),Gällivare!$B$6:$J$36,MATCH($C4,Gällivare!$B$6:$B$36,0),FALSE)))</f>
        <v>Medium</v>
      </c>
      <c r="BJ4" s="177" t="str">
        <f>IF(AND(HLOOKUP(MID(BJ$3,FIND(".",BJ$3)+1,FIND(".",BJ$3,FIND(".",BJ$3)+1)-FIND(".",BJ$3)-1),Gällivare!$B$6:$J$36,MATCH($C4,Gällivare!$B$6:$B$36,0),FALSE)="No Impact",HLOOKUP(RIGHT(BJ$3,LEN(BJ$3)-FIND(".",BJ$3,FIND(".",BJ$3)+1)),Gällivare!$B$6:$J$36,MATCH($C4,Gällivare!$B$6:$B$36,0),FALSE)="No Impact"),HLOOKUP(LEFT(BJ$3,4),Global!$B$6:$J$36,MATCH($C4,Global!$B$6:$B$36,0),FALSE),IF(AND(HLOOKUP(MID(BJ$3,FIND(".",BJ$3)+1,FIND(".",BJ$3,FIND(".",BJ$3)+1)-FIND(".",BJ$3)-1),Gällivare!$B$6:$J$36,MATCH($C4,Gällivare!$B$6:$B$36,0),FALSE)="No Impact",HLOOKUP(LEFT(BJ$3,4),Global!$B$6:$J$36,MATCH($C4,Global!$B$6:$B$36,0),FALSE)="No Impact"),HLOOKUP(RIGHT(BJ$3,LEN(BJ$3)-FIND(".",BJ$3,FIND(".",BJ$3)+1)),Gällivare!$B$6:$J$36,MATCH($C4,Gällivare!$B$6:$B$36,0),FALSE),"Global: "&amp;HLOOKUP(LEFT(BJ$3,4),Global!$B$6:$J$36,MATCH($C4,Global!$B$6:$B$36,0),FALSE)&amp;CHAR(10)&amp;"Local Trend: "&amp;HLOOKUP(MID(BJ$3,FIND(".",BJ$3)+1,FIND(".",BJ$3,FIND(".",BJ$3)+1)-FIND(".",BJ$3)-1),Gällivare!$B$6:$J$36,MATCH($C4,Gällivare!$B$6:$B$36,0),FALSE)&amp;CHAR(10)&amp;"Local Target: "&amp;HLOOKUP(RIGHT(BJ$3,LEN(BJ$3)-FIND(".",BJ$3,FIND(".",BJ$3)+1)),Gällivare!$B$6:$J$36,MATCH($C4,Gällivare!$B$6:$B$36,0),FALSE)))</f>
        <v>Medium</v>
      </c>
      <c r="BK4" s="177" t="str">
        <f>IF(AND(HLOOKUP(MID(BK$3,FIND(".",BK$3)+1,FIND(".",BK$3,FIND(".",BK$3)+1)-FIND(".",BK$3)-1),Gällivare!$B$6:$J$36,MATCH($C4,Gällivare!$B$6:$B$36,0),FALSE)="No Impact",HLOOKUP(RIGHT(BK$3,LEN(BK$3)-FIND(".",BK$3,FIND(".",BK$3)+1)),Gällivare!$B$6:$J$36,MATCH($C4,Gällivare!$B$6:$B$36,0),FALSE)="No Impact"),HLOOKUP(LEFT(BK$3,4),Global!$B$6:$J$36,MATCH($C4,Global!$B$6:$B$36,0),FALSE),IF(AND(HLOOKUP(MID(BK$3,FIND(".",BK$3)+1,FIND(".",BK$3,FIND(".",BK$3)+1)-FIND(".",BK$3)-1),Gällivare!$B$6:$J$36,MATCH($C4,Gällivare!$B$6:$B$36,0),FALSE)="No Impact",HLOOKUP(LEFT(BK$3,4),Global!$B$6:$J$36,MATCH($C4,Global!$B$6:$B$36,0),FALSE)="No Impact"),HLOOKUP(RIGHT(BK$3,LEN(BK$3)-FIND(".",BK$3,FIND(".",BK$3)+1)),Gällivare!$B$6:$J$36,MATCH($C4,Gällivare!$B$6:$B$36,0),FALSE),"Global: "&amp;HLOOKUP(LEFT(BK$3,4),Global!$B$6:$J$36,MATCH($C4,Global!$B$6:$B$36,0),FALSE)&amp;CHAR(10)&amp;"Local Trend: "&amp;HLOOKUP(MID(BK$3,FIND(".",BK$3)+1,FIND(".",BK$3,FIND(".",BK$3)+1)-FIND(".",BK$3)-1),Gällivare!$B$6:$J$36,MATCH($C4,Gällivare!$B$6:$B$36,0),FALSE)&amp;CHAR(10)&amp;"Local Target: "&amp;HLOOKUP(RIGHT(BK$3,LEN(BK$3)-FIND(".",BK$3,FIND(".",BK$3)+1)),Gällivare!$B$6:$J$36,MATCH($C4,Gällivare!$B$6:$B$36,0),FALSE)))</f>
        <v>High</v>
      </c>
      <c r="BL4" s="177" t="str">
        <f>IF(AND(HLOOKUP(MID(BL$3,FIND(".",BL$3)+1,FIND(".",BL$3,FIND(".",BL$3)+1)-FIND(".",BL$3)-1),Gällivare!$B$6:$J$36,MATCH($C4,Gällivare!$B$6:$B$36,0),FALSE)="No Impact",HLOOKUP(RIGHT(BL$3,LEN(BL$3)-FIND(".",BL$3,FIND(".",BL$3)+1)),Gällivare!$B$6:$J$36,MATCH($C4,Gällivare!$B$6:$B$36,0),FALSE)="No Impact"),HLOOKUP(LEFT(BL$3,4),Global!$B$6:$J$36,MATCH($C4,Global!$B$6:$B$36,0),FALSE),IF(AND(HLOOKUP(MID(BL$3,FIND(".",BL$3)+1,FIND(".",BL$3,FIND(".",BL$3)+1)-FIND(".",BL$3)-1),Gällivare!$B$6:$J$36,MATCH($C4,Gällivare!$B$6:$B$36,0),FALSE)="No Impact",HLOOKUP(LEFT(BL$3,4),Global!$B$6:$J$36,MATCH($C4,Global!$B$6:$B$36,0),FALSE)="No Impact"),HLOOKUP(RIGHT(BL$3,LEN(BL$3)-FIND(".",BL$3,FIND(".",BL$3)+1)),Gällivare!$B$6:$J$36,MATCH($C4,Gällivare!$B$6:$B$36,0),FALSE),"Global: "&amp;HLOOKUP(LEFT(BL$3,4),Global!$B$6:$J$36,MATCH($C4,Global!$B$6:$B$36,0),FALSE)&amp;CHAR(10)&amp;"Local Trend: "&amp;HLOOKUP(MID(BL$3,FIND(".",BL$3)+1,FIND(".",BL$3,FIND(".",BL$3)+1)-FIND(".",BL$3)-1),Gällivare!$B$6:$J$36,MATCH($C4,Gällivare!$B$6:$B$36,0),FALSE)&amp;CHAR(10)&amp;"Local Target: "&amp;HLOOKUP(RIGHT(BL$3,LEN(BL$3)-FIND(".",BL$3,FIND(".",BL$3)+1)),Gällivare!$B$6:$J$36,MATCH($C4,Gällivare!$B$6:$B$36,0),FALSE)))</f>
        <v>High</v>
      </c>
      <c r="BM4" s="177" t="str">
        <f>IF(AND(HLOOKUP(MID(BM$3,FIND(".",BM$3)+1,FIND(".",BM$3,FIND(".",BM$3)+1)-FIND(".",BM$3)-1),Gällivare!$B$6:$J$36,MATCH($C4,Gällivare!$B$6:$B$36,0),FALSE)="No Impact",HLOOKUP(RIGHT(BM$3,LEN(BM$3)-FIND(".",BM$3,FIND(".",BM$3)+1)),Gällivare!$B$6:$J$36,MATCH($C4,Gällivare!$B$6:$B$36,0),FALSE)="No Impact"),HLOOKUP(LEFT(BM$3,4),Global!$B$6:$J$36,MATCH($C4,Global!$B$6:$B$36,0),FALSE),IF(AND(HLOOKUP(MID(BM$3,FIND(".",BM$3)+1,FIND(".",BM$3,FIND(".",BM$3)+1)-FIND(".",BM$3)-1),Gällivare!$B$6:$J$36,MATCH($C4,Gällivare!$B$6:$B$36,0),FALSE)="No Impact",HLOOKUP(LEFT(BM$3,4),Global!$B$6:$J$36,MATCH($C4,Global!$B$6:$B$36,0),FALSE)="No Impact"),HLOOKUP(RIGHT(BM$3,LEN(BM$3)-FIND(".",BM$3,FIND(".",BM$3)+1)),Gällivare!$B$6:$J$36,MATCH($C4,Gällivare!$B$6:$B$36,0),FALSE),"Global: "&amp;HLOOKUP(LEFT(BM$3,4),Global!$B$6:$J$36,MATCH($C4,Global!$B$6:$B$36,0),FALSE)&amp;CHAR(10)&amp;"Local Trend: "&amp;HLOOKUP(MID(BM$3,FIND(".",BM$3)+1,FIND(".",BM$3,FIND(".",BM$3)+1)-FIND(".",BM$3)-1),Gällivare!$B$6:$J$36,MATCH($C4,Gällivare!$B$6:$B$36,0),FALSE)&amp;CHAR(10)&amp;"Local Target: "&amp;HLOOKUP(RIGHT(BM$3,LEN(BM$3)-FIND(".",BM$3,FIND(".",BM$3)+1)),Gällivare!$B$6:$J$36,MATCH($C4,Gällivare!$B$6:$B$36,0),FALSE)))</f>
        <v>High</v>
      </c>
      <c r="BN4" s="177" t="str">
        <f>IF(AND(HLOOKUP(MID(BN$3,FIND(".",BN$3)+1,FIND(".",BN$3,FIND(".",BN$3)+1)-FIND(".",BN$3)-1),Gällivare!$B$6:$J$36,MATCH($C4,Gällivare!$B$6:$B$36,0),FALSE)="No Impact",HLOOKUP(RIGHT(BN$3,LEN(BN$3)-FIND(".",BN$3,FIND(".",BN$3)+1)),Gällivare!$B$6:$J$36,MATCH($C4,Gällivare!$B$6:$B$36,0),FALSE)="No Impact"),HLOOKUP(LEFT(BN$3,4),Global!$B$6:$J$36,MATCH($C4,Global!$B$6:$B$36,0),FALSE),IF(AND(HLOOKUP(MID(BN$3,FIND(".",BN$3)+1,FIND(".",BN$3,FIND(".",BN$3)+1)-FIND(".",BN$3)-1),Gällivare!$B$6:$J$36,MATCH($C4,Gällivare!$B$6:$B$36,0),FALSE)="No Impact",HLOOKUP(LEFT(BN$3,4),Global!$B$6:$J$36,MATCH($C4,Global!$B$6:$B$36,0),FALSE)="No Impact"),HLOOKUP(RIGHT(BN$3,LEN(BN$3)-FIND(".",BN$3,FIND(".",BN$3)+1)),Gällivare!$B$6:$J$36,MATCH($C4,Gällivare!$B$6:$B$36,0),FALSE),"Global: "&amp;HLOOKUP(LEFT(BN$3,4),Global!$B$6:$J$36,MATCH($C4,Global!$B$6:$B$36,0),FALSE)&amp;CHAR(10)&amp;"Local Trend: "&amp;HLOOKUP(MID(BN$3,FIND(".",BN$3)+1,FIND(".",BN$3,FIND(".",BN$3)+1)-FIND(".",BN$3)-1),Gällivare!$B$6:$J$36,MATCH($C4,Gällivare!$B$6:$B$36,0),FALSE)&amp;CHAR(10)&amp;"Local Target: "&amp;HLOOKUP(RIGHT(BN$3,LEN(BN$3)-FIND(".",BN$3,FIND(".",BN$3)+1)),Gällivare!$B$6:$J$36,MATCH($C4,Gällivare!$B$6:$B$36,0),FALSE)))</f>
        <v>High</v>
      </c>
      <c r="BO4" s="177" t="str">
        <f>IF(AND(HLOOKUP(MID(BO$3,FIND(".",BO$3)+1,FIND(".",BO$3,FIND(".",BO$3)+1)-FIND(".",BO$3)-1),Gällivare!$B$6:$J$36,MATCH($C4,Gällivare!$B$6:$B$36,0),FALSE)="No Impact",HLOOKUP(RIGHT(BO$3,LEN(BO$3)-FIND(".",BO$3,FIND(".",BO$3)+1)),Gällivare!$B$6:$J$36,MATCH($C4,Gällivare!$B$6:$B$36,0),FALSE)="No Impact"),HLOOKUP(LEFT(BO$3,4),Global!$B$6:$J$36,MATCH($C4,Global!$B$6:$B$36,0),FALSE),IF(AND(HLOOKUP(MID(BO$3,FIND(".",BO$3)+1,FIND(".",BO$3,FIND(".",BO$3)+1)-FIND(".",BO$3)-1),Gällivare!$B$6:$J$36,MATCH($C4,Gällivare!$B$6:$B$36,0),FALSE)="No Impact",HLOOKUP(LEFT(BO$3,4),Global!$B$6:$J$36,MATCH($C4,Global!$B$6:$B$36,0),FALSE)="No Impact"),HLOOKUP(RIGHT(BO$3,LEN(BO$3)-FIND(".",BO$3,FIND(".",BO$3)+1)),Gällivare!$B$6:$J$36,MATCH($C4,Gällivare!$B$6:$B$36,0),FALSE),"Global: "&amp;HLOOKUP(LEFT(BO$3,4),Global!$B$6:$J$36,MATCH($C4,Global!$B$6:$B$36,0),FALSE)&amp;CHAR(10)&amp;"Local Trend: "&amp;HLOOKUP(MID(BO$3,FIND(".",BO$3)+1,FIND(".",BO$3,FIND(".",BO$3)+1)-FIND(".",BO$3)-1),Gällivare!$B$6:$J$36,MATCH($C4,Gällivare!$B$6:$B$36,0),FALSE)&amp;CHAR(10)&amp;"Local Target: "&amp;HLOOKUP(RIGHT(BO$3,LEN(BO$3)-FIND(".",BO$3,FIND(".",BO$3)+1)),Gällivare!$B$6:$J$36,MATCH($C4,Gällivare!$B$6:$B$36,0),FALSE)))</f>
        <v>High</v>
      </c>
      <c r="BP4" s="177" t="str">
        <f>IF(AND(HLOOKUP(MID(BP$3,FIND(".",BP$3)+1,FIND(".",BP$3,FIND(".",BP$3)+1)-FIND(".",BP$3)-1),Gällivare!$B$6:$J$36,MATCH($C4,Gällivare!$B$6:$B$36,0),FALSE)="No Impact",HLOOKUP(RIGHT(BP$3,LEN(BP$3)-FIND(".",BP$3,FIND(".",BP$3)+1)),Gällivare!$B$6:$J$36,MATCH($C4,Gällivare!$B$6:$B$36,0),FALSE)="No Impact"),HLOOKUP(LEFT(BP$3,4),Global!$B$6:$J$36,MATCH($C4,Global!$B$6:$B$36,0),FALSE),IF(AND(HLOOKUP(MID(BP$3,FIND(".",BP$3)+1,FIND(".",BP$3,FIND(".",BP$3)+1)-FIND(".",BP$3)-1),Gällivare!$B$6:$J$36,MATCH($C4,Gällivare!$B$6:$B$36,0),FALSE)="No Impact",HLOOKUP(LEFT(BP$3,4),Global!$B$6:$J$36,MATCH($C4,Global!$B$6:$B$36,0),FALSE)="No Impact"),HLOOKUP(RIGHT(BP$3,LEN(BP$3)-FIND(".",BP$3,FIND(".",BP$3)+1)),Gällivare!$B$6:$J$36,MATCH($C4,Gällivare!$B$6:$B$36,0),FALSE),"Global: "&amp;HLOOKUP(LEFT(BP$3,4),Global!$B$6:$J$36,MATCH($C4,Global!$B$6:$B$36,0),FALSE)&amp;CHAR(10)&amp;"Local Trend: "&amp;HLOOKUP(MID(BP$3,FIND(".",BP$3)+1,FIND(".",BP$3,FIND(".",BP$3)+1)-FIND(".",BP$3)-1),Gällivare!$B$6:$J$36,MATCH($C4,Gällivare!$B$6:$B$36,0),FALSE)&amp;CHAR(10)&amp;"Local Target: "&amp;HLOOKUP(RIGHT(BP$3,LEN(BP$3)-FIND(".",BP$3,FIND(".",BP$3)+1)),Gällivare!$B$6:$J$36,MATCH($C4,Gällivare!$B$6:$B$36,0),FALSE)))</f>
        <v>High</v>
      </c>
      <c r="BS4" s="175"/>
      <c r="BT4" s="178"/>
      <c r="BU4" s="178"/>
      <c r="BV4" s="178"/>
      <c r="BW4" s="178"/>
      <c r="BX4" s="178"/>
      <c r="BY4" s="178"/>
      <c r="BZ4" s="178"/>
      <c r="CA4" s="178"/>
    </row>
    <row r="5" spans="2:82" x14ac:dyDescent="0.3">
      <c r="B5" s="243"/>
      <c r="C5" s="175" t="s">
        <v>63</v>
      </c>
      <c r="D5" s="175" t="s">
        <v>163</v>
      </c>
      <c r="E5" s="175" t="s">
        <v>166</v>
      </c>
      <c r="F5" s="176" t="s">
        <v>165</v>
      </c>
      <c r="G5" s="176"/>
      <c r="H5" s="175" t="str">
        <f t="shared" ref="H5:W31" si="1">AM5</f>
        <v>Low</v>
      </c>
      <c r="I5" s="175" t="str">
        <f t="shared" si="0"/>
        <v>Low</v>
      </c>
      <c r="J5" s="175" t="str">
        <f t="shared" si="0"/>
        <v>Low</v>
      </c>
      <c r="K5" s="175" t="str">
        <f t="shared" si="0"/>
        <v>Low</v>
      </c>
      <c r="L5" s="175" t="str">
        <f t="shared" si="0"/>
        <v>Low</v>
      </c>
      <c r="M5" s="175" t="str">
        <f t="shared" si="0"/>
        <v>Low</v>
      </c>
      <c r="N5" s="175" t="str">
        <f t="shared" si="0"/>
        <v>Medium</v>
      </c>
      <c r="O5" s="175" t="str">
        <f t="shared" si="0"/>
        <v>Medium</v>
      </c>
      <c r="P5" s="175" t="str">
        <f t="shared" si="0"/>
        <v>Medium</v>
      </c>
      <c r="Q5" s="175" t="str">
        <f t="shared" si="0"/>
        <v>Medium</v>
      </c>
      <c r="R5" s="175" t="str">
        <f t="shared" si="0"/>
        <v>Medium</v>
      </c>
      <c r="S5" s="175" t="str">
        <f t="shared" si="0"/>
        <v>Medium</v>
      </c>
      <c r="T5" s="175" t="str">
        <f t="shared" si="0"/>
        <v>High</v>
      </c>
      <c r="U5" s="175" t="str">
        <f t="shared" si="0"/>
        <v>High</v>
      </c>
      <c r="V5" s="175" t="str">
        <f t="shared" si="0"/>
        <v>High</v>
      </c>
      <c r="W5" s="175" t="str">
        <f t="shared" si="0"/>
        <v>High</v>
      </c>
      <c r="X5" s="175" t="str">
        <f t="shared" si="0"/>
        <v>High</v>
      </c>
      <c r="Y5" s="175" t="str">
        <f t="shared" si="0"/>
        <v>High</v>
      </c>
      <c r="Z5" s="175" t="str">
        <f t="shared" si="0"/>
        <v>Medium</v>
      </c>
      <c r="AA5" s="175" t="str">
        <f t="shared" si="0"/>
        <v>Medium</v>
      </c>
      <c r="AB5" s="175" t="str">
        <f t="shared" si="0"/>
        <v>Medium</v>
      </c>
      <c r="AC5" s="175" t="str">
        <f t="shared" si="0"/>
        <v>Medium</v>
      </c>
      <c r="AD5" s="175" t="str">
        <f t="shared" si="0"/>
        <v>Medium</v>
      </c>
      <c r="AE5" s="175" t="str">
        <f t="shared" si="0"/>
        <v>Medium</v>
      </c>
      <c r="AF5" s="175" t="str">
        <f t="shared" si="0"/>
        <v>High</v>
      </c>
      <c r="AG5" s="175" t="str">
        <f t="shared" si="0"/>
        <v>High</v>
      </c>
      <c r="AH5" s="175" t="str">
        <f t="shared" si="0"/>
        <v>High</v>
      </c>
      <c r="AI5" s="175" t="str">
        <f t="shared" si="0"/>
        <v>High</v>
      </c>
      <c r="AJ5" s="175" t="str">
        <f t="shared" si="0"/>
        <v>High</v>
      </c>
      <c r="AK5" s="175" t="str">
        <f t="shared" si="0"/>
        <v>High</v>
      </c>
      <c r="AL5" s="176"/>
      <c r="AM5" s="177" t="str">
        <f>IF(AND(HLOOKUP(MID(AM$3,FIND(".",AM$3)+1,FIND(".",AM$3,FIND(".",AM$3)+1)-FIND(".",AM$3)-1),Gällivare!$B$6:$J$36,MATCH($C5,Gällivare!$B$6:$B$36,0),FALSE)="No Impact",HLOOKUP(RIGHT(AM$3,LEN(AM$3)-FIND(".",AM$3,FIND(".",AM$3)+1)),Gällivare!$B$6:$J$36,MATCH($C5,Gällivare!$B$6:$B$36,0),FALSE)="No Impact"),HLOOKUP(LEFT(AM$3,4),Global!$B$6:$J$36,MATCH($C5,Global!$B$6:$B$36,0),FALSE),IF(AND(HLOOKUP(MID(AM$3,FIND(".",AM$3)+1,FIND(".",AM$3,FIND(".",AM$3)+1)-FIND(".",AM$3)-1),Gällivare!$B$6:$J$36,MATCH($C5,Gällivare!$B$6:$B$36,0),FALSE)="No Impact",HLOOKUP(LEFT(AM$3,4),Global!$B$6:$J$36,MATCH($C5,Global!$B$6:$B$36,0),FALSE)="No Impact"),HLOOKUP(RIGHT(AM$3,LEN(AM$3)-FIND(".",AM$3,FIND(".",AM$3)+1)),Gällivare!$B$6:$J$36,MATCH($C5,Gällivare!$B$6:$B$36,0),FALSE),"Global: "&amp;HLOOKUP(LEFT(AM$3,4),Global!$B$6:$J$36,MATCH($C5,Global!$B$6:$B$36,0),FALSE)&amp;CHAR(10)&amp;"Local Trend: "&amp;HLOOKUP(MID(AM$3,FIND(".",AM$3)+1,FIND(".",AM$3,FIND(".",AM$3)+1)-FIND(".",AM$3)-1),Gällivare!$B$6:$J$36,MATCH($C5,Gällivare!$B$6:$B$36,0),FALSE)&amp;CHAR(10)&amp;"Local Target: "&amp;HLOOKUP(RIGHT(AM$3,LEN(AM$3)-FIND(".",AM$3,FIND(".",AM$3)+1)),Gällivare!$B$6:$J$36,MATCH($C5,Gällivare!$B$6:$B$36,0),FALSE)))</f>
        <v>Low</v>
      </c>
      <c r="AN5" s="177" t="str">
        <f>IF(AND(HLOOKUP(MID(AN$3,FIND(".",AN$3)+1,FIND(".",AN$3,FIND(".",AN$3)+1)-FIND(".",AN$3)-1),Gällivare!$B$6:$J$36,MATCH($C5,Gällivare!$B$6:$B$36,0),FALSE)="No Impact",HLOOKUP(RIGHT(AN$3,LEN(AN$3)-FIND(".",AN$3,FIND(".",AN$3)+1)),Gällivare!$B$6:$J$36,MATCH($C5,Gällivare!$B$6:$B$36,0),FALSE)="No Impact"),HLOOKUP(LEFT(AN$3,4),Global!$B$6:$J$36,MATCH($C5,Global!$B$6:$B$36,0),FALSE),IF(AND(HLOOKUP(MID(AN$3,FIND(".",AN$3)+1,FIND(".",AN$3,FIND(".",AN$3)+1)-FIND(".",AN$3)-1),Gällivare!$B$6:$J$36,MATCH($C5,Gällivare!$B$6:$B$36,0),FALSE)="No Impact",HLOOKUP(LEFT(AN$3,4),Global!$B$6:$J$36,MATCH($C5,Global!$B$6:$B$36,0),FALSE)="No Impact"),HLOOKUP(RIGHT(AN$3,LEN(AN$3)-FIND(".",AN$3,FIND(".",AN$3)+1)),Gällivare!$B$6:$J$36,MATCH($C5,Gällivare!$B$6:$B$36,0),FALSE),"Global: "&amp;HLOOKUP(LEFT(AN$3,4),Global!$B$6:$J$36,MATCH($C5,Global!$B$6:$B$36,0),FALSE)&amp;CHAR(10)&amp;"Local Trend: "&amp;HLOOKUP(MID(AN$3,FIND(".",AN$3)+1,FIND(".",AN$3,FIND(".",AN$3)+1)-FIND(".",AN$3)-1),Gällivare!$B$6:$J$36,MATCH($C5,Gällivare!$B$6:$B$36,0),FALSE)&amp;CHAR(10)&amp;"Local Target: "&amp;HLOOKUP(RIGHT(AN$3,LEN(AN$3)-FIND(".",AN$3,FIND(".",AN$3)+1)),Gällivare!$B$6:$J$36,MATCH($C5,Gällivare!$B$6:$B$36,0),FALSE)))</f>
        <v>Low</v>
      </c>
      <c r="AO5" s="177" t="str">
        <f>IF(AND(HLOOKUP(MID(AO$3,FIND(".",AO$3)+1,FIND(".",AO$3,FIND(".",AO$3)+1)-FIND(".",AO$3)-1),Gällivare!$B$6:$J$36,MATCH($C5,Gällivare!$B$6:$B$36,0),FALSE)="No Impact",HLOOKUP(RIGHT(AO$3,LEN(AO$3)-FIND(".",AO$3,FIND(".",AO$3)+1)),Gällivare!$B$6:$J$36,MATCH($C5,Gällivare!$B$6:$B$36,0),FALSE)="No Impact"),HLOOKUP(LEFT(AO$3,4),Global!$B$6:$J$36,MATCH($C5,Global!$B$6:$B$36,0),FALSE),IF(AND(HLOOKUP(MID(AO$3,FIND(".",AO$3)+1,FIND(".",AO$3,FIND(".",AO$3)+1)-FIND(".",AO$3)-1),Gällivare!$B$6:$J$36,MATCH($C5,Gällivare!$B$6:$B$36,0),FALSE)="No Impact",HLOOKUP(LEFT(AO$3,4),Global!$B$6:$J$36,MATCH($C5,Global!$B$6:$B$36,0),FALSE)="No Impact"),HLOOKUP(RIGHT(AO$3,LEN(AO$3)-FIND(".",AO$3,FIND(".",AO$3)+1)),Gällivare!$B$6:$J$36,MATCH($C5,Gällivare!$B$6:$B$36,0),FALSE),"Global: "&amp;HLOOKUP(LEFT(AO$3,4),Global!$B$6:$J$36,MATCH($C5,Global!$B$6:$B$36,0),FALSE)&amp;CHAR(10)&amp;"Local Trend: "&amp;HLOOKUP(MID(AO$3,FIND(".",AO$3)+1,FIND(".",AO$3,FIND(".",AO$3)+1)-FIND(".",AO$3)-1),Gällivare!$B$6:$J$36,MATCH($C5,Gällivare!$B$6:$B$36,0),FALSE)&amp;CHAR(10)&amp;"Local Target: "&amp;HLOOKUP(RIGHT(AO$3,LEN(AO$3)-FIND(".",AO$3,FIND(".",AO$3)+1)),Gällivare!$B$6:$J$36,MATCH($C5,Gällivare!$B$6:$B$36,0),FALSE)))</f>
        <v>Low</v>
      </c>
      <c r="AP5" s="177" t="str">
        <f>IF(AND(HLOOKUP(MID(AP$3,FIND(".",AP$3)+1,FIND(".",AP$3,FIND(".",AP$3)+1)-FIND(".",AP$3)-1),Gällivare!$B$6:$J$36,MATCH($C5,Gällivare!$B$6:$B$36,0),FALSE)="No Impact",HLOOKUP(RIGHT(AP$3,LEN(AP$3)-FIND(".",AP$3,FIND(".",AP$3)+1)),Gällivare!$B$6:$J$36,MATCH($C5,Gällivare!$B$6:$B$36,0),FALSE)="No Impact"),HLOOKUP(LEFT(AP$3,4),Global!$B$6:$J$36,MATCH($C5,Global!$B$6:$B$36,0),FALSE),IF(AND(HLOOKUP(MID(AP$3,FIND(".",AP$3)+1,FIND(".",AP$3,FIND(".",AP$3)+1)-FIND(".",AP$3)-1),Gällivare!$B$6:$J$36,MATCH($C5,Gällivare!$B$6:$B$36,0),FALSE)="No Impact",HLOOKUP(LEFT(AP$3,4),Global!$B$6:$J$36,MATCH($C5,Global!$B$6:$B$36,0),FALSE)="No Impact"),HLOOKUP(RIGHT(AP$3,LEN(AP$3)-FIND(".",AP$3,FIND(".",AP$3)+1)),Gällivare!$B$6:$J$36,MATCH($C5,Gällivare!$B$6:$B$36,0),FALSE),"Global: "&amp;HLOOKUP(LEFT(AP$3,4),Global!$B$6:$J$36,MATCH($C5,Global!$B$6:$B$36,0),FALSE)&amp;CHAR(10)&amp;"Local Trend: "&amp;HLOOKUP(MID(AP$3,FIND(".",AP$3)+1,FIND(".",AP$3,FIND(".",AP$3)+1)-FIND(".",AP$3)-1),Gällivare!$B$6:$J$36,MATCH($C5,Gällivare!$B$6:$B$36,0),FALSE)&amp;CHAR(10)&amp;"Local Target: "&amp;HLOOKUP(RIGHT(AP$3,LEN(AP$3)-FIND(".",AP$3,FIND(".",AP$3)+1)),Gällivare!$B$6:$J$36,MATCH($C5,Gällivare!$B$6:$B$36,0),FALSE)))</f>
        <v>Low</v>
      </c>
      <c r="AQ5" s="177" t="str">
        <f>IF(AND(HLOOKUP(MID(AQ$3,FIND(".",AQ$3)+1,FIND(".",AQ$3,FIND(".",AQ$3)+1)-FIND(".",AQ$3)-1),Gällivare!$B$6:$J$36,MATCH($C5,Gällivare!$B$6:$B$36,0),FALSE)="No Impact",HLOOKUP(RIGHT(AQ$3,LEN(AQ$3)-FIND(".",AQ$3,FIND(".",AQ$3)+1)),Gällivare!$B$6:$J$36,MATCH($C5,Gällivare!$B$6:$B$36,0),FALSE)="No Impact"),HLOOKUP(LEFT(AQ$3,4),Global!$B$6:$J$36,MATCH($C5,Global!$B$6:$B$36,0),FALSE),IF(AND(HLOOKUP(MID(AQ$3,FIND(".",AQ$3)+1,FIND(".",AQ$3,FIND(".",AQ$3)+1)-FIND(".",AQ$3)-1),Gällivare!$B$6:$J$36,MATCH($C5,Gällivare!$B$6:$B$36,0),FALSE)="No Impact",HLOOKUP(LEFT(AQ$3,4),Global!$B$6:$J$36,MATCH($C5,Global!$B$6:$B$36,0),FALSE)="No Impact"),HLOOKUP(RIGHT(AQ$3,LEN(AQ$3)-FIND(".",AQ$3,FIND(".",AQ$3)+1)),Gällivare!$B$6:$J$36,MATCH($C5,Gällivare!$B$6:$B$36,0),FALSE),"Global: "&amp;HLOOKUP(LEFT(AQ$3,4),Global!$B$6:$J$36,MATCH($C5,Global!$B$6:$B$36,0),FALSE)&amp;CHAR(10)&amp;"Local Trend: "&amp;HLOOKUP(MID(AQ$3,FIND(".",AQ$3)+1,FIND(".",AQ$3,FIND(".",AQ$3)+1)-FIND(".",AQ$3)-1),Gällivare!$B$6:$J$36,MATCH($C5,Gällivare!$B$6:$B$36,0),FALSE)&amp;CHAR(10)&amp;"Local Target: "&amp;HLOOKUP(RIGHT(AQ$3,LEN(AQ$3)-FIND(".",AQ$3,FIND(".",AQ$3)+1)),Gällivare!$B$6:$J$36,MATCH($C5,Gällivare!$B$6:$B$36,0),FALSE)))</f>
        <v>Low</v>
      </c>
      <c r="AR5" s="177" t="str">
        <f>IF(AND(HLOOKUP(MID(AR$3,FIND(".",AR$3)+1,FIND(".",AR$3,FIND(".",AR$3)+1)-FIND(".",AR$3)-1),Gällivare!$B$6:$J$36,MATCH($C5,Gällivare!$B$6:$B$36,0),FALSE)="No Impact",HLOOKUP(RIGHT(AR$3,LEN(AR$3)-FIND(".",AR$3,FIND(".",AR$3)+1)),Gällivare!$B$6:$J$36,MATCH($C5,Gällivare!$B$6:$B$36,0),FALSE)="No Impact"),HLOOKUP(LEFT(AR$3,4),Global!$B$6:$J$36,MATCH($C5,Global!$B$6:$B$36,0),FALSE),IF(AND(HLOOKUP(MID(AR$3,FIND(".",AR$3)+1,FIND(".",AR$3,FIND(".",AR$3)+1)-FIND(".",AR$3)-1),Gällivare!$B$6:$J$36,MATCH($C5,Gällivare!$B$6:$B$36,0),FALSE)="No Impact",HLOOKUP(LEFT(AR$3,4),Global!$B$6:$J$36,MATCH($C5,Global!$B$6:$B$36,0),FALSE)="No Impact"),HLOOKUP(RIGHT(AR$3,LEN(AR$3)-FIND(".",AR$3,FIND(".",AR$3)+1)),Gällivare!$B$6:$J$36,MATCH($C5,Gällivare!$B$6:$B$36,0),FALSE),"Global: "&amp;HLOOKUP(LEFT(AR$3,4),Global!$B$6:$J$36,MATCH($C5,Global!$B$6:$B$36,0),FALSE)&amp;CHAR(10)&amp;"Local Trend: "&amp;HLOOKUP(MID(AR$3,FIND(".",AR$3)+1,FIND(".",AR$3,FIND(".",AR$3)+1)-FIND(".",AR$3)-1),Gällivare!$B$6:$J$36,MATCH($C5,Gällivare!$B$6:$B$36,0),FALSE)&amp;CHAR(10)&amp;"Local Target: "&amp;HLOOKUP(RIGHT(AR$3,LEN(AR$3)-FIND(".",AR$3,FIND(".",AR$3)+1)),Gällivare!$B$6:$J$36,MATCH($C5,Gällivare!$B$6:$B$36,0),FALSE)))</f>
        <v>Low</v>
      </c>
      <c r="AS5" s="177" t="str">
        <f>IF(AND(HLOOKUP(MID(AS$3,FIND(".",AS$3)+1,FIND(".",AS$3,FIND(".",AS$3)+1)-FIND(".",AS$3)-1),Gällivare!$B$6:$J$36,MATCH($C5,Gällivare!$B$6:$B$36,0),FALSE)="No Impact",HLOOKUP(RIGHT(AS$3,LEN(AS$3)-FIND(".",AS$3,FIND(".",AS$3)+1)),Gällivare!$B$6:$J$36,MATCH($C5,Gällivare!$B$6:$B$36,0),FALSE)="No Impact"),HLOOKUP(LEFT(AS$3,4),Global!$B$6:$J$36,MATCH($C5,Global!$B$6:$B$36,0),FALSE),IF(AND(HLOOKUP(MID(AS$3,FIND(".",AS$3)+1,FIND(".",AS$3,FIND(".",AS$3)+1)-FIND(".",AS$3)-1),Gällivare!$B$6:$J$36,MATCH($C5,Gällivare!$B$6:$B$36,0),FALSE)="No Impact",HLOOKUP(LEFT(AS$3,4),Global!$B$6:$J$36,MATCH($C5,Global!$B$6:$B$36,0),FALSE)="No Impact"),HLOOKUP(RIGHT(AS$3,LEN(AS$3)-FIND(".",AS$3,FIND(".",AS$3)+1)),Gällivare!$B$6:$J$36,MATCH($C5,Gällivare!$B$6:$B$36,0),FALSE),"Global: "&amp;HLOOKUP(LEFT(AS$3,4),Global!$B$6:$J$36,MATCH($C5,Global!$B$6:$B$36,0),FALSE)&amp;CHAR(10)&amp;"Local Trend: "&amp;HLOOKUP(MID(AS$3,FIND(".",AS$3)+1,FIND(".",AS$3,FIND(".",AS$3)+1)-FIND(".",AS$3)-1),Gällivare!$B$6:$J$36,MATCH($C5,Gällivare!$B$6:$B$36,0),FALSE)&amp;CHAR(10)&amp;"Local Target: "&amp;HLOOKUP(RIGHT(AS$3,LEN(AS$3)-FIND(".",AS$3,FIND(".",AS$3)+1)),Gällivare!$B$6:$J$36,MATCH($C5,Gällivare!$B$6:$B$36,0),FALSE)))</f>
        <v>Medium</v>
      </c>
      <c r="AT5" s="177" t="str">
        <f>IF(AND(HLOOKUP(MID(AT$3,FIND(".",AT$3)+1,FIND(".",AT$3,FIND(".",AT$3)+1)-FIND(".",AT$3)-1),Gällivare!$B$6:$J$36,MATCH($C5,Gällivare!$B$6:$B$36,0),FALSE)="No Impact",HLOOKUP(RIGHT(AT$3,LEN(AT$3)-FIND(".",AT$3,FIND(".",AT$3)+1)),Gällivare!$B$6:$J$36,MATCH($C5,Gällivare!$B$6:$B$36,0),FALSE)="No Impact"),HLOOKUP(LEFT(AT$3,4),Global!$B$6:$J$36,MATCH($C5,Global!$B$6:$B$36,0),FALSE),IF(AND(HLOOKUP(MID(AT$3,FIND(".",AT$3)+1,FIND(".",AT$3,FIND(".",AT$3)+1)-FIND(".",AT$3)-1),Gällivare!$B$6:$J$36,MATCH($C5,Gällivare!$B$6:$B$36,0),FALSE)="No Impact",HLOOKUP(LEFT(AT$3,4),Global!$B$6:$J$36,MATCH($C5,Global!$B$6:$B$36,0),FALSE)="No Impact"),HLOOKUP(RIGHT(AT$3,LEN(AT$3)-FIND(".",AT$3,FIND(".",AT$3)+1)),Gällivare!$B$6:$J$36,MATCH($C5,Gällivare!$B$6:$B$36,0),FALSE),"Global: "&amp;HLOOKUP(LEFT(AT$3,4),Global!$B$6:$J$36,MATCH($C5,Global!$B$6:$B$36,0),FALSE)&amp;CHAR(10)&amp;"Local Trend: "&amp;HLOOKUP(MID(AT$3,FIND(".",AT$3)+1,FIND(".",AT$3,FIND(".",AT$3)+1)-FIND(".",AT$3)-1),Gällivare!$B$6:$J$36,MATCH($C5,Gällivare!$B$6:$B$36,0),FALSE)&amp;CHAR(10)&amp;"Local Target: "&amp;HLOOKUP(RIGHT(AT$3,LEN(AT$3)-FIND(".",AT$3,FIND(".",AT$3)+1)),Gällivare!$B$6:$J$36,MATCH($C5,Gällivare!$B$6:$B$36,0),FALSE)))</f>
        <v>Medium</v>
      </c>
      <c r="AU5" s="177" t="str">
        <f>IF(AND(HLOOKUP(MID(AU$3,FIND(".",AU$3)+1,FIND(".",AU$3,FIND(".",AU$3)+1)-FIND(".",AU$3)-1),Gällivare!$B$6:$J$36,MATCH($C5,Gällivare!$B$6:$B$36,0),FALSE)="No Impact",HLOOKUP(RIGHT(AU$3,LEN(AU$3)-FIND(".",AU$3,FIND(".",AU$3)+1)),Gällivare!$B$6:$J$36,MATCH($C5,Gällivare!$B$6:$B$36,0),FALSE)="No Impact"),HLOOKUP(LEFT(AU$3,4),Global!$B$6:$J$36,MATCH($C5,Global!$B$6:$B$36,0),FALSE),IF(AND(HLOOKUP(MID(AU$3,FIND(".",AU$3)+1,FIND(".",AU$3,FIND(".",AU$3)+1)-FIND(".",AU$3)-1),Gällivare!$B$6:$J$36,MATCH($C5,Gällivare!$B$6:$B$36,0),FALSE)="No Impact",HLOOKUP(LEFT(AU$3,4),Global!$B$6:$J$36,MATCH($C5,Global!$B$6:$B$36,0),FALSE)="No Impact"),HLOOKUP(RIGHT(AU$3,LEN(AU$3)-FIND(".",AU$3,FIND(".",AU$3)+1)),Gällivare!$B$6:$J$36,MATCH($C5,Gällivare!$B$6:$B$36,0),FALSE),"Global: "&amp;HLOOKUP(LEFT(AU$3,4),Global!$B$6:$J$36,MATCH($C5,Global!$B$6:$B$36,0),FALSE)&amp;CHAR(10)&amp;"Local Trend: "&amp;HLOOKUP(MID(AU$3,FIND(".",AU$3)+1,FIND(".",AU$3,FIND(".",AU$3)+1)-FIND(".",AU$3)-1),Gällivare!$B$6:$J$36,MATCH($C5,Gällivare!$B$6:$B$36,0),FALSE)&amp;CHAR(10)&amp;"Local Target: "&amp;HLOOKUP(RIGHT(AU$3,LEN(AU$3)-FIND(".",AU$3,FIND(".",AU$3)+1)),Gällivare!$B$6:$J$36,MATCH($C5,Gällivare!$B$6:$B$36,0),FALSE)))</f>
        <v>Medium</v>
      </c>
      <c r="AV5" s="177" t="str">
        <f>IF(AND(HLOOKUP(MID(AV$3,FIND(".",AV$3)+1,FIND(".",AV$3,FIND(".",AV$3)+1)-FIND(".",AV$3)-1),Gällivare!$B$6:$J$36,MATCH($C5,Gällivare!$B$6:$B$36,0),FALSE)="No Impact",HLOOKUP(RIGHT(AV$3,LEN(AV$3)-FIND(".",AV$3,FIND(".",AV$3)+1)),Gällivare!$B$6:$J$36,MATCH($C5,Gällivare!$B$6:$B$36,0),FALSE)="No Impact"),HLOOKUP(LEFT(AV$3,4),Global!$B$6:$J$36,MATCH($C5,Global!$B$6:$B$36,0),FALSE),IF(AND(HLOOKUP(MID(AV$3,FIND(".",AV$3)+1,FIND(".",AV$3,FIND(".",AV$3)+1)-FIND(".",AV$3)-1),Gällivare!$B$6:$J$36,MATCH($C5,Gällivare!$B$6:$B$36,0),FALSE)="No Impact",HLOOKUP(LEFT(AV$3,4),Global!$B$6:$J$36,MATCH($C5,Global!$B$6:$B$36,0),FALSE)="No Impact"),HLOOKUP(RIGHT(AV$3,LEN(AV$3)-FIND(".",AV$3,FIND(".",AV$3)+1)),Gällivare!$B$6:$J$36,MATCH($C5,Gällivare!$B$6:$B$36,0),FALSE),"Global: "&amp;HLOOKUP(LEFT(AV$3,4),Global!$B$6:$J$36,MATCH($C5,Global!$B$6:$B$36,0),FALSE)&amp;CHAR(10)&amp;"Local Trend: "&amp;HLOOKUP(MID(AV$3,FIND(".",AV$3)+1,FIND(".",AV$3,FIND(".",AV$3)+1)-FIND(".",AV$3)-1),Gällivare!$B$6:$J$36,MATCH($C5,Gällivare!$B$6:$B$36,0),FALSE)&amp;CHAR(10)&amp;"Local Target: "&amp;HLOOKUP(RIGHT(AV$3,LEN(AV$3)-FIND(".",AV$3,FIND(".",AV$3)+1)),Gällivare!$B$6:$J$36,MATCH($C5,Gällivare!$B$6:$B$36,0),FALSE)))</f>
        <v>Medium</v>
      </c>
      <c r="AW5" s="177" t="str">
        <f>IF(AND(HLOOKUP(MID(AW$3,FIND(".",AW$3)+1,FIND(".",AW$3,FIND(".",AW$3)+1)-FIND(".",AW$3)-1),Gällivare!$B$6:$J$36,MATCH($C5,Gällivare!$B$6:$B$36,0),FALSE)="No Impact",HLOOKUP(RIGHT(AW$3,LEN(AW$3)-FIND(".",AW$3,FIND(".",AW$3)+1)),Gällivare!$B$6:$J$36,MATCH($C5,Gällivare!$B$6:$B$36,0),FALSE)="No Impact"),HLOOKUP(LEFT(AW$3,4),Global!$B$6:$J$36,MATCH($C5,Global!$B$6:$B$36,0),FALSE),IF(AND(HLOOKUP(MID(AW$3,FIND(".",AW$3)+1,FIND(".",AW$3,FIND(".",AW$3)+1)-FIND(".",AW$3)-1),Gällivare!$B$6:$J$36,MATCH($C5,Gällivare!$B$6:$B$36,0),FALSE)="No Impact",HLOOKUP(LEFT(AW$3,4),Global!$B$6:$J$36,MATCH($C5,Global!$B$6:$B$36,0),FALSE)="No Impact"),HLOOKUP(RIGHT(AW$3,LEN(AW$3)-FIND(".",AW$3,FIND(".",AW$3)+1)),Gällivare!$B$6:$J$36,MATCH($C5,Gällivare!$B$6:$B$36,0),FALSE),"Global: "&amp;HLOOKUP(LEFT(AW$3,4),Global!$B$6:$J$36,MATCH($C5,Global!$B$6:$B$36,0),FALSE)&amp;CHAR(10)&amp;"Local Trend: "&amp;HLOOKUP(MID(AW$3,FIND(".",AW$3)+1,FIND(".",AW$3,FIND(".",AW$3)+1)-FIND(".",AW$3)-1),Gällivare!$B$6:$J$36,MATCH($C5,Gällivare!$B$6:$B$36,0),FALSE)&amp;CHAR(10)&amp;"Local Target: "&amp;HLOOKUP(RIGHT(AW$3,LEN(AW$3)-FIND(".",AW$3,FIND(".",AW$3)+1)),Gällivare!$B$6:$J$36,MATCH($C5,Gällivare!$B$6:$B$36,0),FALSE)))</f>
        <v>Medium</v>
      </c>
      <c r="AX5" s="177" t="str">
        <f>IF(AND(HLOOKUP(MID(AX$3,FIND(".",AX$3)+1,FIND(".",AX$3,FIND(".",AX$3)+1)-FIND(".",AX$3)-1),Gällivare!$B$6:$J$36,MATCH($C5,Gällivare!$B$6:$B$36,0),FALSE)="No Impact",HLOOKUP(RIGHT(AX$3,LEN(AX$3)-FIND(".",AX$3,FIND(".",AX$3)+1)),Gällivare!$B$6:$J$36,MATCH($C5,Gällivare!$B$6:$B$36,0),FALSE)="No Impact"),HLOOKUP(LEFT(AX$3,4),Global!$B$6:$J$36,MATCH($C5,Global!$B$6:$B$36,0),FALSE),IF(AND(HLOOKUP(MID(AX$3,FIND(".",AX$3)+1,FIND(".",AX$3,FIND(".",AX$3)+1)-FIND(".",AX$3)-1),Gällivare!$B$6:$J$36,MATCH($C5,Gällivare!$B$6:$B$36,0),FALSE)="No Impact",HLOOKUP(LEFT(AX$3,4),Global!$B$6:$J$36,MATCH($C5,Global!$B$6:$B$36,0),FALSE)="No Impact"),HLOOKUP(RIGHT(AX$3,LEN(AX$3)-FIND(".",AX$3,FIND(".",AX$3)+1)),Gällivare!$B$6:$J$36,MATCH($C5,Gällivare!$B$6:$B$36,0),FALSE),"Global: "&amp;HLOOKUP(LEFT(AX$3,4),Global!$B$6:$J$36,MATCH($C5,Global!$B$6:$B$36,0),FALSE)&amp;CHAR(10)&amp;"Local Trend: "&amp;HLOOKUP(MID(AX$3,FIND(".",AX$3)+1,FIND(".",AX$3,FIND(".",AX$3)+1)-FIND(".",AX$3)-1),Gällivare!$B$6:$J$36,MATCH($C5,Gällivare!$B$6:$B$36,0),FALSE)&amp;CHAR(10)&amp;"Local Target: "&amp;HLOOKUP(RIGHT(AX$3,LEN(AX$3)-FIND(".",AX$3,FIND(".",AX$3)+1)),Gällivare!$B$6:$J$36,MATCH($C5,Gällivare!$B$6:$B$36,0),FALSE)))</f>
        <v>Medium</v>
      </c>
      <c r="AY5" s="177" t="str">
        <f>IF(AND(HLOOKUP(MID(AY$3,FIND(".",AY$3)+1,FIND(".",AY$3,FIND(".",AY$3)+1)-FIND(".",AY$3)-1),Gällivare!$B$6:$J$36,MATCH($C5,Gällivare!$B$6:$B$36,0),FALSE)="No Impact",HLOOKUP(RIGHT(AY$3,LEN(AY$3)-FIND(".",AY$3,FIND(".",AY$3)+1)),Gällivare!$B$6:$J$36,MATCH($C5,Gällivare!$B$6:$B$36,0),FALSE)="No Impact"),HLOOKUP(LEFT(AY$3,4),Global!$B$6:$J$36,MATCH($C5,Global!$B$6:$B$36,0),FALSE),IF(AND(HLOOKUP(MID(AY$3,FIND(".",AY$3)+1,FIND(".",AY$3,FIND(".",AY$3)+1)-FIND(".",AY$3)-1),Gällivare!$B$6:$J$36,MATCH($C5,Gällivare!$B$6:$B$36,0),FALSE)="No Impact",HLOOKUP(LEFT(AY$3,4),Global!$B$6:$J$36,MATCH($C5,Global!$B$6:$B$36,0),FALSE)="No Impact"),HLOOKUP(RIGHT(AY$3,LEN(AY$3)-FIND(".",AY$3,FIND(".",AY$3)+1)),Gällivare!$B$6:$J$36,MATCH($C5,Gällivare!$B$6:$B$36,0),FALSE),"Global: "&amp;HLOOKUP(LEFT(AY$3,4),Global!$B$6:$J$36,MATCH($C5,Global!$B$6:$B$36,0),FALSE)&amp;CHAR(10)&amp;"Local Trend: "&amp;HLOOKUP(MID(AY$3,FIND(".",AY$3)+1,FIND(".",AY$3,FIND(".",AY$3)+1)-FIND(".",AY$3)-1),Gällivare!$B$6:$J$36,MATCH($C5,Gällivare!$B$6:$B$36,0),FALSE)&amp;CHAR(10)&amp;"Local Target: "&amp;HLOOKUP(RIGHT(AY$3,LEN(AY$3)-FIND(".",AY$3,FIND(".",AY$3)+1)),Gällivare!$B$6:$J$36,MATCH($C5,Gällivare!$B$6:$B$36,0),FALSE)))</f>
        <v>High</v>
      </c>
      <c r="AZ5" s="177" t="str">
        <f>IF(AND(HLOOKUP(MID(AZ$3,FIND(".",AZ$3)+1,FIND(".",AZ$3,FIND(".",AZ$3)+1)-FIND(".",AZ$3)-1),Gällivare!$B$6:$J$36,MATCH($C5,Gällivare!$B$6:$B$36,0),FALSE)="No Impact",HLOOKUP(RIGHT(AZ$3,LEN(AZ$3)-FIND(".",AZ$3,FIND(".",AZ$3)+1)),Gällivare!$B$6:$J$36,MATCH($C5,Gällivare!$B$6:$B$36,0),FALSE)="No Impact"),HLOOKUP(LEFT(AZ$3,4),Global!$B$6:$J$36,MATCH($C5,Global!$B$6:$B$36,0),FALSE),IF(AND(HLOOKUP(MID(AZ$3,FIND(".",AZ$3)+1,FIND(".",AZ$3,FIND(".",AZ$3)+1)-FIND(".",AZ$3)-1),Gällivare!$B$6:$J$36,MATCH($C5,Gällivare!$B$6:$B$36,0),FALSE)="No Impact",HLOOKUP(LEFT(AZ$3,4),Global!$B$6:$J$36,MATCH($C5,Global!$B$6:$B$36,0),FALSE)="No Impact"),HLOOKUP(RIGHT(AZ$3,LEN(AZ$3)-FIND(".",AZ$3,FIND(".",AZ$3)+1)),Gällivare!$B$6:$J$36,MATCH($C5,Gällivare!$B$6:$B$36,0),FALSE),"Global: "&amp;HLOOKUP(LEFT(AZ$3,4),Global!$B$6:$J$36,MATCH($C5,Global!$B$6:$B$36,0),FALSE)&amp;CHAR(10)&amp;"Local Trend: "&amp;HLOOKUP(MID(AZ$3,FIND(".",AZ$3)+1,FIND(".",AZ$3,FIND(".",AZ$3)+1)-FIND(".",AZ$3)-1),Gällivare!$B$6:$J$36,MATCH($C5,Gällivare!$B$6:$B$36,0),FALSE)&amp;CHAR(10)&amp;"Local Target: "&amp;HLOOKUP(RIGHT(AZ$3,LEN(AZ$3)-FIND(".",AZ$3,FIND(".",AZ$3)+1)),Gällivare!$B$6:$J$36,MATCH($C5,Gällivare!$B$6:$B$36,0),FALSE)))</f>
        <v>High</v>
      </c>
      <c r="BA5" s="177" t="str">
        <f>IF(AND(HLOOKUP(MID(BA$3,FIND(".",BA$3)+1,FIND(".",BA$3,FIND(".",BA$3)+1)-FIND(".",BA$3)-1),Gällivare!$B$6:$J$36,MATCH($C5,Gällivare!$B$6:$B$36,0),FALSE)="No Impact",HLOOKUP(RIGHT(BA$3,LEN(BA$3)-FIND(".",BA$3,FIND(".",BA$3)+1)),Gällivare!$B$6:$J$36,MATCH($C5,Gällivare!$B$6:$B$36,0),FALSE)="No Impact"),HLOOKUP(LEFT(BA$3,4),Global!$B$6:$J$36,MATCH($C5,Global!$B$6:$B$36,0),FALSE),IF(AND(HLOOKUP(MID(BA$3,FIND(".",BA$3)+1,FIND(".",BA$3,FIND(".",BA$3)+1)-FIND(".",BA$3)-1),Gällivare!$B$6:$J$36,MATCH($C5,Gällivare!$B$6:$B$36,0),FALSE)="No Impact",HLOOKUP(LEFT(BA$3,4),Global!$B$6:$J$36,MATCH($C5,Global!$B$6:$B$36,0),FALSE)="No Impact"),HLOOKUP(RIGHT(BA$3,LEN(BA$3)-FIND(".",BA$3,FIND(".",BA$3)+1)),Gällivare!$B$6:$J$36,MATCH($C5,Gällivare!$B$6:$B$36,0),FALSE),"Global: "&amp;HLOOKUP(LEFT(BA$3,4),Global!$B$6:$J$36,MATCH($C5,Global!$B$6:$B$36,0),FALSE)&amp;CHAR(10)&amp;"Local Trend: "&amp;HLOOKUP(MID(BA$3,FIND(".",BA$3)+1,FIND(".",BA$3,FIND(".",BA$3)+1)-FIND(".",BA$3)-1),Gällivare!$B$6:$J$36,MATCH($C5,Gällivare!$B$6:$B$36,0),FALSE)&amp;CHAR(10)&amp;"Local Target: "&amp;HLOOKUP(RIGHT(BA$3,LEN(BA$3)-FIND(".",BA$3,FIND(".",BA$3)+1)),Gällivare!$B$6:$J$36,MATCH($C5,Gällivare!$B$6:$B$36,0),FALSE)))</f>
        <v>High</v>
      </c>
      <c r="BB5" s="177" t="str">
        <f>IF(AND(HLOOKUP(MID(BB$3,FIND(".",BB$3)+1,FIND(".",BB$3,FIND(".",BB$3)+1)-FIND(".",BB$3)-1),Gällivare!$B$6:$J$36,MATCH($C5,Gällivare!$B$6:$B$36,0),FALSE)="No Impact",HLOOKUP(RIGHT(BB$3,LEN(BB$3)-FIND(".",BB$3,FIND(".",BB$3)+1)),Gällivare!$B$6:$J$36,MATCH($C5,Gällivare!$B$6:$B$36,0),FALSE)="No Impact"),HLOOKUP(LEFT(BB$3,4),Global!$B$6:$J$36,MATCH($C5,Global!$B$6:$B$36,0),FALSE),IF(AND(HLOOKUP(MID(BB$3,FIND(".",BB$3)+1,FIND(".",BB$3,FIND(".",BB$3)+1)-FIND(".",BB$3)-1),Gällivare!$B$6:$J$36,MATCH($C5,Gällivare!$B$6:$B$36,0),FALSE)="No Impact",HLOOKUP(LEFT(BB$3,4),Global!$B$6:$J$36,MATCH($C5,Global!$B$6:$B$36,0),FALSE)="No Impact"),HLOOKUP(RIGHT(BB$3,LEN(BB$3)-FIND(".",BB$3,FIND(".",BB$3)+1)),Gällivare!$B$6:$J$36,MATCH($C5,Gällivare!$B$6:$B$36,0),FALSE),"Global: "&amp;HLOOKUP(LEFT(BB$3,4),Global!$B$6:$J$36,MATCH($C5,Global!$B$6:$B$36,0),FALSE)&amp;CHAR(10)&amp;"Local Trend: "&amp;HLOOKUP(MID(BB$3,FIND(".",BB$3)+1,FIND(".",BB$3,FIND(".",BB$3)+1)-FIND(".",BB$3)-1),Gällivare!$B$6:$J$36,MATCH($C5,Gällivare!$B$6:$B$36,0),FALSE)&amp;CHAR(10)&amp;"Local Target: "&amp;HLOOKUP(RIGHT(BB$3,LEN(BB$3)-FIND(".",BB$3,FIND(".",BB$3)+1)),Gällivare!$B$6:$J$36,MATCH($C5,Gällivare!$B$6:$B$36,0),FALSE)))</f>
        <v>High</v>
      </c>
      <c r="BC5" s="177" t="str">
        <f>IF(AND(HLOOKUP(MID(BC$3,FIND(".",BC$3)+1,FIND(".",BC$3,FIND(".",BC$3)+1)-FIND(".",BC$3)-1),Gällivare!$B$6:$J$36,MATCH($C5,Gällivare!$B$6:$B$36,0),FALSE)="No Impact",HLOOKUP(RIGHT(BC$3,LEN(BC$3)-FIND(".",BC$3,FIND(".",BC$3)+1)),Gällivare!$B$6:$J$36,MATCH($C5,Gällivare!$B$6:$B$36,0),FALSE)="No Impact"),HLOOKUP(LEFT(BC$3,4),Global!$B$6:$J$36,MATCH($C5,Global!$B$6:$B$36,0),FALSE),IF(AND(HLOOKUP(MID(BC$3,FIND(".",BC$3)+1,FIND(".",BC$3,FIND(".",BC$3)+1)-FIND(".",BC$3)-1),Gällivare!$B$6:$J$36,MATCH($C5,Gällivare!$B$6:$B$36,0),FALSE)="No Impact",HLOOKUP(LEFT(BC$3,4),Global!$B$6:$J$36,MATCH($C5,Global!$B$6:$B$36,0),FALSE)="No Impact"),HLOOKUP(RIGHT(BC$3,LEN(BC$3)-FIND(".",BC$3,FIND(".",BC$3)+1)),Gällivare!$B$6:$J$36,MATCH($C5,Gällivare!$B$6:$B$36,0),FALSE),"Global: "&amp;HLOOKUP(LEFT(BC$3,4),Global!$B$6:$J$36,MATCH($C5,Global!$B$6:$B$36,0),FALSE)&amp;CHAR(10)&amp;"Local Trend: "&amp;HLOOKUP(MID(BC$3,FIND(".",BC$3)+1,FIND(".",BC$3,FIND(".",BC$3)+1)-FIND(".",BC$3)-1),Gällivare!$B$6:$J$36,MATCH($C5,Gällivare!$B$6:$B$36,0),FALSE)&amp;CHAR(10)&amp;"Local Target: "&amp;HLOOKUP(RIGHT(BC$3,LEN(BC$3)-FIND(".",BC$3,FIND(".",BC$3)+1)),Gällivare!$B$6:$J$36,MATCH($C5,Gällivare!$B$6:$B$36,0),FALSE)))</f>
        <v>High</v>
      </c>
      <c r="BD5" s="177" t="str">
        <f>IF(AND(HLOOKUP(MID(BD$3,FIND(".",BD$3)+1,FIND(".",BD$3,FIND(".",BD$3)+1)-FIND(".",BD$3)-1),Gällivare!$B$6:$J$36,MATCH($C5,Gällivare!$B$6:$B$36,0),FALSE)="No Impact",HLOOKUP(RIGHT(BD$3,LEN(BD$3)-FIND(".",BD$3,FIND(".",BD$3)+1)),Gällivare!$B$6:$J$36,MATCH($C5,Gällivare!$B$6:$B$36,0),FALSE)="No Impact"),HLOOKUP(LEFT(BD$3,4),Global!$B$6:$J$36,MATCH($C5,Global!$B$6:$B$36,0),FALSE),IF(AND(HLOOKUP(MID(BD$3,FIND(".",BD$3)+1,FIND(".",BD$3,FIND(".",BD$3)+1)-FIND(".",BD$3)-1),Gällivare!$B$6:$J$36,MATCH($C5,Gällivare!$B$6:$B$36,0),FALSE)="No Impact",HLOOKUP(LEFT(BD$3,4),Global!$B$6:$J$36,MATCH($C5,Global!$B$6:$B$36,0),FALSE)="No Impact"),HLOOKUP(RIGHT(BD$3,LEN(BD$3)-FIND(".",BD$3,FIND(".",BD$3)+1)),Gällivare!$B$6:$J$36,MATCH($C5,Gällivare!$B$6:$B$36,0),FALSE),"Global: "&amp;HLOOKUP(LEFT(BD$3,4),Global!$B$6:$J$36,MATCH($C5,Global!$B$6:$B$36,0),FALSE)&amp;CHAR(10)&amp;"Local Trend: "&amp;HLOOKUP(MID(BD$3,FIND(".",BD$3)+1,FIND(".",BD$3,FIND(".",BD$3)+1)-FIND(".",BD$3)-1),Gällivare!$B$6:$J$36,MATCH($C5,Gällivare!$B$6:$B$36,0),FALSE)&amp;CHAR(10)&amp;"Local Target: "&amp;HLOOKUP(RIGHT(BD$3,LEN(BD$3)-FIND(".",BD$3,FIND(".",BD$3)+1)),Gällivare!$B$6:$J$36,MATCH($C5,Gällivare!$B$6:$B$36,0),FALSE)))</f>
        <v>High</v>
      </c>
      <c r="BE5" s="177" t="str">
        <f>IF(AND(HLOOKUP(MID(BE$3,FIND(".",BE$3)+1,FIND(".",BE$3,FIND(".",BE$3)+1)-FIND(".",BE$3)-1),Gällivare!$B$6:$J$36,MATCH($C5,Gällivare!$B$6:$B$36,0),FALSE)="No Impact",HLOOKUP(RIGHT(BE$3,LEN(BE$3)-FIND(".",BE$3,FIND(".",BE$3)+1)),Gällivare!$B$6:$J$36,MATCH($C5,Gällivare!$B$6:$B$36,0),FALSE)="No Impact"),HLOOKUP(LEFT(BE$3,4),Global!$B$6:$J$36,MATCH($C5,Global!$B$6:$B$36,0),FALSE),IF(AND(HLOOKUP(MID(BE$3,FIND(".",BE$3)+1,FIND(".",BE$3,FIND(".",BE$3)+1)-FIND(".",BE$3)-1),Gällivare!$B$6:$J$36,MATCH($C5,Gällivare!$B$6:$B$36,0),FALSE)="No Impact",HLOOKUP(LEFT(BE$3,4),Global!$B$6:$J$36,MATCH($C5,Global!$B$6:$B$36,0),FALSE)="No Impact"),HLOOKUP(RIGHT(BE$3,LEN(BE$3)-FIND(".",BE$3,FIND(".",BE$3)+1)),Gällivare!$B$6:$J$36,MATCH($C5,Gällivare!$B$6:$B$36,0),FALSE),"Global: "&amp;HLOOKUP(LEFT(BE$3,4),Global!$B$6:$J$36,MATCH($C5,Global!$B$6:$B$36,0),FALSE)&amp;CHAR(10)&amp;"Local Trend: "&amp;HLOOKUP(MID(BE$3,FIND(".",BE$3)+1,FIND(".",BE$3,FIND(".",BE$3)+1)-FIND(".",BE$3)-1),Gällivare!$B$6:$J$36,MATCH($C5,Gällivare!$B$6:$B$36,0),FALSE)&amp;CHAR(10)&amp;"Local Target: "&amp;HLOOKUP(RIGHT(BE$3,LEN(BE$3)-FIND(".",BE$3,FIND(".",BE$3)+1)),Gällivare!$B$6:$J$36,MATCH($C5,Gällivare!$B$6:$B$36,0),FALSE)))</f>
        <v>Medium</v>
      </c>
      <c r="BF5" s="177" t="str">
        <f>IF(AND(HLOOKUP(MID(BF$3,FIND(".",BF$3)+1,FIND(".",BF$3,FIND(".",BF$3)+1)-FIND(".",BF$3)-1),Gällivare!$B$6:$J$36,MATCH($C5,Gällivare!$B$6:$B$36,0),FALSE)="No Impact",HLOOKUP(RIGHT(BF$3,LEN(BF$3)-FIND(".",BF$3,FIND(".",BF$3)+1)),Gällivare!$B$6:$J$36,MATCH($C5,Gällivare!$B$6:$B$36,0),FALSE)="No Impact"),HLOOKUP(LEFT(BF$3,4),Global!$B$6:$J$36,MATCH($C5,Global!$B$6:$B$36,0),FALSE),IF(AND(HLOOKUP(MID(BF$3,FIND(".",BF$3)+1,FIND(".",BF$3,FIND(".",BF$3)+1)-FIND(".",BF$3)-1),Gällivare!$B$6:$J$36,MATCH($C5,Gällivare!$B$6:$B$36,0),FALSE)="No Impact",HLOOKUP(LEFT(BF$3,4),Global!$B$6:$J$36,MATCH($C5,Global!$B$6:$B$36,0),FALSE)="No Impact"),HLOOKUP(RIGHT(BF$3,LEN(BF$3)-FIND(".",BF$3,FIND(".",BF$3)+1)),Gällivare!$B$6:$J$36,MATCH($C5,Gällivare!$B$6:$B$36,0),FALSE),"Global: "&amp;HLOOKUP(LEFT(BF$3,4),Global!$B$6:$J$36,MATCH($C5,Global!$B$6:$B$36,0),FALSE)&amp;CHAR(10)&amp;"Local Trend: "&amp;HLOOKUP(MID(BF$3,FIND(".",BF$3)+1,FIND(".",BF$3,FIND(".",BF$3)+1)-FIND(".",BF$3)-1),Gällivare!$B$6:$J$36,MATCH($C5,Gällivare!$B$6:$B$36,0),FALSE)&amp;CHAR(10)&amp;"Local Target: "&amp;HLOOKUP(RIGHT(BF$3,LEN(BF$3)-FIND(".",BF$3,FIND(".",BF$3)+1)),Gällivare!$B$6:$J$36,MATCH($C5,Gällivare!$B$6:$B$36,0),FALSE)))</f>
        <v>Medium</v>
      </c>
      <c r="BG5" s="177" t="str">
        <f>IF(AND(HLOOKUP(MID(BG$3,FIND(".",BG$3)+1,FIND(".",BG$3,FIND(".",BG$3)+1)-FIND(".",BG$3)-1),Gällivare!$B$6:$J$36,MATCH($C5,Gällivare!$B$6:$B$36,0),FALSE)="No Impact",HLOOKUP(RIGHT(BG$3,LEN(BG$3)-FIND(".",BG$3,FIND(".",BG$3)+1)),Gällivare!$B$6:$J$36,MATCH($C5,Gällivare!$B$6:$B$36,0),FALSE)="No Impact"),HLOOKUP(LEFT(BG$3,4),Global!$B$6:$J$36,MATCH($C5,Global!$B$6:$B$36,0),FALSE),IF(AND(HLOOKUP(MID(BG$3,FIND(".",BG$3)+1,FIND(".",BG$3,FIND(".",BG$3)+1)-FIND(".",BG$3)-1),Gällivare!$B$6:$J$36,MATCH($C5,Gällivare!$B$6:$B$36,0),FALSE)="No Impact",HLOOKUP(LEFT(BG$3,4),Global!$B$6:$J$36,MATCH($C5,Global!$B$6:$B$36,0),FALSE)="No Impact"),HLOOKUP(RIGHT(BG$3,LEN(BG$3)-FIND(".",BG$3,FIND(".",BG$3)+1)),Gällivare!$B$6:$J$36,MATCH($C5,Gällivare!$B$6:$B$36,0),FALSE),"Global: "&amp;HLOOKUP(LEFT(BG$3,4),Global!$B$6:$J$36,MATCH($C5,Global!$B$6:$B$36,0),FALSE)&amp;CHAR(10)&amp;"Local Trend: "&amp;HLOOKUP(MID(BG$3,FIND(".",BG$3)+1,FIND(".",BG$3,FIND(".",BG$3)+1)-FIND(".",BG$3)-1),Gällivare!$B$6:$J$36,MATCH($C5,Gällivare!$B$6:$B$36,0),FALSE)&amp;CHAR(10)&amp;"Local Target: "&amp;HLOOKUP(RIGHT(BG$3,LEN(BG$3)-FIND(".",BG$3,FIND(".",BG$3)+1)),Gällivare!$B$6:$J$36,MATCH($C5,Gällivare!$B$6:$B$36,0),FALSE)))</f>
        <v>Medium</v>
      </c>
      <c r="BH5" s="177" t="str">
        <f>IF(AND(HLOOKUP(MID(BH$3,FIND(".",BH$3)+1,FIND(".",BH$3,FIND(".",BH$3)+1)-FIND(".",BH$3)-1),Gällivare!$B$6:$J$36,MATCH($C5,Gällivare!$B$6:$B$36,0),FALSE)="No Impact",HLOOKUP(RIGHT(BH$3,LEN(BH$3)-FIND(".",BH$3,FIND(".",BH$3)+1)),Gällivare!$B$6:$J$36,MATCH($C5,Gällivare!$B$6:$B$36,0),FALSE)="No Impact"),HLOOKUP(LEFT(BH$3,4),Global!$B$6:$J$36,MATCH($C5,Global!$B$6:$B$36,0),FALSE),IF(AND(HLOOKUP(MID(BH$3,FIND(".",BH$3)+1,FIND(".",BH$3,FIND(".",BH$3)+1)-FIND(".",BH$3)-1),Gällivare!$B$6:$J$36,MATCH($C5,Gällivare!$B$6:$B$36,0),FALSE)="No Impact",HLOOKUP(LEFT(BH$3,4),Global!$B$6:$J$36,MATCH($C5,Global!$B$6:$B$36,0),FALSE)="No Impact"),HLOOKUP(RIGHT(BH$3,LEN(BH$3)-FIND(".",BH$3,FIND(".",BH$3)+1)),Gällivare!$B$6:$J$36,MATCH($C5,Gällivare!$B$6:$B$36,0),FALSE),"Global: "&amp;HLOOKUP(LEFT(BH$3,4),Global!$B$6:$J$36,MATCH($C5,Global!$B$6:$B$36,0),FALSE)&amp;CHAR(10)&amp;"Local Trend: "&amp;HLOOKUP(MID(BH$3,FIND(".",BH$3)+1,FIND(".",BH$3,FIND(".",BH$3)+1)-FIND(".",BH$3)-1),Gällivare!$B$6:$J$36,MATCH($C5,Gällivare!$B$6:$B$36,0),FALSE)&amp;CHAR(10)&amp;"Local Target: "&amp;HLOOKUP(RIGHT(BH$3,LEN(BH$3)-FIND(".",BH$3,FIND(".",BH$3)+1)),Gällivare!$B$6:$J$36,MATCH($C5,Gällivare!$B$6:$B$36,0),FALSE)))</f>
        <v>Medium</v>
      </c>
      <c r="BI5" s="177" t="str">
        <f>IF(AND(HLOOKUP(MID(BI$3,FIND(".",BI$3)+1,FIND(".",BI$3,FIND(".",BI$3)+1)-FIND(".",BI$3)-1),Gällivare!$B$6:$J$36,MATCH($C5,Gällivare!$B$6:$B$36,0),FALSE)="No Impact",HLOOKUP(RIGHT(BI$3,LEN(BI$3)-FIND(".",BI$3,FIND(".",BI$3)+1)),Gällivare!$B$6:$J$36,MATCH($C5,Gällivare!$B$6:$B$36,0),FALSE)="No Impact"),HLOOKUP(LEFT(BI$3,4),Global!$B$6:$J$36,MATCH($C5,Global!$B$6:$B$36,0),FALSE),IF(AND(HLOOKUP(MID(BI$3,FIND(".",BI$3)+1,FIND(".",BI$3,FIND(".",BI$3)+1)-FIND(".",BI$3)-1),Gällivare!$B$6:$J$36,MATCH($C5,Gällivare!$B$6:$B$36,0),FALSE)="No Impact",HLOOKUP(LEFT(BI$3,4),Global!$B$6:$J$36,MATCH($C5,Global!$B$6:$B$36,0),FALSE)="No Impact"),HLOOKUP(RIGHT(BI$3,LEN(BI$3)-FIND(".",BI$3,FIND(".",BI$3)+1)),Gällivare!$B$6:$J$36,MATCH($C5,Gällivare!$B$6:$B$36,0),FALSE),"Global: "&amp;HLOOKUP(LEFT(BI$3,4),Global!$B$6:$J$36,MATCH($C5,Global!$B$6:$B$36,0),FALSE)&amp;CHAR(10)&amp;"Local Trend: "&amp;HLOOKUP(MID(BI$3,FIND(".",BI$3)+1,FIND(".",BI$3,FIND(".",BI$3)+1)-FIND(".",BI$3)-1),Gällivare!$B$6:$J$36,MATCH($C5,Gällivare!$B$6:$B$36,0),FALSE)&amp;CHAR(10)&amp;"Local Target: "&amp;HLOOKUP(RIGHT(BI$3,LEN(BI$3)-FIND(".",BI$3,FIND(".",BI$3)+1)),Gällivare!$B$6:$J$36,MATCH($C5,Gällivare!$B$6:$B$36,0),FALSE)))</f>
        <v>Medium</v>
      </c>
      <c r="BJ5" s="177" t="str">
        <f>IF(AND(HLOOKUP(MID(BJ$3,FIND(".",BJ$3)+1,FIND(".",BJ$3,FIND(".",BJ$3)+1)-FIND(".",BJ$3)-1),Gällivare!$B$6:$J$36,MATCH($C5,Gällivare!$B$6:$B$36,0),FALSE)="No Impact",HLOOKUP(RIGHT(BJ$3,LEN(BJ$3)-FIND(".",BJ$3,FIND(".",BJ$3)+1)),Gällivare!$B$6:$J$36,MATCH($C5,Gällivare!$B$6:$B$36,0),FALSE)="No Impact"),HLOOKUP(LEFT(BJ$3,4),Global!$B$6:$J$36,MATCH($C5,Global!$B$6:$B$36,0),FALSE),IF(AND(HLOOKUP(MID(BJ$3,FIND(".",BJ$3)+1,FIND(".",BJ$3,FIND(".",BJ$3)+1)-FIND(".",BJ$3)-1),Gällivare!$B$6:$J$36,MATCH($C5,Gällivare!$B$6:$B$36,0),FALSE)="No Impact",HLOOKUP(LEFT(BJ$3,4),Global!$B$6:$J$36,MATCH($C5,Global!$B$6:$B$36,0),FALSE)="No Impact"),HLOOKUP(RIGHT(BJ$3,LEN(BJ$3)-FIND(".",BJ$3,FIND(".",BJ$3)+1)),Gällivare!$B$6:$J$36,MATCH($C5,Gällivare!$B$6:$B$36,0),FALSE),"Global: "&amp;HLOOKUP(LEFT(BJ$3,4),Global!$B$6:$J$36,MATCH($C5,Global!$B$6:$B$36,0),FALSE)&amp;CHAR(10)&amp;"Local Trend: "&amp;HLOOKUP(MID(BJ$3,FIND(".",BJ$3)+1,FIND(".",BJ$3,FIND(".",BJ$3)+1)-FIND(".",BJ$3)-1),Gällivare!$B$6:$J$36,MATCH($C5,Gällivare!$B$6:$B$36,0),FALSE)&amp;CHAR(10)&amp;"Local Target: "&amp;HLOOKUP(RIGHT(BJ$3,LEN(BJ$3)-FIND(".",BJ$3,FIND(".",BJ$3)+1)),Gällivare!$B$6:$J$36,MATCH($C5,Gällivare!$B$6:$B$36,0),FALSE)))</f>
        <v>Medium</v>
      </c>
      <c r="BK5" s="177" t="str">
        <f>IF(AND(HLOOKUP(MID(BK$3,FIND(".",BK$3)+1,FIND(".",BK$3,FIND(".",BK$3)+1)-FIND(".",BK$3)-1),Gällivare!$B$6:$J$36,MATCH($C5,Gällivare!$B$6:$B$36,0),FALSE)="No Impact",HLOOKUP(RIGHT(BK$3,LEN(BK$3)-FIND(".",BK$3,FIND(".",BK$3)+1)),Gällivare!$B$6:$J$36,MATCH($C5,Gällivare!$B$6:$B$36,0),FALSE)="No Impact"),HLOOKUP(LEFT(BK$3,4),Global!$B$6:$J$36,MATCH($C5,Global!$B$6:$B$36,0),FALSE),IF(AND(HLOOKUP(MID(BK$3,FIND(".",BK$3)+1,FIND(".",BK$3,FIND(".",BK$3)+1)-FIND(".",BK$3)-1),Gällivare!$B$6:$J$36,MATCH($C5,Gällivare!$B$6:$B$36,0),FALSE)="No Impact",HLOOKUP(LEFT(BK$3,4),Global!$B$6:$J$36,MATCH($C5,Global!$B$6:$B$36,0),FALSE)="No Impact"),HLOOKUP(RIGHT(BK$3,LEN(BK$3)-FIND(".",BK$3,FIND(".",BK$3)+1)),Gällivare!$B$6:$J$36,MATCH($C5,Gällivare!$B$6:$B$36,0),FALSE),"Global: "&amp;HLOOKUP(LEFT(BK$3,4),Global!$B$6:$J$36,MATCH($C5,Global!$B$6:$B$36,0),FALSE)&amp;CHAR(10)&amp;"Local Trend: "&amp;HLOOKUP(MID(BK$3,FIND(".",BK$3)+1,FIND(".",BK$3,FIND(".",BK$3)+1)-FIND(".",BK$3)-1),Gällivare!$B$6:$J$36,MATCH($C5,Gällivare!$B$6:$B$36,0),FALSE)&amp;CHAR(10)&amp;"Local Target: "&amp;HLOOKUP(RIGHT(BK$3,LEN(BK$3)-FIND(".",BK$3,FIND(".",BK$3)+1)),Gällivare!$B$6:$J$36,MATCH($C5,Gällivare!$B$6:$B$36,0),FALSE)))</f>
        <v>High</v>
      </c>
      <c r="BL5" s="177" t="str">
        <f>IF(AND(HLOOKUP(MID(BL$3,FIND(".",BL$3)+1,FIND(".",BL$3,FIND(".",BL$3)+1)-FIND(".",BL$3)-1),Gällivare!$B$6:$J$36,MATCH($C5,Gällivare!$B$6:$B$36,0),FALSE)="No Impact",HLOOKUP(RIGHT(BL$3,LEN(BL$3)-FIND(".",BL$3,FIND(".",BL$3)+1)),Gällivare!$B$6:$J$36,MATCH($C5,Gällivare!$B$6:$B$36,0),FALSE)="No Impact"),HLOOKUP(LEFT(BL$3,4),Global!$B$6:$J$36,MATCH($C5,Global!$B$6:$B$36,0),FALSE),IF(AND(HLOOKUP(MID(BL$3,FIND(".",BL$3)+1,FIND(".",BL$3,FIND(".",BL$3)+1)-FIND(".",BL$3)-1),Gällivare!$B$6:$J$36,MATCH($C5,Gällivare!$B$6:$B$36,0),FALSE)="No Impact",HLOOKUP(LEFT(BL$3,4),Global!$B$6:$J$36,MATCH($C5,Global!$B$6:$B$36,0),FALSE)="No Impact"),HLOOKUP(RIGHT(BL$3,LEN(BL$3)-FIND(".",BL$3,FIND(".",BL$3)+1)),Gällivare!$B$6:$J$36,MATCH($C5,Gällivare!$B$6:$B$36,0),FALSE),"Global: "&amp;HLOOKUP(LEFT(BL$3,4),Global!$B$6:$J$36,MATCH($C5,Global!$B$6:$B$36,0),FALSE)&amp;CHAR(10)&amp;"Local Trend: "&amp;HLOOKUP(MID(BL$3,FIND(".",BL$3)+1,FIND(".",BL$3,FIND(".",BL$3)+1)-FIND(".",BL$3)-1),Gällivare!$B$6:$J$36,MATCH($C5,Gällivare!$B$6:$B$36,0),FALSE)&amp;CHAR(10)&amp;"Local Target: "&amp;HLOOKUP(RIGHT(BL$3,LEN(BL$3)-FIND(".",BL$3,FIND(".",BL$3)+1)),Gällivare!$B$6:$J$36,MATCH($C5,Gällivare!$B$6:$B$36,0),FALSE)))</f>
        <v>High</v>
      </c>
      <c r="BM5" s="177" t="str">
        <f>IF(AND(HLOOKUP(MID(BM$3,FIND(".",BM$3)+1,FIND(".",BM$3,FIND(".",BM$3)+1)-FIND(".",BM$3)-1),Gällivare!$B$6:$J$36,MATCH($C5,Gällivare!$B$6:$B$36,0),FALSE)="No Impact",HLOOKUP(RIGHT(BM$3,LEN(BM$3)-FIND(".",BM$3,FIND(".",BM$3)+1)),Gällivare!$B$6:$J$36,MATCH($C5,Gällivare!$B$6:$B$36,0),FALSE)="No Impact"),HLOOKUP(LEFT(BM$3,4),Global!$B$6:$J$36,MATCH($C5,Global!$B$6:$B$36,0),FALSE),IF(AND(HLOOKUP(MID(BM$3,FIND(".",BM$3)+1,FIND(".",BM$3,FIND(".",BM$3)+1)-FIND(".",BM$3)-1),Gällivare!$B$6:$J$36,MATCH($C5,Gällivare!$B$6:$B$36,0),FALSE)="No Impact",HLOOKUP(LEFT(BM$3,4),Global!$B$6:$J$36,MATCH($C5,Global!$B$6:$B$36,0),FALSE)="No Impact"),HLOOKUP(RIGHT(BM$3,LEN(BM$3)-FIND(".",BM$3,FIND(".",BM$3)+1)),Gällivare!$B$6:$J$36,MATCH($C5,Gällivare!$B$6:$B$36,0),FALSE),"Global: "&amp;HLOOKUP(LEFT(BM$3,4),Global!$B$6:$J$36,MATCH($C5,Global!$B$6:$B$36,0),FALSE)&amp;CHAR(10)&amp;"Local Trend: "&amp;HLOOKUP(MID(BM$3,FIND(".",BM$3)+1,FIND(".",BM$3,FIND(".",BM$3)+1)-FIND(".",BM$3)-1),Gällivare!$B$6:$J$36,MATCH($C5,Gällivare!$B$6:$B$36,0),FALSE)&amp;CHAR(10)&amp;"Local Target: "&amp;HLOOKUP(RIGHT(BM$3,LEN(BM$3)-FIND(".",BM$3,FIND(".",BM$3)+1)),Gällivare!$B$6:$J$36,MATCH($C5,Gällivare!$B$6:$B$36,0),FALSE)))</f>
        <v>High</v>
      </c>
      <c r="BN5" s="177" t="str">
        <f>IF(AND(HLOOKUP(MID(BN$3,FIND(".",BN$3)+1,FIND(".",BN$3,FIND(".",BN$3)+1)-FIND(".",BN$3)-1),Gällivare!$B$6:$J$36,MATCH($C5,Gällivare!$B$6:$B$36,0),FALSE)="No Impact",HLOOKUP(RIGHT(BN$3,LEN(BN$3)-FIND(".",BN$3,FIND(".",BN$3)+1)),Gällivare!$B$6:$J$36,MATCH($C5,Gällivare!$B$6:$B$36,0),FALSE)="No Impact"),HLOOKUP(LEFT(BN$3,4),Global!$B$6:$J$36,MATCH($C5,Global!$B$6:$B$36,0),FALSE),IF(AND(HLOOKUP(MID(BN$3,FIND(".",BN$3)+1,FIND(".",BN$3,FIND(".",BN$3)+1)-FIND(".",BN$3)-1),Gällivare!$B$6:$J$36,MATCH($C5,Gällivare!$B$6:$B$36,0),FALSE)="No Impact",HLOOKUP(LEFT(BN$3,4),Global!$B$6:$J$36,MATCH($C5,Global!$B$6:$B$36,0),FALSE)="No Impact"),HLOOKUP(RIGHT(BN$3,LEN(BN$3)-FIND(".",BN$3,FIND(".",BN$3)+1)),Gällivare!$B$6:$J$36,MATCH($C5,Gällivare!$B$6:$B$36,0),FALSE),"Global: "&amp;HLOOKUP(LEFT(BN$3,4),Global!$B$6:$J$36,MATCH($C5,Global!$B$6:$B$36,0),FALSE)&amp;CHAR(10)&amp;"Local Trend: "&amp;HLOOKUP(MID(BN$3,FIND(".",BN$3)+1,FIND(".",BN$3,FIND(".",BN$3)+1)-FIND(".",BN$3)-1),Gällivare!$B$6:$J$36,MATCH($C5,Gällivare!$B$6:$B$36,0),FALSE)&amp;CHAR(10)&amp;"Local Target: "&amp;HLOOKUP(RIGHT(BN$3,LEN(BN$3)-FIND(".",BN$3,FIND(".",BN$3)+1)),Gällivare!$B$6:$J$36,MATCH($C5,Gällivare!$B$6:$B$36,0),FALSE)))</f>
        <v>High</v>
      </c>
      <c r="BO5" s="177" t="str">
        <f>IF(AND(HLOOKUP(MID(BO$3,FIND(".",BO$3)+1,FIND(".",BO$3,FIND(".",BO$3)+1)-FIND(".",BO$3)-1),Gällivare!$B$6:$J$36,MATCH($C5,Gällivare!$B$6:$B$36,0),FALSE)="No Impact",HLOOKUP(RIGHT(BO$3,LEN(BO$3)-FIND(".",BO$3,FIND(".",BO$3)+1)),Gällivare!$B$6:$J$36,MATCH($C5,Gällivare!$B$6:$B$36,0),FALSE)="No Impact"),HLOOKUP(LEFT(BO$3,4),Global!$B$6:$J$36,MATCH($C5,Global!$B$6:$B$36,0),FALSE),IF(AND(HLOOKUP(MID(BO$3,FIND(".",BO$3)+1,FIND(".",BO$3,FIND(".",BO$3)+1)-FIND(".",BO$3)-1),Gällivare!$B$6:$J$36,MATCH($C5,Gällivare!$B$6:$B$36,0),FALSE)="No Impact",HLOOKUP(LEFT(BO$3,4),Global!$B$6:$J$36,MATCH($C5,Global!$B$6:$B$36,0),FALSE)="No Impact"),HLOOKUP(RIGHT(BO$3,LEN(BO$3)-FIND(".",BO$3,FIND(".",BO$3)+1)),Gällivare!$B$6:$J$36,MATCH($C5,Gällivare!$B$6:$B$36,0),FALSE),"Global: "&amp;HLOOKUP(LEFT(BO$3,4),Global!$B$6:$J$36,MATCH($C5,Global!$B$6:$B$36,0),FALSE)&amp;CHAR(10)&amp;"Local Trend: "&amp;HLOOKUP(MID(BO$3,FIND(".",BO$3)+1,FIND(".",BO$3,FIND(".",BO$3)+1)-FIND(".",BO$3)-1),Gällivare!$B$6:$J$36,MATCH($C5,Gällivare!$B$6:$B$36,0),FALSE)&amp;CHAR(10)&amp;"Local Target: "&amp;HLOOKUP(RIGHT(BO$3,LEN(BO$3)-FIND(".",BO$3,FIND(".",BO$3)+1)),Gällivare!$B$6:$J$36,MATCH($C5,Gällivare!$B$6:$B$36,0),FALSE)))</f>
        <v>High</v>
      </c>
      <c r="BP5" s="177" t="str">
        <f>IF(AND(HLOOKUP(MID(BP$3,FIND(".",BP$3)+1,FIND(".",BP$3,FIND(".",BP$3)+1)-FIND(".",BP$3)-1),Gällivare!$B$6:$J$36,MATCH($C5,Gällivare!$B$6:$B$36,0),FALSE)="No Impact",HLOOKUP(RIGHT(BP$3,LEN(BP$3)-FIND(".",BP$3,FIND(".",BP$3)+1)),Gällivare!$B$6:$J$36,MATCH($C5,Gällivare!$B$6:$B$36,0),FALSE)="No Impact"),HLOOKUP(LEFT(BP$3,4),Global!$B$6:$J$36,MATCH($C5,Global!$B$6:$B$36,0),FALSE),IF(AND(HLOOKUP(MID(BP$3,FIND(".",BP$3)+1,FIND(".",BP$3,FIND(".",BP$3)+1)-FIND(".",BP$3)-1),Gällivare!$B$6:$J$36,MATCH($C5,Gällivare!$B$6:$B$36,0),FALSE)="No Impact",HLOOKUP(LEFT(BP$3,4),Global!$B$6:$J$36,MATCH($C5,Global!$B$6:$B$36,0),FALSE)="No Impact"),HLOOKUP(RIGHT(BP$3,LEN(BP$3)-FIND(".",BP$3,FIND(".",BP$3)+1)),Gällivare!$B$6:$J$36,MATCH($C5,Gällivare!$B$6:$B$36,0),FALSE),"Global: "&amp;HLOOKUP(LEFT(BP$3,4),Global!$B$6:$J$36,MATCH($C5,Global!$B$6:$B$36,0),FALSE)&amp;CHAR(10)&amp;"Local Trend: "&amp;HLOOKUP(MID(BP$3,FIND(".",BP$3)+1,FIND(".",BP$3,FIND(".",BP$3)+1)-FIND(".",BP$3)-1),Gällivare!$B$6:$J$36,MATCH($C5,Gällivare!$B$6:$B$36,0),FALSE)&amp;CHAR(10)&amp;"Local Target: "&amp;HLOOKUP(RIGHT(BP$3,LEN(BP$3)-FIND(".",BP$3,FIND(".",BP$3)+1)),Gällivare!$B$6:$J$36,MATCH($C5,Gällivare!$B$6:$B$36,0),FALSE)))</f>
        <v>High</v>
      </c>
      <c r="BS5" s="176"/>
      <c r="BT5" s="178"/>
      <c r="BU5" s="178"/>
      <c r="BV5" s="178"/>
      <c r="BW5" s="178"/>
      <c r="BX5" s="178"/>
      <c r="BY5" s="178"/>
      <c r="BZ5" s="178"/>
      <c r="CA5" s="178"/>
    </row>
    <row r="6" spans="2:82" ht="28.8" x14ac:dyDescent="0.3">
      <c r="B6" s="243"/>
      <c r="C6" s="175" t="s">
        <v>69</v>
      </c>
      <c r="D6" s="175" t="s">
        <v>163</v>
      </c>
      <c r="E6" s="175" t="s">
        <v>167</v>
      </c>
      <c r="F6" s="176" t="s">
        <v>165</v>
      </c>
      <c r="G6" s="176"/>
      <c r="H6" s="175" t="str">
        <f t="shared" si="1"/>
        <v>Low</v>
      </c>
      <c r="I6" s="175" t="str">
        <f t="shared" si="0"/>
        <v>Low</v>
      </c>
      <c r="J6" s="175" t="str">
        <f t="shared" si="0"/>
        <v>Low</v>
      </c>
      <c r="K6" s="175" t="str">
        <f t="shared" si="0"/>
        <v>Low</v>
      </c>
      <c r="L6" s="175" t="str">
        <f t="shared" si="0"/>
        <v>Low</v>
      </c>
      <c r="M6" s="175" t="str">
        <f t="shared" si="0"/>
        <v>Low</v>
      </c>
      <c r="N6" s="175" t="str">
        <f t="shared" si="0"/>
        <v>Medium</v>
      </c>
      <c r="O6" s="175" t="str">
        <f t="shared" si="0"/>
        <v>Medium</v>
      </c>
      <c r="P6" s="175" t="str">
        <f t="shared" si="0"/>
        <v>Medium</v>
      </c>
      <c r="Q6" s="175" t="str">
        <f t="shared" si="0"/>
        <v>Medium</v>
      </c>
      <c r="R6" s="175" t="str">
        <f t="shared" si="0"/>
        <v>Medium</v>
      </c>
      <c r="S6" s="175" t="str">
        <f t="shared" si="0"/>
        <v>Medium</v>
      </c>
      <c r="T6" s="175" t="str">
        <f t="shared" si="0"/>
        <v>High</v>
      </c>
      <c r="U6" s="175" t="str">
        <f t="shared" si="0"/>
        <v>High</v>
      </c>
      <c r="V6" s="175" t="str">
        <f t="shared" si="0"/>
        <v>High</v>
      </c>
      <c r="W6" s="175" t="str">
        <f t="shared" si="0"/>
        <v>High</v>
      </c>
      <c r="X6" s="175" t="str">
        <f t="shared" si="0"/>
        <v>High</v>
      </c>
      <c r="Y6" s="175" t="str">
        <f t="shared" si="0"/>
        <v>High</v>
      </c>
      <c r="Z6" s="175" t="str">
        <f t="shared" si="0"/>
        <v>Medium</v>
      </c>
      <c r="AA6" s="175" t="str">
        <f t="shared" si="0"/>
        <v>Medium</v>
      </c>
      <c r="AB6" s="175" t="str">
        <f t="shared" si="0"/>
        <v>Medium</v>
      </c>
      <c r="AC6" s="175" t="str">
        <f t="shared" si="0"/>
        <v>Medium</v>
      </c>
      <c r="AD6" s="175" t="str">
        <f t="shared" si="0"/>
        <v>Medium</v>
      </c>
      <c r="AE6" s="175" t="str">
        <f t="shared" si="0"/>
        <v>Medium</v>
      </c>
      <c r="AF6" s="175" t="str">
        <f t="shared" si="0"/>
        <v>High</v>
      </c>
      <c r="AG6" s="175" t="str">
        <f t="shared" si="0"/>
        <v>High</v>
      </c>
      <c r="AH6" s="175" t="str">
        <f t="shared" si="0"/>
        <v>High</v>
      </c>
      <c r="AI6" s="175" t="str">
        <f t="shared" si="0"/>
        <v>High</v>
      </c>
      <c r="AJ6" s="175" t="str">
        <f t="shared" si="0"/>
        <v>High</v>
      </c>
      <c r="AK6" s="175" t="str">
        <f t="shared" si="0"/>
        <v>High</v>
      </c>
      <c r="AL6" s="176"/>
      <c r="AM6" s="177" t="str">
        <f>IF(AND(HLOOKUP(MID(AM$3,FIND(".",AM$3)+1,FIND(".",AM$3,FIND(".",AM$3)+1)-FIND(".",AM$3)-1),Gällivare!$B$6:$J$36,MATCH($C6,Gällivare!$B$6:$B$36,0),FALSE)="No Impact",HLOOKUP(RIGHT(AM$3,LEN(AM$3)-FIND(".",AM$3,FIND(".",AM$3)+1)),Gällivare!$B$6:$J$36,MATCH($C6,Gällivare!$B$6:$B$36,0),FALSE)="No Impact"),HLOOKUP(LEFT(AM$3,4),Global!$B$6:$J$36,MATCH($C6,Global!$B$6:$B$36,0),FALSE),IF(AND(HLOOKUP(MID(AM$3,FIND(".",AM$3)+1,FIND(".",AM$3,FIND(".",AM$3)+1)-FIND(".",AM$3)-1),Gällivare!$B$6:$J$36,MATCH($C6,Gällivare!$B$6:$B$36,0),FALSE)="No Impact",HLOOKUP(LEFT(AM$3,4),Global!$B$6:$J$36,MATCH($C6,Global!$B$6:$B$36,0),FALSE)="No Impact"),HLOOKUP(RIGHT(AM$3,LEN(AM$3)-FIND(".",AM$3,FIND(".",AM$3)+1)),Gällivare!$B$6:$J$36,MATCH($C6,Gällivare!$B$6:$B$36,0),FALSE),"Global: "&amp;HLOOKUP(LEFT(AM$3,4),Global!$B$6:$J$36,MATCH($C6,Global!$B$6:$B$36,0),FALSE)&amp;CHAR(10)&amp;"Local Trend: "&amp;HLOOKUP(MID(AM$3,FIND(".",AM$3)+1,FIND(".",AM$3,FIND(".",AM$3)+1)-FIND(".",AM$3)-1),Gällivare!$B$6:$J$36,MATCH($C6,Gällivare!$B$6:$B$36,0),FALSE)&amp;CHAR(10)&amp;"Local Target: "&amp;HLOOKUP(RIGHT(AM$3,LEN(AM$3)-FIND(".",AM$3,FIND(".",AM$3)+1)),Gällivare!$B$6:$J$36,MATCH($C6,Gällivare!$B$6:$B$36,0),FALSE)))</f>
        <v>Low</v>
      </c>
      <c r="AN6" s="177" t="str">
        <f>IF(AND(HLOOKUP(MID(AN$3,FIND(".",AN$3)+1,FIND(".",AN$3,FIND(".",AN$3)+1)-FIND(".",AN$3)-1),Gällivare!$B$6:$J$36,MATCH($C6,Gällivare!$B$6:$B$36,0),FALSE)="No Impact",HLOOKUP(RIGHT(AN$3,LEN(AN$3)-FIND(".",AN$3,FIND(".",AN$3)+1)),Gällivare!$B$6:$J$36,MATCH($C6,Gällivare!$B$6:$B$36,0),FALSE)="No Impact"),HLOOKUP(LEFT(AN$3,4),Global!$B$6:$J$36,MATCH($C6,Global!$B$6:$B$36,0),FALSE),IF(AND(HLOOKUP(MID(AN$3,FIND(".",AN$3)+1,FIND(".",AN$3,FIND(".",AN$3)+1)-FIND(".",AN$3)-1),Gällivare!$B$6:$J$36,MATCH($C6,Gällivare!$B$6:$B$36,0),FALSE)="No Impact",HLOOKUP(LEFT(AN$3,4),Global!$B$6:$J$36,MATCH($C6,Global!$B$6:$B$36,0),FALSE)="No Impact"),HLOOKUP(RIGHT(AN$3,LEN(AN$3)-FIND(".",AN$3,FIND(".",AN$3)+1)),Gällivare!$B$6:$J$36,MATCH($C6,Gällivare!$B$6:$B$36,0),FALSE),"Global: "&amp;HLOOKUP(LEFT(AN$3,4),Global!$B$6:$J$36,MATCH($C6,Global!$B$6:$B$36,0),FALSE)&amp;CHAR(10)&amp;"Local Trend: "&amp;HLOOKUP(MID(AN$3,FIND(".",AN$3)+1,FIND(".",AN$3,FIND(".",AN$3)+1)-FIND(".",AN$3)-1),Gällivare!$B$6:$J$36,MATCH($C6,Gällivare!$B$6:$B$36,0),FALSE)&amp;CHAR(10)&amp;"Local Target: "&amp;HLOOKUP(RIGHT(AN$3,LEN(AN$3)-FIND(".",AN$3,FIND(".",AN$3)+1)),Gällivare!$B$6:$J$36,MATCH($C6,Gällivare!$B$6:$B$36,0),FALSE)))</f>
        <v>Low</v>
      </c>
      <c r="AO6" s="177" t="str">
        <f>IF(AND(HLOOKUP(MID(AO$3,FIND(".",AO$3)+1,FIND(".",AO$3,FIND(".",AO$3)+1)-FIND(".",AO$3)-1),Gällivare!$B$6:$J$36,MATCH($C6,Gällivare!$B$6:$B$36,0),FALSE)="No Impact",HLOOKUP(RIGHT(AO$3,LEN(AO$3)-FIND(".",AO$3,FIND(".",AO$3)+1)),Gällivare!$B$6:$J$36,MATCH($C6,Gällivare!$B$6:$B$36,0),FALSE)="No Impact"),HLOOKUP(LEFT(AO$3,4),Global!$B$6:$J$36,MATCH($C6,Global!$B$6:$B$36,0),FALSE),IF(AND(HLOOKUP(MID(AO$3,FIND(".",AO$3)+1,FIND(".",AO$3,FIND(".",AO$3)+1)-FIND(".",AO$3)-1),Gällivare!$B$6:$J$36,MATCH($C6,Gällivare!$B$6:$B$36,0),FALSE)="No Impact",HLOOKUP(LEFT(AO$3,4),Global!$B$6:$J$36,MATCH($C6,Global!$B$6:$B$36,0),FALSE)="No Impact"),HLOOKUP(RIGHT(AO$3,LEN(AO$3)-FIND(".",AO$3,FIND(".",AO$3)+1)),Gällivare!$B$6:$J$36,MATCH($C6,Gällivare!$B$6:$B$36,0),FALSE),"Global: "&amp;HLOOKUP(LEFT(AO$3,4),Global!$B$6:$J$36,MATCH($C6,Global!$B$6:$B$36,0),FALSE)&amp;CHAR(10)&amp;"Local Trend: "&amp;HLOOKUP(MID(AO$3,FIND(".",AO$3)+1,FIND(".",AO$3,FIND(".",AO$3)+1)-FIND(".",AO$3)-1),Gällivare!$B$6:$J$36,MATCH($C6,Gällivare!$B$6:$B$36,0),FALSE)&amp;CHAR(10)&amp;"Local Target: "&amp;HLOOKUP(RIGHT(AO$3,LEN(AO$3)-FIND(".",AO$3,FIND(".",AO$3)+1)),Gällivare!$B$6:$J$36,MATCH($C6,Gällivare!$B$6:$B$36,0),FALSE)))</f>
        <v>Low</v>
      </c>
      <c r="AP6" s="177" t="str">
        <f>IF(AND(HLOOKUP(MID(AP$3,FIND(".",AP$3)+1,FIND(".",AP$3,FIND(".",AP$3)+1)-FIND(".",AP$3)-1),Gällivare!$B$6:$J$36,MATCH($C6,Gällivare!$B$6:$B$36,0),FALSE)="No Impact",HLOOKUP(RIGHT(AP$3,LEN(AP$3)-FIND(".",AP$3,FIND(".",AP$3)+1)),Gällivare!$B$6:$J$36,MATCH($C6,Gällivare!$B$6:$B$36,0),FALSE)="No Impact"),HLOOKUP(LEFT(AP$3,4),Global!$B$6:$J$36,MATCH($C6,Global!$B$6:$B$36,0),FALSE),IF(AND(HLOOKUP(MID(AP$3,FIND(".",AP$3)+1,FIND(".",AP$3,FIND(".",AP$3)+1)-FIND(".",AP$3)-1),Gällivare!$B$6:$J$36,MATCH($C6,Gällivare!$B$6:$B$36,0),FALSE)="No Impact",HLOOKUP(LEFT(AP$3,4),Global!$B$6:$J$36,MATCH($C6,Global!$B$6:$B$36,0),FALSE)="No Impact"),HLOOKUP(RIGHT(AP$3,LEN(AP$3)-FIND(".",AP$3,FIND(".",AP$3)+1)),Gällivare!$B$6:$J$36,MATCH($C6,Gällivare!$B$6:$B$36,0),FALSE),"Global: "&amp;HLOOKUP(LEFT(AP$3,4),Global!$B$6:$J$36,MATCH($C6,Global!$B$6:$B$36,0),FALSE)&amp;CHAR(10)&amp;"Local Trend: "&amp;HLOOKUP(MID(AP$3,FIND(".",AP$3)+1,FIND(".",AP$3,FIND(".",AP$3)+1)-FIND(".",AP$3)-1),Gällivare!$B$6:$J$36,MATCH($C6,Gällivare!$B$6:$B$36,0),FALSE)&amp;CHAR(10)&amp;"Local Target: "&amp;HLOOKUP(RIGHT(AP$3,LEN(AP$3)-FIND(".",AP$3,FIND(".",AP$3)+1)),Gällivare!$B$6:$J$36,MATCH($C6,Gällivare!$B$6:$B$36,0),FALSE)))</f>
        <v>Low</v>
      </c>
      <c r="AQ6" s="177" t="str">
        <f>IF(AND(HLOOKUP(MID(AQ$3,FIND(".",AQ$3)+1,FIND(".",AQ$3,FIND(".",AQ$3)+1)-FIND(".",AQ$3)-1),Gällivare!$B$6:$J$36,MATCH($C6,Gällivare!$B$6:$B$36,0),FALSE)="No Impact",HLOOKUP(RIGHT(AQ$3,LEN(AQ$3)-FIND(".",AQ$3,FIND(".",AQ$3)+1)),Gällivare!$B$6:$J$36,MATCH($C6,Gällivare!$B$6:$B$36,0),FALSE)="No Impact"),HLOOKUP(LEFT(AQ$3,4),Global!$B$6:$J$36,MATCH($C6,Global!$B$6:$B$36,0),FALSE),IF(AND(HLOOKUP(MID(AQ$3,FIND(".",AQ$3)+1,FIND(".",AQ$3,FIND(".",AQ$3)+1)-FIND(".",AQ$3)-1),Gällivare!$B$6:$J$36,MATCH($C6,Gällivare!$B$6:$B$36,0),FALSE)="No Impact",HLOOKUP(LEFT(AQ$3,4),Global!$B$6:$J$36,MATCH($C6,Global!$B$6:$B$36,0),FALSE)="No Impact"),HLOOKUP(RIGHT(AQ$3,LEN(AQ$3)-FIND(".",AQ$3,FIND(".",AQ$3)+1)),Gällivare!$B$6:$J$36,MATCH($C6,Gällivare!$B$6:$B$36,0),FALSE),"Global: "&amp;HLOOKUP(LEFT(AQ$3,4),Global!$B$6:$J$36,MATCH($C6,Global!$B$6:$B$36,0),FALSE)&amp;CHAR(10)&amp;"Local Trend: "&amp;HLOOKUP(MID(AQ$3,FIND(".",AQ$3)+1,FIND(".",AQ$3,FIND(".",AQ$3)+1)-FIND(".",AQ$3)-1),Gällivare!$B$6:$J$36,MATCH($C6,Gällivare!$B$6:$B$36,0),FALSE)&amp;CHAR(10)&amp;"Local Target: "&amp;HLOOKUP(RIGHT(AQ$3,LEN(AQ$3)-FIND(".",AQ$3,FIND(".",AQ$3)+1)),Gällivare!$B$6:$J$36,MATCH($C6,Gällivare!$B$6:$B$36,0),FALSE)))</f>
        <v>Low</v>
      </c>
      <c r="AR6" s="177" t="str">
        <f>IF(AND(HLOOKUP(MID(AR$3,FIND(".",AR$3)+1,FIND(".",AR$3,FIND(".",AR$3)+1)-FIND(".",AR$3)-1),Gällivare!$B$6:$J$36,MATCH($C6,Gällivare!$B$6:$B$36,0),FALSE)="No Impact",HLOOKUP(RIGHT(AR$3,LEN(AR$3)-FIND(".",AR$3,FIND(".",AR$3)+1)),Gällivare!$B$6:$J$36,MATCH($C6,Gällivare!$B$6:$B$36,0),FALSE)="No Impact"),HLOOKUP(LEFT(AR$3,4),Global!$B$6:$J$36,MATCH($C6,Global!$B$6:$B$36,0),FALSE),IF(AND(HLOOKUP(MID(AR$3,FIND(".",AR$3)+1,FIND(".",AR$3,FIND(".",AR$3)+1)-FIND(".",AR$3)-1),Gällivare!$B$6:$J$36,MATCH($C6,Gällivare!$B$6:$B$36,0),FALSE)="No Impact",HLOOKUP(LEFT(AR$3,4),Global!$B$6:$J$36,MATCH($C6,Global!$B$6:$B$36,0),FALSE)="No Impact"),HLOOKUP(RIGHT(AR$3,LEN(AR$3)-FIND(".",AR$3,FIND(".",AR$3)+1)),Gällivare!$B$6:$J$36,MATCH($C6,Gällivare!$B$6:$B$36,0),FALSE),"Global: "&amp;HLOOKUP(LEFT(AR$3,4),Global!$B$6:$J$36,MATCH($C6,Global!$B$6:$B$36,0),FALSE)&amp;CHAR(10)&amp;"Local Trend: "&amp;HLOOKUP(MID(AR$3,FIND(".",AR$3)+1,FIND(".",AR$3,FIND(".",AR$3)+1)-FIND(".",AR$3)-1),Gällivare!$B$6:$J$36,MATCH($C6,Gällivare!$B$6:$B$36,0),FALSE)&amp;CHAR(10)&amp;"Local Target: "&amp;HLOOKUP(RIGHT(AR$3,LEN(AR$3)-FIND(".",AR$3,FIND(".",AR$3)+1)),Gällivare!$B$6:$J$36,MATCH($C6,Gällivare!$B$6:$B$36,0),FALSE)))</f>
        <v>Low</v>
      </c>
      <c r="AS6" s="177" t="str">
        <f>IF(AND(HLOOKUP(MID(AS$3,FIND(".",AS$3)+1,FIND(".",AS$3,FIND(".",AS$3)+1)-FIND(".",AS$3)-1),Gällivare!$B$6:$J$36,MATCH($C6,Gällivare!$B$6:$B$36,0),FALSE)="No Impact",HLOOKUP(RIGHT(AS$3,LEN(AS$3)-FIND(".",AS$3,FIND(".",AS$3)+1)),Gällivare!$B$6:$J$36,MATCH($C6,Gällivare!$B$6:$B$36,0),FALSE)="No Impact"),HLOOKUP(LEFT(AS$3,4),Global!$B$6:$J$36,MATCH($C6,Global!$B$6:$B$36,0),FALSE),IF(AND(HLOOKUP(MID(AS$3,FIND(".",AS$3)+1,FIND(".",AS$3,FIND(".",AS$3)+1)-FIND(".",AS$3)-1),Gällivare!$B$6:$J$36,MATCH($C6,Gällivare!$B$6:$B$36,0),FALSE)="No Impact",HLOOKUP(LEFT(AS$3,4),Global!$B$6:$J$36,MATCH($C6,Global!$B$6:$B$36,0),FALSE)="No Impact"),HLOOKUP(RIGHT(AS$3,LEN(AS$3)-FIND(".",AS$3,FIND(".",AS$3)+1)),Gällivare!$B$6:$J$36,MATCH($C6,Gällivare!$B$6:$B$36,0),FALSE),"Global: "&amp;HLOOKUP(LEFT(AS$3,4),Global!$B$6:$J$36,MATCH($C6,Global!$B$6:$B$36,0),FALSE)&amp;CHAR(10)&amp;"Local Trend: "&amp;HLOOKUP(MID(AS$3,FIND(".",AS$3)+1,FIND(".",AS$3,FIND(".",AS$3)+1)-FIND(".",AS$3)-1),Gällivare!$B$6:$J$36,MATCH($C6,Gällivare!$B$6:$B$36,0),FALSE)&amp;CHAR(10)&amp;"Local Target: "&amp;HLOOKUP(RIGHT(AS$3,LEN(AS$3)-FIND(".",AS$3,FIND(".",AS$3)+1)),Gällivare!$B$6:$J$36,MATCH($C6,Gällivare!$B$6:$B$36,0),FALSE)))</f>
        <v>Medium</v>
      </c>
      <c r="AT6" s="177" t="str">
        <f>IF(AND(HLOOKUP(MID(AT$3,FIND(".",AT$3)+1,FIND(".",AT$3,FIND(".",AT$3)+1)-FIND(".",AT$3)-1),Gällivare!$B$6:$J$36,MATCH($C6,Gällivare!$B$6:$B$36,0),FALSE)="No Impact",HLOOKUP(RIGHT(AT$3,LEN(AT$3)-FIND(".",AT$3,FIND(".",AT$3)+1)),Gällivare!$B$6:$J$36,MATCH($C6,Gällivare!$B$6:$B$36,0),FALSE)="No Impact"),HLOOKUP(LEFT(AT$3,4),Global!$B$6:$J$36,MATCH($C6,Global!$B$6:$B$36,0),FALSE),IF(AND(HLOOKUP(MID(AT$3,FIND(".",AT$3)+1,FIND(".",AT$3,FIND(".",AT$3)+1)-FIND(".",AT$3)-1),Gällivare!$B$6:$J$36,MATCH($C6,Gällivare!$B$6:$B$36,0),FALSE)="No Impact",HLOOKUP(LEFT(AT$3,4),Global!$B$6:$J$36,MATCH($C6,Global!$B$6:$B$36,0),FALSE)="No Impact"),HLOOKUP(RIGHT(AT$3,LEN(AT$3)-FIND(".",AT$3,FIND(".",AT$3)+1)),Gällivare!$B$6:$J$36,MATCH($C6,Gällivare!$B$6:$B$36,0),FALSE),"Global: "&amp;HLOOKUP(LEFT(AT$3,4),Global!$B$6:$J$36,MATCH($C6,Global!$B$6:$B$36,0),FALSE)&amp;CHAR(10)&amp;"Local Trend: "&amp;HLOOKUP(MID(AT$3,FIND(".",AT$3)+1,FIND(".",AT$3,FIND(".",AT$3)+1)-FIND(".",AT$3)-1),Gällivare!$B$6:$J$36,MATCH($C6,Gällivare!$B$6:$B$36,0),FALSE)&amp;CHAR(10)&amp;"Local Target: "&amp;HLOOKUP(RIGHT(AT$3,LEN(AT$3)-FIND(".",AT$3,FIND(".",AT$3)+1)),Gällivare!$B$6:$J$36,MATCH($C6,Gällivare!$B$6:$B$36,0),FALSE)))</f>
        <v>Medium</v>
      </c>
      <c r="AU6" s="177" t="str">
        <f>IF(AND(HLOOKUP(MID(AU$3,FIND(".",AU$3)+1,FIND(".",AU$3,FIND(".",AU$3)+1)-FIND(".",AU$3)-1),Gällivare!$B$6:$J$36,MATCH($C6,Gällivare!$B$6:$B$36,0),FALSE)="No Impact",HLOOKUP(RIGHT(AU$3,LEN(AU$3)-FIND(".",AU$3,FIND(".",AU$3)+1)),Gällivare!$B$6:$J$36,MATCH($C6,Gällivare!$B$6:$B$36,0),FALSE)="No Impact"),HLOOKUP(LEFT(AU$3,4),Global!$B$6:$J$36,MATCH($C6,Global!$B$6:$B$36,0),FALSE),IF(AND(HLOOKUP(MID(AU$3,FIND(".",AU$3)+1,FIND(".",AU$3,FIND(".",AU$3)+1)-FIND(".",AU$3)-1),Gällivare!$B$6:$J$36,MATCH($C6,Gällivare!$B$6:$B$36,0),FALSE)="No Impact",HLOOKUP(LEFT(AU$3,4),Global!$B$6:$J$36,MATCH($C6,Global!$B$6:$B$36,0),FALSE)="No Impact"),HLOOKUP(RIGHT(AU$3,LEN(AU$3)-FIND(".",AU$3,FIND(".",AU$3)+1)),Gällivare!$B$6:$J$36,MATCH($C6,Gällivare!$B$6:$B$36,0),FALSE),"Global: "&amp;HLOOKUP(LEFT(AU$3,4),Global!$B$6:$J$36,MATCH($C6,Global!$B$6:$B$36,0),FALSE)&amp;CHAR(10)&amp;"Local Trend: "&amp;HLOOKUP(MID(AU$3,FIND(".",AU$3)+1,FIND(".",AU$3,FIND(".",AU$3)+1)-FIND(".",AU$3)-1),Gällivare!$B$6:$J$36,MATCH($C6,Gällivare!$B$6:$B$36,0),FALSE)&amp;CHAR(10)&amp;"Local Target: "&amp;HLOOKUP(RIGHT(AU$3,LEN(AU$3)-FIND(".",AU$3,FIND(".",AU$3)+1)),Gällivare!$B$6:$J$36,MATCH($C6,Gällivare!$B$6:$B$36,0),FALSE)))</f>
        <v>Medium</v>
      </c>
      <c r="AV6" s="177" t="str">
        <f>IF(AND(HLOOKUP(MID(AV$3,FIND(".",AV$3)+1,FIND(".",AV$3,FIND(".",AV$3)+1)-FIND(".",AV$3)-1),Gällivare!$B$6:$J$36,MATCH($C6,Gällivare!$B$6:$B$36,0),FALSE)="No Impact",HLOOKUP(RIGHT(AV$3,LEN(AV$3)-FIND(".",AV$3,FIND(".",AV$3)+1)),Gällivare!$B$6:$J$36,MATCH($C6,Gällivare!$B$6:$B$36,0),FALSE)="No Impact"),HLOOKUP(LEFT(AV$3,4),Global!$B$6:$J$36,MATCH($C6,Global!$B$6:$B$36,0),FALSE),IF(AND(HLOOKUP(MID(AV$3,FIND(".",AV$3)+1,FIND(".",AV$3,FIND(".",AV$3)+1)-FIND(".",AV$3)-1),Gällivare!$B$6:$J$36,MATCH($C6,Gällivare!$B$6:$B$36,0),FALSE)="No Impact",HLOOKUP(LEFT(AV$3,4),Global!$B$6:$J$36,MATCH($C6,Global!$B$6:$B$36,0),FALSE)="No Impact"),HLOOKUP(RIGHT(AV$3,LEN(AV$3)-FIND(".",AV$3,FIND(".",AV$3)+1)),Gällivare!$B$6:$J$36,MATCH($C6,Gällivare!$B$6:$B$36,0),FALSE),"Global: "&amp;HLOOKUP(LEFT(AV$3,4),Global!$B$6:$J$36,MATCH($C6,Global!$B$6:$B$36,0),FALSE)&amp;CHAR(10)&amp;"Local Trend: "&amp;HLOOKUP(MID(AV$3,FIND(".",AV$3)+1,FIND(".",AV$3,FIND(".",AV$3)+1)-FIND(".",AV$3)-1),Gällivare!$B$6:$J$36,MATCH($C6,Gällivare!$B$6:$B$36,0),FALSE)&amp;CHAR(10)&amp;"Local Target: "&amp;HLOOKUP(RIGHT(AV$3,LEN(AV$3)-FIND(".",AV$3,FIND(".",AV$3)+1)),Gällivare!$B$6:$J$36,MATCH($C6,Gällivare!$B$6:$B$36,0),FALSE)))</f>
        <v>Medium</v>
      </c>
      <c r="AW6" s="177" t="str">
        <f>IF(AND(HLOOKUP(MID(AW$3,FIND(".",AW$3)+1,FIND(".",AW$3,FIND(".",AW$3)+1)-FIND(".",AW$3)-1),Gällivare!$B$6:$J$36,MATCH($C6,Gällivare!$B$6:$B$36,0),FALSE)="No Impact",HLOOKUP(RIGHT(AW$3,LEN(AW$3)-FIND(".",AW$3,FIND(".",AW$3)+1)),Gällivare!$B$6:$J$36,MATCH($C6,Gällivare!$B$6:$B$36,0),FALSE)="No Impact"),HLOOKUP(LEFT(AW$3,4),Global!$B$6:$J$36,MATCH($C6,Global!$B$6:$B$36,0),FALSE),IF(AND(HLOOKUP(MID(AW$3,FIND(".",AW$3)+1,FIND(".",AW$3,FIND(".",AW$3)+1)-FIND(".",AW$3)-1),Gällivare!$B$6:$J$36,MATCH($C6,Gällivare!$B$6:$B$36,0),FALSE)="No Impact",HLOOKUP(LEFT(AW$3,4),Global!$B$6:$J$36,MATCH($C6,Global!$B$6:$B$36,0),FALSE)="No Impact"),HLOOKUP(RIGHT(AW$3,LEN(AW$3)-FIND(".",AW$3,FIND(".",AW$3)+1)),Gällivare!$B$6:$J$36,MATCH($C6,Gällivare!$B$6:$B$36,0),FALSE),"Global: "&amp;HLOOKUP(LEFT(AW$3,4),Global!$B$6:$J$36,MATCH($C6,Global!$B$6:$B$36,0),FALSE)&amp;CHAR(10)&amp;"Local Trend: "&amp;HLOOKUP(MID(AW$3,FIND(".",AW$3)+1,FIND(".",AW$3,FIND(".",AW$3)+1)-FIND(".",AW$3)-1),Gällivare!$B$6:$J$36,MATCH($C6,Gällivare!$B$6:$B$36,0),FALSE)&amp;CHAR(10)&amp;"Local Target: "&amp;HLOOKUP(RIGHT(AW$3,LEN(AW$3)-FIND(".",AW$3,FIND(".",AW$3)+1)),Gällivare!$B$6:$J$36,MATCH($C6,Gällivare!$B$6:$B$36,0),FALSE)))</f>
        <v>Medium</v>
      </c>
      <c r="AX6" s="177" t="str">
        <f>IF(AND(HLOOKUP(MID(AX$3,FIND(".",AX$3)+1,FIND(".",AX$3,FIND(".",AX$3)+1)-FIND(".",AX$3)-1),Gällivare!$B$6:$J$36,MATCH($C6,Gällivare!$B$6:$B$36,0),FALSE)="No Impact",HLOOKUP(RIGHT(AX$3,LEN(AX$3)-FIND(".",AX$3,FIND(".",AX$3)+1)),Gällivare!$B$6:$J$36,MATCH($C6,Gällivare!$B$6:$B$36,0),FALSE)="No Impact"),HLOOKUP(LEFT(AX$3,4),Global!$B$6:$J$36,MATCH($C6,Global!$B$6:$B$36,0),FALSE),IF(AND(HLOOKUP(MID(AX$3,FIND(".",AX$3)+1,FIND(".",AX$3,FIND(".",AX$3)+1)-FIND(".",AX$3)-1),Gällivare!$B$6:$J$36,MATCH($C6,Gällivare!$B$6:$B$36,0),FALSE)="No Impact",HLOOKUP(LEFT(AX$3,4),Global!$B$6:$J$36,MATCH($C6,Global!$B$6:$B$36,0),FALSE)="No Impact"),HLOOKUP(RIGHT(AX$3,LEN(AX$3)-FIND(".",AX$3,FIND(".",AX$3)+1)),Gällivare!$B$6:$J$36,MATCH($C6,Gällivare!$B$6:$B$36,0),FALSE),"Global: "&amp;HLOOKUP(LEFT(AX$3,4),Global!$B$6:$J$36,MATCH($C6,Global!$B$6:$B$36,0),FALSE)&amp;CHAR(10)&amp;"Local Trend: "&amp;HLOOKUP(MID(AX$3,FIND(".",AX$3)+1,FIND(".",AX$3,FIND(".",AX$3)+1)-FIND(".",AX$3)-1),Gällivare!$B$6:$J$36,MATCH($C6,Gällivare!$B$6:$B$36,0),FALSE)&amp;CHAR(10)&amp;"Local Target: "&amp;HLOOKUP(RIGHT(AX$3,LEN(AX$3)-FIND(".",AX$3,FIND(".",AX$3)+1)),Gällivare!$B$6:$J$36,MATCH($C6,Gällivare!$B$6:$B$36,0),FALSE)))</f>
        <v>Medium</v>
      </c>
      <c r="AY6" s="177" t="str">
        <f>IF(AND(HLOOKUP(MID(AY$3,FIND(".",AY$3)+1,FIND(".",AY$3,FIND(".",AY$3)+1)-FIND(".",AY$3)-1),Gällivare!$B$6:$J$36,MATCH($C6,Gällivare!$B$6:$B$36,0),FALSE)="No Impact",HLOOKUP(RIGHT(AY$3,LEN(AY$3)-FIND(".",AY$3,FIND(".",AY$3)+1)),Gällivare!$B$6:$J$36,MATCH($C6,Gällivare!$B$6:$B$36,0),FALSE)="No Impact"),HLOOKUP(LEFT(AY$3,4),Global!$B$6:$J$36,MATCH($C6,Global!$B$6:$B$36,0),FALSE),IF(AND(HLOOKUP(MID(AY$3,FIND(".",AY$3)+1,FIND(".",AY$3,FIND(".",AY$3)+1)-FIND(".",AY$3)-1),Gällivare!$B$6:$J$36,MATCH($C6,Gällivare!$B$6:$B$36,0),FALSE)="No Impact",HLOOKUP(LEFT(AY$3,4),Global!$B$6:$J$36,MATCH($C6,Global!$B$6:$B$36,0),FALSE)="No Impact"),HLOOKUP(RIGHT(AY$3,LEN(AY$3)-FIND(".",AY$3,FIND(".",AY$3)+1)),Gällivare!$B$6:$J$36,MATCH($C6,Gällivare!$B$6:$B$36,0),FALSE),"Global: "&amp;HLOOKUP(LEFT(AY$3,4),Global!$B$6:$J$36,MATCH($C6,Global!$B$6:$B$36,0),FALSE)&amp;CHAR(10)&amp;"Local Trend: "&amp;HLOOKUP(MID(AY$3,FIND(".",AY$3)+1,FIND(".",AY$3,FIND(".",AY$3)+1)-FIND(".",AY$3)-1),Gällivare!$B$6:$J$36,MATCH($C6,Gällivare!$B$6:$B$36,0),FALSE)&amp;CHAR(10)&amp;"Local Target: "&amp;HLOOKUP(RIGHT(AY$3,LEN(AY$3)-FIND(".",AY$3,FIND(".",AY$3)+1)),Gällivare!$B$6:$J$36,MATCH($C6,Gällivare!$B$6:$B$36,0),FALSE)))</f>
        <v>High</v>
      </c>
      <c r="AZ6" s="177" t="str">
        <f>IF(AND(HLOOKUP(MID(AZ$3,FIND(".",AZ$3)+1,FIND(".",AZ$3,FIND(".",AZ$3)+1)-FIND(".",AZ$3)-1),Gällivare!$B$6:$J$36,MATCH($C6,Gällivare!$B$6:$B$36,0),FALSE)="No Impact",HLOOKUP(RIGHT(AZ$3,LEN(AZ$3)-FIND(".",AZ$3,FIND(".",AZ$3)+1)),Gällivare!$B$6:$J$36,MATCH($C6,Gällivare!$B$6:$B$36,0),FALSE)="No Impact"),HLOOKUP(LEFT(AZ$3,4),Global!$B$6:$J$36,MATCH($C6,Global!$B$6:$B$36,0),FALSE),IF(AND(HLOOKUP(MID(AZ$3,FIND(".",AZ$3)+1,FIND(".",AZ$3,FIND(".",AZ$3)+1)-FIND(".",AZ$3)-1),Gällivare!$B$6:$J$36,MATCH($C6,Gällivare!$B$6:$B$36,0),FALSE)="No Impact",HLOOKUP(LEFT(AZ$3,4),Global!$B$6:$J$36,MATCH($C6,Global!$B$6:$B$36,0),FALSE)="No Impact"),HLOOKUP(RIGHT(AZ$3,LEN(AZ$3)-FIND(".",AZ$3,FIND(".",AZ$3)+1)),Gällivare!$B$6:$J$36,MATCH($C6,Gällivare!$B$6:$B$36,0),FALSE),"Global: "&amp;HLOOKUP(LEFT(AZ$3,4),Global!$B$6:$J$36,MATCH($C6,Global!$B$6:$B$36,0),FALSE)&amp;CHAR(10)&amp;"Local Trend: "&amp;HLOOKUP(MID(AZ$3,FIND(".",AZ$3)+1,FIND(".",AZ$3,FIND(".",AZ$3)+1)-FIND(".",AZ$3)-1),Gällivare!$B$6:$J$36,MATCH($C6,Gällivare!$B$6:$B$36,0),FALSE)&amp;CHAR(10)&amp;"Local Target: "&amp;HLOOKUP(RIGHT(AZ$3,LEN(AZ$3)-FIND(".",AZ$3,FIND(".",AZ$3)+1)),Gällivare!$B$6:$J$36,MATCH($C6,Gällivare!$B$6:$B$36,0),FALSE)))</f>
        <v>High</v>
      </c>
      <c r="BA6" s="177" t="str">
        <f>IF(AND(HLOOKUP(MID(BA$3,FIND(".",BA$3)+1,FIND(".",BA$3,FIND(".",BA$3)+1)-FIND(".",BA$3)-1),Gällivare!$B$6:$J$36,MATCH($C6,Gällivare!$B$6:$B$36,0),FALSE)="No Impact",HLOOKUP(RIGHT(BA$3,LEN(BA$3)-FIND(".",BA$3,FIND(".",BA$3)+1)),Gällivare!$B$6:$J$36,MATCH($C6,Gällivare!$B$6:$B$36,0),FALSE)="No Impact"),HLOOKUP(LEFT(BA$3,4),Global!$B$6:$J$36,MATCH($C6,Global!$B$6:$B$36,0),FALSE),IF(AND(HLOOKUP(MID(BA$3,FIND(".",BA$3)+1,FIND(".",BA$3,FIND(".",BA$3)+1)-FIND(".",BA$3)-1),Gällivare!$B$6:$J$36,MATCH($C6,Gällivare!$B$6:$B$36,0),FALSE)="No Impact",HLOOKUP(LEFT(BA$3,4),Global!$B$6:$J$36,MATCH($C6,Global!$B$6:$B$36,0),FALSE)="No Impact"),HLOOKUP(RIGHT(BA$3,LEN(BA$3)-FIND(".",BA$3,FIND(".",BA$3)+1)),Gällivare!$B$6:$J$36,MATCH($C6,Gällivare!$B$6:$B$36,0),FALSE),"Global: "&amp;HLOOKUP(LEFT(BA$3,4),Global!$B$6:$J$36,MATCH($C6,Global!$B$6:$B$36,0),FALSE)&amp;CHAR(10)&amp;"Local Trend: "&amp;HLOOKUP(MID(BA$3,FIND(".",BA$3)+1,FIND(".",BA$3,FIND(".",BA$3)+1)-FIND(".",BA$3)-1),Gällivare!$B$6:$J$36,MATCH($C6,Gällivare!$B$6:$B$36,0),FALSE)&amp;CHAR(10)&amp;"Local Target: "&amp;HLOOKUP(RIGHT(BA$3,LEN(BA$3)-FIND(".",BA$3,FIND(".",BA$3)+1)),Gällivare!$B$6:$J$36,MATCH($C6,Gällivare!$B$6:$B$36,0),FALSE)))</f>
        <v>High</v>
      </c>
      <c r="BB6" s="177" t="str">
        <f>IF(AND(HLOOKUP(MID(BB$3,FIND(".",BB$3)+1,FIND(".",BB$3,FIND(".",BB$3)+1)-FIND(".",BB$3)-1),Gällivare!$B$6:$J$36,MATCH($C6,Gällivare!$B$6:$B$36,0),FALSE)="No Impact",HLOOKUP(RIGHT(BB$3,LEN(BB$3)-FIND(".",BB$3,FIND(".",BB$3)+1)),Gällivare!$B$6:$J$36,MATCH($C6,Gällivare!$B$6:$B$36,0),FALSE)="No Impact"),HLOOKUP(LEFT(BB$3,4),Global!$B$6:$J$36,MATCH($C6,Global!$B$6:$B$36,0),FALSE),IF(AND(HLOOKUP(MID(BB$3,FIND(".",BB$3)+1,FIND(".",BB$3,FIND(".",BB$3)+1)-FIND(".",BB$3)-1),Gällivare!$B$6:$J$36,MATCH($C6,Gällivare!$B$6:$B$36,0),FALSE)="No Impact",HLOOKUP(LEFT(BB$3,4),Global!$B$6:$J$36,MATCH($C6,Global!$B$6:$B$36,0),FALSE)="No Impact"),HLOOKUP(RIGHT(BB$3,LEN(BB$3)-FIND(".",BB$3,FIND(".",BB$3)+1)),Gällivare!$B$6:$J$36,MATCH($C6,Gällivare!$B$6:$B$36,0),FALSE),"Global: "&amp;HLOOKUP(LEFT(BB$3,4),Global!$B$6:$J$36,MATCH($C6,Global!$B$6:$B$36,0),FALSE)&amp;CHAR(10)&amp;"Local Trend: "&amp;HLOOKUP(MID(BB$3,FIND(".",BB$3)+1,FIND(".",BB$3,FIND(".",BB$3)+1)-FIND(".",BB$3)-1),Gällivare!$B$6:$J$36,MATCH($C6,Gällivare!$B$6:$B$36,0),FALSE)&amp;CHAR(10)&amp;"Local Target: "&amp;HLOOKUP(RIGHT(BB$3,LEN(BB$3)-FIND(".",BB$3,FIND(".",BB$3)+1)),Gällivare!$B$6:$J$36,MATCH($C6,Gällivare!$B$6:$B$36,0),FALSE)))</f>
        <v>High</v>
      </c>
      <c r="BC6" s="177" t="str">
        <f>IF(AND(HLOOKUP(MID(BC$3,FIND(".",BC$3)+1,FIND(".",BC$3,FIND(".",BC$3)+1)-FIND(".",BC$3)-1),Gällivare!$B$6:$J$36,MATCH($C6,Gällivare!$B$6:$B$36,0),FALSE)="No Impact",HLOOKUP(RIGHT(BC$3,LEN(BC$3)-FIND(".",BC$3,FIND(".",BC$3)+1)),Gällivare!$B$6:$J$36,MATCH($C6,Gällivare!$B$6:$B$36,0),FALSE)="No Impact"),HLOOKUP(LEFT(BC$3,4),Global!$B$6:$J$36,MATCH($C6,Global!$B$6:$B$36,0),FALSE),IF(AND(HLOOKUP(MID(BC$3,FIND(".",BC$3)+1,FIND(".",BC$3,FIND(".",BC$3)+1)-FIND(".",BC$3)-1),Gällivare!$B$6:$J$36,MATCH($C6,Gällivare!$B$6:$B$36,0),FALSE)="No Impact",HLOOKUP(LEFT(BC$3,4),Global!$B$6:$J$36,MATCH($C6,Global!$B$6:$B$36,0),FALSE)="No Impact"),HLOOKUP(RIGHT(BC$3,LEN(BC$3)-FIND(".",BC$3,FIND(".",BC$3)+1)),Gällivare!$B$6:$J$36,MATCH($C6,Gällivare!$B$6:$B$36,0),FALSE),"Global: "&amp;HLOOKUP(LEFT(BC$3,4),Global!$B$6:$J$36,MATCH($C6,Global!$B$6:$B$36,0),FALSE)&amp;CHAR(10)&amp;"Local Trend: "&amp;HLOOKUP(MID(BC$3,FIND(".",BC$3)+1,FIND(".",BC$3,FIND(".",BC$3)+1)-FIND(".",BC$3)-1),Gällivare!$B$6:$J$36,MATCH($C6,Gällivare!$B$6:$B$36,0),FALSE)&amp;CHAR(10)&amp;"Local Target: "&amp;HLOOKUP(RIGHT(BC$3,LEN(BC$3)-FIND(".",BC$3,FIND(".",BC$3)+1)),Gällivare!$B$6:$J$36,MATCH($C6,Gällivare!$B$6:$B$36,0),FALSE)))</f>
        <v>High</v>
      </c>
      <c r="BD6" s="177" t="str">
        <f>IF(AND(HLOOKUP(MID(BD$3,FIND(".",BD$3)+1,FIND(".",BD$3,FIND(".",BD$3)+1)-FIND(".",BD$3)-1),Gällivare!$B$6:$J$36,MATCH($C6,Gällivare!$B$6:$B$36,0),FALSE)="No Impact",HLOOKUP(RIGHT(BD$3,LEN(BD$3)-FIND(".",BD$3,FIND(".",BD$3)+1)),Gällivare!$B$6:$J$36,MATCH($C6,Gällivare!$B$6:$B$36,0),FALSE)="No Impact"),HLOOKUP(LEFT(BD$3,4),Global!$B$6:$J$36,MATCH($C6,Global!$B$6:$B$36,0),FALSE),IF(AND(HLOOKUP(MID(BD$3,FIND(".",BD$3)+1,FIND(".",BD$3,FIND(".",BD$3)+1)-FIND(".",BD$3)-1),Gällivare!$B$6:$J$36,MATCH($C6,Gällivare!$B$6:$B$36,0),FALSE)="No Impact",HLOOKUP(LEFT(BD$3,4),Global!$B$6:$J$36,MATCH($C6,Global!$B$6:$B$36,0),FALSE)="No Impact"),HLOOKUP(RIGHT(BD$3,LEN(BD$3)-FIND(".",BD$3,FIND(".",BD$3)+1)),Gällivare!$B$6:$J$36,MATCH($C6,Gällivare!$B$6:$B$36,0),FALSE),"Global: "&amp;HLOOKUP(LEFT(BD$3,4),Global!$B$6:$J$36,MATCH($C6,Global!$B$6:$B$36,0),FALSE)&amp;CHAR(10)&amp;"Local Trend: "&amp;HLOOKUP(MID(BD$3,FIND(".",BD$3)+1,FIND(".",BD$3,FIND(".",BD$3)+1)-FIND(".",BD$3)-1),Gällivare!$B$6:$J$36,MATCH($C6,Gällivare!$B$6:$B$36,0),FALSE)&amp;CHAR(10)&amp;"Local Target: "&amp;HLOOKUP(RIGHT(BD$3,LEN(BD$3)-FIND(".",BD$3,FIND(".",BD$3)+1)),Gällivare!$B$6:$J$36,MATCH($C6,Gällivare!$B$6:$B$36,0),FALSE)))</f>
        <v>High</v>
      </c>
      <c r="BE6" s="177" t="str">
        <f>IF(AND(HLOOKUP(MID(BE$3,FIND(".",BE$3)+1,FIND(".",BE$3,FIND(".",BE$3)+1)-FIND(".",BE$3)-1),Gällivare!$B$6:$J$36,MATCH($C6,Gällivare!$B$6:$B$36,0),FALSE)="No Impact",HLOOKUP(RIGHT(BE$3,LEN(BE$3)-FIND(".",BE$3,FIND(".",BE$3)+1)),Gällivare!$B$6:$J$36,MATCH($C6,Gällivare!$B$6:$B$36,0),FALSE)="No Impact"),HLOOKUP(LEFT(BE$3,4),Global!$B$6:$J$36,MATCH($C6,Global!$B$6:$B$36,0),FALSE),IF(AND(HLOOKUP(MID(BE$3,FIND(".",BE$3)+1,FIND(".",BE$3,FIND(".",BE$3)+1)-FIND(".",BE$3)-1),Gällivare!$B$6:$J$36,MATCH($C6,Gällivare!$B$6:$B$36,0),FALSE)="No Impact",HLOOKUP(LEFT(BE$3,4),Global!$B$6:$J$36,MATCH($C6,Global!$B$6:$B$36,0),FALSE)="No Impact"),HLOOKUP(RIGHT(BE$3,LEN(BE$3)-FIND(".",BE$3,FIND(".",BE$3)+1)),Gällivare!$B$6:$J$36,MATCH($C6,Gällivare!$B$6:$B$36,0),FALSE),"Global: "&amp;HLOOKUP(LEFT(BE$3,4),Global!$B$6:$J$36,MATCH($C6,Global!$B$6:$B$36,0),FALSE)&amp;CHAR(10)&amp;"Local Trend: "&amp;HLOOKUP(MID(BE$3,FIND(".",BE$3)+1,FIND(".",BE$3,FIND(".",BE$3)+1)-FIND(".",BE$3)-1),Gällivare!$B$6:$J$36,MATCH($C6,Gällivare!$B$6:$B$36,0),FALSE)&amp;CHAR(10)&amp;"Local Target: "&amp;HLOOKUP(RIGHT(BE$3,LEN(BE$3)-FIND(".",BE$3,FIND(".",BE$3)+1)),Gällivare!$B$6:$J$36,MATCH($C6,Gällivare!$B$6:$B$36,0),FALSE)))</f>
        <v>Medium</v>
      </c>
      <c r="BF6" s="177" t="str">
        <f>IF(AND(HLOOKUP(MID(BF$3,FIND(".",BF$3)+1,FIND(".",BF$3,FIND(".",BF$3)+1)-FIND(".",BF$3)-1),Gällivare!$B$6:$J$36,MATCH($C6,Gällivare!$B$6:$B$36,0),FALSE)="No Impact",HLOOKUP(RIGHT(BF$3,LEN(BF$3)-FIND(".",BF$3,FIND(".",BF$3)+1)),Gällivare!$B$6:$J$36,MATCH($C6,Gällivare!$B$6:$B$36,0),FALSE)="No Impact"),HLOOKUP(LEFT(BF$3,4),Global!$B$6:$J$36,MATCH($C6,Global!$B$6:$B$36,0),FALSE),IF(AND(HLOOKUP(MID(BF$3,FIND(".",BF$3)+1,FIND(".",BF$3,FIND(".",BF$3)+1)-FIND(".",BF$3)-1),Gällivare!$B$6:$J$36,MATCH($C6,Gällivare!$B$6:$B$36,0),FALSE)="No Impact",HLOOKUP(LEFT(BF$3,4),Global!$B$6:$J$36,MATCH($C6,Global!$B$6:$B$36,0),FALSE)="No Impact"),HLOOKUP(RIGHT(BF$3,LEN(BF$3)-FIND(".",BF$3,FIND(".",BF$3)+1)),Gällivare!$B$6:$J$36,MATCH($C6,Gällivare!$B$6:$B$36,0),FALSE),"Global: "&amp;HLOOKUP(LEFT(BF$3,4),Global!$B$6:$J$36,MATCH($C6,Global!$B$6:$B$36,0),FALSE)&amp;CHAR(10)&amp;"Local Trend: "&amp;HLOOKUP(MID(BF$3,FIND(".",BF$3)+1,FIND(".",BF$3,FIND(".",BF$3)+1)-FIND(".",BF$3)-1),Gällivare!$B$6:$J$36,MATCH($C6,Gällivare!$B$6:$B$36,0),FALSE)&amp;CHAR(10)&amp;"Local Target: "&amp;HLOOKUP(RIGHT(BF$3,LEN(BF$3)-FIND(".",BF$3,FIND(".",BF$3)+1)),Gällivare!$B$6:$J$36,MATCH($C6,Gällivare!$B$6:$B$36,0),FALSE)))</f>
        <v>Medium</v>
      </c>
      <c r="BG6" s="177" t="str">
        <f>IF(AND(HLOOKUP(MID(BG$3,FIND(".",BG$3)+1,FIND(".",BG$3,FIND(".",BG$3)+1)-FIND(".",BG$3)-1),Gällivare!$B$6:$J$36,MATCH($C6,Gällivare!$B$6:$B$36,0),FALSE)="No Impact",HLOOKUP(RIGHT(BG$3,LEN(BG$3)-FIND(".",BG$3,FIND(".",BG$3)+1)),Gällivare!$B$6:$J$36,MATCH($C6,Gällivare!$B$6:$B$36,0),FALSE)="No Impact"),HLOOKUP(LEFT(BG$3,4),Global!$B$6:$J$36,MATCH($C6,Global!$B$6:$B$36,0),FALSE),IF(AND(HLOOKUP(MID(BG$3,FIND(".",BG$3)+1,FIND(".",BG$3,FIND(".",BG$3)+1)-FIND(".",BG$3)-1),Gällivare!$B$6:$J$36,MATCH($C6,Gällivare!$B$6:$B$36,0),FALSE)="No Impact",HLOOKUP(LEFT(BG$3,4),Global!$B$6:$J$36,MATCH($C6,Global!$B$6:$B$36,0),FALSE)="No Impact"),HLOOKUP(RIGHT(BG$3,LEN(BG$3)-FIND(".",BG$3,FIND(".",BG$3)+1)),Gällivare!$B$6:$J$36,MATCH($C6,Gällivare!$B$6:$B$36,0),FALSE),"Global: "&amp;HLOOKUP(LEFT(BG$3,4),Global!$B$6:$J$36,MATCH($C6,Global!$B$6:$B$36,0),FALSE)&amp;CHAR(10)&amp;"Local Trend: "&amp;HLOOKUP(MID(BG$3,FIND(".",BG$3)+1,FIND(".",BG$3,FIND(".",BG$3)+1)-FIND(".",BG$3)-1),Gällivare!$B$6:$J$36,MATCH($C6,Gällivare!$B$6:$B$36,0),FALSE)&amp;CHAR(10)&amp;"Local Target: "&amp;HLOOKUP(RIGHT(BG$3,LEN(BG$3)-FIND(".",BG$3,FIND(".",BG$3)+1)),Gällivare!$B$6:$J$36,MATCH($C6,Gällivare!$B$6:$B$36,0),FALSE)))</f>
        <v>Medium</v>
      </c>
      <c r="BH6" s="177" t="str">
        <f>IF(AND(HLOOKUP(MID(BH$3,FIND(".",BH$3)+1,FIND(".",BH$3,FIND(".",BH$3)+1)-FIND(".",BH$3)-1),Gällivare!$B$6:$J$36,MATCH($C6,Gällivare!$B$6:$B$36,0),FALSE)="No Impact",HLOOKUP(RIGHT(BH$3,LEN(BH$3)-FIND(".",BH$3,FIND(".",BH$3)+1)),Gällivare!$B$6:$J$36,MATCH($C6,Gällivare!$B$6:$B$36,0),FALSE)="No Impact"),HLOOKUP(LEFT(BH$3,4),Global!$B$6:$J$36,MATCH($C6,Global!$B$6:$B$36,0),FALSE),IF(AND(HLOOKUP(MID(BH$3,FIND(".",BH$3)+1,FIND(".",BH$3,FIND(".",BH$3)+1)-FIND(".",BH$3)-1),Gällivare!$B$6:$J$36,MATCH($C6,Gällivare!$B$6:$B$36,0),FALSE)="No Impact",HLOOKUP(LEFT(BH$3,4),Global!$B$6:$J$36,MATCH($C6,Global!$B$6:$B$36,0),FALSE)="No Impact"),HLOOKUP(RIGHT(BH$3,LEN(BH$3)-FIND(".",BH$3,FIND(".",BH$3)+1)),Gällivare!$B$6:$J$36,MATCH($C6,Gällivare!$B$6:$B$36,0),FALSE),"Global: "&amp;HLOOKUP(LEFT(BH$3,4),Global!$B$6:$J$36,MATCH($C6,Global!$B$6:$B$36,0),FALSE)&amp;CHAR(10)&amp;"Local Trend: "&amp;HLOOKUP(MID(BH$3,FIND(".",BH$3)+1,FIND(".",BH$3,FIND(".",BH$3)+1)-FIND(".",BH$3)-1),Gällivare!$B$6:$J$36,MATCH($C6,Gällivare!$B$6:$B$36,0),FALSE)&amp;CHAR(10)&amp;"Local Target: "&amp;HLOOKUP(RIGHT(BH$3,LEN(BH$3)-FIND(".",BH$3,FIND(".",BH$3)+1)),Gällivare!$B$6:$J$36,MATCH($C6,Gällivare!$B$6:$B$36,0),FALSE)))</f>
        <v>Medium</v>
      </c>
      <c r="BI6" s="177" t="str">
        <f>IF(AND(HLOOKUP(MID(BI$3,FIND(".",BI$3)+1,FIND(".",BI$3,FIND(".",BI$3)+1)-FIND(".",BI$3)-1),Gällivare!$B$6:$J$36,MATCH($C6,Gällivare!$B$6:$B$36,0),FALSE)="No Impact",HLOOKUP(RIGHT(BI$3,LEN(BI$3)-FIND(".",BI$3,FIND(".",BI$3)+1)),Gällivare!$B$6:$J$36,MATCH($C6,Gällivare!$B$6:$B$36,0),FALSE)="No Impact"),HLOOKUP(LEFT(BI$3,4),Global!$B$6:$J$36,MATCH($C6,Global!$B$6:$B$36,0),FALSE),IF(AND(HLOOKUP(MID(BI$3,FIND(".",BI$3)+1,FIND(".",BI$3,FIND(".",BI$3)+1)-FIND(".",BI$3)-1),Gällivare!$B$6:$J$36,MATCH($C6,Gällivare!$B$6:$B$36,0),FALSE)="No Impact",HLOOKUP(LEFT(BI$3,4),Global!$B$6:$J$36,MATCH($C6,Global!$B$6:$B$36,0),FALSE)="No Impact"),HLOOKUP(RIGHT(BI$3,LEN(BI$3)-FIND(".",BI$3,FIND(".",BI$3)+1)),Gällivare!$B$6:$J$36,MATCH($C6,Gällivare!$B$6:$B$36,0),FALSE),"Global: "&amp;HLOOKUP(LEFT(BI$3,4),Global!$B$6:$J$36,MATCH($C6,Global!$B$6:$B$36,0),FALSE)&amp;CHAR(10)&amp;"Local Trend: "&amp;HLOOKUP(MID(BI$3,FIND(".",BI$3)+1,FIND(".",BI$3,FIND(".",BI$3)+1)-FIND(".",BI$3)-1),Gällivare!$B$6:$J$36,MATCH($C6,Gällivare!$B$6:$B$36,0),FALSE)&amp;CHAR(10)&amp;"Local Target: "&amp;HLOOKUP(RIGHT(BI$3,LEN(BI$3)-FIND(".",BI$3,FIND(".",BI$3)+1)),Gällivare!$B$6:$J$36,MATCH($C6,Gällivare!$B$6:$B$36,0),FALSE)))</f>
        <v>Medium</v>
      </c>
      <c r="BJ6" s="177" t="str">
        <f>IF(AND(HLOOKUP(MID(BJ$3,FIND(".",BJ$3)+1,FIND(".",BJ$3,FIND(".",BJ$3)+1)-FIND(".",BJ$3)-1),Gällivare!$B$6:$J$36,MATCH($C6,Gällivare!$B$6:$B$36,0),FALSE)="No Impact",HLOOKUP(RIGHT(BJ$3,LEN(BJ$3)-FIND(".",BJ$3,FIND(".",BJ$3)+1)),Gällivare!$B$6:$J$36,MATCH($C6,Gällivare!$B$6:$B$36,0),FALSE)="No Impact"),HLOOKUP(LEFT(BJ$3,4),Global!$B$6:$J$36,MATCH($C6,Global!$B$6:$B$36,0),FALSE),IF(AND(HLOOKUP(MID(BJ$3,FIND(".",BJ$3)+1,FIND(".",BJ$3,FIND(".",BJ$3)+1)-FIND(".",BJ$3)-1),Gällivare!$B$6:$J$36,MATCH($C6,Gällivare!$B$6:$B$36,0),FALSE)="No Impact",HLOOKUP(LEFT(BJ$3,4),Global!$B$6:$J$36,MATCH($C6,Global!$B$6:$B$36,0),FALSE)="No Impact"),HLOOKUP(RIGHT(BJ$3,LEN(BJ$3)-FIND(".",BJ$3,FIND(".",BJ$3)+1)),Gällivare!$B$6:$J$36,MATCH($C6,Gällivare!$B$6:$B$36,0),FALSE),"Global: "&amp;HLOOKUP(LEFT(BJ$3,4),Global!$B$6:$J$36,MATCH($C6,Global!$B$6:$B$36,0),FALSE)&amp;CHAR(10)&amp;"Local Trend: "&amp;HLOOKUP(MID(BJ$3,FIND(".",BJ$3)+1,FIND(".",BJ$3,FIND(".",BJ$3)+1)-FIND(".",BJ$3)-1),Gällivare!$B$6:$J$36,MATCH($C6,Gällivare!$B$6:$B$36,0),FALSE)&amp;CHAR(10)&amp;"Local Target: "&amp;HLOOKUP(RIGHT(BJ$3,LEN(BJ$3)-FIND(".",BJ$3,FIND(".",BJ$3)+1)),Gällivare!$B$6:$J$36,MATCH($C6,Gällivare!$B$6:$B$36,0),FALSE)))</f>
        <v>Medium</v>
      </c>
      <c r="BK6" s="177" t="str">
        <f>IF(AND(HLOOKUP(MID(BK$3,FIND(".",BK$3)+1,FIND(".",BK$3,FIND(".",BK$3)+1)-FIND(".",BK$3)-1),Gällivare!$B$6:$J$36,MATCH($C6,Gällivare!$B$6:$B$36,0),FALSE)="No Impact",HLOOKUP(RIGHT(BK$3,LEN(BK$3)-FIND(".",BK$3,FIND(".",BK$3)+1)),Gällivare!$B$6:$J$36,MATCH($C6,Gällivare!$B$6:$B$36,0),FALSE)="No Impact"),HLOOKUP(LEFT(BK$3,4),Global!$B$6:$J$36,MATCH($C6,Global!$B$6:$B$36,0),FALSE),IF(AND(HLOOKUP(MID(BK$3,FIND(".",BK$3)+1,FIND(".",BK$3,FIND(".",BK$3)+1)-FIND(".",BK$3)-1),Gällivare!$B$6:$J$36,MATCH($C6,Gällivare!$B$6:$B$36,0),FALSE)="No Impact",HLOOKUP(LEFT(BK$3,4),Global!$B$6:$J$36,MATCH($C6,Global!$B$6:$B$36,0),FALSE)="No Impact"),HLOOKUP(RIGHT(BK$3,LEN(BK$3)-FIND(".",BK$3,FIND(".",BK$3)+1)),Gällivare!$B$6:$J$36,MATCH($C6,Gällivare!$B$6:$B$36,0),FALSE),"Global: "&amp;HLOOKUP(LEFT(BK$3,4),Global!$B$6:$J$36,MATCH($C6,Global!$B$6:$B$36,0),FALSE)&amp;CHAR(10)&amp;"Local Trend: "&amp;HLOOKUP(MID(BK$3,FIND(".",BK$3)+1,FIND(".",BK$3,FIND(".",BK$3)+1)-FIND(".",BK$3)-1),Gällivare!$B$6:$J$36,MATCH($C6,Gällivare!$B$6:$B$36,0),FALSE)&amp;CHAR(10)&amp;"Local Target: "&amp;HLOOKUP(RIGHT(BK$3,LEN(BK$3)-FIND(".",BK$3,FIND(".",BK$3)+1)),Gällivare!$B$6:$J$36,MATCH($C6,Gällivare!$B$6:$B$36,0),FALSE)))</f>
        <v>High</v>
      </c>
      <c r="BL6" s="177" t="str">
        <f>IF(AND(HLOOKUP(MID(BL$3,FIND(".",BL$3)+1,FIND(".",BL$3,FIND(".",BL$3)+1)-FIND(".",BL$3)-1),Gällivare!$B$6:$J$36,MATCH($C6,Gällivare!$B$6:$B$36,0),FALSE)="No Impact",HLOOKUP(RIGHT(BL$3,LEN(BL$3)-FIND(".",BL$3,FIND(".",BL$3)+1)),Gällivare!$B$6:$J$36,MATCH($C6,Gällivare!$B$6:$B$36,0),FALSE)="No Impact"),HLOOKUP(LEFT(BL$3,4),Global!$B$6:$J$36,MATCH($C6,Global!$B$6:$B$36,0),FALSE),IF(AND(HLOOKUP(MID(BL$3,FIND(".",BL$3)+1,FIND(".",BL$3,FIND(".",BL$3)+1)-FIND(".",BL$3)-1),Gällivare!$B$6:$J$36,MATCH($C6,Gällivare!$B$6:$B$36,0),FALSE)="No Impact",HLOOKUP(LEFT(BL$3,4),Global!$B$6:$J$36,MATCH($C6,Global!$B$6:$B$36,0),FALSE)="No Impact"),HLOOKUP(RIGHT(BL$3,LEN(BL$3)-FIND(".",BL$3,FIND(".",BL$3)+1)),Gällivare!$B$6:$J$36,MATCH($C6,Gällivare!$B$6:$B$36,0),FALSE),"Global: "&amp;HLOOKUP(LEFT(BL$3,4),Global!$B$6:$J$36,MATCH($C6,Global!$B$6:$B$36,0),FALSE)&amp;CHAR(10)&amp;"Local Trend: "&amp;HLOOKUP(MID(BL$3,FIND(".",BL$3)+1,FIND(".",BL$3,FIND(".",BL$3)+1)-FIND(".",BL$3)-1),Gällivare!$B$6:$J$36,MATCH($C6,Gällivare!$B$6:$B$36,0),FALSE)&amp;CHAR(10)&amp;"Local Target: "&amp;HLOOKUP(RIGHT(BL$3,LEN(BL$3)-FIND(".",BL$3,FIND(".",BL$3)+1)),Gällivare!$B$6:$J$36,MATCH($C6,Gällivare!$B$6:$B$36,0),FALSE)))</f>
        <v>High</v>
      </c>
      <c r="BM6" s="177" t="str">
        <f>IF(AND(HLOOKUP(MID(BM$3,FIND(".",BM$3)+1,FIND(".",BM$3,FIND(".",BM$3)+1)-FIND(".",BM$3)-1),Gällivare!$B$6:$J$36,MATCH($C6,Gällivare!$B$6:$B$36,0),FALSE)="No Impact",HLOOKUP(RIGHT(BM$3,LEN(BM$3)-FIND(".",BM$3,FIND(".",BM$3)+1)),Gällivare!$B$6:$J$36,MATCH($C6,Gällivare!$B$6:$B$36,0),FALSE)="No Impact"),HLOOKUP(LEFT(BM$3,4),Global!$B$6:$J$36,MATCH($C6,Global!$B$6:$B$36,0),FALSE),IF(AND(HLOOKUP(MID(BM$3,FIND(".",BM$3)+1,FIND(".",BM$3,FIND(".",BM$3)+1)-FIND(".",BM$3)-1),Gällivare!$B$6:$J$36,MATCH($C6,Gällivare!$B$6:$B$36,0),FALSE)="No Impact",HLOOKUP(LEFT(BM$3,4),Global!$B$6:$J$36,MATCH($C6,Global!$B$6:$B$36,0),FALSE)="No Impact"),HLOOKUP(RIGHT(BM$3,LEN(BM$3)-FIND(".",BM$3,FIND(".",BM$3)+1)),Gällivare!$B$6:$J$36,MATCH($C6,Gällivare!$B$6:$B$36,0),FALSE),"Global: "&amp;HLOOKUP(LEFT(BM$3,4),Global!$B$6:$J$36,MATCH($C6,Global!$B$6:$B$36,0),FALSE)&amp;CHAR(10)&amp;"Local Trend: "&amp;HLOOKUP(MID(BM$3,FIND(".",BM$3)+1,FIND(".",BM$3,FIND(".",BM$3)+1)-FIND(".",BM$3)-1),Gällivare!$B$6:$J$36,MATCH($C6,Gällivare!$B$6:$B$36,0),FALSE)&amp;CHAR(10)&amp;"Local Target: "&amp;HLOOKUP(RIGHT(BM$3,LEN(BM$3)-FIND(".",BM$3,FIND(".",BM$3)+1)),Gällivare!$B$6:$J$36,MATCH($C6,Gällivare!$B$6:$B$36,0),FALSE)))</f>
        <v>High</v>
      </c>
      <c r="BN6" s="177" t="str">
        <f>IF(AND(HLOOKUP(MID(BN$3,FIND(".",BN$3)+1,FIND(".",BN$3,FIND(".",BN$3)+1)-FIND(".",BN$3)-1),Gällivare!$B$6:$J$36,MATCH($C6,Gällivare!$B$6:$B$36,0),FALSE)="No Impact",HLOOKUP(RIGHT(BN$3,LEN(BN$3)-FIND(".",BN$3,FIND(".",BN$3)+1)),Gällivare!$B$6:$J$36,MATCH($C6,Gällivare!$B$6:$B$36,0),FALSE)="No Impact"),HLOOKUP(LEFT(BN$3,4),Global!$B$6:$J$36,MATCH($C6,Global!$B$6:$B$36,0),FALSE),IF(AND(HLOOKUP(MID(BN$3,FIND(".",BN$3)+1,FIND(".",BN$3,FIND(".",BN$3)+1)-FIND(".",BN$3)-1),Gällivare!$B$6:$J$36,MATCH($C6,Gällivare!$B$6:$B$36,0),FALSE)="No Impact",HLOOKUP(LEFT(BN$3,4),Global!$B$6:$J$36,MATCH($C6,Global!$B$6:$B$36,0),FALSE)="No Impact"),HLOOKUP(RIGHT(BN$3,LEN(BN$3)-FIND(".",BN$3,FIND(".",BN$3)+1)),Gällivare!$B$6:$J$36,MATCH($C6,Gällivare!$B$6:$B$36,0),FALSE),"Global: "&amp;HLOOKUP(LEFT(BN$3,4),Global!$B$6:$J$36,MATCH($C6,Global!$B$6:$B$36,0),FALSE)&amp;CHAR(10)&amp;"Local Trend: "&amp;HLOOKUP(MID(BN$3,FIND(".",BN$3)+1,FIND(".",BN$3,FIND(".",BN$3)+1)-FIND(".",BN$3)-1),Gällivare!$B$6:$J$36,MATCH($C6,Gällivare!$B$6:$B$36,0),FALSE)&amp;CHAR(10)&amp;"Local Target: "&amp;HLOOKUP(RIGHT(BN$3,LEN(BN$3)-FIND(".",BN$3,FIND(".",BN$3)+1)),Gällivare!$B$6:$J$36,MATCH($C6,Gällivare!$B$6:$B$36,0),FALSE)))</f>
        <v>High</v>
      </c>
      <c r="BO6" s="177" t="str">
        <f>IF(AND(HLOOKUP(MID(BO$3,FIND(".",BO$3)+1,FIND(".",BO$3,FIND(".",BO$3)+1)-FIND(".",BO$3)-1),Gällivare!$B$6:$J$36,MATCH($C6,Gällivare!$B$6:$B$36,0),FALSE)="No Impact",HLOOKUP(RIGHT(BO$3,LEN(BO$3)-FIND(".",BO$3,FIND(".",BO$3)+1)),Gällivare!$B$6:$J$36,MATCH($C6,Gällivare!$B$6:$B$36,0),FALSE)="No Impact"),HLOOKUP(LEFT(BO$3,4),Global!$B$6:$J$36,MATCH($C6,Global!$B$6:$B$36,0),FALSE),IF(AND(HLOOKUP(MID(BO$3,FIND(".",BO$3)+1,FIND(".",BO$3,FIND(".",BO$3)+1)-FIND(".",BO$3)-1),Gällivare!$B$6:$J$36,MATCH($C6,Gällivare!$B$6:$B$36,0),FALSE)="No Impact",HLOOKUP(LEFT(BO$3,4),Global!$B$6:$J$36,MATCH($C6,Global!$B$6:$B$36,0),FALSE)="No Impact"),HLOOKUP(RIGHT(BO$3,LEN(BO$3)-FIND(".",BO$3,FIND(".",BO$3)+1)),Gällivare!$B$6:$J$36,MATCH($C6,Gällivare!$B$6:$B$36,0),FALSE),"Global: "&amp;HLOOKUP(LEFT(BO$3,4),Global!$B$6:$J$36,MATCH($C6,Global!$B$6:$B$36,0),FALSE)&amp;CHAR(10)&amp;"Local Trend: "&amp;HLOOKUP(MID(BO$3,FIND(".",BO$3)+1,FIND(".",BO$3,FIND(".",BO$3)+1)-FIND(".",BO$3)-1),Gällivare!$B$6:$J$36,MATCH($C6,Gällivare!$B$6:$B$36,0),FALSE)&amp;CHAR(10)&amp;"Local Target: "&amp;HLOOKUP(RIGHT(BO$3,LEN(BO$3)-FIND(".",BO$3,FIND(".",BO$3)+1)),Gällivare!$B$6:$J$36,MATCH($C6,Gällivare!$B$6:$B$36,0),FALSE)))</f>
        <v>High</v>
      </c>
      <c r="BP6" s="177" t="str">
        <f>IF(AND(HLOOKUP(MID(BP$3,FIND(".",BP$3)+1,FIND(".",BP$3,FIND(".",BP$3)+1)-FIND(".",BP$3)-1),Gällivare!$B$6:$J$36,MATCH($C6,Gällivare!$B$6:$B$36,0),FALSE)="No Impact",HLOOKUP(RIGHT(BP$3,LEN(BP$3)-FIND(".",BP$3,FIND(".",BP$3)+1)),Gällivare!$B$6:$J$36,MATCH($C6,Gällivare!$B$6:$B$36,0),FALSE)="No Impact"),HLOOKUP(LEFT(BP$3,4),Global!$B$6:$J$36,MATCH($C6,Global!$B$6:$B$36,0),FALSE),IF(AND(HLOOKUP(MID(BP$3,FIND(".",BP$3)+1,FIND(".",BP$3,FIND(".",BP$3)+1)-FIND(".",BP$3)-1),Gällivare!$B$6:$J$36,MATCH($C6,Gällivare!$B$6:$B$36,0),FALSE)="No Impact",HLOOKUP(LEFT(BP$3,4),Global!$B$6:$J$36,MATCH($C6,Global!$B$6:$B$36,0),FALSE)="No Impact"),HLOOKUP(RIGHT(BP$3,LEN(BP$3)-FIND(".",BP$3,FIND(".",BP$3)+1)),Gällivare!$B$6:$J$36,MATCH($C6,Gällivare!$B$6:$B$36,0),FALSE),"Global: "&amp;HLOOKUP(LEFT(BP$3,4),Global!$B$6:$J$36,MATCH($C6,Global!$B$6:$B$36,0),FALSE)&amp;CHAR(10)&amp;"Local Trend: "&amp;HLOOKUP(MID(BP$3,FIND(".",BP$3)+1,FIND(".",BP$3,FIND(".",BP$3)+1)-FIND(".",BP$3)-1),Gällivare!$B$6:$J$36,MATCH($C6,Gällivare!$B$6:$B$36,0),FALSE)&amp;CHAR(10)&amp;"Local Target: "&amp;HLOOKUP(RIGHT(BP$3,LEN(BP$3)-FIND(".",BP$3,FIND(".",BP$3)+1)),Gällivare!$B$6:$J$36,MATCH($C6,Gällivare!$B$6:$B$36,0),FALSE)))</f>
        <v>High</v>
      </c>
      <c r="BS6" s="175"/>
      <c r="BT6" s="178"/>
      <c r="BU6" s="178"/>
      <c r="BV6" s="178"/>
      <c r="BW6" s="178"/>
      <c r="BX6" s="178"/>
      <c r="BY6" s="178"/>
      <c r="BZ6" s="178"/>
      <c r="CA6" s="178"/>
    </row>
    <row r="7" spans="2:82" x14ac:dyDescent="0.3">
      <c r="B7" s="243"/>
      <c r="C7" s="175" t="s">
        <v>74</v>
      </c>
      <c r="D7" s="175" t="s">
        <v>168</v>
      </c>
      <c r="E7" s="175" t="s">
        <v>169</v>
      </c>
      <c r="F7" s="176" t="s">
        <v>165</v>
      </c>
      <c r="G7" s="176"/>
      <c r="H7" s="175" t="str">
        <f t="shared" si="1"/>
        <v>Low</v>
      </c>
      <c r="I7" s="175" t="str">
        <f t="shared" si="0"/>
        <v>Low</v>
      </c>
      <c r="J7" s="175" t="str">
        <f t="shared" si="0"/>
        <v>Low</v>
      </c>
      <c r="K7" s="175" t="str">
        <f t="shared" si="0"/>
        <v>Low</v>
      </c>
      <c r="L7" s="175" t="str">
        <f t="shared" si="0"/>
        <v>Low</v>
      </c>
      <c r="M7" s="175" t="str">
        <f t="shared" si="0"/>
        <v>Low</v>
      </c>
      <c r="N7" s="175" t="str">
        <f t="shared" si="0"/>
        <v>Medium</v>
      </c>
      <c r="O7" s="175" t="str">
        <f t="shared" si="0"/>
        <v>Medium</v>
      </c>
      <c r="P7" s="175" t="str">
        <f t="shared" si="0"/>
        <v>Medium</v>
      </c>
      <c r="Q7" s="175" t="str">
        <f t="shared" si="0"/>
        <v>Medium</v>
      </c>
      <c r="R7" s="175" t="str">
        <f t="shared" si="0"/>
        <v>Medium</v>
      </c>
      <c r="S7" s="175" t="str">
        <f t="shared" si="0"/>
        <v>Medium</v>
      </c>
      <c r="T7" s="175" t="str">
        <f t="shared" si="0"/>
        <v>High</v>
      </c>
      <c r="U7" s="175" t="str">
        <f t="shared" si="0"/>
        <v>High</v>
      </c>
      <c r="V7" s="175" t="str">
        <f t="shared" si="0"/>
        <v>High</v>
      </c>
      <c r="W7" s="175" t="str">
        <f t="shared" si="0"/>
        <v>High</v>
      </c>
      <c r="X7" s="175" t="str">
        <f t="shared" si="0"/>
        <v>High</v>
      </c>
      <c r="Y7" s="175" t="str">
        <f t="shared" si="0"/>
        <v>High</v>
      </c>
      <c r="Z7" s="175" t="str">
        <f t="shared" si="0"/>
        <v>Medium</v>
      </c>
      <c r="AA7" s="175" t="str">
        <f t="shared" si="0"/>
        <v>Medium</v>
      </c>
      <c r="AB7" s="175" t="str">
        <f t="shared" si="0"/>
        <v>Medium</v>
      </c>
      <c r="AC7" s="175" t="str">
        <f t="shared" si="0"/>
        <v>Medium</v>
      </c>
      <c r="AD7" s="175" t="str">
        <f t="shared" si="0"/>
        <v>Medium</v>
      </c>
      <c r="AE7" s="175" t="str">
        <f t="shared" si="0"/>
        <v>Medium</v>
      </c>
      <c r="AF7" s="175" t="str">
        <f t="shared" si="0"/>
        <v>High</v>
      </c>
      <c r="AG7" s="175" t="str">
        <f t="shared" si="0"/>
        <v>High</v>
      </c>
      <c r="AH7" s="175" t="str">
        <f t="shared" si="0"/>
        <v>High</v>
      </c>
      <c r="AI7" s="175" t="str">
        <f t="shared" si="0"/>
        <v>High</v>
      </c>
      <c r="AJ7" s="175" t="str">
        <f t="shared" si="0"/>
        <v>High</v>
      </c>
      <c r="AK7" s="175" t="str">
        <f t="shared" si="0"/>
        <v>High</v>
      </c>
      <c r="AL7" s="176"/>
      <c r="AM7" s="177" t="str">
        <f>IF(AND(HLOOKUP(MID(AM$3,FIND(".",AM$3)+1,FIND(".",AM$3,FIND(".",AM$3)+1)-FIND(".",AM$3)-1),Gällivare!$B$6:$J$36,MATCH($C7,Gällivare!$B$6:$B$36,0),FALSE)="No Impact",HLOOKUP(RIGHT(AM$3,LEN(AM$3)-FIND(".",AM$3,FIND(".",AM$3)+1)),Gällivare!$B$6:$J$36,MATCH($C7,Gällivare!$B$6:$B$36,0),FALSE)="No Impact"),HLOOKUP(LEFT(AM$3,4),Global!$B$6:$J$36,MATCH($C7,Global!$B$6:$B$36,0),FALSE),IF(AND(HLOOKUP(MID(AM$3,FIND(".",AM$3)+1,FIND(".",AM$3,FIND(".",AM$3)+1)-FIND(".",AM$3)-1),Gällivare!$B$6:$J$36,MATCH($C7,Gällivare!$B$6:$B$36,0),FALSE)="No Impact",HLOOKUP(LEFT(AM$3,4),Global!$B$6:$J$36,MATCH($C7,Global!$B$6:$B$36,0),FALSE)="No Impact"),HLOOKUP(RIGHT(AM$3,LEN(AM$3)-FIND(".",AM$3,FIND(".",AM$3)+1)),Gällivare!$B$6:$J$36,MATCH($C7,Gällivare!$B$6:$B$36,0),FALSE),"Global: "&amp;HLOOKUP(LEFT(AM$3,4),Global!$B$6:$J$36,MATCH($C7,Global!$B$6:$B$36,0),FALSE)&amp;CHAR(10)&amp;"Local Trend: "&amp;HLOOKUP(MID(AM$3,FIND(".",AM$3)+1,FIND(".",AM$3,FIND(".",AM$3)+1)-FIND(".",AM$3)-1),Gällivare!$B$6:$J$36,MATCH($C7,Gällivare!$B$6:$B$36,0),FALSE)&amp;CHAR(10)&amp;"Local Target: "&amp;HLOOKUP(RIGHT(AM$3,LEN(AM$3)-FIND(".",AM$3,FIND(".",AM$3)+1)),Gällivare!$B$6:$J$36,MATCH($C7,Gällivare!$B$6:$B$36,0),FALSE)))</f>
        <v>Low</v>
      </c>
      <c r="AN7" s="177" t="str">
        <f>IF(AND(HLOOKUP(MID(AN$3,FIND(".",AN$3)+1,FIND(".",AN$3,FIND(".",AN$3)+1)-FIND(".",AN$3)-1),Gällivare!$B$6:$J$36,MATCH($C7,Gällivare!$B$6:$B$36,0),FALSE)="No Impact",HLOOKUP(RIGHT(AN$3,LEN(AN$3)-FIND(".",AN$3,FIND(".",AN$3)+1)),Gällivare!$B$6:$J$36,MATCH($C7,Gällivare!$B$6:$B$36,0),FALSE)="No Impact"),HLOOKUP(LEFT(AN$3,4),Global!$B$6:$J$36,MATCH($C7,Global!$B$6:$B$36,0),FALSE),IF(AND(HLOOKUP(MID(AN$3,FIND(".",AN$3)+1,FIND(".",AN$3,FIND(".",AN$3)+1)-FIND(".",AN$3)-1),Gällivare!$B$6:$J$36,MATCH($C7,Gällivare!$B$6:$B$36,0),FALSE)="No Impact",HLOOKUP(LEFT(AN$3,4),Global!$B$6:$J$36,MATCH($C7,Global!$B$6:$B$36,0),FALSE)="No Impact"),HLOOKUP(RIGHT(AN$3,LEN(AN$3)-FIND(".",AN$3,FIND(".",AN$3)+1)),Gällivare!$B$6:$J$36,MATCH($C7,Gällivare!$B$6:$B$36,0),FALSE),"Global: "&amp;HLOOKUP(LEFT(AN$3,4),Global!$B$6:$J$36,MATCH($C7,Global!$B$6:$B$36,0),FALSE)&amp;CHAR(10)&amp;"Local Trend: "&amp;HLOOKUP(MID(AN$3,FIND(".",AN$3)+1,FIND(".",AN$3,FIND(".",AN$3)+1)-FIND(".",AN$3)-1),Gällivare!$B$6:$J$36,MATCH($C7,Gällivare!$B$6:$B$36,0),FALSE)&amp;CHAR(10)&amp;"Local Target: "&amp;HLOOKUP(RIGHT(AN$3,LEN(AN$3)-FIND(".",AN$3,FIND(".",AN$3)+1)),Gällivare!$B$6:$J$36,MATCH($C7,Gällivare!$B$6:$B$36,0),FALSE)))</f>
        <v>Low</v>
      </c>
      <c r="AO7" s="177" t="str">
        <f>IF(AND(HLOOKUP(MID(AO$3,FIND(".",AO$3)+1,FIND(".",AO$3,FIND(".",AO$3)+1)-FIND(".",AO$3)-1),Gällivare!$B$6:$J$36,MATCH($C7,Gällivare!$B$6:$B$36,0),FALSE)="No Impact",HLOOKUP(RIGHT(AO$3,LEN(AO$3)-FIND(".",AO$3,FIND(".",AO$3)+1)),Gällivare!$B$6:$J$36,MATCH($C7,Gällivare!$B$6:$B$36,0),FALSE)="No Impact"),HLOOKUP(LEFT(AO$3,4),Global!$B$6:$J$36,MATCH($C7,Global!$B$6:$B$36,0),FALSE),IF(AND(HLOOKUP(MID(AO$3,FIND(".",AO$3)+1,FIND(".",AO$3,FIND(".",AO$3)+1)-FIND(".",AO$3)-1),Gällivare!$B$6:$J$36,MATCH($C7,Gällivare!$B$6:$B$36,0),FALSE)="No Impact",HLOOKUP(LEFT(AO$3,4),Global!$B$6:$J$36,MATCH($C7,Global!$B$6:$B$36,0),FALSE)="No Impact"),HLOOKUP(RIGHT(AO$3,LEN(AO$3)-FIND(".",AO$3,FIND(".",AO$3)+1)),Gällivare!$B$6:$J$36,MATCH($C7,Gällivare!$B$6:$B$36,0),FALSE),"Global: "&amp;HLOOKUP(LEFT(AO$3,4),Global!$B$6:$J$36,MATCH($C7,Global!$B$6:$B$36,0),FALSE)&amp;CHAR(10)&amp;"Local Trend: "&amp;HLOOKUP(MID(AO$3,FIND(".",AO$3)+1,FIND(".",AO$3,FIND(".",AO$3)+1)-FIND(".",AO$3)-1),Gällivare!$B$6:$J$36,MATCH($C7,Gällivare!$B$6:$B$36,0),FALSE)&amp;CHAR(10)&amp;"Local Target: "&amp;HLOOKUP(RIGHT(AO$3,LEN(AO$3)-FIND(".",AO$3,FIND(".",AO$3)+1)),Gällivare!$B$6:$J$36,MATCH($C7,Gällivare!$B$6:$B$36,0),FALSE)))</f>
        <v>Low</v>
      </c>
      <c r="AP7" s="177" t="str">
        <f>IF(AND(HLOOKUP(MID(AP$3,FIND(".",AP$3)+1,FIND(".",AP$3,FIND(".",AP$3)+1)-FIND(".",AP$3)-1),Gällivare!$B$6:$J$36,MATCH($C7,Gällivare!$B$6:$B$36,0),FALSE)="No Impact",HLOOKUP(RIGHT(AP$3,LEN(AP$3)-FIND(".",AP$3,FIND(".",AP$3)+1)),Gällivare!$B$6:$J$36,MATCH($C7,Gällivare!$B$6:$B$36,0),FALSE)="No Impact"),HLOOKUP(LEFT(AP$3,4),Global!$B$6:$J$36,MATCH($C7,Global!$B$6:$B$36,0),FALSE),IF(AND(HLOOKUP(MID(AP$3,FIND(".",AP$3)+1,FIND(".",AP$3,FIND(".",AP$3)+1)-FIND(".",AP$3)-1),Gällivare!$B$6:$J$36,MATCH($C7,Gällivare!$B$6:$B$36,0),FALSE)="No Impact",HLOOKUP(LEFT(AP$3,4),Global!$B$6:$J$36,MATCH($C7,Global!$B$6:$B$36,0),FALSE)="No Impact"),HLOOKUP(RIGHT(AP$3,LEN(AP$3)-FIND(".",AP$3,FIND(".",AP$3)+1)),Gällivare!$B$6:$J$36,MATCH($C7,Gällivare!$B$6:$B$36,0),FALSE),"Global: "&amp;HLOOKUP(LEFT(AP$3,4),Global!$B$6:$J$36,MATCH($C7,Global!$B$6:$B$36,0),FALSE)&amp;CHAR(10)&amp;"Local Trend: "&amp;HLOOKUP(MID(AP$3,FIND(".",AP$3)+1,FIND(".",AP$3,FIND(".",AP$3)+1)-FIND(".",AP$3)-1),Gällivare!$B$6:$J$36,MATCH($C7,Gällivare!$B$6:$B$36,0),FALSE)&amp;CHAR(10)&amp;"Local Target: "&amp;HLOOKUP(RIGHT(AP$3,LEN(AP$3)-FIND(".",AP$3,FIND(".",AP$3)+1)),Gällivare!$B$6:$J$36,MATCH($C7,Gällivare!$B$6:$B$36,0),FALSE)))</f>
        <v>Low</v>
      </c>
      <c r="AQ7" s="177" t="str">
        <f>IF(AND(HLOOKUP(MID(AQ$3,FIND(".",AQ$3)+1,FIND(".",AQ$3,FIND(".",AQ$3)+1)-FIND(".",AQ$3)-1),Gällivare!$B$6:$J$36,MATCH($C7,Gällivare!$B$6:$B$36,0),FALSE)="No Impact",HLOOKUP(RIGHT(AQ$3,LEN(AQ$3)-FIND(".",AQ$3,FIND(".",AQ$3)+1)),Gällivare!$B$6:$J$36,MATCH($C7,Gällivare!$B$6:$B$36,0),FALSE)="No Impact"),HLOOKUP(LEFT(AQ$3,4),Global!$B$6:$J$36,MATCH($C7,Global!$B$6:$B$36,0),FALSE),IF(AND(HLOOKUP(MID(AQ$3,FIND(".",AQ$3)+1,FIND(".",AQ$3,FIND(".",AQ$3)+1)-FIND(".",AQ$3)-1),Gällivare!$B$6:$J$36,MATCH($C7,Gällivare!$B$6:$B$36,0),FALSE)="No Impact",HLOOKUP(LEFT(AQ$3,4),Global!$B$6:$J$36,MATCH($C7,Global!$B$6:$B$36,0),FALSE)="No Impact"),HLOOKUP(RIGHT(AQ$3,LEN(AQ$3)-FIND(".",AQ$3,FIND(".",AQ$3)+1)),Gällivare!$B$6:$J$36,MATCH($C7,Gällivare!$B$6:$B$36,0),FALSE),"Global: "&amp;HLOOKUP(LEFT(AQ$3,4),Global!$B$6:$J$36,MATCH($C7,Global!$B$6:$B$36,0),FALSE)&amp;CHAR(10)&amp;"Local Trend: "&amp;HLOOKUP(MID(AQ$3,FIND(".",AQ$3)+1,FIND(".",AQ$3,FIND(".",AQ$3)+1)-FIND(".",AQ$3)-1),Gällivare!$B$6:$J$36,MATCH($C7,Gällivare!$B$6:$B$36,0),FALSE)&amp;CHAR(10)&amp;"Local Target: "&amp;HLOOKUP(RIGHT(AQ$3,LEN(AQ$3)-FIND(".",AQ$3,FIND(".",AQ$3)+1)),Gällivare!$B$6:$J$36,MATCH($C7,Gällivare!$B$6:$B$36,0),FALSE)))</f>
        <v>Low</v>
      </c>
      <c r="AR7" s="177" t="str">
        <f>IF(AND(HLOOKUP(MID(AR$3,FIND(".",AR$3)+1,FIND(".",AR$3,FIND(".",AR$3)+1)-FIND(".",AR$3)-1),Gällivare!$B$6:$J$36,MATCH($C7,Gällivare!$B$6:$B$36,0),FALSE)="No Impact",HLOOKUP(RIGHT(AR$3,LEN(AR$3)-FIND(".",AR$3,FIND(".",AR$3)+1)),Gällivare!$B$6:$J$36,MATCH($C7,Gällivare!$B$6:$B$36,0),FALSE)="No Impact"),HLOOKUP(LEFT(AR$3,4),Global!$B$6:$J$36,MATCH($C7,Global!$B$6:$B$36,0),FALSE),IF(AND(HLOOKUP(MID(AR$3,FIND(".",AR$3)+1,FIND(".",AR$3,FIND(".",AR$3)+1)-FIND(".",AR$3)-1),Gällivare!$B$6:$J$36,MATCH($C7,Gällivare!$B$6:$B$36,0),FALSE)="No Impact",HLOOKUP(LEFT(AR$3,4),Global!$B$6:$J$36,MATCH($C7,Global!$B$6:$B$36,0),FALSE)="No Impact"),HLOOKUP(RIGHT(AR$3,LEN(AR$3)-FIND(".",AR$3,FIND(".",AR$3)+1)),Gällivare!$B$6:$J$36,MATCH($C7,Gällivare!$B$6:$B$36,0),FALSE),"Global: "&amp;HLOOKUP(LEFT(AR$3,4),Global!$B$6:$J$36,MATCH($C7,Global!$B$6:$B$36,0),FALSE)&amp;CHAR(10)&amp;"Local Trend: "&amp;HLOOKUP(MID(AR$3,FIND(".",AR$3)+1,FIND(".",AR$3,FIND(".",AR$3)+1)-FIND(".",AR$3)-1),Gällivare!$B$6:$J$36,MATCH($C7,Gällivare!$B$6:$B$36,0),FALSE)&amp;CHAR(10)&amp;"Local Target: "&amp;HLOOKUP(RIGHT(AR$3,LEN(AR$3)-FIND(".",AR$3,FIND(".",AR$3)+1)),Gällivare!$B$6:$J$36,MATCH($C7,Gällivare!$B$6:$B$36,0),FALSE)))</f>
        <v>Low</v>
      </c>
      <c r="AS7" s="177" t="str">
        <f>IF(AND(HLOOKUP(MID(AS$3,FIND(".",AS$3)+1,FIND(".",AS$3,FIND(".",AS$3)+1)-FIND(".",AS$3)-1),Gällivare!$B$6:$J$36,MATCH($C7,Gällivare!$B$6:$B$36,0),FALSE)="No Impact",HLOOKUP(RIGHT(AS$3,LEN(AS$3)-FIND(".",AS$3,FIND(".",AS$3)+1)),Gällivare!$B$6:$J$36,MATCH($C7,Gällivare!$B$6:$B$36,0),FALSE)="No Impact"),HLOOKUP(LEFT(AS$3,4),Global!$B$6:$J$36,MATCH($C7,Global!$B$6:$B$36,0),FALSE),IF(AND(HLOOKUP(MID(AS$3,FIND(".",AS$3)+1,FIND(".",AS$3,FIND(".",AS$3)+1)-FIND(".",AS$3)-1),Gällivare!$B$6:$J$36,MATCH($C7,Gällivare!$B$6:$B$36,0),FALSE)="No Impact",HLOOKUP(LEFT(AS$3,4),Global!$B$6:$J$36,MATCH($C7,Global!$B$6:$B$36,0),FALSE)="No Impact"),HLOOKUP(RIGHT(AS$3,LEN(AS$3)-FIND(".",AS$3,FIND(".",AS$3)+1)),Gällivare!$B$6:$J$36,MATCH($C7,Gällivare!$B$6:$B$36,0),FALSE),"Global: "&amp;HLOOKUP(LEFT(AS$3,4),Global!$B$6:$J$36,MATCH($C7,Global!$B$6:$B$36,0),FALSE)&amp;CHAR(10)&amp;"Local Trend: "&amp;HLOOKUP(MID(AS$3,FIND(".",AS$3)+1,FIND(".",AS$3,FIND(".",AS$3)+1)-FIND(".",AS$3)-1),Gällivare!$B$6:$J$36,MATCH($C7,Gällivare!$B$6:$B$36,0),FALSE)&amp;CHAR(10)&amp;"Local Target: "&amp;HLOOKUP(RIGHT(AS$3,LEN(AS$3)-FIND(".",AS$3,FIND(".",AS$3)+1)),Gällivare!$B$6:$J$36,MATCH($C7,Gällivare!$B$6:$B$36,0),FALSE)))</f>
        <v>Medium</v>
      </c>
      <c r="AT7" s="177" t="str">
        <f>IF(AND(HLOOKUP(MID(AT$3,FIND(".",AT$3)+1,FIND(".",AT$3,FIND(".",AT$3)+1)-FIND(".",AT$3)-1),Gällivare!$B$6:$J$36,MATCH($C7,Gällivare!$B$6:$B$36,0),FALSE)="No Impact",HLOOKUP(RIGHT(AT$3,LEN(AT$3)-FIND(".",AT$3,FIND(".",AT$3)+1)),Gällivare!$B$6:$J$36,MATCH($C7,Gällivare!$B$6:$B$36,0),FALSE)="No Impact"),HLOOKUP(LEFT(AT$3,4),Global!$B$6:$J$36,MATCH($C7,Global!$B$6:$B$36,0),FALSE),IF(AND(HLOOKUP(MID(AT$3,FIND(".",AT$3)+1,FIND(".",AT$3,FIND(".",AT$3)+1)-FIND(".",AT$3)-1),Gällivare!$B$6:$J$36,MATCH($C7,Gällivare!$B$6:$B$36,0),FALSE)="No Impact",HLOOKUP(LEFT(AT$3,4),Global!$B$6:$J$36,MATCH($C7,Global!$B$6:$B$36,0),FALSE)="No Impact"),HLOOKUP(RIGHT(AT$3,LEN(AT$3)-FIND(".",AT$3,FIND(".",AT$3)+1)),Gällivare!$B$6:$J$36,MATCH($C7,Gällivare!$B$6:$B$36,0),FALSE),"Global: "&amp;HLOOKUP(LEFT(AT$3,4),Global!$B$6:$J$36,MATCH($C7,Global!$B$6:$B$36,0),FALSE)&amp;CHAR(10)&amp;"Local Trend: "&amp;HLOOKUP(MID(AT$3,FIND(".",AT$3)+1,FIND(".",AT$3,FIND(".",AT$3)+1)-FIND(".",AT$3)-1),Gällivare!$B$6:$J$36,MATCH($C7,Gällivare!$B$6:$B$36,0),FALSE)&amp;CHAR(10)&amp;"Local Target: "&amp;HLOOKUP(RIGHT(AT$3,LEN(AT$3)-FIND(".",AT$3,FIND(".",AT$3)+1)),Gällivare!$B$6:$J$36,MATCH($C7,Gällivare!$B$6:$B$36,0),FALSE)))</f>
        <v>Medium</v>
      </c>
      <c r="AU7" s="177" t="str">
        <f>IF(AND(HLOOKUP(MID(AU$3,FIND(".",AU$3)+1,FIND(".",AU$3,FIND(".",AU$3)+1)-FIND(".",AU$3)-1),Gällivare!$B$6:$J$36,MATCH($C7,Gällivare!$B$6:$B$36,0),FALSE)="No Impact",HLOOKUP(RIGHT(AU$3,LEN(AU$3)-FIND(".",AU$3,FIND(".",AU$3)+1)),Gällivare!$B$6:$J$36,MATCH($C7,Gällivare!$B$6:$B$36,0),FALSE)="No Impact"),HLOOKUP(LEFT(AU$3,4),Global!$B$6:$J$36,MATCH($C7,Global!$B$6:$B$36,0),FALSE),IF(AND(HLOOKUP(MID(AU$3,FIND(".",AU$3)+1,FIND(".",AU$3,FIND(".",AU$3)+1)-FIND(".",AU$3)-1),Gällivare!$B$6:$J$36,MATCH($C7,Gällivare!$B$6:$B$36,0),FALSE)="No Impact",HLOOKUP(LEFT(AU$3,4),Global!$B$6:$J$36,MATCH($C7,Global!$B$6:$B$36,0),FALSE)="No Impact"),HLOOKUP(RIGHT(AU$3,LEN(AU$3)-FIND(".",AU$3,FIND(".",AU$3)+1)),Gällivare!$B$6:$J$36,MATCH($C7,Gällivare!$B$6:$B$36,0),FALSE),"Global: "&amp;HLOOKUP(LEFT(AU$3,4),Global!$B$6:$J$36,MATCH($C7,Global!$B$6:$B$36,0),FALSE)&amp;CHAR(10)&amp;"Local Trend: "&amp;HLOOKUP(MID(AU$3,FIND(".",AU$3)+1,FIND(".",AU$3,FIND(".",AU$3)+1)-FIND(".",AU$3)-1),Gällivare!$B$6:$J$36,MATCH($C7,Gällivare!$B$6:$B$36,0),FALSE)&amp;CHAR(10)&amp;"Local Target: "&amp;HLOOKUP(RIGHT(AU$3,LEN(AU$3)-FIND(".",AU$3,FIND(".",AU$3)+1)),Gällivare!$B$6:$J$36,MATCH($C7,Gällivare!$B$6:$B$36,0),FALSE)))</f>
        <v>Medium</v>
      </c>
      <c r="AV7" s="177" t="str">
        <f>IF(AND(HLOOKUP(MID(AV$3,FIND(".",AV$3)+1,FIND(".",AV$3,FIND(".",AV$3)+1)-FIND(".",AV$3)-1),Gällivare!$B$6:$J$36,MATCH($C7,Gällivare!$B$6:$B$36,0),FALSE)="No Impact",HLOOKUP(RIGHT(AV$3,LEN(AV$3)-FIND(".",AV$3,FIND(".",AV$3)+1)),Gällivare!$B$6:$J$36,MATCH($C7,Gällivare!$B$6:$B$36,0),FALSE)="No Impact"),HLOOKUP(LEFT(AV$3,4),Global!$B$6:$J$36,MATCH($C7,Global!$B$6:$B$36,0),FALSE),IF(AND(HLOOKUP(MID(AV$3,FIND(".",AV$3)+1,FIND(".",AV$3,FIND(".",AV$3)+1)-FIND(".",AV$3)-1),Gällivare!$B$6:$J$36,MATCH($C7,Gällivare!$B$6:$B$36,0),FALSE)="No Impact",HLOOKUP(LEFT(AV$3,4),Global!$B$6:$J$36,MATCH($C7,Global!$B$6:$B$36,0),FALSE)="No Impact"),HLOOKUP(RIGHT(AV$3,LEN(AV$3)-FIND(".",AV$3,FIND(".",AV$3)+1)),Gällivare!$B$6:$J$36,MATCH($C7,Gällivare!$B$6:$B$36,0),FALSE),"Global: "&amp;HLOOKUP(LEFT(AV$3,4),Global!$B$6:$J$36,MATCH($C7,Global!$B$6:$B$36,0),FALSE)&amp;CHAR(10)&amp;"Local Trend: "&amp;HLOOKUP(MID(AV$3,FIND(".",AV$3)+1,FIND(".",AV$3,FIND(".",AV$3)+1)-FIND(".",AV$3)-1),Gällivare!$B$6:$J$36,MATCH($C7,Gällivare!$B$6:$B$36,0),FALSE)&amp;CHAR(10)&amp;"Local Target: "&amp;HLOOKUP(RIGHT(AV$3,LEN(AV$3)-FIND(".",AV$3,FIND(".",AV$3)+1)),Gällivare!$B$6:$J$36,MATCH($C7,Gällivare!$B$6:$B$36,0),FALSE)))</f>
        <v>Medium</v>
      </c>
      <c r="AW7" s="177" t="str">
        <f>IF(AND(HLOOKUP(MID(AW$3,FIND(".",AW$3)+1,FIND(".",AW$3,FIND(".",AW$3)+1)-FIND(".",AW$3)-1),Gällivare!$B$6:$J$36,MATCH($C7,Gällivare!$B$6:$B$36,0),FALSE)="No Impact",HLOOKUP(RIGHT(AW$3,LEN(AW$3)-FIND(".",AW$3,FIND(".",AW$3)+1)),Gällivare!$B$6:$J$36,MATCH($C7,Gällivare!$B$6:$B$36,0),FALSE)="No Impact"),HLOOKUP(LEFT(AW$3,4),Global!$B$6:$J$36,MATCH($C7,Global!$B$6:$B$36,0),FALSE),IF(AND(HLOOKUP(MID(AW$3,FIND(".",AW$3)+1,FIND(".",AW$3,FIND(".",AW$3)+1)-FIND(".",AW$3)-1),Gällivare!$B$6:$J$36,MATCH($C7,Gällivare!$B$6:$B$36,0),FALSE)="No Impact",HLOOKUP(LEFT(AW$3,4),Global!$B$6:$J$36,MATCH($C7,Global!$B$6:$B$36,0),FALSE)="No Impact"),HLOOKUP(RIGHT(AW$3,LEN(AW$3)-FIND(".",AW$3,FIND(".",AW$3)+1)),Gällivare!$B$6:$J$36,MATCH($C7,Gällivare!$B$6:$B$36,0),FALSE),"Global: "&amp;HLOOKUP(LEFT(AW$3,4),Global!$B$6:$J$36,MATCH($C7,Global!$B$6:$B$36,0),FALSE)&amp;CHAR(10)&amp;"Local Trend: "&amp;HLOOKUP(MID(AW$3,FIND(".",AW$3)+1,FIND(".",AW$3,FIND(".",AW$3)+1)-FIND(".",AW$3)-1),Gällivare!$B$6:$J$36,MATCH($C7,Gällivare!$B$6:$B$36,0),FALSE)&amp;CHAR(10)&amp;"Local Target: "&amp;HLOOKUP(RIGHT(AW$3,LEN(AW$3)-FIND(".",AW$3,FIND(".",AW$3)+1)),Gällivare!$B$6:$J$36,MATCH($C7,Gällivare!$B$6:$B$36,0),FALSE)))</f>
        <v>Medium</v>
      </c>
      <c r="AX7" s="177" t="str">
        <f>IF(AND(HLOOKUP(MID(AX$3,FIND(".",AX$3)+1,FIND(".",AX$3,FIND(".",AX$3)+1)-FIND(".",AX$3)-1),Gällivare!$B$6:$J$36,MATCH($C7,Gällivare!$B$6:$B$36,0),FALSE)="No Impact",HLOOKUP(RIGHT(AX$3,LEN(AX$3)-FIND(".",AX$3,FIND(".",AX$3)+1)),Gällivare!$B$6:$J$36,MATCH($C7,Gällivare!$B$6:$B$36,0),FALSE)="No Impact"),HLOOKUP(LEFT(AX$3,4),Global!$B$6:$J$36,MATCH($C7,Global!$B$6:$B$36,0),FALSE),IF(AND(HLOOKUP(MID(AX$3,FIND(".",AX$3)+1,FIND(".",AX$3,FIND(".",AX$3)+1)-FIND(".",AX$3)-1),Gällivare!$B$6:$J$36,MATCH($C7,Gällivare!$B$6:$B$36,0),FALSE)="No Impact",HLOOKUP(LEFT(AX$3,4),Global!$B$6:$J$36,MATCH($C7,Global!$B$6:$B$36,0),FALSE)="No Impact"),HLOOKUP(RIGHT(AX$3,LEN(AX$3)-FIND(".",AX$3,FIND(".",AX$3)+1)),Gällivare!$B$6:$J$36,MATCH($C7,Gällivare!$B$6:$B$36,0),FALSE),"Global: "&amp;HLOOKUP(LEFT(AX$3,4),Global!$B$6:$J$36,MATCH($C7,Global!$B$6:$B$36,0),FALSE)&amp;CHAR(10)&amp;"Local Trend: "&amp;HLOOKUP(MID(AX$3,FIND(".",AX$3)+1,FIND(".",AX$3,FIND(".",AX$3)+1)-FIND(".",AX$3)-1),Gällivare!$B$6:$J$36,MATCH($C7,Gällivare!$B$6:$B$36,0),FALSE)&amp;CHAR(10)&amp;"Local Target: "&amp;HLOOKUP(RIGHT(AX$3,LEN(AX$3)-FIND(".",AX$3,FIND(".",AX$3)+1)),Gällivare!$B$6:$J$36,MATCH($C7,Gällivare!$B$6:$B$36,0),FALSE)))</f>
        <v>Medium</v>
      </c>
      <c r="AY7" s="177" t="str">
        <f>IF(AND(HLOOKUP(MID(AY$3,FIND(".",AY$3)+1,FIND(".",AY$3,FIND(".",AY$3)+1)-FIND(".",AY$3)-1),Gällivare!$B$6:$J$36,MATCH($C7,Gällivare!$B$6:$B$36,0),FALSE)="No Impact",HLOOKUP(RIGHT(AY$3,LEN(AY$3)-FIND(".",AY$3,FIND(".",AY$3)+1)),Gällivare!$B$6:$J$36,MATCH($C7,Gällivare!$B$6:$B$36,0),FALSE)="No Impact"),HLOOKUP(LEFT(AY$3,4),Global!$B$6:$J$36,MATCH($C7,Global!$B$6:$B$36,0),FALSE),IF(AND(HLOOKUP(MID(AY$3,FIND(".",AY$3)+1,FIND(".",AY$3,FIND(".",AY$3)+1)-FIND(".",AY$3)-1),Gällivare!$B$6:$J$36,MATCH($C7,Gällivare!$B$6:$B$36,0),FALSE)="No Impact",HLOOKUP(LEFT(AY$3,4),Global!$B$6:$J$36,MATCH($C7,Global!$B$6:$B$36,0),FALSE)="No Impact"),HLOOKUP(RIGHT(AY$3,LEN(AY$3)-FIND(".",AY$3,FIND(".",AY$3)+1)),Gällivare!$B$6:$J$36,MATCH($C7,Gällivare!$B$6:$B$36,0),FALSE),"Global: "&amp;HLOOKUP(LEFT(AY$3,4),Global!$B$6:$J$36,MATCH($C7,Global!$B$6:$B$36,0),FALSE)&amp;CHAR(10)&amp;"Local Trend: "&amp;HLOOKUP(MID(AY$3,FIND(".",AY$3)+1,FIND(".",AY$3,FIND(".",AY$3)+1)-FIND(".",AY$3)-1),Gällivare!$B$6:$J$36,MATCH($C7,Gällivare!$B$6:$B$36,0),FALSE)&amp;CHAR(10)&amp;"Local Target: "&amp;HLOOKUP(RIGHT(AY$3,LEN(AY$3)-FIND(".",AY$3,FIND(".",AY$3)+1)),Gällivare!$B$6:$J$36,MATCH($C7,Gällivare!$B$6:$B$36,0),FALSE)))</f>
        <v>High</v>
      </c>
      <c r="AZ7" s="177" t="str">
        <f>IF(AND(HLOOKUP(MID(AZ$3,FIND(".",AZ$3)+1,FIND(".",AZ$3,FIND(".",AZ$3)+1)-FIND(".",AZ$3)-1),Gällivare!$B$6:$J$36,MATCH($C7,Gällivare!$B$6:$B$36,0),FALSE)="No Impact",HLOOKUP(RIGHT(AZ$3,LEN(AZ$3)-FIND(".",AZ$3,FIND(".",AZ$3)+1)),Gällivare!$B$6:$J$36,MATCH($C7,Gällivare!$B$6:$B$36,0),FALSE)="No Impact"),HLOOKUP(LEFT(AZ$3,4),Global!$B$6:$J$36,MATCH($C7,Global!$B$6:$B$36,0),FALSE),IF(AND(HLOOKUP(MID(AZ$3,FIND(".",AZ$3)+1,FIND(".",AZ$3,FIND(".",AZ$3)+1)-FIND(".",AZ$3)-1),Gällivare!$B$6:$J$36,MATCH($C7,Gällivare!$B$6:$B$36,0),FALSE)="No Impact",HLOOKUP(LEFT(AZ$3,4),Global!$B$6:$J$36,MATCH($C7,Global!$B$6:$B$36,0),FALSE)="No Impact"),HLOOKUP(RIGHT(AZ$3,LEN(AZ$3)-FIND(".",AZ$3,FIND(".",AZ$3)+1)),Gällivare!$B$6:$J$36,MATCH($C7,Gällivare!$B$6:$B$36,0),FALSE),"Global: "&amp;HLOOKUP(LEFT(AZ$3,4),Global!$B$6:$J$36,MATCH($C7,Global!$B$6:$B$36,0),FALSE)&amp;CHAR(10)&amp;"Local Trend: "&amp;HLOOKUP(MID(AZ$3,FIND(".",AZ$3)+1,FIND(".",AZ$3,FIND(".",AZ$3)+1)-FIND(".",AZ$3)-1),Gällivare!$B$6:$J$36,MATCH($C7,Gällivare!$B$6:$B$36,0),FALSE)&amp;CHAR(10)&amp;"Local Target: "&amp;HLOOKUP(RIGHT(AZ$3,LEN(AZ$3)-FIND(".",AZ$3,FIND(".",AZ$3)+1)),Gällivare!$B$6:$J$36,MATCH($C7,Gällivare!$B$6:$B$36,0),FALSE)))</f>
        <v>High</v>
      </c>
      <c r="BA7" s="177" t="str">
        <f>IF(AND(HLOOKUP(MID(BA$3,FIND(".",BA$3)+1,FIND(".",BA$3,FIND(".",BA$3)+1)-FIND(".",BA$3)-1),Gällivare!$B$6:$J$36,MATCH($C7,Gällivare!$B$6:$B$36,0),FALSE)="No Impact",HLOOKUP(RIGHT(BA$3,LEN(BA$3)-FIND(".",BA$3,FIND(".",BA$3)+1)),Gällivare!$B$6:$J$36,MATCH($C7,Gällivare!$B$6:$B$36,0),FALSE)="No Impact"),HLOOKUP(LEFT(BA$3,4),Global!$B$6:$J$36,MATCH($C7,Global!$B$6:$B$36,0),FALSE),IF(AND(HLOOKUP(MID(BA$3,FIND(".",BA$3)+1,FIND(".",BA$3,FIND(".",BA$3)+1)-FIND(".",BA$3)-1),Gällivare!$B$6:$J$36,MATCH($C7,Gällivare!$B$6:$B$36,0),FALSE)="No Impact",HLOOKUP(LEFT(BA$3,4),Global!$B$6:$J$36,MATCH($C7,Global!$B$6:$B$36,0),FALSE)="No Impact"),HLOOKUP(RIGHT(BA$3,LEN(BA$3)-FIND(".",BA$3,FIND(".",BA$3)+1)),Gällivare!$B$6:$J$36,MATCH($C7,Gällivare!$B$6:$B$36,0),FALSE),"Global: "&amp;HLOOKUP(LEFT(BA$3,4),Global!$B$6:$J$36,MATCH($C7,Global!$B$6:$B$36,0),FALSE)&amp;CHAR(10)&amp;"Local Trend: "&amp;HLOOKUP(MID(BA$3,FIND(".",BA$3)+1,FIND(".",BA$3,FIND(".",BA$3)+1)-FIND(".",BA$3)-1),Gällivare!$B$6:$J$36,MATCH($C7,Gällivare!$B$6:$B$36,0),FALSE)&amp;CHAR(10)&amp;"Local Target: "&amp;HLOOKUP(RIGHT(BA$3,LEN(BA$3)-FIND(".",BA$3,FIND(".",BA$3)+1)),Gällivare!$B$6:$J$36,MATCH($C7,Gällivare!$B$6:$B$36,0),FALSE)))</f>
        <v>High</v>
      </c>
      <c r="BB7" s="177" t="str">
        <f>IF(AND(HLOOKUP(MID(BB$3,FIND(".",BB$3)+1,FIND(".",BB$3,FIND(".",BB$3)+1)-FIND(".",BB$3)-1),Gällivare!$B$6:$J$36,MATCH($C7,Gällivare!$B$6:$B$36,0),FALSE)="No Impact",HLOOKUP(RIGHT(BB$3,LEN(BB$3)-FIND(".",BB$3,FIND(".",BB$3)+1)),Gällivare!$B$6:$J$36,MATCH($C7,Gällivare!$B$6:$B$36,0),FALSE)="No Impact"),HLOOKUP(LEFT(BB$3,4),Global!$B$6:$J$36,MATCH($C7,Global!$B$6:$B$36,0),FALSE),IF(AND(HLOOKUP(MID(BB$3,FIND(".",BB$3)+1,FIND(".",BB$3,FIND(".",BB$3)+1)-FIND(".",BB$3)-1),Gällivare!$B$6:$J$36,MATCH($C7,Gällivare!$B$6:$B$36,0),FALSE)="No Impact",HLOOKUP(LEFT(BB$3,4),Global!$B$6:$J$36,MATCH($C7,Global!$B$6:$B$36,0),FALSE)="No Impact"),HLOOKUP(RIGHT(BB$3,LEN(BB$3)-FIND(".",BB$3,FIND(".",BB$3)+1)),Gällivare!$B$6:$J$36,MATCH($C7,Gällivare!$B$6:$B$36,0),FALSE),"Global: "&amp;HLOOKUP(LEFT(BB$3,4),Global!$B$6:$J$36,MATCH($C7,Global!$B$6:$B$36,0),FALSE)&amp;CHAR(10)&amp;"Local Trend: "&amp;HLOOKUP(MID(BB$3,FIND(".",BB$3)+1,FIND(".",BB$3,FIND(".",BB$3)+1)-FIND(".",BB$3)-1),Gällivare!$B$6:$J$36,MATCH($C7,Gällivare!$B$6:$B$36,0),FALSE)&amp;CHAR(10)&amp;"Local Target: "&amp;HLOOKUP(RIGHT(BB$3,LEN(BB$3)-FIND(".",BB$3,FIND(".",BB$3)+1)),Gällivare!$B$6:$J$36,MATCH($C7,Gällivare!$B$6:$B$36,0),FALSE)))</f>
        <v>High</v>
      </c>
      <c r="BC7" s="177" t="str">
        <f>IF(AND(HLOOKUP(MID(BC$3,FIND(".",BC$3)+1,FIND(".",BC$3,FIND(".",BC$3)+1)-FIND(".",BC$3)-1),Gällivare!$B$6:$J$36,MATCH($C7,Gällivare!$B$6:$B$36,0),FALSE)="No Impact",HLOOKUP(RIGHT(BC$3,LEN(BC$3)-FIND(".",BC$3,FIND(".",BC$3)+1)),Gällivare!$B$6:$J$36,MATCH($C7,Gällivare!$B$6:$B$36,0),FALSE)="No Impact"),HLOOKUP(LEFT(BC$3,4),Global!$B$6:$J$36,MATCH($C7,Global!$B$6:$B$36,0),FALSE),IF(AND(HLOOKUP(MID(BC$3,FIND(".",BC$3)+1,FIND(".",BC$3,FIND(".",BC$3)+1)-FIND(".",BC$3)-1),Gällivare!$B$6:$J$36,MATCH($C7,Gällivare!$B$6:$B$36,0),FALSE)="No Impact",HLOOKUP(LEFT(BC$3,4),Global!$B$6:$J$36,MATCH($C7,Global!$B$6:$B$36,0),FALSE)="No Impact"),HLOOKUP(RIGHT(BC$3,LEN(BC$3)-FIND(".",BC$3,FIND(".",BC$3)+1)),Gällivare!$B$6:$J$36,MATCH($C7,Gällivare!$B$6:$B$36,0),FALSE),"Global: "&amp;HLOOKUP(LEFT(BC$3,4),Global!$B$6:$J$36,MATCH($C7,Global!$B$6:$B$36,0),FALSE)&amp;CHAR(10)&amp;"Local Trend: "&amp;HLOOKUP(MID(BC$3,FIND(".",BC$3)+1,FIND(".",BC$3,FIND(".",BC$3)+1)-FIND(".",BC$3)-1),Gällivare!$B$6:$J$36,MATCH($C7,Gällivare!$B$6:$B$36,0),FALSE)&amp;CHAR(10)&amp;"Local Target: "&amp;HLOOKUP(RIGHT(BC$3,LEN(BC$3)-FIND(".",BC$3,FIND(".",BC$3)+1)),Gällivare!$B$6:$J$36,MATCH($C7,Gällivare!$B$6:$B$36,0),FALSE)))</f>
        <v>High</v>
      </c>
      <c r="BD7" s="177" t="str">
        <f>IF(AND(HLOOKUP(MID(BD$3,FIND(".",BD$3)+1,FIND(".",BD$3,FIND(".",BD$3)+1)-FIND(".",BD$3)-1),Gällivare!$B$6:$J$36,MATCH($C7,Gällivare!$B$6:$B$36,0),FALSE)="No Impact",HLOOKUP(RIGHT(BD$3,LEN(BD$3)-FIND(".",BD$3,FIND(".",BD$3)+1)),Gällivare!$B$6:$J$36,MATCH($C7,Gällivare!$B$6:$B$36,0),FALSE)="No Impact"),HLOOKUP(LEFT(BD$3,4),Global!$B$6:$J$36,MATCH($C7,Global!$B$6:$B$36,0),FALSE),IF(AND(HLOOKUP(MID(BD$3,FIND(".",BD$3)+1,FIND(".",BD$3,FIND(".",BD$3)+1)-FIND(".",BD$3)-1),Gällivare!$B$6:$J$36,MATCH($C7,Gällivare!$B$6:$B$36,0),FALSE)="No Impact",HLOOKUP(LEFT(BD$3,4),Global!$B$6:$J$36,MATCH($C7,Global!$B$6:$B$36,0),FALSE)="No Impact"),HLOOKUP(RIGHT(BD$3,LEN(BD$3)-FIND(".",BD$3,FIND(".",BD$3)+1)),Gällivare!$B$6:$J$36,MATCH($C7,Gällivare!$B$6:$B$36,0),FALSE),"Global: "&amp;HLOOKUP(LEFT(BD$3,4),Global!$B$6:$J$36,MATCH($C7,Global!$B$6:$B$36,0),FALSE)&amp;CHAR(10)&amp;"Local Trend: "&amp;HLOOKUP(MID(BD$3,FIND(".",BD$3)+1,FIND(".",BD$3,FIND(".",BD$3)+1)-FIND(".",BD$3)-1),Gällivare!$B$6:$J$36,MATCH($C7,Gällivare!$B$6:$B$36,0),FALSE)&amp;CHAR(10)&amp;"Local Target: "&amp;HLOOKUP(RIGHT(BD$3,LEN(BD$3)-FIND(".",BD$3,FIND(".",BD$3)+1)),Gällivare!$B$6:$J$36,MATCH($C7,Gällivare!$B$6:$B$36,0),FALSE)))</f>
        <v>High</v>
      </c>
      <c r="BE7" s="177" t="str">
        <f>IF(AND(HLOOKUP(MID(BE$3,FIND(".",BE$3)+1,FIND(".",BE$3,FIND(".",BE$3)+1)-FIND(".",BE$3)-1),Gällivare!$B$6:$J$36,MATCH($C7,Gällivare!$B$6:$B$36,0),FALSE)="No Impact",HLOOKUP(RIGHT(BE$3,LEN(BE$3)-FIND(".",BE$3,FIND(".",BE$3)+1)),Gällivare!$B$6:$J$36,MATCH($C7,Gällivare!$B$6:$B$36,0),FALSE)="No Impact"),HLOOKUP(LEFT(BE$3,4),Global!$B$6:$J$36,MATCH($C7,Global!$B$6:$B$36,0),FALSE),IF(AND(HLOOKUP(MID(BE$3,FIND(".",BE$3)+1,FIND(".",BE$3,FIND(".",BE$3)+1)-FIND(".",BE$3)-1),Gällivare!$B$6:$J$36,MATCH($C7,Gällivare!$B$6:$B$36,0),FALSE)="No Impact",HLOOKUP(LEFT(BE$3,4),Global!$B$6:$J$36,MATCH($C7,Global!$B$6:$B$36,0),FALSE)="No Impact"),HLOOKUP(RIGHT(BE$3,LEN(BE$3)-FIND(".",BE$3,FIND(".",BE$3)+1)),Gällivare!$B$6:$J$36,MATCH($C7,Gällivare!$B$6:$B$36,0),FALSE),"Global: "&amp;HLOOKUP(LEFT(BE$3,4),Global!$B$6:$J$36,MATCH($C7,Global!$B$6:$B$36,0),FALSE)&amp;CHAR(10)&amp;"Local Trend: "&amp;HLOOKUP(MID(BE$3,FIND(".",BE$3)+1,FIND(".",BE$3,FIND(".",BE$3)+1)-FIND(".",BE$3)-1),Gällivare!$B$6:$J$36,MATCH($C7,Gällivare!$B$6:$B$36,0),FALSE)&amp;CHAR(10)&amp;"Local Target: "&amp;HLOOKUP(RIGHT(BE$3,LEN(BE$3)-FIND(".",BE$3,FIND(".",BE$3)+1)),Gällivare!$B$6:$J$36,MATCH($C7,Gällivare!$B$6:$B$36,0),FALSE)))</f>
        <v>Medium</v>
      </c>
      <c r="BF7" s="177" t="str">
        <f>IF(AND(HLOOKUP(MID(BF$3,FIND(".",BF$3)+1,FIND(".",BF$3,FIND(".",BF$3)+1)-FIND(".",BF$3)-1),Gällivare!$B$6:$J$36,MATCH($C7,Gällivare!$B$6:$B$36,0),FALSE)="No Impact",HLOOKUP(RIGHT(BF$3,LEN(BF$3)-FIND(".",BF$3,FIND(".",BF$3)+1)),Gällivare!$B$6:$J$36,MATCH($C7,Gällivare!$B$6:$B$36,0),FALSE)="No Impact"),HLOOKUP(LEFT(BF$3,4),Global!$B$6:$J$36,MATCH($C7,Global!$B$6:$B$36,0),FALSE),IF(AND(HLOOKUP(MID(BF$3,FIND(".",BF$3)+1,FIND(".",BF$3,FIND(".",BF$3)+1)-FIND(".",BF$3)-1),Gällivare!$B$6:$J$36,MATCH($C7,Gällivare!$B$6:$B$36,0),FALSE)="No Impact",HLOOKUP(LEFT(BF$3,4),Global!$B$6:$J$36,MATCH($C7,Global!$B$6:$B$36,0),FALSE)="No Impact"),HLOOKUP(RIGHT(BF$3,LEN(BF$3)-FIND(".",BF$3,FIND(".",BF$3)+1)),Gällivare!$B$6:$J$36,MATCH($C7,Gällivare!$B$6:$B$36,0),FALSE),"Global: "&amp;HLOOKUP(LEFT(BF$3,4),Global!$B$6:$J$36,MATCH($C7,Global!$B$6:$B$36,0),FALSE)&amp;CHAR(10)&amp;"Local Trend: "&amp;HLOOKUP(MID(BF$3,FIND(".",BF$3)+1,FIND(".",BF$3,FIND(".",BF$3)+1)-FIND(".",BF$3)-1),Gällivare!$B$6:$J$36,MATCH($C7,Gällivare!$B$6:$B$36,0),FALSE)&amp;CHAR(10)&amp;"Local Target: "&amp;HLOOKUP(RIGHT(BF$3,LEN(BF$3)-FIND(".",BF$3,FIND(".",BF$3)+1)),Gällivare!$B$6:$J$36,MATCH($C7,Gällivare!$B$6:$B$36,0),FALSE)))</f>
        <v>Medium</v>
      </c>
      <c r="BG7" s="177" t="str">
        <f>IF(AND(HLOOKUP(MID(BG$3,FIND(".",BG$3)+1,FIND(".",BG$3,FIND(".",BG$3)+1)-FIND(".",BG$3)-1),Gällivare!$B$6:$J$36,MATCH($C7,Gällivare!$B$6:$B$36,0),FALSE)="No Impact",HLOOKUP(RIGHT(BG$3,LEN(BG$3)-FIND(".",BG$3,FIND(".",BG$3)+1)),Gällivare!$B$6:$J$36,MATCH($C7,Gällivare!$B$6:$B$36,0),FALSE)="No Impact"),HLOOKUP(LEFT(BG$3,4),Global!$B$6:$J$36,MATCH($C7,Global!$B$6:$B$36,0),FALSE),IF(AND(HLOOKUP(MID(BG$3,FIND(".",BG$3)+1,FIND(".",BG$3,FIND(".",BG$3)+1)-FIND(".",BG$3)-1),Gällivare!$B$6:$J$36,MATCH($C7,Gällivare!$B$6:$B$36,0),FALSE)="No Impact",HLOOKUP(LEFT(BG$3,4),Global!$B$6:$J$36,MATCH($C7,Global!$B$6:$B$36,0),FALSE)="No Impact"),HLOOKUP(RIGHT(BG$3,LEN(BG$3)-FIND(".",BG$3,FIND(".",BG$3)+1)),Gällivare!$B$6:$J$36,MATCH($C7,Gällivare!$B$6:$B$36,0),FALSE),"Global: "&amp;HLOOKUP(LEFT(BG$3,4),Global!$B$6:$J$36,MATCH($C7,Global!$B$6:$B$36,0),FALSE)&amp;CHAR(10)&amp;"Local Trend: "&amp;HLOOKUP(MID(BG$3,FIND(".",BG$3)+1,FIND(".",BG$3,FIND(".",BG$3)+1)-FIND(".",BG$3)-1),Gällivare!$B$6:$J$36,MATCH($C7,Gällivare!$B$6:$B$36,0),FALSE)&amp;CHAR(10)&amp;"Local Target: "&amp;HLOOKUP(RIGHT(BG$3,LEN(BG$3)-FIND(".",BG$3,FIND(".",BG$3)+1)),Gällivare!$B$6:$J$36,MATCH($C7,Gällivare!$B$6:$B$36,0),FALSE)))</f>
        <v>Medium</v>
      </c>
      <c r="BH7" s="177" t="str">
        <f>IF(AND(HLOOKUP(MID(BH$3,FIND(".",BH$3)+1,FIND(".",BH$3,FIND(".",BH$3)+1)-FIND(".",BH$3)-1),Gällivare!$B$6:$J$36,MATCH($C7,Gällivare!$B$6:$B$36,0),FALSE)="No Impact",HLOOKUP(RIGHT(BH$3,LEN(BH$3)-FIND(".",BH$3,FIND(".",BH$3)+1)),Gällivare!$B$6:$J$36,MATCH($C7,Gällivare!$B$6:$B$36,0),FALSE)="No Impact"),HLOOKUP(LEFT(BH$3,4),Global!$B$6:$J$36,MATCH($C7,Global!$B$6:$B$36,0),FALSE),IF(AND(HLOOKUP(MID(BH$3,FIND(".",BH$3)+1,FIND(".",BH$3,FIND(".",BH$3)+1)-FIND(".",BH$3)-1),Gällivare!$B$6:$J$36,MATCH($C7,Gällivare!$B$6:$B$36,0),FALSE)="No Impact",HLOOKUP(LEFT(BH$3,4),Global!$B$6:$J$36,MATCH($C7,Global!$B$6:$B$36,0),FALSE)="No Impact"),HLOOKUP(RIGHT(BH$3,LEN(BH$3)-FIND(".",BH$3,FIND(".",BH$3)+1)),Gällivare!$B$6:$J$36,MATCH($C7,Gällivare!$B$6:$B$36,0),FALSE),"Global: "&amp;HLOOKUP(LEFT(BH$3,4),Global!$B$6:$J$36,MATCH($C7,Global!$B$6:$B$36,0),FALSE)&amp;CHAR(10)&amp;"Local Trend: "&amp;HLOOKUP(MID(BH$3,FIND(".",BH$3)+1,FIND(".",BH$3,FIND(".",BH$3)+1)-FIND(".",BH$3)-1),Gällivare!$B$6:$J$36,MATCH($C7,Gällivare!$B$6:$B$36,0),FALSE)&amp;CHAR(10)&amp;"Local Target: "&amp;HLOOKUP(RIGHT(BH$3,LEN(BH$3)-FIND(".",BH$3,FIND(".",BH$3)+1)),Gällivare!$B$6:$J$36,MATCH($C7,Gällivare!$B$6:$B$36,0),FALSE)))</f>
        <v>Medium</v>
      </c>
      <c r="BI7" s="177" t="str">
        <f>IF(AND(HLOOKUP(MID(BI$3,FIND(".",BI$3)+1,FIND(".",BI$3,FIND(".",BI$3)+1)-FIND(".",BI$3)-1),Gällivare!$B$6:$J$36,MATCH($C7,Gällivare!$B$6:$B$36,0),FALSE)="No Impact",HLOOKUP(RIGHT(BI$3,LEN(BI$3)-FIND(".",BI$3,FIND(".",BI$3)+1)),Gällivare!$B$6:$J$36,MATCH($C7,Gällivare!$B$6:$B$36,0),FALSE)="No Impact"),HLOOKUP(LEFT(BI$3,4),Global!$B$6:$J$36,MATCH($C7,Global!$B$6:$B$36,0),FALSE),IF(AND(HLOOKUP(MID(BI$3,FIND(".",BI$3)+1,FIND(".",BI$3,FIND(".",BI$3)+1)-FIND(".",BI$3)-1),Gällivare!$B$6:$J$36,MATCH($C7,Gällivare!$B$6:$B$36,0),FALSE)="No Impact",HLOOKUP(LEFT(BI$3,4),Global!$B$6:$J$36,MATCH($C7,Global!$B$6:$B$36,0),FALSE)="No Impact"),HLOOKUP(RIGHT(BI$3,LEN(BI$3)-FIND(".",BI$3,FIND(".",BI$3)+1)),Gällivare!$B$6:$J$36,MATCH($C7,Gällivare!$B$6:$B$36,0),FALSE),"Global: "&amp;HLOOKUP(LEFT(BI$3,4),Global!$B$6:$J$36,MATCH($C7,Global!$B$6:$B$36,0),FALSE)&amp;CHAR(10)&amp;"Local Trend: "&amp;HLOOKUP(MID(BI$3,FIND(".",BI$3)+1,FIND(".",BI$3,FIND(".",BI$3)+1)-FIND(".",BI$3)-1),Gällivare!$B$6:$J$36,MATCH($C7,Gällivare!$B$6:$B$36,0),FALSE)&amp;CHAR(10)&amp;"Local Target: "&amp;HLOOKUP(RIGHT(BI$3,LEN(BI$3)-FIND(".",BI$3,FIND(".",BI$3)+1)),Gällivare!$B$6:$J$36,MATCH($C7,Gällivare!$B$6:$B$36,0),FALSE)))</f>
        <v>Medium</v>
      </c>
      <c r="BJ7" s="177" t="str">
        <f>IF(AND(HLOOKUP(MID(BJ$3,FIND(".",BJ$3)+1,FIND(".",BJ$3,FIND(".",BJ$3)+1)-FIND(".",BJ$3)-1),Gällivare!$B$6:$J$36,MATCH($C7,Gällivare!$B$6:$B$36,0),FALSE)="No Impact",HLOOKUP(RIGHT(BJ$3,LEN(BJ$3)-FIND(".",BJ$3,FIND(".",BJ$3)+1)),Gällivare!$B$6:$J$36,MATCH($C7,Gällivare!$B$6:$B$36,0),FALSE)="No Impact"),HLOOKUP(LEFT(BJ$3,4),Global!$B$6:$J$36,MATCH($C7,Global!$B$6:$B$36,0),FALSE),IF(AND(HLOOKUP(MID(BJ$3,FIND(".",BJ$3)+1,FIND(".",BJ$3,FIND(".",BJ$3)+1)-FIND(".",BJ$3)-1),Gällivare!$B$6:$J$36,MATCH($C7,Gällivare!$B$6:$B$36,0),FALSE)="No Impact",HLOOKUP(LEFT(BJ$3,4),Global!$B$6:$J$36,MATCH($C7,Global!$B$6:$B$36,0),FALSE)="No Impact"),HLOOKUP(RIGHT(BJ$3,LEN(BJ$3)-FIND(".",BJ$3,FIND(".",BJ$3)+1)),Gällivare!$B$6:$J$36,MATCH($C7,Gällivare!$B$6:$B$36,0),FALSE),"Global: "&amp;HLOOKUP(LEFT(BJ$3,4),Global!$B$6:$J$36,MATCH($C7,Global!$B$6:$B$36,0),FALSE)&amp;CHAR(10)&amp;"Local Trend: "&amp;HLOOKUP(MID(BJ$3,FIND(".",BJ$3)+1,FIND(".",BJ$3,FIND(".",BJ$3)+1)-FIND(".",BJ$3)-1),Gällivare!$B$6:$J$36,MATCH($C7,Gällivare!$B$6:$B$36,0),FALSE)&amp;CHAR(10)&amp;"Local Target: "&amp;HLOOKUP(RIGHT(BJ$3,LEN(BJ$3)-FIND(".",BJ$3,FIND(".",BJ$3)+1)),Gällivare!$B$6:$J$36,MATCH($C7,Gällivare!$B$6:$B$36,0),FALSE)))</f>
        <v>Medium</v>
      </c>
      <c r="BK7" s="177" t="str">
        <f>IF(AND(HLOOKUP(MID(BK$3,FIND(".",BK$3)+1,FIND(".",BK$3,FIND(".",BK$3)+1)-FIND(".",BK$3)-1),Gällivare!$B$6:$J$36,MATCH($C7,Gällivare!$B$6:$B$36,0),FALSE)="No Impact",HLOOKUP(RIGHT(BK$3,LEN(BK$3)-FIND(".",BK$3,FIND(".",BK$3)+1)),Gällivare!$B$6:$J$36,MATCH($C7,Gällivare!$B$6:$B$36,0),FALSE)="No Impact"),HLOOKUP(LEFT(BK$3,4),Global!$B$6:$J$36,MATCH($C7,Global!$B$6:$B$36,0),FALSE),IF(AND(HLOOKUP(MID(BK$3,FIND(".",BK$3)+1,FIND(".",BK$3,FIND(".",BK$3)+1)-FIND(".",BK$3)-1),Gällivare!$B$6:$J$36,MATCH($C7,Gällivare!$B$6:$B$36,0),FALSE)="No Impact",HLOOKUP(LEFT(BK$3,4),Global!$B$6:$J$36,MATCH($C7,Global!$B$6:$B$36,0),FALSE)="No Impact"),HLOOKUP(RIGHT(BK$3,LEN(BK$3)-FIND(".",BK$3,FIND(".",BK$3)+1)),Gällivare!$B$6:$J$36,MATCH($C7,Gällivare!$B$6:$B$36,0),FALSE),"Global: "&amp;HLOOKUP(LEFT(BK$3,4),Global!$B$6:$J$36,MATCH($C7,Global!$B$6:$B$36,0),FALSE)&amp;CHAR(10)&amp;"Local Trend: "&amp;HLOOKUP(MID(BK$3,FIND(".",BK$3)+1,FIND(".",BK$3,FIND(".",BK$3)+1)-FIND(".",BK$3)-1),Gällivare!$B$6:$J$36,MATCH($C7,Gällivare!$B$6:$B$36,0),FALSE)&amp;CHAR(10)&amp;"Local Target: "&amp;HLOOKUP(RIGHT(BK$3,LEN(BK$3)-FIND(".",BK$3,FIND(".",BK$3)+1)),Gällivare!$B$6:$J$36,MATCH($C7,Gällivare!$B$6:$B$36,0),FALSE)))</f>
        <v>High</v>
      </c>
      <c r="BL7" s="177" t="str">
        <f>IF(AND(HLOOKUP(MID(BL$3,FIND(".",BL$3)+1,FIND(".",BL$3,FIND(".",BL$3)+1)-FIND(".",BL$3)-1),Gällivare!$B$6:$J$36,MATCH($C7,Gällivare!$B$6:$B$36,0),FALSE)="No Impact",HLOOKUP(RIGHT(BL$3,LEN(BL$3)-FIND(".",BL$3,FIND(".",BL$3)+1)),Gällivare!$B$6:$J$36,MATCH($C7,Gällivare!$B$6:$B$36,0),FALSE)="No Impact"),HLOOKUP(LEFT(BL$3,4),Global!$B$6:$J$36,MATCH($C7,Global!$B$6:$B$36,0),FALSE),IF(AND(HLOOKUP(MID(BL$3,FIND(".",BL$3)+1,FIND(".",BL$3,FIND(".",BL$3)+1)-FIND(".",BL$3)-1),Gällivare!$B$6:$J$36,MATCH($C7,Gällivare!$B$6:$B$36,0),FALSE)="No Impact",HLOOKUP(LEFT(BL$3,4),Global!$B$6:$J$36,MATCH($C7,Global!$B$6:$B$36,0),FALSE)="No Impact"),HLOOKUP(RIGHT(BL$3,LEN(BL$3)-FIND(".",BL$3,FIND(".",BL$3)+1)),Gällivare!$B$6:$J$36,MATCH($C7,Gällivare!$B$6:$B$36,0),FALSE),"Global: "&amp;HLOOKUP(LEFT(BL$3,4),Global!$B$6:$J$36,MATCH($C7,Global!$B$6:$B$36,0),FALSE)&amp;CHAR(10)&amp;"Local Trend: "&amp;HLOOKUP(MID(BL$3,FIND(".",BL$3)+1,FIND(".",BL$3,FIND(".",BL$3)+1)-FIND(".",BL$3)-1),Gällivare!$B$6:$J$36,MATCH($C7,Gällivare!$B$6:$B$36,0),FALSE)&amp;CHAR(10)&amp;"Local Target: "&amp;HLOOKUP(RIGHT(BL$3,LEN(BL$3)-FIND(".",BL$3,FIND(".",BL$3)+1)),Gällivare!$B$6:$J$36,MATCH($C7,Gällivare!$B$6:$B$36,0),FALSE)))</f>
        <v>High</v>
      </c>
      <c r="BM7" s="177" t="str">
        <f>IF(AND(HLOOKUP(MID(BM$3,FIND(".",BM$3)+1,FIND(".",BM$3,FIND(".",BM$3)+1)-FIND(".",BM$3)-1),Gällivare!$B$6:$J$36,MATCH($C7,Gällivare!$B$6:$B$36,0),FALSE)="No Impact",HLOOKUP(RIGHT(BM$3,LEN(BM$3)-FIND(".",BM$3,FIND(".",BM$3)+1)),Gällivare!$B$6:$J$36,MATCH($C7,Gällivare!$B$6:$B$36,0),FALSE)="No Impact"),HLOOKUP(LEFT(BM$3,4),Global!$B$6:$J$36,MATCH($C7,Global!$B$6:$B$36,0),FALSE),IF(AND(HLOOKUP(MID(BM$3,FIND(".",BM$3)+1,FIND(".",BM$3,FIND(".",BM$3)+1)-FIND(".",BM$3)-1),Gällivare!$B$6:$J$36,MATCH($C7,Gällivare!$B$6:$B$36,0),FALSE)="No Impact",HLOOKUP(LEFT(BM$3,4),Global!$B$6:$J$36,MATCH($C7,Global!$B$6:$B$36,0),FALSE)="No Impact"),HLOOKUP(RIGHT(BM$3,LEN(BM$3)-FIND(".",BM$3,FIND(".",BM$3)+1)),Gällivare!$B$6:$J$36,MATCH($C7,Gällivare!$B$6:$B$36,0),FALSE),"Global: "&amp;HLOOKUP(LEFT(BM$3,4),Global!$B$6:$J$36,MATCH($C7,Global!$B$6:$B$36,0),FALSE)&amp;CHAR(10)&amp;"Local Trend: "&amp;HLOOKUP(MID(BM$3,FIND(".",BM$3)+1,FIND(".",BM$3,FIND(".",BM$3)+1)-FIND(".",BM$3)-1),Gällivare!$B$6:$J$36,MATCH($C7,Gällivare!$B$6:$B$36,0),FALSE)&amp;CHAR(10)&amp;"Local Target: "&amp;HLOOKUP(RIGHT(BM$3,LEN(BM$3)-FIND(".",BM$3,FIND(".",BM$3)+1)),Gällivare!$B$6:$J$36,MATCH($C7,Gällivare!$B$6:$B$36,0),FALSE)))</f>
        <v>High</v>
      </c>
      <c r="BN7" s="177" t="str">
        <f>IF(AND(HLOOKUP(MID(BN$3,FIND(".",BN$3)+1,FIND(".",BN$3,FIND(".",BN$3)+1)-FIND(".",BN$3)-1),Gällivare!$B$6:$J$36,MATCH($C7,Gällivare!$B$6:$B$36,0),FALSE)="No Impact",HLOOKUP(RIGHT(BN$3,LEN(BN$3)-FIND(".",BN$3,FIND(".",BN$3)+1)),Gällivare!$B$6:$J$36,MATCH($C7,Gällivare!$B$6:$B$36,0),FALSE)="No Impact"),HLOOKUP(LEFT(BN$3,4),Global!$B$6:$J$36,MATCH($C7,Global!$B$6:$B$36,0),FALSE),IF(AND(HLOOKUP(MID(BN$3,FIND(".",BN$3)+1,FIND(".",BN$3,FIND(".",BN$3)+1)-FIND(".",BN$3)-1),Gällivare!$B$6:$J$36,MATCH($C7,Gällivare!$B$6:$B$36,0),FALSE)="No Impact",HLOOKUP(LEFT(BN$3,4),Global!$B$6:$J$36,MATCH($C7,Global!$B$6:$B$36,0),FALSE)="No Impact"),HLOOKUP(RIGHT(BN$3,LEN(BN$3)-FIND(".",BN$3,FIND(".",BN$3)+1)),Gällivare!$B$6:$J$36,MATCH($C7,Gällivare!$B$6:$B$36,0),FALSE),"Global: "&amp;HLOOKUP(LEFT(BN$3,4),Global!$B$6:$J$36,MATCH($C7,Global!$B$6:$B$36,0),FALSE)&amp;CHAR(10)&amp;"Local Trend: "&amp;HLOOKUP(MID(BN$3,FIND(".",BN$3)+1,FIND(".",BN$3,FIND(".",BN$3)+1)-FIND(".",BN$3)-1),Gällivare!$B$6:$J$36,MATCH($C7,Gällivare!$B$6:$B$36,0),FALSE)&amp;CHAR(10)&amp;"Local Target: "&amp;HLOOKUP(RIGHT(BN$3,LEN(BN$3)-FIND(".",BN$3,FIND(".",BN$3)+1)),Gällivare!$B$6:$J$36,MATCH($C7,Gällivare!$B$6:$B$36,0),FALSE)))</f>
        <v>High</v>
      </c>
      <c r="BO7" s="177" t="str">
        <f>IF(AND(HLOOKUP(MID(BO$3,FIND(".",BO$3)+1,FIND(".",BO$3,FIND(".",BO$3)+1)-FIND(".",BO$3)-1),Gällivare!$B$6:$J$36,MATCH($C7,Gällivare!$B$6:$B$36,0),FALSE)="No Impact",HLOOKUP(RIGHT(BO$3,LEN(BO$3)-FIND(".",BO$3,FIND(".",BO$3)+1)),Gällivare!$B$6:$J$36,MATCH($C7,Gällivare!$B$6:$B$36,0),FALSE)="No Impact"),HLOOKUP(LEFT(BO$3,4),Global!$B$6:$J$36,MATCH($C7,Global!$B$6:$B$36,0),FALSE),IF(AND(HLOOKUP(MID(BO$3,FIND(".",BO$3)+1,FIND(".",BO$3,FIND(".",BO$3)+1)-FIND(".",BO$3)-1),Gällivare!$B$6:$J$36,MATCH($C7,Gällivare!$B$6:$B$36,0),FALSE)="No Impact",HLOOKUP(LEFT(BO$3,4),Global!$B$6:$J$36,MATCH($C7,Global!$B$6:$B$36,0),FALSE)="No Impact"),HLOOKUP(RIGHT(BO$3,LEN(BO$3)-FIND(".",BO$3,FIND(".",BO$3)+1)),Gällivare!$B$6:$J$36,MATCH($C7,Gällivare!$B$6:$B$36,0),FALSE),"Global: "&amp;HLOOKUP(LEFT(BO$3,4),Global!$B$6:$J$36,MATCH($C7,Global!$B$6:$B$36,0),FALSE)&amp;CHAR(10)&amp;"Local Trend: "&amp;HLOOKUP(MID(BO$3,FIND(".",BO$3)+1,FIND(".",BO$3,FIND(".",BO$3)+1)-FIND(".",BO$3)-1),Gällivare!$B$6:$J$36,MATCH($C7,Gällivare!$B$6:$B$36,0),FALSE)&amp;CHAR(10)&amp;"Local Target: "&amp;HLOOKUP(RIGHT(BO$3,LEN(BO$3)-FIND(".",BO$3,FIND(".",BO$3)+1)),Gällivare!$B$6:$J$36,MATCH($C7,Gällivare!$B$6:$B$36,0),FALSE)))</f>
        <v>High</v>
      </c>
      <c r="BP7" s="177" t="str">
        <f>IF(AND(HLOOKUP(MID(BP$3,FIND(".",BP$3)+1,FIND(".",BP$3,FIND(".",BP$3)+1)-FIND(".",BP$3)-1),Gällivare!$B$6:$J$36,MATCH($C7,Gällivare!$B$6:$B$36,0),FALSE)="No Impact",HLOOKUP(RIGHT(BP$3,LEN(BP$3)-FIND(".",BP$3,FIND(".",BP$3)+1)),Gällivare!$B$6:$J$36,MATCH($C7,Gällivare!$B$6:$B$36,0),FALSE)="No Impact"),HLOOKUP(LEFT(BP$3,4),Global!$B$6:$J$36,MATCH($C7,Global!$B$6:$B$36,0),FALSE),IF(AND(HLOOKUP(MID(BP$3,FIND(".",BP$3)+1,FIND(".",BP$3,FIND(".",BP$3)+1)-FIND(".",BP$3)-1),Gällivare!$B$6:$J$36,MATCH($C7,Gällivare!$B$6:$B$36,0),FALSE)="No Impact",HLOOKUP(LEFT(BP$3,4),Global!$B$6:$J$36,MATCH($C7,Global!$B$6:$B$36,0),FALSE)="No Impact"),HLOOKUP(RIGHT(BP$3,LEN(BP$3)-FIND(".",BP$3,FIND(".",BP$3)+1)),Gällivare!$B$6:$J$36,MATCH($C7,Gällivare!$B$6:$B$36,0),FALSE),"Global: "&amp;HLOOKUP(LEFT(BP$3,4),Global!$B$6:$J$36,MATCH($C7,Global!$B$6:$B$36,0),FALSE)&amp;CHAR(10)&amp;"Local Trend: "&amp;HLOOKUP(MID(BP$3,FIND(".",BP$3)+1,FIND(".",BP$3,FIND(".",BP$3)+1)-FIND(".",BP$3)-1),Gällivare!$B$6:$J$36,MATCH($C7,Gällivare!$B$6:$B$36,0),FALSE)&amp;CHAR(10)&amp;"Local Target: "&amp;HLOOKUP(RIGHT(BP$3,LEN(BP$3)-FIND(".",BP$3,FIND(".",BP$3)+1)),Gällivare!$B$6:$J$36,MATCH($C7,Gällivare!$B$6:$B$36,0),FALSE)))</f>
        <v>High</v>
      </c>
      <c r="BS7" s="175"/>
      <c r="BT7" s="178"/>
      <c r="BU7" s="178"/>
      <c r="BV7" s="178"/>
      <c r="BW7" s="178"/>
      <c r="BX7" s="178"/>
      <c r="BY7" s="178"/>
      <c r="BZ7" s="178"/>
      <c r="CA7" s="178"/>
    </row>
    <row r="8" spans="2:82" ht="28.8" x14ac:dyDescent="0.3">
      <c r="B8" s="243"/>
      <c r="C8" s="175" t="s">
        <v>82</v>
      </c>
      <c r="D8" s="175" t="s">
        <v>170</v>
      </c>
      <c r="E8" s="175" t="s">
        <v>171</v>
      </c>
      <c r="F8" s="176" t="s">
        <v>165</v>
      </c>
      <c r="G8" s="176"/>
      <c r="H8" s="175" t="str">
        <f t="shared" si="1"/>
        <v>Low</v>
      </c>
      <c r="I8" s="175" t="str">
        <f t="shared" si="0"/>
        <v>Low</v>
      </c>
      <c r="J8" s="175" t="str">
        <f t="shared" si="0"/>
        <v>Low</v>
      </c>
      <c r="K8" s="175" t="str">
        <f t="shared" si="0"/>
        <v>Low</v>
      </c>
      <c r="L8" s="175" t="str">
        <f t="shared" si="0"/>
        <v>Low</v>
      </c>
      <c r="M8" s="175" t="str">
        <f t="shared" si="0"/>
        <v>Low</v>
      </c>
      <c r="N8" s="175" t="str">
        <f t="shared" si="0"/>
        <v>Medium</v>
      </c>
      <c r="O8" s="175" t="str">
        <f t="shared" si="0"/>
        <v>Medium</v>
      </c>
      <c r="P8" s="175" t="str">
        <f t="shared" si="0"/>
        <v>Medium</v>
      </c>
      <c r="Q8" s="175" t="str">
        <f t="shared" si="0"/>
        <v>Medium</v>
      </c>
      <c r="R8" s="175" t="str">
        <f t="shared" si="0"/>
        <v>Medium</v>
      </c>
      <c r="S8" s="175" t="str">
        <f t="shared" si="0"/>
        <v>Medium</v>
      </c>
      <c r="T8" s="175" t="str">
        <f t="shared" si="0"/>
        <v>High</v>
      </c>
      <c r="U8" s="175" t="str">
        <f t="shared" si="0"/>
        <v>High</v>
      </c>
      <c r="V8" s="175" t="str">
        <f t="shared" si="0"/>
        <v>High</v>
      </c>
      <c r="W8" s="175" t="str">
        <f t="shared" si="0"/>
        <v>High</v>
      </c>
      <c r="X8" s="175" t="str">
        <f t="shared" si="0"/>
        <v>High</v>
      </c>
      <c r="Y8" s="175" t="str">
        <f t="shared" si="0"/>
        <v>High</v>
      </c>
      <c r="Z8" s="175" t="str">
        <f t="shared" si="0"/>
        <v>Medium</v>
      </c>
      <c r="AA8" s="175" t="str">
        <f t="shared" si="0"/>
        <v>Medium</v>
      </c>
      <c r="AB8" s="175" t="str">
        <f t="shared" si="0"/>
        <v>Medium</v>
      </c>
      <c r="AC8" s="175" t="str">
        <f t="shared" si="0"/>
        <v>Medium</v>
      </c>
      <c r="AD8" s="175" t="str">
        <f t="shared" si="0"/>
        <v>Medium</v>
      </c>
      <c r="AE8" s="175" t="str">
        <f t="shared" si="0"/>
        <v>Medium</v>
      </c>
      <c r="AF8" s="175" t="str">
        <f t="shared" si="0"/>
        <v>High</v>
      </c>
      <c r="AG8" s="175" t="str">
        <f t="shared" si="0"/>
        <v>High</v>
      </c>
      <c r="AH8" s="175" t="str">
        <f t="shared" si="0"/>
        <v>High</v>
      </c>
      <c r="AI8" s="175" t="str">
        <f t="shared" si="0"/>
        <v>High</v>
      </c>
      <c r="AJ8" s="175" t="str">
        <f t="shared" si="0"/>
        <v>High</v>
      </c>
      <c r="AK8" s="175" t="str">
        <f t="shared" si="0"/>
        <v>High</v>
      </c>
      <c r="AL8" s="176"/>
      <c r="AM8" s="177" t="str">
        <f>IF(AND(HLOOKUP(MID(AM$3,FIND(".",AM$3)+1,FIND(".",AM$3,FIND(".",AM$3)+1)-FIND(".",AM$3)-1),Gällivare!$B$6:$J$36,MATCH($C8,Gällivare!$B$6:$B$36,0),FALSE)="No Impact",HLOOKUP(RIGHT(AM$3,LEN(AM$3)-FIND(".",AM$3,FIND(".",AM$3)+1)),Gällivare!$B$6:$J$36,MATCH($C8,Gällivare!$B$6:$B$36,0),FALSE)="No Impact"),HLOOKUP(LEFT(AM$3,4),Global!$B$6:$J$36,MATCH($C8,Global!$B$6:$B$36,0),FALSE),IF(AND(HLOOKUP(MID(AM$3,FIND(".",AM$3)+1,FIND(".",AM$3,FIND(".",AM$3)+1)-FIND(".",AM$3)-1),Gällivare!$B$6:$J$36,MATCH($C8,Gällivare!$B$6:$B$36,0),FALSE)="No Impact",HLOOKUP(LEFT(AM$3,4),Global!$B$6:$J$36,MATCH($C8,Global!$B$6:$B$36,0),FALSE)="No Impact"),HLOOKUP(RIGHT(AM$3,LEN(AM$3)-FIND(".",AM$3,FIND(".",AM$3)+1)),Gällivare!$B$6:$J$36,MATCH($C8,Gällivare!$B$6:$B$36,0),FALSE),"Global: "&amp;HLOOKUP(LEFT(AM$3,4),Global!$B$6:$J$36,MATCH($C8,Global!$B$6:$B$36,0),FALSE)&amp;CHAR(10)&amp;"Local Trend: "&amp;HLOOKUP(MID(AM$3,FIND(".",AM$3)+1,FIND(".",AM$3,FIND(".",AM$3)+1)-FIND(".",AM$3)-1),Gällivare!$B$6:$J$36,MATCH($C8,Gällivare!$B$6:$B$36,0),FALSE)&amp;CHAR(10)&amp;"Local Target: "&amp;HLOOKUP(RIGHT(AM$3,LEN(AM$3)-FIND(".",AM$3,FIND(".",AM$3)+1)),Gällivare!$B$6:$J$36,MATCH($C8,Gällivare!$B$6:$B$36,0),FALSE)))</f>
        <v>Low</v>
      </c>
      <c r="AN8" s="177" t="str">
        <f>IF(AND(HLOOKUP(MID(AN$3,FIND(".",AN$3)+1,FIND(".",AN$3,FIND(".",AN$3)+1)-FIND(".",AN$3)-1),Gällivare!$B$6:$J$36,MATCH($C8,Gällivare!$B$6:$B$36,0),FALSE)="No Impact",HLOOKUP(RIGHT(AN$3,LEN(AN$3)-FIND(".",AN$3,FIND(".",AN$3)+1)),Gällivare!$B$6:$J$36,MATCH($C8,Gällivare!$B$6:$B$36,0),FALSE)="No Impact"),HLOOKUP(LEFT(AN$3,4),Global!$B$6:$J$36,MATCH($C8,Global!$B$6:$B$36,0),FALSE),IF(AND(HLOOKUP(MID(AN$3,FIND(".",AN$3)+1,FIND(".",AN$3,FIND(".",AN$3)+1)-FIND(".",AN$3)-1),Gällivare!$B$6:$J$36,MATCH($C8,Gällivare!$B$6:$B$36,0),FALSE)="No Impact",HLOOKUP(LEFT(AN$3,4),Global!$B$6:$J$36,MATCH($C8,Global!$B$6:$B$36,0),FALSE)="No Impact"),HLOOKUP(RIGHT(AN$3,LEN(AN$3)-FIND(".",AN$3,FIND(".",AN$3)+1)),Gällivare!$B$6:$J$36,MATCH($C8,Gällivare!$B$6:$B$36,0),FALSE),"Global: "&amp;HLOOKUP(LEFT(AN$3,4),Global!$B$6:$J$36,MATCH($C8,Global!$B$6:$B$36,0),FALSE)&amp;CHAR(10)&amp;"Local Trend: "&amp;HLOOKUP(MID(AN$3,FIND(".",AN$3)+1,FIND(".",AN$3,FIND(".",AN$3)+1)-FIND(".",AN$3)-1),Gällivare!$B$6:$J$36,MATCH($C8,Gällivare!$B$6:$B$36,0),FALSE)&amp;CHAR(10)&amp;"Local Target: "&amp;HLOOKUP(RIGHT(AN$3,LEN(AN$3)-FIND(".",AN$3,FIND(".",AN$3)+1)),Gällivare!$B$6:$J$36,MATCH($C8,Gällivare!$B$6:$B$36,0),FALSE)))</f>
        <v>Low</v>
      </c>
      <c r="AO8" s="177" t="str">
        <f>IF(AND(HLOOKUP(MID(AO$3,FIND(".",AO$3)+1,FIND(".",AO$3,FIND(".",AO$3)+1)-FIND(".",AO$3)-1),Gällivare!$B$6:$J$36,MATCH($C8,Gällivare!$B$6:$B$36,0),FALSE)="No Impact",HLOOKUP(RIGHT(AO$3,LEN(AO$3)-FIND(".",AO$3,FIND(".",AO$3)+1)),Gällivare!$B$6:$J$36,MATCH($C8,Gällivare!$B$6:$B$36,0),FALSE)="No Impact"),HLOOKUP(LEFT(AO$3,4),Global!$B$6:$J$36,MATCH($C8,Global!$B$6:$B$36,0),FALSE),IF(AND(HLOOKUP(MID(AO$3,FIND(".",AO$3)+1,FIND(".",AO$3,FIND(".",AO$3)+1)-FIND(".",AO$3)-1),Gällivare!$B$6:$J$36,MATCH($C8,Gällivare!$B$6:$B$36,0),FALSE)="No Impact",HLOOKUP(LEFT(AO$3,4),Global!$B$6:$J$36,MATCH($C8,Global!$B$6:$B$36,0),FALSE)="No Impact"),HLOOKUP(RIGHT(AO$3,LEN(AO$3)-FIND(".",AO$3,FIND(".",AO$3)+1)),Gällivare!$B$6:$J$36,MATCH($C8,Gällivare!$B$6:$B$36,0),FALSE),"Global: "&amp;HLOOKUP(LEFT(AO$3,4),Global!$B$6:$J$36,MATCH($C8,Global!$B$6:$B$36,0),FALSE)&amp;CHAR(10)&amp;"Local Trend: "&amp;HLOOKUP(MID(AO$3,FIND(".",AO$3)+1,FIND(".",AO$3,FIND(".",AO$3)+1)-FIND(".",AO$3)-1),Gällivare!$B$6:$J$36,MATCH($C8,Gällivare!$B$6:$B$36,0),FALSE)&amp;CHAR(10)&amp;"Local Target: "&amp;HLOOKUP(RIGHT(AO$3,LEN(AO$3)-FIND(".",AO$3,FIND(".",AO$3)+1)),Gällivare!$B$6:$J$36,MATCH($C8,Gällivare!$B$6:$B$36,0),FALSE)))</f>
        <v>Low</v>
      </c>
      <c r="AP8" s="177" t="str">
        <f>IF(AND(HLOOKUP(MID(AP$3,FIND(".",AP$3)+1,FIND(".",AP$3,FIND(".",AP$3)+1)-FIND(".",AP$3)-1),Gällivare!$B$6:$J$36,MATCH($C8,Gällivare!$B$6:$B$36,0),FALSE)="No Impact",HLOOKUP(RIGHT(AP$3,LEN(AP$3)-FIND(".",AP$3,FIND(".",AP$3)+1)),Gällivare!$B$6:$J$36,MATCH($C8,Gällivare!$B$6:$B$36,0),FALSE)="No Impact"),HLOOKUP(LEFT(AP$3,4),Global!$B$6:$J$36,MATCH($C8,Global!$B$6:$B$36,0),FALSE),IF(AND(HLOOKUP(MID(AP$3,FIND(".",AP$3)+1,FIND(".",AP$3,FIND(".",AP$3)+1)-FIND(".",AP$3)-1),Gällivare!$B$6:$J$36,MATCH($C8,Gällivare!$B$6:$B$36,0),FALSE)="No Impact",HLOOKUP(LEFT(AP$3,4),Global!$B$6:$J$36,MATCH($C8,Global!$B$6:$B$36,0),FALSE)="No Impact"),HLOOKUP(RIGHT(AP$3,LEN(AP$3)-FIND(".",AP$3,FIND(".",AP$3)+1)),Gällivare!$B$6:$J$36,MATCH($C8,Gällivare!$B$6:$B$36,0),FALSE),"Global: "&amp;HLOOKUP(LEFT(AP$3,4),Global!$B$6:$J$36,MATCH($C8,Global!$B$6:$B$36,0),FALSE)&amp;CHAR(10)&amp;"Local Trend: "&amp;HLOOKUP(MID(AP$3,FIND(".",AP$3)+1,FIND(".",AP$3,FIND(".",AP$3)+1)-FIND(".",AP$3)-1),Gällivare!$B$6:$J$36,MATCH($C8,Gällivare!$B$6:$B$36,0),FALSE)&amp;CHAR(10)&amp;"Local Target: "&amp;HLOOKUP(RIGHT(AP$3,LEN(AP$3)-FIND(".",AP$3,FIND(".",AP$3)+1)),Gällivare!$B$6:$J$36,MATCH($C8,Gällivare!$B$6:$B$36,0),FALSE)))</f>
        <v>Low</v>
      </c>
      <c r="AQ8" s="177" t="str">
        <f>IF(AND(HLOOKUP(MID(AQ$3,FIND(".",AQ$3)+1,FIND(".",AQ$3,FIND(".",AQ$3)+1)-FIND(".",AQ$3)-1),Gällivare!$B$6:$J$36,MATCH($C8,Gällivare!$B$6:$B$36,0),FALSE)="No Impact",HLOOKUP(RIGHT(AQ$3,LEN(AQ$3)-FIND(".",AQ$3,FIND(".",AQ$3)+1)),Gällivare!$B$6:$J$36,MATCH($C8,Gällivare!$B$6:$B$36,0),FALSE)="No Impact"),HLOOKUP(LEFT(AQ$3,4),Global!$B$6:$J$36,MATCH($C8,Global!$B$6:$B$36,0),FALSE),IF(AND(HLOOKUP(MID(AQ$3,FIND(".",AQ$3)+1,FIND(".",AQ$3,FIND(".",AQ$3)+1)-FIND(".",AQ$3)-1),Gällivare!$B$6:$J$36,MATCH($C8,Gällivare!$B$6:$B$36,0),FALSE)="No Impact",HLOOKUP(LEFT(AQ$3,4),Global!$B$6:$J$36,MATCH($C8,Global!$B$6:$B$36,0),FALSE)="No Impact"),HLOOKUP(RIGHT(AQ$3,LEN(AQ$3)-FIND(".",AQ$3,FIND(".",AQ$3)+1)),Gällivare!$B$6:$J$36,MATCH($C8,Gällivare!$B$6:$B$36,0),FALSE),"Global: "&amp;HLOOKUP(LEFT(AQ$3,4),Global!$B$6:$J$36,MATCH($C8,Global!$B$6:$B$36,0),FALSE)&amp;CHAR(10)&amp;"Local Trend: "&amp;HLOOKUP(MID(AQ$3,FIND(".",AQ$3)+1,FIND(".",AQ$3,FIND(".",AQ$3)+1)-FIND(".",AQ$3)-1),Gällivare!$B$6:$J$36,MATCH($C8,Gällivare!$B$6:$B$36,0),FALSE)&amp;CHAR(10)&amp;"Local Target: "&amp;HLOOKUP(RIGHT(AQ$3,LEN(AQ$3)-FIND(".",AQ$3,FIND(".",AQ$3)+1)),Gällivare!$B$6:$J$36,MATCH($C8,Gällivare!$B$6:$B$36,0),FALSE)))</f>
        <v>Low</v>
      </c>
      <c r="AR8" s="177" t="str">
        <f>IF(AND(HLOOKUP(MID(AR$3,FIND(".",AR$3)+1,FIND(".",AR$3,FIND(".",AR$3)+1)-FIND(".",AR$3)-1),Gällivare!$B$6:$J$36,MATCH($C8,Gällivare!$B$6:$B$36,0),FALSE)="No Impact",HLOOKUP(RIGHT(AR$3,LEN(AR$3)-FIND(".",AR$3,FIND(".",AR$3)+1)),Gällivare!$B$6:$J$36,MATCH($C8,Gällivare!$B$6:$B$36,0),FALSE)="No Impact"),HLOOKUP(LEFT(AR$3,4),Global!$B$6:$J$36,MATCH($C8,Global!$B$6:$B$36,0),FALSE),IF(AND(HLOOKUP(MID(AR$3,FIND(".",AR$3)+1,FIND(".",AR$3,FIND(".",AR$3)+1)-FIND(".",AR$3)-1),Gällivare!$B$6:$J$36,MATCH($C8,Gällivare!$B$6:$B$36,0),FALSE)="No Impact",HLOOKUP(LEFT(AR$3,4),Global!$B$6:$J$36,MATCH($C8,Global!$B$6:$B$36,0),FALSE)="No Impact"),HLOOKUP(RIGHT(AR$3,LEN(AR$3)-FIND(".",AR$3,FIND(".",AR$3)+1)),Gällivare!$B$6:$J$36,MATCH($C8,Gällivare!$B$6:$B$36,0),FALSE),"Global: "&amp;HLOOKUP(LEFT(AR$3,4),Global!$B$6:$J$36,MATCH($C8,Global!$B$6:$B$36,0),FALSE)&amp;CHAR(10)&amp;"Local Trend: "&amp;HLOOKUP(MID(AR$3,FIND(".",AR$3)+1,FIND(".",AR$3,FIND(".",AR$3)+1)-FIND(".",AR$3)-1),Gällivare!$B$6:$J$36,MATCH($C8,Gällivare!$B$6:$B$36,0),FALSE)&amp;CHAR(10)&amp;"Local Target: "&amp;HLOOKUP(RIGHT(AR$3,LEN(AR$3)-FIND(".",AR$3,FIND(".",AR$3)+1)),Gällivare!$B$6:$J$36,MATCH($C8,Gällivare!$B$6:$B$36,0),FALSE)))</f>
        <v>Low</v>
      </c>
      <c r="AS8" s="177" t="str">
        <f>IF(AND(HLOOKUP(MID(AS$3,FIND(".",AS$3)+1,FIND(".",AS$3,FIND(".",AS$3)+1)-FIND(".",AS$3)-1),Gällivare!$B$6:$J$36,MATCH($C8,Gällivare!$B$6:$B$36,0),FALSE)="No Impact",HLOOKUP(RIGHT(AS$3,LEN(AS$3)-FIND(".",AS$3,FIND(".",AS$3)+1)),Gällivare!$B$6:$J$36,MATCH($C8,Gällivare!$B$6:$B$36,0),FALSE)="No Impact"),HLOOKUP(LEFT(AS$3,4),Global!$B$6:$J$36,MATCH($C8,Global!$B$6:$B$36,0),FALSE),IF(AND(HLOOKUP(MID(AS$3,FIND(".",AS$3)+1,FIND(".",AS$3,FIND(".",AS$3)+1)-FIND(".",AS$3)-1),Gällivare!$B$6:$J$36,MATCH($C8,Gällivare!$B$6:$B$36,0),FALSE)="No Impact",HLOOKUP(LEFT(AS$3,4),Global!$B$6:$J$36,MATCH($C8,Global!$B$6:$B$36,0),FALSE)="No Impact"),HLOOKUP(RIGHT(AS$3,LEN(AS$3)-FIND(".",AS$3,FIND(".",AS$3)+1)),Gällivare!$B$6:$J$36,MATCH($C8,Gällivare!$B$6:$B$36,0),FALSE),"Global: "&amp;HLOOKUP(LEFT(AS$3,4),Global!$B$6:$J$36,MATCH($C8,Global!$B$6:$B$36,0),FALSE)&amp;CHAR(10)&amp;"Local Trend: "&amp;HLOOKUP(MID(AS$3,FIND(".",AS$3)+1,FIND(".",AS$3,FIND(".",AS$3)+1)-FIND(".",AS$3)-1),Gällivare!$B$6:$J$36,MATCH($C8,Gällivare!$B$6:$B$36,0),FALSE)&amp;CHAR(10)&amp;"Local Target: "&amp;HLOOKUP(RIGHT(AS$3,LEN(AS$3)-FIND(".",AS$3,FIND(".",AS$3)+1)),Gällivare!$B$6:$J$36,MATCH($C8,Gällivare!$B$6:$B$36,0),FALSE)))</f>
        <v>Medium</v>
      </c>
      <c r="AT8" s="177" t="str">
        <f>IF(AND(HLOOKUP(MID(AT$3,FIND(".",AT$3)+1,FIND(".",AT$3,FIND(".",AT$3)+1)-FIND(".",AT$3)-1),Gällivare!$B$6:$J$36,MATCH($C8,Gällivare!$B$6:$B$36,0),FALSE)="No Impact",HLOOKUP(RIGHT(AT$3,LEN(AT$3)-FIND(".",AT$3,FIND(".",AT$3)+1)),Gällivare!$B$6:$J$36,MATCH($C8,Gällivare!$B$6:$B$36,0),FALSE)="No Impact"),HLOOKUP(LEFT(AT$3,4),Global!$B$6:$J$36,MATCH($C8,Global!$B$6:$B$36,0),FALSE),IF(AND(HLOOKUP(MID(AT$3,FIND(".",AT$3)+1,FIND(".",AT$3,FIND(".",AT$3)+1)-FIND(".",AT$3)-1),Gällivare!$B$6:$J$36,MATCH($C8,Gällivare!$B$6:$B$36,0),FALSE)="No Impact",HLOOKUP(LEFT(AT$3,4),Global!$B$6:$J$36,MATCH($C8,Global!$B$6:$B$36,0),FALSE)="No Impact"),HLOOKUP(RIGHT(AT$3,LEN(AT$3)-FIND(".",AT$3,FIND(".",AT$3)+1)),Gällivare!$B$6:$J$36,MATCH($C8,Gällivare!$B$6:$B$36,0),FALSE),"Global: "&amp;HLOOKUP(LEFT(AT$3,4),Global!$B$6:$J$36,MATCH($C8,Global!$B$6:$B$36,0),FALSE)&amp;CHAR(10)&amp;"Local Trend: "&amp;HLOOKUP(MID(AT$3,FIND(".",AT$3)+1,FIND(".",AT$3,FIND(".",AT$3)+1)-FIND(".",AT$3)-1),Gällivare!$B$6:$J$36,MATCH($C8,Gällivare!$B$6:$B$36,0),FALSE)&amp;CHAR(10)&amp;"Local Target: "&amp;HLOOKUP(RIGHT(AT$3,LEN(AT$3)-FIND(".",AT$3,FIND(".",AT$3)+1)),Gällivare!$B$6:$J$36,MATCH($C8,Gällivare!$B$6:$B$36,0),FALSE)))</f>
        <v>Medium</v>
      </c>
      <c r="AU8" s="177" t="str">
        <f>IF(AND(HLOOKUP(MID(AU$3,FIND(".",AU$3)+1,FIND(".",AU$3,FIND(".",AU$3)+1)-FIND(".",AU$3)-1),Gällivare!$B$6:$J$36,MATCH($C8,Gällivare!$B$6:$B$36,0),FALSE)="No Impact",HLOOKUP(RIGHT(AU$3,LEN(AU$3)-FIND(".",AU$3,FIND(".",AU$3)+1)),Gällivare!$B$6:$J$36,MATCH($C8,Gällivare!$B$6:$B$36,0),FALSE)="No Impact"),HLOOKUP(LEFT(AU$3,4),Global!$B$6:$J$36,MATCH($C8,Global!$B$6:$B$36,0),FALSE),IF(AND(HLOOKUP(MID(AU$3,FIND(".",AU$3)+1,FIND(".",AU$3,FIND(".",AU$3)+1)-FIND(".",AU$3)-1),Gällivare!$B$6:$J$36,MATCH($C8,Gällivare!$B$6:$B$36,0),FALSE)="No Impact",HLOOKUP(LEFT(AU$3,4),Global!$B$6:$J$36,MATCH($C8,Global!$B$6:$B$36,0),FALSE)="No Impact"),HLOOKUP(RIGHT(AU$3,LEN(AU$3)-FIND(".",AU$3,FIND(".",AU$3)+1)),Gällivare!$B$6:$J$36,MATCH($C8,Gällivare!$B$6:$B$36,0),FALSE),"Global: "&amp;HLOOKUP(LEFT(AU$3,4),Global!$B$6:$J$36,MATCH($C8,Global!$B$6:$B$36,0),FALSE)&amp;CHAR(10)&amp;"Local Trend: "&amp;HLOOKUP(MID(AU$3,FIND(".",AU$3)+1,FIND(".",AU$3,FIND(".",AU$3)+1)-FIND(".",AU$3)-1),Gällivare!$B$6:$J$36,MATCH($C8,Gällivare!$B$6:$B$36,0),FALSE)&amp;CHAR(10)&amp;"Local Target: "&amp;HLOOKUP(RIGHT(AU$3,LEN(AU$3)-FIND(".",AU$3,FIND(".",AU$3)+1)),Gällivare!$B$6:$J$36,MATCH($C8,Gällivare!$B$6:$B$36,0),FALSE)))</f>
        <v>Medium</v>
      </c>
      <c r="AV8" s="177" t="str">
        <f>IF(AND(HLOOKUP(MID(AV$3,FIND(".",AV$3)+1,FIND(".",AV$3,FIND(".",AV$3)+1)-FIND(".",AV$3)-1),Gällivare!$B$6:$J$36,MATCH($C8,Gällivare!$B$6:$B$36,0),FALSE)="No Impact",HLOOKUP(RIGHT(AV$3,LEN(AV$3)-FIND(".",AV$3,FIND(".",AV$3)+1)),Gällivare!$B$6:$J$36,MATCH($C8,Gällivare!$B$6:$B$36,0),FALSE)="No Impact"),HLOOKUP(LEFT(AV$3,4),Global!$B$6:$J$36,MATCH($C8,Global!$B$6:$B$36,0),FALSE),IF(AND(HLOOKUP(MID(AV$3,FIND(".",AV$3)+1,FIND(".",AV$3,FIND(".",AV$3)+1)-FIND(".",AV$3)-1),Gällivare!$B$6:$J$36,MATCH($C8,Gällivare!$B$6:$B$36,0),FALSE)="No Impact",HLOOKUP(LEFT(AV$3,4),Global!$B$6:$J$36,MATCH($C8,Global!$B$6:$B$36,0),FALSE)="No Impact"),HLOOKUP(RIGHT(AV$3,LEN(AV$3)-FIND(".",AV$3,FIND(".",AV$3)+1)),Gällivare!$B$6:$J$36,MATCH($C8,Gällivare!$B$6:$B$36,0),FALSE),"Global: "&amp;HLOOKUP(LEFT(AV$3,4),Global!$B$6:$J$36,MATCH($C8,Global!$B$6:$B$36,0),FALSE)&amp;CHAR(10)&amp;"Local Trend: "&amp;HLOOKUP(MID(AV$3,FIND(".",AV$3)+1,FIND(".",AV$3,FIND(".",AV$3)+1)-FIND(".",AV$3)-1),Gällivare!$B$6:$J$36,MATCH($C8,Gällivare!$B$6:$B$36,0),FALSE)&amp;CHAR(10)&amp;"Local Target: "&amp;HLOOKUP(RIGHT(AV$3,LEN(AV$3)-FIND(".",AV$3,FIND(".",AV$3)+1)),Gällivare!$B$6:$J$36,MATCH($C8,Gällivare!$B$6:$B$36,0),FALSE)))</f>
        <v>Medium</v>
      </c>
      <c r="AW8" s="177" t="str">
        <f>IF(AND(HLOOKUP(MID(AW$3,FIND(".",AW$3)+1,FIND(".",AW$3,FIND(".",AW$3)+1)-FIND(".",AW$3)-1),Gällivare!$B$6:$J$36,MATCH($C8,Gällivare!$B$6:$B$36,0),FALSE)="No Impact",HLOOKUP(RIGHT(AW$3,LEN(AW$3)-FIND(".",AW$3,FIND(".",AW$3)+1)),Gällivare!$B$6:$J$36,MATCH($C8,Gällivare!$B$6:$B$36,0),FALSE)="No Impact"),HLOOKUP(LEFT(AW$3,4),Global!$B$6:$J$36,MATCH($C8,Global!$B$6:$B$36,0),FALSE),IF(AND(HLOOKUP(MID(AW$3,FIND(".",AW$3)+1,FIND(".",AW$3,FIND(".",AW$3)+1)-FIND(".",AW$3)-1),Gällivare!$B$6:$J$36,MATCH($C8,Gällivare!$B$6:$B$36,0),FALSE)="No Impact",HLOOKUP(LEFT(AW$3,4),Global!$B$6:$J$36,MATCH($C8,Global!$B$6:$B$36,0),FALSE)="No Impact"),HLOOKUP(RIGHT(AW$3,LEN(AW$3)-FIND(".",AW$3,FIND(".",AW$3)+1)),Gällivare!$B$6:$J$36,MATCH($C8,Gällivare!$B$6:$B$36,0),FALSE),"Global: "&amp;HLOOKUP(LEFT(AW$3,4),Global!$B$6:$J$36,MATCH($C8,Global!$B$6:$B$36,0),FALSE)&amp;CHAR(10)&amp;"Local Trend: "&amp;HLOOKUP(MID(AW$3,FIND(".",AW$3)+1,FIND(".",AW$3,FIND(".",AW$3)+1)-FIND(".",AW$3)-1),Gällivare!$B$6:$J$36,MATCH($C8,Gällivare!$B$6:$B$36,0),FALSE)&amp;CHAR(10)&amp;"Local Target: "&amp;HLOOKUP(RIGHT(AW$3,LEN(AW$3)-FIND(".",AW$3,FIND(".",AW$3)+1)),Gällivare!$B$6:$J$36,MATCH($C8,Gällivare!$B$6:$B$36,0),FALSE)))</f>
        <v>Medium</v>
      </c>
      <c r="AX8" s="177" t="str">
        <f>IF(AND(HLOOKUP(MID(AX$3,FIND(".",AX$3)+1,FIND(".",AX$3,FIND(".",AX$3)+1)-FIND(".",AX$3)-1),Gällivare!$B$6:$J$36,MATCH($C8,Gällivare!$B$6:$B$36,0),FALSE)="No Impact",HLOOKUP(RIGHT(AX$3,LEN(AX$3)-FIND(".",AX$3,FIND(".",AX$3)+1)),Gällivare!$B$6:$J$36,MATCH($C8,Gällivare!$B$6:$B$36,0),FALSE)="No Impact"),HLOOKUP(LEFT(AX$3,4),Global!$B$6:$J$36,MATCH($C8,Global!$B$6:$B$36,0),FALSE),IF(AND(HLOOKUP(MID(AX$3,FIND(".",AX$3)+1,FIND(".",AX$3,FIND(".",AX$3)+1)-FIND(".",AX$3)-1),Gällivare!$B$6:$J$36,MATCH($C8,Gällivare!$B$6:$B$36,0),FALSE)="No Impact",HLOOKUP(LEFT(AX$3,4),Global!$B$6:$J$36,MATCH($C8,Global!$B$6:$B$36,0),FALSE)="No Impact"),HLOOKUP(RIGHT(AX$3,LEN(AX$3)-FIND(".",AX$3,FIND(".",AX$3)+1)),Gällivare!$B$6:$J$36,MATCH($C8,Gällivare!$B$6:$B$36,0),FALSE),"Global: "&amp;HLOOKUP(LEFT(AX$3,4),Global!$B$6:$J$36,MATCH($C8,Global!$B$6:$B$36,0),FALSE)&amp;CHAR(10)&amp;"Local Trend: "&amp;HLOOKUP(MID(AX$3,FIND(".",AX$3)+1,FIND(".",AX$3,FIND(".",AX$3)+1)-FIND(".",AX$3)-1),Gällivare!$B$6:$J$36,MATCH($C8,Gällivare!$B$6:$B$36,0),FALSE)&amp;CHAR(10)&amp;"Local Target: "&amp;HLOOKUP(RIGHT(AX$3,LEN(AX$3)-FIND(".",AX$3,FIND(".",AX$3)+1)),Gällivare!$B$6:$J$36,MATCH($C8,Gällivare!$B$6:$B$36,0),FALSE)))</f>
        <v>Medium</v>
      </c>
      <c r="AY8" s="177" t="str">
        <f>IF(AND(HLOOKUP(MID(AY$3,FIND(".",AY$3)+1,FIND(".",AY$3,FIND(".",AY$3)+1)-FIND(".",AY$3)-1),Gällivare!$B$6:$J$36,MATCH($C8,Gällivare!$B$6:$B$36,0),FALSE)="No Impact",HLOOKUP(RIGHT(AY$3,LEN(AY$3)-FIND(".",AY$3,FIND(".",AY$3)+1)),Gällivare!$B$6:$J$36,MATCH($C8,Gällivare!$B$6:$B$36,0),FALSE)="No Impact"),HLOOKUP(LEFT(AY$3,4),Global!$B$6:$J$36,MATCH($C8,Global!$B$6:$B$36,0),FALSE),IF(AND(HLOOKUP(MID(AY$3,FIND(".",AY$3)+1,FIND(".",AY$3,FIND(".",AY$3)+1)-FIND(".",AY$3)-1),Gällivare!$B$6:$J$36,MATCH($C8,Gällivare!$B$6:$B$36,0),FALSE)="No Impact",HLOOKUP(LEFT(AY$3,4),Global!$B$6:$J$36,MATCH($C8,Global!$B$6:$B$36,0),FALSE)="No Impact"),HLOOKUP(RIGHT(AY$3,LEN(AY$3)-FIND(".",AY$3,FIND(".",AY$3)+1)),Gällivare!$B$6:$J$36,MATCH($C8,Gällivare!$B$6:$B$36,0),FALSE),"Global: "&amp;HLOOKUP(LEFT(AY$3,4),Global!$B$6:$J$36,MATCH($C8,Global!$B$6:$B$36,0),FALSE)&amp;CHAR(10)&amp;"Local Trend: "&amp;HLOOKUP(MID(AY$3,FIND(".",AY$3)+1,FIND(".",AY$3,FIND(".",AY$3)+1)-FIND(".",AY$3)-1),Gällivare!$B$6:$J$36,MATCH($C8,Gällivare!$B$6:$B$36,0),FALSE)&amp;CHAR(10)&amp;"Local Target: "&amp;HLOOKUP(RIGHT(AY$3,LEN(AY$3)-FIND(".",AY$3,FIND(".",AY$3)+1)),Gällivare!$B$6:$J$36,MATCH($C8,Gällivare!$B$6:$B$36,0),FALSE)))</f>
        <v>High</v>
      </c>
      <c r="AZ8" s="177" t="str">
        <f>IF(AND(HLOOKUP(MID(AZ$3,FIND(".",AZ$3)+1,FIND(".",AZ$3,FIND(".",AZ$3)+1)-FIND(".",AZ$3)-1),Gällivare!$B$6:$J$36,MATCH($C8,Gällivare!$B$6:$B$36,0),FALSE)="No Impact",HLOOKUP(RIGHT(AZ$3,LEN(AZ$3)-FIND(".",AZ$3,FIND(".",AZ$3)+1)),Gällivare!$B$6:$J$36,MATCH($C8,Gällivare!$B$6:$B$36,0),FALSE)="No Impact"),HLOOKUP(LEFT(AZ$3,4),Global!$B$6:$J$36,MATCH($C8,Global!$B$6:$B$36,0),FALSE),IF(AND(HLOOKUP(MID(AZ$3,FIND(".",AZ$3)+1,FIND(".",AZ$3,FIND(".",AZ$3)+1)-FIND(".",AZ$3)-1),Gällivare!$B$6:$J$36,MATCH($C8,Gällivare!$B$6:$B$36,0),FALSE)="No Impact",HLOOKUP(LEFT(AZ$3,4),Global!$B$6:$J$36,MATCH($C8,Global!$B$6:$B$36,0),FALSE)="No Impact"),HLOOKUP(RIGHT(AZ$3,LEN(AZ$3)-FIND(".",AZ$3,FIND(".",AZ$3)+1)),Gällivare!$B$6:$J$36,MATCH($C8,Gällivare!$B$6:$B$36,0),FALSE),"Global: "&amp;HLOOKUP(LEFT(AZ$3,4),Global!$B$6:$J$36,MATCH($C8,Global!$B$6:$B$36,0),FALSE)&amp;CHAR(10)&amp;"Local Trend: "&amp;HLOOKUP(MID(AZ$3,FIND(".",AZ$3)+1,FIND(".",AZ$3,FIND(".",AZ$3)+1)-FIND(".",AZ$3)-1),Gällivare!$B$6:$J$36,MATCH($C8,Gällivare!$B$6:$B$36,0),FALSE)&amp;CHAR(10)&amp;"Local Target: "&amp;HLOOKUP(RIGHT(AZ$3,LEN(AZ$3)-FIND(".",AZ$3,FIND(".",AZ$3)+1)),Gällivare!$B$6:$J$36,MATCH($C8,Gällivare!$B$6:$B$36,0),FALSE)))</f>
        <v>High</v>
      </c>
      <c r="BA8" s="177" t="str">
        <f>IF(AND(HLOOKUP(MID(BA$3,FIND(".",BA$3)+1,FIND(".",BA$3,FIND(".",BA$3)+1)-FIND(".",BA$3)-1),Gällivare!$B$6:$J$36,MATCH($C8,Gällivare!$B$6:$B$36,0),FALSE)="No Impact",HLOOKUP(RIGHT(BA$3,LEN(BA$3)-FIND(".",BA$3,FIND(".",BA$3)+1)),Gällivare!$B$6:$J$36,MATCH($C8,Gällivare!$B$6:$B$36,0),FALSE)="No Impact"),HLOOKUP(LEFT(BA$3,4),Global!$B$6:$J$36,MATCH($C8,Global!$B$6:$B$36,0),FALSE),IF(AND(HLOOKUP(MID(BA$3,FIND(".",BA$3)+1,FIND(".",BA$3,FIND(".",BA$3)+1)-FIND(".",BA$3)-1),Gällivare!$B$6:$J$36,MATCH($C8,Gällivare!$B$6:$B$36,0),FALSE)="No Impact",HLOOKUP(LEFT(BA$3,4),Global!$B$6:$J$36,MATCH($C8,Global!$B$6:$B$36,0),FALSE)="No Impact"),HLOOKUP(RIGHT(BA$3,LEN(BA$3)-FIND(".",BA$3,FIND(".",BA$3)+1)),Gällivare!$B$6:$J$36,MATCH($C8,Gällivare!$B$6:$B$36,0),FALSE),"Global: "&amp;HLOOKUP(LEFT(BA$3,4),Global!$B$6:$J$36,MATCH($C8,Global!$B$6:$B$36,0),FALSE)&amp;CHAR(10)&amp;"Local Trend: "&amp;HLOOKUP(MID(BA$3,FIND(".",BA$3)+1,FIND(".",BA$3,FIND(".",BA$3)+1)-FIND(".",BA$3)-1),Gällivare!$B$6:$J$36,MATCH($C8,Gällivare!$B$6:$B$36,0),FALSE)&amp;CHAR(10)&amp;"Local Target: "&amp;HLOOKUP(RIGHT(BA$3,LEN(BA$3)-FIND(".",BA$3,FIND(".",BA$3)+1)),Gällivare!$B$6:$J$36,MATCH($C8,Gällivare!$B$6:$B$36,0),FALSE)))</f>
        <v>High</v>
      </c>
      <c r="BB8" s="177" t="str">
        <f>IF(AND(HLOOKUP(MID(BB$3,FIND(".",BB$3)+1,FIND(".",BB$3,FIND(".",BB$3)+1)-FIND(".",BB$3)-1),Gällivare!$B$6:$J$36,MATCH($C8,Gällivare!$B$6:$B$36,0),FALSE)="No Impact",HLOOKUP(RIGHT(BB$3,LEN(BB$3)-FIND(".",BB$3,FIND(".",BB$3)+1)),Gällivare!$B$6:$J$36,MATCH($C8,Gällivare!$B$6:$B$36,0),FALSE)="No Impact"),HLOOKUP(LEFT(BB$3,4),Global!$B$6:$J$36,MATCH($C8,Global!$B$6:$B$36,0),FALSE),IF(AND(HLOOKUP(MID(BB$3,FIND(".",BB$3)+1,FIND(".",BB$3,FIND(".",BB$3)+1)-FIND(".",BB$3)-1),Gällivare!$B$6:$J$36,MATCH($C8,Gällivare!$B$6:$B$36,0),FALSE)="No Impact",HLOOKUP(LEFT(BB$3,4),Global!$B$6:$J$36,MATCH($C8,Global!$B$6:$B$36,0),FALSE)="No Impact"),HLOOKUP(RIGHT(BB$3,LEN(BB$3)-FIND(".",BB$3,FIND(".",BB$3)+1)),Gällivare!$B$6:$J$36,MATCH($C8,Gällivare!$B$6:$B$36,0),FALSE),"Global: "&amp;HLOOKUP(LEFT(BB$3,4),Global!$B$6:$J$36,MATCH($C8,Global!$B$6:$B$36,0),FALSE)&amp;CHAR(10)&amp;"Local Trend: "&amp;HLOOKUP(MID(BB$3,FIND(".",BB$3)+1,FIND(".",BB$3,FIND(".",BB$3)+1)-FIND(".",BB$3)-1),Gällivare!$B$6:$J$36,MATCH($C8,Gällivare!$B$6:$B$36,0),FALSE)&amp;CHAR(10)&amp;"Local Target: "&amp;HLOOKUP(RIGHT(BB$3,LEN(BB$3)-FIND(".",BB$3,FIND(".",BB$3)+1)),Gällivare!$B$6:$J$36,MATCH($C8,Gällivare!$B$6:$B$36,0),FALSE)))</f>
        <v>High</v>
      </c>
      <c r="BC8" s="177" t="str">
        <f>IF(AND(HLOOKUP(MID(BC$3,FIND(".",BC$3)+1,FIND(".",BC$3,FIND(".",BC$3)+1)-FIND(".",BC$3)-1),Gällivare!$B$6:$J$36,MATCH($C8,Gällivare!$B$6:$B$36,0),FALSE)="No Impact",HLOOKUP(RIGHT(BC$3,LEN(BC$3)-FIND(".",BC$3,FIND(".",BC$3)+1)),Gällivare!$B$6:$J$36,MATCH($C8,Gällivare!$B$6:$B$36,0),FALSE)="No Impact"),HLOOKUP(LEFT(BC$3,4),Global!$B$6:$J$36,MATCH($C8,Global!$B$6:$B$36,0),FALSE),IF(AND(HLOOKUP(MID(BC$3,FIND(".",BC$3)+1,FIND(".",BC$3,FIND(".",BC$3)+1)-FIND(".",BC$3)-1),Gällivare!$B$6:$J$36,MATCH($C8,Gällivare!$B$6:$B$36,0),FALSE)="No Impact",HLOOKUP(LEFT(BC$3,4),Global!$B$6:$J$36,MATCH($C8,Global!$B$6:$B$36,0),FALSE)="No Impact"),HLOOKUP(RIGHT(BC$3,LEN(BC$3)-FIND(".",BC$3,FIND(".",BC$3)+1)),Gällivare!$B$6:$J$36,MATCH($C8,Gällivare!$B$6:$B$36,0),FALSE),"Global: "&amp;HLOOKUP(LEFT(BC$3,4),Global!$B$6:$J$36,MATCH($C8,Global!$B$6:$B$36,0),FALSE)&amp;CHAR(10)&amp;"Local Trend: "&amp;HLOOKUP(MID(BC$3,FIND(".",BC$3)+1,FIND(".",BC$3,FIND(".",BC$3)+1)-FIND(".",BC$3)-1),Gällivare!$B$6:$J$36,MATCH($C8,Gällivare!$B$6:$B$36,0),FALSE)&amp;CHAR(10)&amp;"Local Target: "&amp;HLOOKUP(RIGHT(BC$3,LEN(BC$3)-FIND(".",BC$3,FIND(".",BC$3)+1)),Gällivare!$B$6:$J$36,MATCH($C8,Gällivare!$B$6:$B$36,0),FALSE)))</f>
        <v>High</v>
      </c>
      <c r="BD8" s="177" t="str">
        <f>IF(AND(HLOOKUP(MID(BD$3,FIND(".",BD$3)+1,FIND(".",BD$3,FIND(".",BD$3)+1)-FIND(".",BD$3)-1),Gällivare!$B$6:$J$36,MATCH($C8,Gällivare!$B$6:$B$36,0),FALSE)="No Impact",HLOOKUP(RIGHT(BD$3,LEN(BD$3)-FIND(".",BD$3,FIND(".",BD$3)+1)),Gällivare!$B$6:$J$36,MATCH($C8,Gällivare!$B$6:$B$36,0),FALSE)="No Impact"),HLOOKUP(LEFT(BD$3,4),Global!$B$6:$J$36,MATCH($C8,Global!$B$6:$B$36,0),FALSE),IF(AND(HLOOKUP(MID(BD$3,FIND(".",BD$3)+1,FIND(".",BD$3,FIND(".",BD$3)+1)-FIND(".",BD$3)-1),Gällivare!$B$6:$J$36,MATCH($C8,Gällivare!$B$6:$B$36,0),FALSE)="No Impact",HLOOKUP(LEFT(BD$3,4),Global!$B$6:$J$36,MATCH($C8,Global!$B$6:$B$36,0),FALSE)="No Impact"),HLOOKUP(RIGHT(BD$3,LEN(BD$3)-FIND(".",BD$3,FIND(".",BD$3)+1)),Gällivare!$B$6:$J$36,MATCH($C8,Gällivare!$B$6:$B$36,0),FALSE),"Global: "&amp;HLOOKUP(LEFT(BD$3,4),Global!$B$6:$J$36,MATCH($C8,Global!$B$6:$B$36,0),FALSE)&amp;CHAR(10)&amp;"Local Trend: "&amp;HLOOKUP(MID(BD$3,FIND(".",BD$3)+1,FIND(".",BD$3,FIND(".",BD$3)+1)-FIND(".",BD$3)-1),Gällivare!$B$6:$J$36,MATCH($C8,Gällivare!$B$6:$B$36,0),FALSE)&amp;CHAR(10)&amp;"Local Target: "&amp;HLOOKUP(RIGHT(BD$3,LEN(BD$3)-FIND(".",BD$3,FIND(".",BD$3)+1)),Gällivare!$B$6:$J$36,MATCH($C8,Gällivare!$B$6:$B$36,0),FALSE)))</f>
        <v>High</v>
      </c>
      <c r="BE8" s="177" t="str">
        <f>IF(AND(HLOOKUP(MID(BE$3,FIND(".",BE$3)+1,FIND(".",BE$3,FIND(".",BE$3)+1)-FIND(".",BE$3)-1),Gällivare!$B$6:$J$36,MATCH($C8,Gällivare!$B$6:$B$36,0),FALSE)="No Impact",HLOOKUP(RIGHT(BE$3,LEN(BE$3)-FIND(".",BE$3,FIND(".",BE$3)+1)),Gällivare!$B$6:$J$36,MATCH($C8,Gällivare!$B$6:$B$36,0),FALSE)="No Impact"),HLOOKUP(LEFT(BE$3,4),Global!$B$6:$J$36,MATCH($C8,Global!$B$6:$B$36,0),FALSE),IF(AND(HLOOKUP(MID(BE$3,FIND(".",BE$3)+1,FIND(".",BE$3,FIND(".",BE$3)+1)-FIND(".",BE$3)-1),Gällivare!$B$6:$J$36,MATCH($C8,Gällivare!$B$6:$B$36,0),FALSE)="No Impact",HLOOKUP(LEFT(BE$3,4),Global!$B$6:$J$36,MATCH($C8,Global!$B$6:$B$36,0),FALSE)="No Impact"),HLOOKUP(RIGHT(BE$3,LEN(BE$3)-FIND(".",BE$3,FIND(".",BE$3)+1)),Gällivare!$B$6:$J$36,MATCH($C8,Gällivare!$B$6:$B$36,0),FALSE),"Global: "&amp;HLOOKUP(LEFT(BE$3,4),Global!$B$6:$J$36,MATCH($C8,Global!$B$6:$B$36,0),FALSE)&amp;CHAR(10)&amp;"Local Trend: "&amp;HLOOKUP(MID(BE$3,FIND(".",BE$3)+1,FIND(".",BE$3,FIND(".",BE$3)+1)-FIND(".",BE$3)-1),Gällivare!$B$6:$J$36,MATCH($C8,Gällivare!$B$6:$B$36,0),FALSE)&amp;CHAR(10)&amp;"Local Target: "&amp;HLOOKUP(RIGHT(BE$3,LEN(BE$3)-FIND(".",BE$3,FIND(".",BE$3)+1)),Gällivare!$B$6:$J$36,MATCH($C8,Gällivare!$B$6:$B$36,0),FALSE)))</f>
        <v>Medium</v>
      </c>
      <c r="BF8" s="177" t="str">
        <f>IF(AND(HLOOKUP(MID(BF$3,FIND(".",BF$3)+1,FIND(".",BF$3,FIND(".",BF$3)+1)-FIND(".",BF$3)-1),Gällivare!$B$6:$J$36,MATCH($C8,Gällivare!$B$6:$B$36,0),FALSE)="No Impact",HLOOKUP(RIGHT(BF$3,LEN(BF$3)-FIND(".",BF$3,FIND(".",BF$3)+1)),Gällivare!$B$6:$J$36,MATCH($C8,Gällivare!$B$6:$B$36,0),FALSE)="No Impact"),HLOOKUP(LEFT(BF$3,4),Global!$B$6:$J$36,MATCH($C8,Global!$B$6:$B$36,0),FALSE),IF(AND(HLOOKUP(MID(BF$3,FIND(".",BF$3)+1,FIND(".",BF$3,FIND(".",BF$3)+1)-FIND(".",BF$3)-1),Gällivare!$B$6:$J$36,MATCH($C8,Gällivare!$B$6:$B$36,0),FALSE)="No Impact",HLOOKUP(LEFT(BF$3,4),Global!$B$6:$J$36,MATCH($C8,Global!$B$6:$B$36,0),FALSE)="No Impact"),HLOOKUP(RIGHT(BF$3,LEN(BF$3)-FIND(".",BF$3,FIND(".",BF$3)+1)),Gällivare!$B$6:$J$36,MATCH($C8,Gällivare!$B$6:$B$36,0),FALSE),"Global: "&amp;HLOOKUP(LEFT(BF$3,4),Global!$B$6:$J$36,MATCH($C8,Global!$B$6:$B$36,0),FALSE)&amp;CHAR(10)&amp;"Local Trend: "&amp;HLOOKUP(MID(BF$3,FIND(".",BF$3)+1,FIND(".",BF$3,FIND(".",BF$3)+1)-FIND(".",BF$3)-1),Gällivare!$B$6:$J$36,MATCH($C8,Gällivare!$B$6:$B$36,0),FALSE)&amp;CHAR(10)&amp;"Local Target: "&amp;HLOOKUP(RIGHT(BF$3,LEN(BF$3)-FIND(".",BF$3,FIND(".",BF$3)+1)),Gällivare!$B$6:$J$36,MATCH($C8,Gällivare!$B$6:$B$36,0),FALSE)))</f>
        <v>Medium</v>
      </c>
      <c r="BG8" s="177" t="str">
        <f>IF(AND(HLOOKUP(MID(BG$3,FIND(".",BG$3)+1,FIND(".",BG$3,FIND(".",BG$3)+1)-FIND(".",BG$3)-1),Gällivare!$B$6:$J$36,MATCH($C8,Gällivare!$B$6:$B$36,0),FALSE)="No Impact",HLOOKUP(RIGHT(BG$3,LEN(BG$3)-FIND(".",BG$3,FIND(".",BG$3)+1)),Gällivare!$B$6:$J$36,MATCH($C8,Gällivare!$B$6:$B$36,0),FALSE)="No Impact"),HLOOKUP(LEFT(BG$3,4),Global!$B$6:$J$36,MATCH($C8,Global!$B$6:$B$36,0),FALSE),IF(AND(HLOOKUP(MID(BG$3,FIND(".",BG$3)+1,FIND(".",BG$3,FIND(".",BG$3)+1)-FIND(".",BG$3)-1),Gällivare!$B$6:$J$36,MATCH($C8,Gällivare!$B$6:$B$36,0),FALSE)="No Impact",HLOOKUP(LEFT(BG$3,4),Global!$B$6:$J$36,MATCH($C8,Global!$B$6:$B$36,0),FALSE)="No Impact"),HLOOKUP(RIGHT(BG$3,LEN(BG$3)-FIND(".",BG$3,FIND(".",BG$3)+1)),Gällivare!$B$6:$J$36,MATCH($C8,Gällivare!$B$6:$B$36,0),FALSE),"Global: "&amp;HLOOKUP(LEFT(BG$3,4),Global!$B$6:$J$36,MATCH($C8,Global!$B$6:$B$36,0),FALSE)&amp;CHAR(10)&amp;"Local Trend: "&amp;HLOOKUP(MID(BG$3,FIND(".",BG$3)+1,FIND(".",BG$3,FIND(".",BG$3)+1)-FIND(".",BG$3)-1),Gällivare!$B$6:$J$36,MATCH($C8,Gällivare!$B$6:$B$36,0),FALSE)&amp;CHAR(10)&amp;"Local Target: "&amp;HLOOKUP(RIGHT(BG$3,LEN(BG$3)-FIND(".",BG$3,FIND(".",BG$3)+1)),Gällivare!$B$6:$J$36,MATCH($C8,Gällivare!$B$6:$B$36,0),FALSE)))</f>
        <v>Medium</v>
      </c>
      <c r="BH8" s="177" t="str">
        <f>IF(AND(HLOOKUP(MID(BH$3,FIND(".",BH$3)+1,FIND(".",BH$3,FIND(".",BH$3)+1)-FIND(".",BH$3)-1),Gällivare!$B$6:$J$36,MATCH($C8,Gällivare!$B$6:$B$36,0),FALSE)="No Impact",HLOOKUP(RIGHT(BH$3,LEN(BH$3)-FIND(".",BH$3,FIND(".",BH$3)+1)),Gällivare!$B$6:$J$36,MATCH($C8,Gällivare!$B$6:$B$36,0),FALSE)="No Impact"),HLOOKUP(LEFT(BH$3,4),Global!$B$6:$J$36,MATCH($C8,Global!$B$6:$B$36,0),FALSE),IF(AND(HLOOKUP(MID(BH$3,FIND(".",BH$3)+1,FIND(".",BH$3,FIND(".",BH$3)+1)-FIND(".",BH$3)-1),Gällivare!$B$6:$J$36,MATCH($C8,Gällivare!$B$6:$B$36,0),FALSE)="No Impact",HLOOKUP(LEFT(BH$3,4),Global!$B$6:$J$36,MATCH($C8,Global!$B$6:$B$36,0),FALSE)="No Impact"),HLOOKUP(RIGHT(BH$3,LEN(BH$3)-FIND(".",BH$3,FIND(".",BH$3)+1)),Gällivare!$B$6:$J$36,MATCH($C8,Gällivare!$B$6:$B$36,0),FALSE),"Global: "&amp;HLOOKUP(LEFT(BH$3,4),Global!$B$6:$J$36,MATCH($C8,Global!$B$6:$B$36,0),FALSE)&amp;CHAR(10)&amp;"Local Trend: "&amp;HLOOKUP(MID(BH$3,FIND(".",BH$3)+1,FIND(".",BH$3,FIND(".",BH$3)+1)-FIND(".",BH$3)-1),Gällivare!$B$6:$J$36,MATCH($C8,Gällivare!$B$6:$B$36,0),FALSE)&amp;CHAR(10)&amp;"Local Target: "&amp;HLOOKUP(RIGHT(BH$3,LEN(BH$3)-FIND(".",BH$3,FIND(".",BH$3)+1)),Gällivare!$B$6:$J$36,MATCH($C8,Gällivare!$B$6:$B$36,0),FALSE)))</f>
        <v>Medium</v>
      </c>
      <c r="BI8" s="177" t="str">
        <f>IF(AND(HLOOKUP(MID(BI$3,FIND(".",BI$3)+1,FIND(".",BI$3,FIND(".",BI$3)+1)-FIND(".",BI$3)-1),Gällivare!$B$6:$J$36,MATCH($C8,Gällivare!$B$6:$B$36,0),FALSE)="No Impact",HLOOKUP(RIGHT(BI$3,LEN(BI$3)-FIND(".",BI$3,FIND(".",BI$3)+1)),Gällivare!$B$6:$J$36,MATCH($C8,Gällivare!$B$6:$B$36,0),FALSE)="No Impact"),HLOOKUP(LEFT(BI$3,4),Global!$B$6:$J$36,MATCH($C8,Global!$B$6:$B$36,0),FALSE),IF(AND(HLOOKUP(MID(BI$3,FIND(".",BI$3)+1,FIND(".",BI$3,FIND(".",BI$3)+1)-FIND(".",BI$3)-1),Gällivare!$B$6:$J$36,MATCH($C8,Gällivare!$B$6:$B$36,0),FALSE)="No Impact",HLOOKUP(LEFT(BI$3,4),Global!$B$6:$J$36,MATCH($C8,Global!$B$6:$B$36,0),FALSE)="No Impact"),HLOOKUP(RIGHT(BI$3,LEN(BI$3)-FIND(".",BI$3,FIND(".",BI$3)+1)),Gällivare!$B$6:$J$36,MATCH($C8,Gällivare!$B$6:$B$36,0),FALSE),"Global: "&amp;HLOOKUP(LEFT(BI$3,4),Global!$B$6:$J$36,MATCH($C8,Global!$B$6:$B$36,0),FALSE)&amp;CHAR(10)&amp;"Local Trend: "&amp;HLOOKUP(MID(BI$3,FIND(".",BI$3)+1,FIND(".",BI$3,FIND(".",BI$3)+1)-FIND(".",BI$3)-1),Gällivare!$B$6:$J$36,MATCH($C8,Gällivare!$B$6:$B$36,0),FALSE)&amp;CHAR(10)&amp;"Local Target: "&amp;HLOOKUP(RIGHT(BI$3,LEN(BI$3)-FIND(".",BI$3,FIND(".",BI$3)+1)),Gällivare!$B$6:$J$36,MATCH($C8,Gällivare!$B$6:$B$36,0),FALSE)))</f>
        <v>Medium</v>
      </c>
      <c r="BJ8" s="177" t="str">
        <f>IF(AND(HLOOKUP(MID(BJ$3,FIND(".",BJ$3)+1,FIND(".",BJ$3,FIND(".",BJ$3)+1)-FIND(".",BJ$3)-1),Gällivare!$B$6:$J$36,MATCH($C8,Gällivare!$B$6:$B$36,0),FALSE)="No Impact",HLOOKUP(RIGHT(BJ$3,LEN(BJ$3)-FIND(".",BJ$3,FIND(".",BJ$3)+1)),Gällivare!$B$6:$J$36,MATCH($C8,Gällivare!$B$6:$B$36,0),FALSE)="No Impact"),HLOOKUP(LEFT(BJ$3,4),Global!$B$6:$J$36,MATCH($C8,Global!$B$6:$B$36,0),FALSE),IF(AND(HLOOKUP(MID(BJ$3,FIND(".",BJ$3)+1,FIND(".",BJ$3,FIND(".",BJ$3)+1)-FIND(".",BJ$3)-1),Gällivare!$B$6:$J$36,MATCH($C8,Gällivare!$B$6:$B$36,0),FALSE)="No Impact",HLOOKUP(LEFT(BJ$3,4),Global!$B$6:$J$36,MATCH($C8,Global!$B$6:$B$36,0),FALSE)="No Impact"),HLOOKUP(RIGHT(BJ$3,LEN(BJ$3)-FIND(".",BJ$3,FIND(".",BJ$3)+1)),Gällivare!$B$6:$J$36,MATCH($C8,Gällivare!$B$6:$B$36,0),FALSE),"Global: "&amp;HLOOKUP(LEFT(BJ$3,4),Global!$B$6:$J$36,MATCH($C8,Global!$B$6:$B$36,0),FALSE)&amp;CHAR(10)&amp;"Local Trend: "&amp;HLOOKUP(MID(BJ$3,FIND(".",BJ$3)+1,FIND(".",BJ$3,FIND(".",BJ$3)+1)-FIND(".",BJ$3)-1),Gällivare!$B$6:$J$36,MATCH($C8,Gällivare!$B$6:$B$36,0),FALSE)&amp;CHAR(10)&amp;"Local Target: "&amp;HLOOKUP(RIGHT(BJ$3,LEN(BJ$3)-FIND(".",BJ$3,FIND(".",BJ$3)+1)),Gällivare!$B$6:$J$36,MATCH($C8,Gällivare!$B$6:$B$36,0),FALSE)))</f>
        <v>Medium</v>
      </c>
      <c r="BK8" s="177" t="str">
        <f>IF(AND(HLOOKUP(MID(BK$3,FIND(".",BK$3)+1,FIND(".",BK$3,FIND(".",BK$3)+1)-FIND(".",BK$3)-1),Gällivare!$B$6:$J$36,MATCH($C8,Gällivare!$B$6:$B$36,0),FALSE)="No Impact",HLOOKUP(RIGHT(BK$3,LEN(BK$3)-FIND(".",BK$3,FIND(".",BK$3)+1)),Gällivare!$B$6:$J$36,MATCH($C8,Gällivare!$B$6:$B$36,0),FALSE)="No Impact"),HLOOKUP(LEFT(BK$3,4),Global!$B$6:$J$36,MATCH($C8,Global!$B$6:$B$36,0),FALSE),IF(AND(HLOOKUP(MID(BK$3,FIND(".",BK$3)+1,FIND(".",BK$3,FIND(".",BK$3)+1)-FIND(".",BK$3)-1),Gällivare!$B$6:$J$36,MATCH($C8,Gällivare!$B$6:$B$36,0),FALSE)="No Impact",HLOOKUP(LEFT(BK$3,4),Global!$B$6:$J$36,MATCH($C8,Global!$B$6:$B$36,0),FALSE)="No Impact"),HLOOKUP(RIGHT(BK$3,LEN(BK$3)-FIND(".",BK$3,FIND(".",BK$3)+1)),Gällivare!$B$6:$J$36,MATCH($C8,Gällivare!$B$6:$B$36,0),FALSE),"Global: "&amp;HLOOKUP(LEFT(BK$3,4),Global!$B$6:$J$36,MATCH($C8,Global!$B$6:$B$36,0),FALSE)&amp;CHAR(10)&amp;"Local Trend: "&amp;HLOOKUP(MID(BK$3,FIND(".",BK$3)+1,FIND(".",BK$3,FIND(".",BK$3)+1)-FIND(".",BK$3)-1),Gällivare!$B$6:$J$36,MATCH($C8,Gällivare!$B$6:$B$36,0),FALSE)&amp;CHAR(10)&amp;"Local Target: "&amp;HLOOKUP(RIGHT(BK$3,LEN(BK$3)-FIND(".",BK$3,FIND(".",BK$3)+1)),Gällivare!$B$6:$J$36,MATCH($C8,Gällivare!$B$6:$B$36,0),FALSE)))</f>
        <v>High</v>
      </c>
      <c r="BL8" s="177" t="str">
        <f>IF(AND(HLOOKUP(MID(BL$3,FIND(".",BL$3)+1,FIND(".",BL$3,FIND(".",BL$3)+1)-FIND(".",BL$3)-1),Gällivare!$B$6:$J$36,MATCH($C8,Gällivare!$B$6:$B$36,0),FALSE)="No Impact",HLOOKUP(RIGHT(BL$3,LEN(BL$3)-FIND(".",BL$3,FIND(".",BL$3)+1)),Gällivare!$B$6:$J$36,MATCH($C8,Gällivare!$B$6:$B$36,0),FALSE)="No Impact"),HLOOKUP(LEFT(BL$3,4),Global!$B$6:$J$36,MATCH($C8,Global!$B$6:$B$36,0),FALSE),IF(AND(HLOOKUP(MID(BL$3,FIND(".",BL$3)+1,FIND(".",BL$3,FIND(".",BL$3)+1)-FIND(".",BL$3)-1),Gällivare!$B$6:$J$36,MATCH($C8,Gällivare!$B$6:$B$36,0),FALSE)="No Impact",HLOOKUP(LEFT(BL$3,4),Global!$B$6:$J$36,MATCH($C8,Global!$B$6:$B$36,0),FALSE)="No Impact"),HLOOKUP(RIGHT(BL$3,LEN(BL$3)-FIND(".",BL$3,FIND(".",BL$3)+1)),Gällivare!$B$6:$J$36,MATCH($C8,Gällivare!$B$6:$B$36,0),FALSE),"Global: "&amp;HLOOKUP(LEFT(BL$3,4),Global!$B$6:$J$36,MATCH($C8,Global!$B$6:$B$36,0),FALSE)&amp;CHAR(10)&amp;"Local Trend: "&amp;HLOOKUP(MID(BL$3,FIND(".",BL$3)+1,FIND(".",BL$3,FIND(".",BL$3)+1)-FIND(".",BL$3)-1),Gällivare!$B$6:$J$36,MATCH($C8,Gällivare!$B$6:$B$36,0),FALSE)&amp;CHAR(10)&amp;"Local Target: "&amp;HLOOKUP(RIGHT(BL$3,LEN(BL$3)-FIND(".",BL$3,FIND(".",BL$3)+1)),Gällivare!$B$6:$J$36,MATCH($C8,Gällivare!$B$6:$B$36,0),FALSE)))</f>
        <v>High</v>
      </c>
      <c r="BM8" s="177" t="str">
        <f>IF(AND(HLOOKUP(MID(BM$3,FIND(".",BM$3)+1,FIND(".",BM$3,FIND(".",BM$3)+1)-FIND(".",BM$3)-1),Gällivare!$B$6:$J$36,MATCH($C8,Gällivare!$B$6:$B$36,0),FALSE)="No Impact",HLOOKUP(RIGHT(BM$3,LEN(BM$3)-FIND(".",BM$3,FIND(".",BM$3)+1)),Gällivare!$B$6:$J$36,MATCH($C8,Gällivare!$B$6:$B$36,0),FALSE)="No Impact"),HLOOKUP(LEFT(BM$3,4),Global!$B$6:$J$36,MATCH($C8,Global!$B$6:$B$36,0),FALSE),IF(AND(HLOOKUP(MID(BM$3,FIND(".",BM$3)+1,FIND(".",BM$3,FIND(".",BM$3)+1)-FIND(".",BM$3)-1),Gällivare!$B$6:$J$36,MATCH($C8,Gällivare!$B$6:$B$36,0),FALSE)="No Impact",HLOOKUP(LEFT(BM$3,4),Global!$B$6:$J$36,MATCH($C8,Global!$B$6:$B$36,0),FALSE)="No Impact"),HLOOKUP(RIGHT(BM$3,LEN(BM$3)-FIND(".",BM$3,FIND(".",BM$3)+1)),Gällivare!$B$6:$J$36,MATCH($C8,Gällivare!$B$6:$B$36,0),FALSE),"Global: "&amp;HLOOKUP(LEFT(BM$3,4),Global!$B$6:$J$36,MATCH($C8,Global!$B$6:$B$36,0),FALSE)&amp;CHAR(10)&amp;"Local Trend: "&amp;HLOOKUP(MID(BM$3,FIND(".",BM$3)+1,FIND(".",BM$3,FIND(".",BM$3)+1)-FIND(".",BM$3)-1),Gällivare!$B$6:$J$36,MATCH($C8,Gällivare!$B$6:$B$36,0),FALSE)&amp;CHAR(10)&amp;"Local Target: "&amp;HLOOKUP(RIGHT(BM$3,LEN(BM$3)-FIND(".",BM$3,FIND(".",BM$3)+1)),Gällivare!$B$6:$J$36,MATCH($C8,Gällivare!$B$6:$B$36,0),FALSE)))</f>
        <v>High</v>
      </c>
      <c r="BN8" s="177" t="str">
        <f>IF(AND(HLOOKUP(MID(BN$3,FIND(".",BN$3)+1,FIND(".",BN$3,FIND(".",BN$3)+1)-FIND(".",BN$3)-1),Gällivare!$B$6:$J$36,MATCH($C8,Gällivare!$B$6:$B$36,0),FALSE)="No Impact",HLOOKUP(RIGHT(BN$3,LEN(BN$3)-FIND(".",BN$3,FIND(".",BN$3)+1)),Gällivare!$B$6:$J$36,MATCH($C8,Gällivare!$B$6:$B$36,0),FALSE)="No Impact"),HLOOKUP(LEFT(BN$3,4),Global!$B$6:$J$36,MATCH($C8,Global!$B$6:$B$36,0),FALSE),IF(AND(HLOOKUP(MID(BN$3,FIND(".",BN$3)+1,FIND(".",BN$3,FIND(".",BN$3)+1)-FIND(".",BN$3)-1),Gällivare!$B$6:$J$36,MATCH($C8,Gällivare!$B$6:$B$36,0),FALSE)="No Impact",HLOOKUP(LEFT(BN$3,4),Global!$B$6:$J$36,MATCH($C8,Global!$B$6:$B$36,0),FALSE)="No Impact"),HLOOKUP(RIGHT(BN$3,LEN(BN$3)-FIND(".",BN$3,FIND(".",BN$3)+1)),Gällivare!$B$6:$J$36,MATCH($C8,Gällivare!$B$6:$B$36,0),FALSE),"Global: "&amp;HLOOKUP(LEFT(BN$3,4),Global!$B$6:$J$36,MATCH($C8,Global!$B$6:$B$36,0),FALSE)&amp;CHAR(10)&amp;"Local Trend: "&amp;HLOOKUP(MID(BN$3,FIND(".",BN$3)+1,FIND(".",BN$3,FIND(".",BN$3)+1)-FIND(".",BN$3)-1),Gällivare!$B$6:$J$36,MATCH($C8,Gällivare!$B$6:$B$36,0),FALSE)&amp;CHAR(10)&amp;"Local Target: "&amp;HLOOKUP(RIGHT(BN$3,LEN(BN$3)-FIND(".",BN$3,FIND(".",BN$3)+1)),Gällivare!$B$6:$J$36,MATCH($C8,Gällivare!$B$6:$B$36,0),FALSE)))</f>
        <v>High</v>
      </c>
      <c r="BO8" s="177" t="str">
        <f>IF(AND(HLOOKUP(MID(BO$3,FIND(".",BO$3)+1,FIND(".",BO$3,FIND(".",BO$3)+1)-FIND(".",BO$3)-1),Gällivare!$B$6:$J$36,MATCH($C8,Gällivare!$B$6:$B$36,0),FALSE)="No Impact",HLOOKUP(RIGHT(BO$3,LEN(BO$3)-FIND(".",BO$3,FIND(".",BO$3)+1)),Gällivare!$B$6:$J$36,MATCH($C8,Gällivare!$B$6:$B$36,0),FALSE)="No Impact"),HLOOKUP(LEFT(BO$3,4),Global!$B$6:$J$36,MATCH($C8,Global!$B$6:$B$36,0),FALSE),IF(AND(HLOOKUP(MID(BO$3,FIND(".",BO$3)+1,FIND(".",BO$3,FIND(".",BO$3)+1)-FIND(".",BO$3)-1),Gällivare!$B$6:$J$36,MATCH($C8,Gällivare!$B$6:$B$36,0),FALSE)="No Impact",HLOOKUP(LEFT(BO$3,4),Global!$B$6:$J$36,MATCH($C8,Global!$B$6:$B$36,0),FALSE)="No Impact"),HLOOKUP(RIGHT(BO$3,LEN(BO$3)-FIND(".",BO$3,FIND(".",BO$3)+1)),Gällivare!$B$6:$J$36,MATCH($C8,Gällivare!$B$6:$B$36,0),FALSE),"Global: "&amp;HLOOKUP(LEFT(BO$3,4),Global!$B$6:$J$36,MATCH($C8,Global!$B$6:$B$36,0),FALSE)&amp;CHAR(10)&amp;"Local Trend: "&amp;HLOOKUP(MID(BO$3,FIND(".",BO$3)+1,FIND(".",BO$3,FIND(".",BO$3)+1)-FIND(".",BO$3)-1),Gällivare!$B$6:$J$36,MATCH($C8,Gällivare!$B$6:$B$36,0),FALSE)&amp;CHAR(10)&amp;"Local Target: "&amp;HLOOKUP(RIGHT(BO$3,LEN(BO$3)-FIND(".",BO$3,FIND(".",BO$3)+1)),Gällivare!$B$6:$J$36,MATCH($C8,Gällivare!$B$6:$B$36,0),FALSE)))</f>
        <v>High</v>
      </c>
      <c r="BP8" s="177" t="str">
        <f>IF(AND(HLOOKUP(MID(BP$3,FIND(".",BP$3)+1,FIND(".",BP$3,FIND(".",BP$3)+1)-FIND(".",BP$3)-1),Gällivare!$B$6:$J$36,MATCH($C8,Gällivare!$B$6:$B$36,0),FALSE)="No Impact",HLOOKUP(RIGHT(BP$3,LEN(BP$3)-FIND(".",BP$3,FIND(".",BP$3)+1)),Gällivare!$B$6:$J$36,MATCH($C8,Gällivare!$B$6:$B$36,0),FALSE)="No Impact"),HLOOKUP(LEFT(BP$3,4),Global!$B$6:$J$36,MATCH($C8,Global!$B$6:$B$36,0),FALSE),IF(AND(HLOOKUP(MID(BP$3,FIND(".",BP$3)+1,FIND(".",BP$3,FIND(".",BP$3)+1)-FIND(".",BP$3)-1),Gällivare!$B$6:$J$36,MATCH($C8,Gällivare!$B$6:$B$36,0),FALSE)="No Impact",HLOOKUP(LEFT(BP$3,4),Global!$B$6:$J$36,MATCH($C8,Global!$B$6:$B$36,0),FALSE)="No Impact"),HLOOKUP(RIGHT(BP$3,LEN(BP$3)-FIND(".",BP$3,FIND(".",BP$3)+1)),Gällivare!$B$6:$J$36,MATCH($C8,Gällivare!$B$6:$B$36,0),FALSE),"Global: "&amp;HLOOKUP(LEFT(BP$3,4),Global!$B$6:$J$36,MATCH($C8,Global!$B$6:$B$36,0),FALSE)&amp;CHAR(10)&amp;"Local Trend: "&amp;HLOOKUP(MID(BP$3,FIND(".",BP$3)+1,FIND(".",BP$3,FIND(".",BP$3)+1)-FIND(".",BP$3)-1),Gällivare!$B$6:$J$36,MATCH($C8,Gällivare!$B$6:$B$36,0),FALSE)&amp;CHAR(10)&amp;"Local Target: "&amp;HLOOKUP(RIGHT(BP$3,LEN(BP$3)-FIND(".",BP$3,FIND(".",BP$3)+1)),Gällivare!$B$6:$J$36,MATCH($C8,Gällivare!$B$6:$B$36,0),FALSE)))</f>
        <v>High</v>
      </c>
      <c r="BS8" s="175"/>
      <c r="BT8" s="178"/>
      <c r="BU8" s="178"/>
      <c r="BV8" s="178"/>
      <c r="BW8" s="178"/>
      <c r="BX8" s="178"/>
      <c r="BY8" s="178"/>
    </row>
    <row r="9" spans="2:82" x14ac:dyDescent="0.3">
      <c r="B9" s="243"/>
      <c r="C9" s="175" t="s">
        <v>89</v>
      </c>
      <c r="D9" s="175" t="s">
        <v>172</v>
      </c>
      <c r="E9" s="175" t="s">
        <v>173</v>
      </c>
      <c r="F9" s="176" t="s">
        <v>165</v>
      </c>
      <c r="G9" s="176"/>
      <c r="H9" s="175" t="str">
        <f t="shared" si="1"/>
        <v>High</v>
      </c>
      <c r="I9" s="175" t="str">
        <f t="shared" si="0"/>
        <v>High</v>
      </c>
      <c r="J9" s="175" t="str">
        <f t="shared" si="0"/>
        <v>High</v>
      </c>
      <c r="K9" s="175" t="str">
        <f t="shared" si="0"/>
        <v>High</v>
      </c>
      <c r="L9" s="175" t="str">
        <f t="shared" si="0"/>
        <v>High</v>
      </c>
      <c r="M9" s="175" t="str">
        <f t="shared" si="0"/>
        <v>High</v>
      </c>
      <c r="N9" s="175" t="str">
        <f t="shared" si="0"/>
        <v>Medium</v>
      </c>
      <c r="O9" s="175" t="str">
        <f t="shared" si="0"/>
        <v>Medium</v>
      </c>
      <c r="P9" s="175" t="str">
        <f t="shared" si="0"/>
        <v>Medium</v>
      </c>
      <c r="Q9" s="175" t="str">
        <f t="shared" si="0"/>
        <v>Medium</v>
      </c>
      <c r="R9" s="175" t="str">
        <f t="shared" si="0"/>
        <v>Medium</v>
      </c>
      <c r="S9" s="175" t="str">
        <f t="shared" si="0"/>
        <v>Medium</v>
      </c>
      <c r="T9" s="175" t="str">
        <f t="shared" si="0"/>
        <v>Medium</v>
      </c>
      <c r="U9" s="175" t="str">
        <f t="shared" si="0"/>
        <v>Medium</v>
      </c>
      <c r="V9" s="175" t="str">
        <f t="shared" si="0"/>
        <v>Medium</v>
      </c>
      <c r="W9" s="175" t="str">
        <f t="shared" si="0"/>
        <v>Medium</v>
      </c>
      <c r="X9" s="175" t="str">
        <f t="shared" si="0"/>
        <v>Medium</v>
      </c>
      <c r="Y9" s="175" t="str">
        <f t="shared" si="0"/>
        <v>Medium</v>
      </c>
      <c r="Z9" s="175" t="str">
        <f t="shared" si="0"/>
        <v>Medium</v>
      </c>
      <c r="AA9" s="175" t="str">
        <f t="shared" si="0"/>
        <v>Medium</v>
      </c>
      <c r="AB9" s="175" t="str">
        <f t="shared" si="0"/>
        <v>Medium</v>
      </c>
      <c r="AC9" s="175" t="str">
        <f t="shared" si="0"/>
        <v>Medium</v>
      </c>
      <c r="AD9" s="175" t="str">
        <f t="shared" si="0"/>
        <v>Medium</v>
      </c>
      <c r="AE9" s="175" t="str">
        <f t="shared" si="0"/>
        <v>Medium</v>
      </c>
      <c r="AF9" s="175" t="str">
        <f t="shared" si="0"/>
        <v>Low</v>
      </c>
      <c r="AG9" s="175" t="str">
        <f t="shared" si="0"/>
        <v>Low</v>
      </c>
      <c r="AH9" s="175" t="str">
        <f t="shared" si="0"/>
        <v>Low</v>
      </c>
      <c r="AI9" s="175" t="str">
        <f t="shared" si="0"/>
        <v>Low</v>
      </c>
      <c r="AJ9" s="175" t="str">
        <f t="shared" si="0"/>
        <v>Low</v>
      </c>
      <c r="AK9" s="175" t="str">
        <f t="shared" si="0"/>
        <v>Low</v>
      </c>
      <c r="AL9" s="176"/>
      <c r="AM9" s="177" t="str">
        <f>IF(AND(HLOOKUP(MID(AM$3,FIND(".",AM$3)+1,FIND(".",AM$3,FIND(".",AM$3)+1)-FIND(".",AM$3)-1),Gällivare!$B$6:$J$36,MATCH($C9,Gällivare!$B$6:$B$36,0),FALSE)="No Impact",HLOOKUP(RIGHT(AM$3,LEN(AM$3)-FIND(".",AM$3,FIND(".",AM$3)+1)),Gällivare!$B$6:$J$36,MATCH($C9,Gällivare!$B$6:$B$36,0),FALSE)="No Impact"),HLOOKUP(LEFT(AM$3,4),Global!$B$6:$J$36,MATCH($C9,Global!$B$6:$B$36,0),FALSE),IF(AND(HLOOKUP(MID(AM$3,FIND(".",AM$3)+1,FIND(".",AM$3,FIND(".",AM$3)+1)-FIND(".",AM$3)-1),Gällivare!$B$6:$J$36,MATCH($C9,Gällivare!$B$6:$B$36,0),FALSE)="No Impact",HLOOKUP(LEFT(AM$3,4),Global!$B$6:$J$36,MATCH($C9,Global!$B$6:$B$36,0),FALSE)="No Impact"),HLOOKUP(RIGHT(AM$3,LEN(AM$3)-FIND(".",AM$3,FIND(".",AM$3)+1)),Gällivare!$B$6:$J$36,MATCH($C9,Gällivare!$B$6:$B$36,0),FALSE),"Global: "&amp;HLOOKUP(LEFT(AM$3,4),Global!$B$6:$J$36,MATCH($C9,Global!$B$6:$B$36,0),FALSE)&amp;CHAR(10)&amp;"Local Trend: "&amp;HLOOKUP(MID(AM$3,FIND(".",AM$3)+1,FIND(".",AM$3,FIND(".",AM$3)+1)-FIND(".",AM$3)-1),Gällivare!$B$6:$J$36,MATCH($C9,Gällivare!$B$6:$B$36,0),FALSE)&amp;CHAR(10)&amp;"Local Target: "&amp;HLOOKUP(RIGHT(AM$3,LEN(AM$3)-FIND(".",AM$3,FIND(".",AM$3)+1)),Gällivare!$B$6:$J$36,MATCH($C9,Gällivare!$B$6:$B$36,0),FALSE)))</f>
        <v>High</v>
      </c>
      <c r="AN9" s="177" t="str">
        <f>IF(AND(HLOOKUP(MID(AN$3,FIND(".",AN$3)+1,FIND(".",AN$3,FIND(".",AN$3)+1)-FIND(".",AN$3)-1),Gällivare!$B$6:$J$36,MATCH($C9,Gällivare!$B$6:$B$36,0),FALSE)="No Impact",HLOOKUP(RIGHT(AN$3,LEN(AN$3)-FIND(".",AN$3,FIND(".",AN$3)+1)),Gällivare!$B$6:$J$36,MATCH($C9,Gällivare!$B$6:$B$36,0),FALSE)="No Impact"),HLOOKUP(LEFT(AN$3,4),Global!$B$6:$J$36,MATCH($C9,Global!$B$6:$B$36,0),FALSE),IF(AND(HLOOKUP(MID(AN$3,FIND(".",AN$3)+1,FIND(".",AN$3,FIND(".",AN$3)+1)-FIND(".",AN$3)-1),Gällivare!$B$6:$J$36,MATCH($C9,Gällivare!$B$6:$B$36,0),FALSE)="No Impact",HLOOKUP(LEFT(AN$3,4),Global!$B$6:$J$36,MATCH($C9,Global!$B$6:$B$36,0),FALSE)="No Impact"),HLOOKUP(RIGHT(AN$3,LEN(AN$3)-FIND(".",AN$3,FIND(".",AN$3)+1)),Gällivare!$B$6:$J$36,MATCH($C9,Gällivare!$B$6:$B$36,0),FALSE),"Global: "&amp;HLOOKUP(LEFT(AN$3,4),Global!$B$6:$J$36,MATCH($C9,Global!$B$6:$B$36,0),FALSE)&amp;CHAR(10)&amp;"Local Trend: "&amp;HLOOKUP(MID(AN$3,FIND(".",AN$3)+1,FIND(".",AN$3,FIND(".",AN$3)+1)-FIND(".",AN$3)-1),Gällivare!$B$6:$J$36,MATCH($C9,Gällivare!$B$6:$B$36,0),FALSE)&amp;CHAR(10)&amp;"Local Target: "&amp;HLOOKUP(RIGHT(AN$3,LEN(AN$3)-FIND(".",AN$3,FIND(".",AN$3)+1)),Gällivare!$B$6:$J$36,MATCH($C9,Gällivare!$B$6:$B$36,0),FALSE)))</f>
        <v>High</v>
      </c>
      <c r="AO9" s="177" t="str">
        <f>IF(AND(HLOOKUP(MID(AO$3,FIND(".",AO$3)+1,FIND(".",AO$3,FIND(".",AO$3)+1)-FIND(".",AO$3)-1),Gällivare!$B$6:$J$36,MATCH($C9,Gällivare!$B$6:$B$36,0),FALSE)="No Impact",HLOOKUP(RIGHT(AO$3,LEN(AO$3)-FIND(".",AO$3,FIND(".",AO$3)+1)),Gällivare!$B$6:$J$36,MATCH($C9,Gällivare!$B$6:$B$36,0),FALSE)="No Impact"),HLOOKUP(LEFT(AO$3,4),Global!$B$6:$J$36,MATCH($C9,Global!$B$6:$B$36,0),FALSE),IF(AND(HLOOKUP(MID(AO$3,FIND(".",AO$3)+1,FIND(".",AO$3,FIND(".",AO$3)+1)-FIND(".",AO$3)-1),Gällivare!$B$6:$J$36,MATCH($C9,Gällivare!$B$6:$B$36,0),FALSE)="No Impact",HLOOKUP(LEFT(AO$3,4),Global!$B$6:$J$36,MATCH($C9,Global!$B$6:$B$36,0),FALSE)="No Impact"),HLOOKUP(RIGHT(AO$3,LEN(AO$3)-FIND(".",AO$3,FIND(".",AO$3)+1)),Gällivare!$B$6:$J$36,MATCH($C9,Gällivare!$B$6:$B$36,0),FALSE),"Global: "&amp;HLOOKUP(LEFT(AO$3,4),Global!$B$6:$J$36,MATCH($C9,Global!$B$6:$B$36,0),FALSE)&amp;CHAR(10)&amp;"Local Trend: "&amp;HLOOKUP(MID(AO$3,FIND(".",AO$3)+1,FIND(".",AO$3,FIND(".",AO$3)+1)-FIND(".",AO$3)-1),Gällivare!$B$6:$J$36,MATCH($C9,Gällivare!$B$6:$B$36,0),FALSE)&amp;CHAR(10)&amp;"Local Target: "&amp;HLOOKUP(RIGHT(AO$3,LEN(AO$3)-FIND(".",AO$3,FIND(".",AO$3)+1)),Gällivare!$B$6:$J$36,MATCH($C9,Gällivare!$B$6:$B$36,0),FALSE)))</f>
        <v>High</v>
      </c>
      <c r="AP9" s="177" t="str">
        <f>IF(AND(HLOOKUP(MID(AP$3,FIND(".",AP$3)+1,FIND(".",AP$3,FIND(".",AP$3)+1)-FIND(".",AP$3)-1),Gällivare!$B$6:$J$36,MATCH($C9,Gällivare!$B$6:$B$36,0),FALSE)="No Impact",HLOOKUP(RIGHT(AP$3,LEN(AP$3)-FIND(".",AP$3,FIND(".",AP$3)+1)),Gällivare!$B$6:$J$36,MATCH($C9,Gällivare!$B$6:$B$36,0),FALSE)="No Impact"),HLOOKUP(LEFT(AP$3,4),Global!$B$6:$J$36,MATCH($C9,Global!$B$6:$B$36,0),FALSE),IF(AND(HLOOKUP(MID(AP$3,FIND(".",AP$3)+1,FIND(".",AP$3,FIND(".",AP$3)+1)-FIND(".",AP$3)-1),Gällivare!$B$6:$J$36,MATCH($C9,Gällivare!$B$6:$B$36,0),FALSE)="No Impact",HLOOKUP(LEFT(AP$3,4),Global!$B$6:$J$36,MATCH($C9,Global!$B$6:$B$36,0),FALSE)="No Impact"),HLOOKUP(RIGHT(AP$3,LEN(AP$3)-FIND(".",AP$3,FIND(".",AP$3)+1)),Gällivare!$B$6:$J$36,MATCH($C9,Gällivare!$B$6:$B$36,0),FALSE),"Global: "&amp;HLOOKUP(LEFT(AP$3,4),Global!$B$6:$J$36,MATCH($C9,Global!$B$6:$B$36,0),FALSE)&amp;CHAR(10)&amp;"Local Trend: "&amp;HLOOKUP(MID(AP$3,FIND(".",AP$3)+1,FIND(".",AP$3,FIND(".",AP$3)+1)-FIND(".",AP$3)-1),Gällivare!$B$6:$J$36,MATCH($C9,Gällivare!$B$6:$B$36,0),FALSE)&amp;CHAR(10)&amp;"Local Target: "&amp;HLOOKUP(RIGHT(AP$3,LEN(AP$3)-FIND(".",AP$3,FIND(".",AP$3)+1)),Gällivare!$B$6:$J$36,MATCH($C9,Gällivare!$B$6:$B$36,0),FALSE)))</f>
        <v>High</v>
      </c>
      <c r="AQ9" s="177" t="str">
        <f>IF(AND(HLOOKUP(MID(AQ$3,FIND(".",AQ$3)+1,FIND(".",AQ$3,FIND(".",AQ$3)+1)-FIND(".",AQ$3)-1),Gällivare!$B$6:$J$36,MATCH($C9,Gällivare!$B$6:$B$36,0),FALSE)="No Impact",HLOOKUP(RIGHT(AQ$3,LEN(AQ$3)-FIND(".",AQ$3,FIND(".",AQ$3)+1)),Gällivare!$B$6:$J$36,MATCH($C9,Gällivare!$B$6:$B$36,0),FALSE)="No Impact"),HLOOKUP(LEFT(AQ$3,4),Global!$B$6:$J$36,MATCH($C9,Global!$B$6:$B$36,0),FALSE),IF(AND(HLOOKUP(MID(AQ$3,FIND(".",AQ$3)+1,FIND(".",AQ$3,FIND(".",AQ$3)+1)-FIND(".",AQ$3)-1),Gällivare!$B$6:$J$36,MATCH($C9,Gällivare!$B$6:$B$36,0),FALSE)="No Impact",HLOOKUP(LEFT(AQ$3,4),Global!$B$6:$J$36,MATCH($C9,Global!$B$6:$B$36,0),FALSE)="No Impact"),HLOOKUP(RIGHT(AQ$3,LEN(AQ$3)-FIND(".",AQ$3,FIND(".",AQ$3)+1)),Gällivare!$B$6:$J$36,MATCH($C9,Gällivare!$B$6:$B$36,0),FALSE),"Global: "&amp;HLOOKUP(LEFT(AQ$3,4),Global!$B$6:$J$36,MATCH($C9,Global!$B$6:$B$36,0),FALSE)&amp;CHAR(10)&amp;"Local Trend: "&amp;HLOOKUP(MID(AQ$3,FIND(".",AQ$3)+1,FIND(".",AQ$3,FIND(".",AQ$3)+1)-FIND(".",AQ$3)-1),Gällivare!$B$6:$J$36,MATCH($C9,Gällivare!$B$6:$B$36,0),FALSE)&amp;CHAR(10)&amp;"Local Target: "&amp;HLOOKUP(RIGHT(AQ$3,LEN(AQ$3)-FIND(".",AQ$3,FIND(".",AQ$3)+1)),Gällivare!$B$6:$J$36,MATCH($C9,Gällivare!$B$6:$B$36,0),FALSE)))</f>
        <v>High</v>
      </c>
      <c r="AR9" s="177" t="str">
        <f>IF(AND(HLOOKUP(MID(AR$3,FIND(".",AR$3)+1,FIND(".",AR$3,FIND(".",AR$3)+1)-FIND(".",AR$3)-1),Gällivare!$B$6:$J$36,MATCH($C9,Gällivare!$B$6:$B$36,0),FALSE)="No Impact",HLOOKUP(RIGHT(AR$3,LEN(AR$3)-FIND(".",AR$3,FIND(".",AR$3)+1)),Gällivare!$B$6:$J$36,MATCH($C9,Gällivare!$B$6:$B$36,0),FALSE)="No Impact"),HLOOKUP(LEFT(AR$3,4),Global!$B$6:$J$36,MATCH($C9,Global!$B$6:$B$36,0),FALSE),IF(AND(HLOOKUP(MID(AR$3,FIND(".",AR$3)+1,FIND(".",AR$3,FIND(".",AR$3)+1)-FIND(".",AR$3)-1),Gällivare!$B$6:$J$36,MATCH($C9,Gällivare!$B$6:$B$36,0),FALSE)="No Impact",HLOOKUP(LEFT(AR$3,4),Global!$B$6:$J$36,MATCH($C9,Global!$B$6:$B$36,0),FALSE)="No Impact"),HLOOKUP(RIGHT(AR$3,LEN(AR$3)-FIND(".",AR$3,FIND(".",AR$3)+1)),Gällivare!$B$6:$J$36,MATCH($C9,Gällivare!$B$6:$B$36,0),FALSE),"Global: "&amp;HLOOKUP(LEFT(AR$3,4),Global!$B$6:$J$36,MATCH($C9,Global!$B$6:$B$36,0),FALSE)&amp;CHAR(10)&amp;"Local Trend: "&amp;HLOOKUP(MID(AR$3,FIND(".",AR$3)+1,FIND(".",AR$3,FIND(".",AR$3)+1)-FIND(".",AR$3)-1),Gällivare!$B$6:$J$36,MATCH($C9,Gällivare!$B$6:$B$36,0),FALSE)&amp;CHAR(10)&amp;"Local Target: "&amp;HLOOKUP(RIGHT(AR$3,LEN(AR$3)-FIND(".",AR$3,FIND(".",AR$3)+1)),Gällivare!$B$6:$J$36,MATCH($C9,Gällivare!$B$6:$B$36,0),FALSE)))</f>
        <v>High</v>
      </c>
      <c r="AS9" s="177" t="str">
        <f>IF(AND(HLOOKUP(MID(AS$3,FIND(".",AS$3)+1,FIND(".",AS$3,FIND(".",AS$3)+1)-FIND(".",AS$3)-1),Gällivare!$B$6:$J$36,MATCH($C9,Gällivare!$B$6:$B$36,0),FALSE)="No Impact",HLOOKUP(RIGHT(AS$3,LEN(AS$3)-FIND(".",AS$3,FIND(".",AS$3)+1)),Gällivare!$B$6:$J$36,MATCH($C9,Gällivare!$B$6:$B$36,0),FALSE)="No Impact"),HLOOKUP(LEFT(AS$3,4),Global!$B$6:$J$36,MATCH($C9,Global!$B$6:$B$36,0),FALSE),IF(AND(HLOOKUP(MID(AS$3,FIND(".",AS$3)+1,FIND(".",AS$3,FIND(".",AS$3)+1)-FIND(".",AS$3)-1),Gällivare!$B$6:$J$36,MATCH($C9,Gällivare!$B$6:$B$36,0),FALSE)="No Impact",HLOOKUP(LEFT(AS$3,4),Global!$B$6:$J$36,MATCH($C9,Global!$B$6:$B$36,0),FALSE)="No Impact"),HLOOKUP(RIGHT(AS$3,LEN(AS$3)-FIND(".",AS$3,FIND(".",AS$3)+1)),Gällivare!$B$6:$J$36,MATCH($C9,Gällivare!$B$6:$B$36,0),FALSE),"Global: "&amp;HLOOKUP(LEFT(AS$3,4),Global!$B$6:$J$36,MATCH($C9,Global!$B$6:$B$36,0),FALSE)&amp;CHAR(10)&amp;"Local Trend: "&amp;HLOOKUP(MID(AS$3,FIND(".",AS$3)+1,FIND(".",AS$3,FIND(".",AS$3)+1)-FIND(".",AS$3)-1),Gällivare!$B$6:$J$36,MATCH($C9,Gällivare!$B$6:$B$36,0),FALSE)&amp;CHAR(10)&amp;"Local Target: "&amp;HLOOKUP(RIGHT(AS$3,LEN(AS$3)-FIND(".",AS$3,FIND(".",AS$3)+1)),Gällivare!$B$6:$J$36,MATCH($C9,Gällivare!$B$6:$B$36,0),FALSE)))</f>
        <v>Medium</v>
      </c>
      <c r="AT9" s="177" t="str">
        <f>IF(AND(HLOOKUP(MID(AT$3,FIND(".",AT$3)+1,FIND(".",AT$3,FIND(".",AT$3)+1)-FIND(".",AT$3)-1),Gällivare!$B$6:$J$36,MATCH($C9,Gällivare!$B$6:$B$36,0),FALSE)="No Impact",HLOOKUP(RIGHT(AT$3,LEN(AT$3)-FIND(".",AT$3,FIND(".",AT$3)+1)),Gällivare!$B$6:$J$36,MATCH($C9,Gällivare!$B$6:$B$36,0),FALSE)="No Impact"),HLOOKUP(LEFT(AT$3,4),Global!$B$6:$J$36,MATCH($C9,Global!$B$6:$B$36,0),FALSE),IF(AND(HLOOKUP(MID(AT$3,FIND(".",AT$3)+1,FIND(".",AT$3,FIND(".",AT$3)+1)-FIND(".",AT$3)-1),Gällivare!$B$6:$J$36,MATCH($C9,Gällivare!$B$6:$B$36,0),FALSE)="No Impact",HLOOKUP(LEFT(AT$3,4),Global!$B$6:$J$36,MATCH($C9,Global!$B$6:$B$36,0),FALSE)="No Impact"),HLOOKUP(RIGHT(AT$3,LEN(AT$3)-FIND(".",AT$3,FIND(".",AT$3)+1)),Gällivare!$B$6:$J$36,MATCH($C9,Gällivare!$B$6:$B$36,0),FALSE),"Global: "&amp;HLOOKUP(LEFT(AT$3,4),Global!$B$6:$J$36,MATCH($C9,Global!$B$6:$B$36,0),FALSE)&amp;CHAR(10)&amp;"Local Trend: "&amp;HLOOKUP(MID(AT$3,FIND(".",AT$3)+1,FIND(".",AT$3,FIND(".",AT$3)+1)-FIND(".",AT$3)-1),Gällivare!$B$6:$J$36,MATCH($C9,Gällivare!$B$6:$B$36,0),FALSE)&amp;CHAR(10)&amp;"Local Target: "&amp;HLOOKUP(RIGHT(AT$3,LEN(AT$3)-FIND(".",AT$3,FIND(".",AT$3)+1)),Gällivare!$B$6:$J$36,MATCH($C9,Gällivare!$B$6:$B$36,0),FALSE)))</f>
        <v>Medium</v>
      </c>
      <c r="AU9" s="177" t="str">
        <f>IF(AND(HLOOKUP(MID(AU$3,FIND(".",AU$3)+1,FIND(".",AU$3,FIND(".",AU$3)+1)-FIND(".",AU$3)-1),Gällivare!$B$6:$J$36,MATCH($C9,Gällivare!$B$6:$B$36,0),FALSE)="No Impact",HLOOKUP(RIGHT(AU$3,LEN(AU$3)-FIND(".",AU$3,FIND(".",AU$3)+1)),Gällivare!$B$6:$J$36,MATCH($C9,Gällivare!$B$6:$B$36,0),FALSE)="No Impact"),HLOOKUP(LEFT(AU$3,4),Global!$B$6:$J$36,MATCH($C9,Global!$B$6:$B$36,0),FALSE),IF(AND(HLOOKUP(MID(AU$3,FIND(".",AU$3)+1,FIND(".",AU$3,FIND(".",AU$3)+1)-FIND(".",AU$3)-1),Gällivare!$B$6:$J$36,MATCH($C9,Gällivare!$B$6:$B$36,0),FALSE)="No Impact",HLOOKUP(LEFT(AU$3,4),Global!$B$6:$J$36,MATCH($C9,Global!$B$6:$B$36,0),FALSE)="No Impact"),HLOOKUP(RIGHT(AU$3,LEN(AU$3)-FIND(".",AU$3,FIND(".",AU$3)+1)),Gällivare!$B$6:$J$36,MATCH($C9,Gällivare!$B$6:$B$36,0),FALSE),"Global: "&amp;HLOOKUP(LEFT(AU$3,4),Global!$B$6:$J$36,MATCH($C9,Global!$B$6:$B$36,0),FALSE)&amp;CHAR(10)&amp;"Local Trend: "&amp;HLOOKUP(MID(AU$3,FIND(".",AU$3)+1,FIND(".",AU$3,FIND(".",AU$3)+1)-FIND(".",AU$3)-1),Gällivare!$B$6:$J$36,MATCH($C9,Gällivare!$B$6:$B$36,0),FALSE)&amp;CHAR(10)&amp;"Local Target: "&amp;HLOOKUP(RIGHT(AU$3,LEN(AU$3)-FIND(".",AU$3,FIND(".",AU$3)+1)),Gällivare!$B$6:$J$36,MATCH($C9,Gällivare!$B$6:$B$36,0),FALSE)))</f>
        <v>Medium</v>
      </c>
      <c r="AV9" s="177" t="str">
        <f>IF(AND(HLOOKUP(MID(AV$3,FIND(".",AV$3)+1,FIND(".",AV$3,FIND(".",AV$3)+1)-FIND(".",AV$3)-1),Gällivare!$B$6:$J$36,MATCH($C9,Gällivare!$B$6:$B$36,0),FALSE)="No Impact",HLOOKUP(RIGHT(AV$3,LEN(AV$3)-FIND(".",AV$3,FIND(".",AV$3)+1)),Gällivare!$B$6:$J$36,MATCH($C9,Gällivare!$B$6:$B$36,0),FALSE)="No Impact"),HLOOKUP(LEFT(AV$3,4),Global!$B$6:$J$36,MATCH($C9,Global!$B$6:$B$36,0),FALSE),IF(AND(HLOOKUP(MID(AV$3,FIND(".",AV$3)+1,FIND(".",AV$3,FIND(".",AV$3)+1)-FIND(".",AV$3)-1),Gällivare!$B$6:$J$36,MATCH($C9,Gällivare!$B$6:$B$36,0),FALSE)="No Impact",HLOOKUP(LEFT(AV$3,4),Global!$B$6:$J$36,MATCH($C9,Global!$B$6:$B$36,0),FALSE)="No Impact"),HLOOKUP(RIGHT(AV$3,LEN(AV$3)-FIND(".",AV$3,FIND(".",AV$3)+1)),Gällivare!$B$6:$J$36,MATCH($C9,Gällivare!$B$6:$B$36,0),FALSE),"Global: "&amp;HLOOKUP(LEFT(AV$3,4),Global!$B$6:$J$36,MATCH($C9,Global!$B$6:$B$36,0),FALSE)&amp;CHAR(10)&amp;"Local Trend: "&amp;HLOOKUP(MID(AV$3,FIND(".",AV$3)+1,FIND(".",AV$3,FIND(".",AV$3)+1)-FIND(".",AV$3)-1),Gällivare!$B$6:$J$36,MATCH($C9,Gällivare!$B$6:$B$36,0),FALSE)&amp;CHAR(10)&amp;"Local Target: "&amp;HLOOKUP(RIGHT(AV$3,LEN(AV$3)-FIND(".",AV$3,FIND(".",AV$3)+1)),Gällivare!$B$6:$J$36,MATCH($C9,Gällivare!$B$6:$B$36,0),FALSE)))</f>
        <v>Medium</v>
      </c>
      <c r="AW9" s="177" t="str">
        <f>IF(AND(HLOOKUP(MID(AW$3,FIND(".",AW$3)+1,FIND(".",AW$3,FIND(".",AW$3)+1)-FIND(".",AW$3)-1),Gällivare!$B$6:$J$36,MATCH($C9,Gällivare!$B$6:$B$36,0),FALSE)="No Impact",HLOOKUP(RIGHT(AW$3,LEN(AW$3)-FIND(".",AW$3,FIND(".",AW$3)+1)),Gällivare!$B$6:$J$36,MATCH($C9,Gällivare!$B$6:$B$36,0),FALSE)="No Impact"),HLOOKUP(LEFT(AW$3,4),Global!$B$6:$J$36,MATCH($C9,Global!$B$6:$B$36,0),FALSE),IF(AND(HLOOKUP(MID(AW$3,FIND(".",AW$3)+1,FIND(".",AW$3,FIND(".",AW$3)+1)-FIND(".",AW$3)-1),Gällivare!$B$6:$J$36,MATCH($C9,Gällivare!$B$6:$B$36,0),FALSE)="No Impact",HLOOKUP(LEFT(AW$3,4),Global!$B$6:$J$36,MATCH($C9,Global!$B$6:$B$36,0),FALSE)="No Impact"),HLOOKUP(RIGHT(AW$3,LEN(AW$3)-FIND(".",AW$3,FIND(".",AW$3)+1)),Gällivare!$B$6:$J$36,MATCH($C9,Gällivare!$B$6:$B$36,0),FALSE),"Global: "&amp;HLOOKUP(LEFT(AW$3,4),Global!$B$6:$J$36,MATCH($C9,Global!$B$6:$B$36,0),FALSE)&amp;CHAR(10)&amp;"Local Trend: "&amp;HLOOKUP(MID(AW$3,FIND(".",AW$3)+1,FIND(".",AW$3,FIND(".",AW$3)+1)-FIND(".",AW$3)-1),Gällivare!$B$6:$J$36,MATCH($C9,Gällivare!$B$6:$B$36,0),FALSE)&amp;CHAR(10)&amp;"Local Target: "&amp;HLOOKUP(RIGHT(AW$3,LEN(AW$3)-FIND(".",AW$3,FIND(".",AW$3)+1)),Gällivare!$B$6:$J$36,MATCH($C9,Gällivare!$B$6:$B$36,0),FALSE)))</f>
        <v>Medium</v>
      </c>
      <c r="AX9" s="177" t="str">
        <f>IF(AND(HLOOKUP(MID(AX$3,FIND(".",AX$3)+1,FIND(".",AX$3,FIND(".",AX$3)+1)-FIND(".",AX$3)-1),Gällivare!$B$6:$J$36,MATCH($C9,Gällivare!$B$6:$B$36,0),FALSE)="No Impact",HLOOKUP(RIGHT(AX$3,LEN(AX$3)-FIND(".",AX$3,FIND(".",AX$3)+1)),Gällivare!$B$6:$J$36,MATCH($C9,Gällivare!$B$6:$B$36,0),FALSE)="No Impact"),HLOOKUP(LEFT(AX$3,4),Global!$B$6:$J$36,MATCH($C9,Global!$B$6:$B$36,0),FALSE),IF(AND(HLOOKUP(MID(AX$3,FIND(".",AX$3)+1,FIND(".",AX$3,FIND(".",AX$3)+1)-FIND(".",AX$3)-1),Gällivare!$B$6:$J$36,MATCH($C9,Gällivare!$B$6:$B$36,0),FALSE)="No Impact",HLOOKUP(LEFT(AX$3,4),Global!$B$6:$J$36,MATCH($C9,Global!$B$6:$B$36,0),FALSE)="No Impact"),HLOOKUP(RIGHT(AX$3,LEN(AX$3)-FIND(".",AX$3,FIND(".",AX$3)+1)),Gällivare!$B$6:$J$36,MATCH($C9,Gällivare!$B$6:$B$36,0),FALSE),"Global: "&amp;HLOOKUP(LEFT(AX$3,4),Global!$B$6:$J$36,MATCH($C9,Global!$B$6:$B$36,0),FALSE)&amp;CHAR(10)&amp;"Local Trend: "&amp;HLOOKUP(MID(AX$3,FIND(".",AX$3)+1,FIND(".",AX$3,FIND(".",AX$3)+1)-FIND(".",AX$3)-1),Gällivare!$B$6:$J$36,MATCH($C9,Gällivare!$B$6:$B$36,0),FALSE)&amp;CHAR(10)&amp;"Local Target: "&amp;HLOOKUP(RIGHT(AX$3,LEN(AX$3)-FIND(".",AX$3,FIND(".",AX$3)+1)),Gällivare!$B$6:$J$36,MATCH($C9,Gällivare!$B$6:$B$36,0),FALSE)))</f>
        <v>Medium</v>
      </c>
      <c r="AY9" s="177" t="str">
        <f>IF(AND(HLOOKUP(MID(AY$3,FIND(".",AY$3)+1,FIND(".",AY$3,FIND(".",AY$3)+1)-FIND(".",AY$3)-1),Gällivare!$B$6:$J$36,MATCH($C9,Gällivare!$B$6:$B$36,0),FALSE)="No Impact",HLOOKUP(RIGHT(AY$3,LEN(AY$3)-FIND(".",AY$3,FIND(".",AY$3)+1)),Gällivare!$B$6:$J$36,MATCH($C9,Gällivare!$B$6:$B$36,0),FALSE)="No Impact"),HLOOKUP(LEFT(AY$3,4),Global!$B$6:$J$36,MATCH($C9,Global!$B$6:$B$36,0),FALSE),IF(AND(HLOOKUP(MID(AY$3,FIND(".",AY$3)+1,FIND(".",AY$3,FIND(".",AY$3)+1)-FIND(".",AY$3)-1),Gällivare!$B$6:$J$36,MATCH($C9,Gällivare!$B$6:$B$36,0),FALSE)="No Impact",HLOOKUP(LEFT(AY$3,4),Global!$B$6:$J$36,MATCH($C9,Global!$B$6:$B$36,0),FALSE)="No Impact"),HLOOKUP(RIGHT(AY$3,LEN(AY$3)-FIND(".",AY$3,FIND(".",AY$3)+1)),Gällivare!$B$6:$J$36,MATCH($C9,Gällivare!$B$6:$B$36,0),FALSE),"Global: "&amp;HLOOKUP(LEFT(AY$3,4),Global!$B$6:$J$36,MATCH($C9,Global!$B$6:$B$36,0),FALSE)&amp;CHAR(10)&amp;"Local Trend: "&amp;HLOOKUP(MID(AY$3,FIND(".",AY$3)+1,FIND(".",AY$3,FIND(".",AY$3)+1)-FIND(".",AY$3)-1),Gällivare!$B$6:$J$36,MATCH($C9,Gällivare!$B$6:$B$36,0),FALSE)&amp;CHAR(10)&amp;"Local Target: "&amp;HLOOKUP(RIGHT(AY$3,LEN(AY$3)-FIND(".",AY$3,FIND(".",AY$3)+1)),Gällivare!$B$6:$J$36,MATCH($C9,Gällivare!$B$6:$B$36,0),FALSE)))</f>
        <v>Medium</v>
      </c>
      <c r="AZ9" s="177" t="str">
        <f>IF(AND(HLOOKUP(MID(AZ$3,FIND(".",AZ$3)+1,FIND(".",AZ$3,FIND(".",AZ$3)+1)-FIND(".",AZ$3)-1),Gällivare!$B$6:$J$36,MATCH($C9,Gällivare!$B$6:$B$36,0),FALSE)="No Impact",HLOOKUP(RIGHT(AZ$3,LEN(AZ$3)-FIND(".",AZ$3,FIND(".",AZ$3)+1)),Gällivare!$B$6:$J$36,MATCH($C9,Gällivare!$B$6:$B$36,0),FALSE)="No Impact"),HLOOKUP(LEFT(AZ$3,4),Global!$B$6:$J$36,MATCH($C9,Global!$B$6:$B$36,0),FALSE),IF(AND(HLOOKUP(MID(AZ$3,FIND(".",AZ$3)+1,FIND(".",AZ$3,FIND(".",AZ$3)+1)-FIND(".",AZ$3)-1),Gällivare!$B$6:$J$36,MATCH($C9,Gällivare!$B$6:$B$36,0),FALSE)="No Impact",HLOOKUP(LEFT(AZ$3,4),Global!$B$6:$J$36,MATCH($C9,Global!$B$6:$B$36,0),FALSE)="No Impact"),HLOOKUP(RIGHT(AZ$3,LEN(AZ$3)-FIND(".",AZ$3,FIND(".",AZ$3)+1)),Gällivare!$B$6:$J$36,MATCH($C9,Gällivare!$B$6:$B$36,0),FALSE),"Global: "&amp;HLOOKUP(LEFT(AZ$3,4),Global!$B$6:$J$36,MATCH($C9,Global!$B$6:$B$36,0),FALSE)&amp;CHAR(10)&amp;"Local Trend: "&amp;HLOOKUP(MID(AZ$3,FIND(".",AZ$3)+1,FIND(".",AZ$3,FIND(".",AZ$3)+1)-FIND(".",AZ$3)-1),Gällivare!$B$6:$J$36,MATCH($C9,Gällivare!$B$6:$B$36,0),FALSE)&amp;CHAR(10)&amp;"Local Target: "&amp;HLOOKUP(RIGHT(AZ$3,LEN(AZ$3)-FIND(".",AZ$3,FIND(".",AZ$3)+1)),Gällivare!$B$6:$J$36,MATCH($C9,Gällivare!$B$6:$B$36,0),FALSE)))</f>
        <v>Medium</v>
      </c>
      <c r="BA9" s="177" t="str">
        <f>IF(AND(HLOOKUP(MID(BA$3,FIND(".",BA$3)+1,FIND(".",BA$3,FIND(".",BA$3)+1)-FIND(".",BA$3)-1),Gällivare!$B$6:$J$36,MATCH($C9,Gällivare!$B$6:$B$36,0),FALSE)="No Impact",HLOOKUP(RIGHT(BA$3,LEN(BA$3)-FIND(".",BA$3,FIND(".",BA$3)+1)),Gällivare!$B$6:$J$36,MATCH($C9,Gällivare!$B$6:$B$36,0),FALSE)="No Impact"),HLOOKUP(LEFT(BA$3,4),Global!$B$6:$J$36,MATCH($C9,Global!$B$6:$B$36,0),FALSE),IF(AND(HLOOKUP(MID(BA$3,FIND(".",BA$3)+1,FIND(".",BA$3,FIND(".",BA$3)+1)-FIND(".",BA$3)-1),Gällivare!$B$6:$J$36,MATCH($C9,Gällivare!$B$6:$B$36,0),FALSE)="No Impact",HLOOKUP(LEFT(BA$3,4),Global!$B$6:$J$36,MATCH($C9,Global!$B$6:$B$36,0),FALSE)="No Impact"),HLOOKUP(RIGHT(BA$3,LEN(BA$3)-FIND(".",BA$3,FIND(".",BA$3)+1)),Gällivare!$B$6:$J$36,MATCH($C9,Gällivare!$B$6:$B$36,0),FALSE),"Global: "&amp;HLOOKUP(LEFT(BA$3,4),Global!$B$6:$J$36,MATCH($C9,Global!$B$6:$B$36,0),FALSE)&amp;CHAR(10)&amp;"Local Trend: "&amp;HLOOKUP(MID(BA$3,FIND(".",BA$3)+1,FIND(".",BA$3,FIND(".",BA$3)+1)-FIND(".",BA$3)-1),Gällivare!$B$6:$J$36,MATCH($C9,Gällivare!$B$6:$B$36,0),FALSE)&amp;CHAR(10)&amp;"Local Target: "&amp;HLOOKUP(RIGHT(BA$3,LEN(BA$3)-FIND(".",BA$3,FIND(".",BA$3)+1)),Gällivare!$B$6:$J$36,MATCH($C9,Gällivare!$B$6:$B$36,0),FALSE)))</f>
        <v>Medium</v>
      </c>
      <c r="BB9" s="177" t="str">
        <f>IF(AND(HLOOKUP(MID(BB$3,FIND(".",BB$3)+1,FIND(".",BB$3,FIND(".",BB$3)+1)-FIND(".",BB$3)-1),Gällivare!$B$6:$J$36,MATCH($C9,Gällivare!$B$6:$B$36,0),FALSE)="No Impact",HLOOKUP(RIGHT(BB$3,LEN(BB$3)-FIND(".",BB$3,FIND(".",BB$3)+1)),Gällivare!$B$6:$J$36,MATCH($C9,Gällivare!$B$6:$B$36,0),FALSE)="No Impact"),HLOOKUP(LEFT(BB$3,4),Global!$B$6:$J$36,MATCH($C9,Global!$B$6:$B$36,0),FALSE),IF(AND(HLOOKUP(MID(BB$3,FIND(".",BB$3)+1,FIND(".",BB$3,FIND(".",BB$3)+1)-FIND(".",BB$3)-1),Gällivare!$B$6:$J$36,MATCH($C9,Gällivare!$B$6:$B$36,0),FALSE)="No Impact",HLOOKUP(LEFT(BB$3,4),Global!$B$6:$J$36,MATCH($C9,Global!$B$6:$B$36,0),FALSE)="No Impact"),HLOOKUP(RIGHT(BB$3,LEN(BB$3)-FIND(".",BB$3,FIND(".",BB$3)+1)),Gällivare!$B$6:$J$36,MATCH($C9,Gällivare!$B$6:$B$36,0),FALSE),"Global: "&amp;HLOOKUP(LEFT(BB$3,4),Global!$B$6:$J$36,MATCH($C9,Global!$B$6:$B$36,0),FALSE)&amp;CHAR(10)&amp;"Local Trend: "&amp;HLOOKUP(MID(BB$3,FIND(".",BB$3)+1,FIND(".",BB$3,FIND(".",BB$3)+1)-FIND(".",BB$3)-1),Gällivare!$B$6:$J$36,MATCH($C9,Gällivare!$B$6:$B$36,0),FALSE)&amp;CHAR(10)&amp;"Local Target: "&amp;HLOOKUP(RIGHT(BB$3,LEN(BB$3)-FIND(".",BB$3,FIND(".",BB$3)+1)),Gällivare!$B$6:$J$36,MATCH($C9,Gällivare!$B$6:$B$36,0),FALSE)))</f>
        <v>Medium</v>
      </c>
      <c r="BC9" s="177" t="str">
        <f>IF(AND(HLOOKUP(MID(BC$3,FIND(".",BC$3)+1,FIND(".",BC$3,FIND(".",BC$3)+1)-FIND(".",BC$3)-1),Gällivare!$B$6:$J$36,MATCH($C9,Gällivare!$B$6:$B$36,0),FALSE)="No Impact",HLOOKUP(RIGHT(BC$3,LEN(BC$3)-FIND(".",BC$3,FIND(".",BC$3)+1)),Gällivare!$B$6:$J$36,MATCH($C9,Gällivare!$B$6:$B$36,0),FALSE)="No Impact"),HLOOKUP(LEFT(BC$3,4),Global!$B$6:$J$36,MATCH($C9,Global!$B$6:$B$36,0),FALSE),IF(AND(HLOOKUP(MID(BC$3,FIND(".",BC$3)+1,FIND(".",BC$3,FIND(".",BC$3)+1)-FIND(".",BC$3)-1),Gällivare!$B$6:$J$36,MATCH($C9,Gällivare!$B$6:$B$36,0),FALSE)="No Impact",HLOOKUP(LEFT(BC$3,4),Global!$B$6:$J$36,MATCH($C9,Global!$B$6:$B$36,0),FALSE)="No Impact"),HLOOKUP(RIGHT(BC$3,LEN(BC$3)-FIND(".",BC$3,FIND(".",BC$3)+1)),Gällivare!$B$6:$J$36,MATCH($C9,Gällivare!$B$6:$B$36,0),FALSE),"Global: "&amp;HLOOKUP(LEFT(BC$3,4),Global!$B$6:$J$36,MATCH($C9,Global!$B$6:$B$36,0),FALSE)&amp;CHAR(10)&amp;"Local Trend: "&amp;HLOOKUP(MID(BC$3,FIND(".",BC$3)+1,FIND(".",BC$3,FIND(".",BC$3)+1)-FIND(".",BC$3)-1),Gällivare!$B$6:$J$36,MATCH($C9,Gällivare!$B$6:$B$36,0),FALSE)&amp;CHAR(10)&amp;"Local Target: "&amp;HLOOKUP(RIGHT(BC$3,LEN(BC$3)-FIND(".",BC$3,FIND(".",BC$3)+1)),Gällivare!$B$6:$J$36,MATCH($C9,Gällivare!$B$6:$B$36,0),FALSE)))</f>
        <v>Medium</v>
      </c>
      <c r="BD9" s="177" t="str">
        <f>IF(AND(HLOOKUP(MID(BD$3,FIND(".",BD$3)+1,FIND(".",BD$3,FIND(".",BD$3)+1)-FIND(".",BD$3)-1),Gällivare!$B$6:$J$36,MATCH($C9,Gällivare!$B$6:$B$36,0),FALSE)="No Impact",HLOOKUP(RIGHT(BD$3,LEN(BD$3)-FIND(".",BD$3,FIND(".",BD$3)+1)),Gällivare!$B$6:$J$36,MATCH($C9,Gällivare!$B$6:$B$36,0),FALSE)="No Impact"),HLOOKUP(LEFT(BD$3,4),Global!$B$6:$J$36,MATCH($C9,Global!$B$6:$B$36,0),FALSE),IF(AND(HLOOKUP(MID(BD$3,FIND(".",BD$3)+1,FIND(".",BD$3,FIND(".",BD$3)+1)-FIND(".",BD$3)-1),Gällivare!$B$6:$J$36,MATCH($C9,Gällivare!$B$6:$B$36,0),FALSE)="No Impact",HLOOKUP(LEFT(BD$3,4),Global!$B$6:$J$36,MATCH($C9,Global!$B$6:$B$36,0),FALSE)="No Impact"),HLOOKUP(RIGHT(BD$3,LEN(BD$3)-FIND(".",BD$3,FIND(".",BD$3)+1)),Gällivare!$B$6:$J$36,MATCH($C9,Gällivare!$B$6:$B$36,0),FALSE),"Global: "&amp;HLOOKUP(LEFT(BD$3,4),Global!$B$6:$J$36,MATCH($C9,Global!$B$6:$B$36,0),FALSE)&amp;CHAR(10)&amp;"Local Trend: "&amp;HLOOKUP(MID(BD$3,FIND(".",BD$3)+1,FIND(".",BD$3,FIND(".",BD$3)+1)-FIND(".",BD$3)-1),Gällivare!$B$6:$J$36,MATCH($C9,Gällivare!$B$6:$B$36,0),FALSE)&amp;CHAR(10)&amp;"Local Target: "&amp;HLOOKUP(RIGHT(BD$3,LEN(BD$3)-FIND(".",BD$3,FIND(".",BD$3)+1)),Gällivare!$B$6:$J$36,MATCH($C9,Gällivare!$B$6:$B$36,0),FALSE)))</f>
        <v>Medium</v>
      </c>
      <c r="BE9" s="177" t="str">
        <f>IF(AND(HLOOKUP(MID(BE$3,FIND(".",BE$3)+1,FIND(".",BE$3,FIND(".",BE$3)+1)-FIND(".",BE$3)-1),Gällivare!$B$6:$J$36,MATCH($C9,Gällivare!$B$6:$B$36,0),FALSE)="No Impact",HLOOKUP(RIGHT(BE$3,LEN(BE$3)-FIND(".",BE$3,FIND(".",BE$3)+1)),Gällivare!$B$6:$J$36,MATCH($C9,Gällivare!$B$6:$B$36,0),FALSE)="No Impact"),HLOOKUP(LEFT(BE$3,4),Global!$B$6:$J$36,MATCH($C9,Global!$B$6:$B$36,0),FALSE),IF(AND(HLOOKUP(MID(BE$3,FIND(".",BE$3)+1,FIND(".",BE$3,FIND(".",BE$3)+1)-FIND(".",BE$3)-1),Gällivare!$B$6:$J$36,MATCH($C9,Gällivare!$B$6:$B$36,0),FALSE)="No Impact",HLOOKUP(LEFT(BE$3,4),Global!$B$6:$J$36,MATCH($C9,Global!$B$6:$B$36,0),FALSE)="No Impact"),HLOOKUP(RIGHT(BE$3,LEN(BE$3)-FIND(".",BE$3,FIND(".",BE$3)+1)),Gällivare!$B$6:$J$36,MATCH($C9,Gällivare!$B$6:$B$36,0),FALSE),"Global: "&amp;HLOOKUP(LEFT(BE$3,4),Global!$B$6:$J$36,MATCH($C9,Global!$B$6:$B$36,0),FALSE)&amp;CHAR(10)&amp;"Local Trend: "&amp;HLOOKUP(MID(BE$3,FIND(".",BE$3)+1,FIND(".",BE$3,FIND(".",BE$3)+1)-FIND(".",BE$3)-1),Gällivare!$B$6:$J$36,MATCH($C9,Gällivare!$B$6:$B$36,0),FALSE)&amp;CHAR(10)&amp;"Local Target: "&amp;HLOOKUP(RIGHT(BE$3,LEN(BE$3)-FIND(".",BE$3,FIND(".",BE$3)+1)),Gällivare!$B$6:$J$36,MATCH($C9,Gällivare!$B$6:$B$36,0),FALSE)))</f>
        <v>Medium</v>
      </c>
      <c r="BF9" s="177" t="str">
        <f>IF(AND(HLOOKUP(MID(BF$3,FIND(".",BF$3)+1,FIND(".",BF$3,FIND(".",BF$3)+1)-FIND(".",BF$3)-1),Gällivare!$B$6:$J$36,MATCH($C9,Gällivare!$B$6:$B$36,0),FALSE)="No Impact",HLOOKUP(RIGHT(BF$3,LEN(BF$3)-FIND(".",BF$3,FIND(".",BF$3)+1)),Gällivare!$B$6:$J$36,MATCH($C9,Gällivare!$B$6:$B$36,0),FALSE)="No Impact"),HLOOKUP(LEFT(BF$3,4),Global!$B$6:$J$36,MATCH($C9,Global!$B$6:$B$36,0),FALSE),IF(AND(HLOOKUP(MID(BF$3,FIND(".",BF$3)+1,FIND(".",BF$3,FIND(".",BF$3)+1)-FIND(".",BF$3)-1),Gällivare!$B$6:$J$36,MATCH($C9,Gällivare!$B$6:$B$36,0),FALSE)="No Impact",HLOOKUP(LEFT(BF$3,4),Global!$B$6:$J$36,MATCH($C9,Global!$B$6:$B$36,0),FALSE)="No Impact"),HLOOKUP(RIGHT(BF$3,LEN(BF$3)-FIND(".",BF$3,FIND(".",BF$3)+1)),Gällivare!$B$6:$J$36,MATCH($C9,Gällivare!$B$6:$B$36,0),FALSE),"Global: "&amp;HLOOKUP(LEFT(BF$3,4),Global!$B$6:$J$36,MATCH($C9,Global!$B$6:$B$36,0),FALSE)&amp;CHAR(10)&amp;"Local Trend: "&amp;HLOOKUP(MID(BF$3,FIND(".",BF$3)+1,FIND(".",BF$3,FIND(".",BF$3)+1)-FIND(".",BF$3)-1),Gällivare!$B$6:$J$36,MATCH($C9,Gällivare!$B$6:$B$36,0),FALSE)&amp;CHAR(10)&amp;"Local Target: "&amp;HLOOKUP(RIGHT(BF$3,LEN(BF$3)-FIND(".",BF$3,FIND(".",BF$3)+1)),Gällivare!$B$6:$J$36,MATCH($C9,Gällivare!$B$6:$B$36,0),FALSE)))</f>
        <v>Medium</v>
      </c>
      <c r="BG9" s="177" t="str">
        <f>IF(AND(HLOOKUP(MID(BG$3,FIND(".",BG$3)+1,FIND(".",BG$3,FIND(".",BG$3)+1)-FIND(".",BG$3)-1),Gällivare!$B$6:$J$36,MATCH($C9,Gällivare!$B$6:$B$36,0),FALSE)="No Impact",HLOOKUP(RIGHT(BG$3,LEN(BG$3)-FIND(".",BG$3,FIND(".",BG$3)+1)),Gällivare!$B$6:$J$36,MATCH($C9,Gällivare!$B$6:$B$36,0),FALSE)="No Impact"),HLOOKUP(LEFT(BG$3,4),Global!$B$6:$J$36,MATCH($C9,Global!$B$6:$B$36,0),FALSE),IF(AND(HLOOKUP(MID(BG$3,FIND(".",BG$3)+1,FIND(".",BG$3,FIND(".",BG$3)+1)-FIND(".",BG$3)-1),Gällivare!$B$6:$J$36,MATCH($C9,Gällivare!$B$6:$B$36,0),FALSE)="No Impact",HLOOKUP(LEFT(BG$3,4),Global!$B$6:$J$36,MATCH($C9,Global!$B$6:$B$36,0),FALSE)="No Impact"),HLOOKUP(RIGHT(BG$3,LEN(BG$3)-FIND(".",BG$3,FIND(".",BG$3)+1)),Gällivare!$B$6:$J$36,MATCH($C9,Gällivare!$B$6:$B$36,0),FALSE),"Global: "&amp;HLOOKUP(LEFT(BG$3,4),Global!$B$6:$J$36,MATCH($C9,Global!$B$6:$B$36,0),FALSE)&amp;CHAR(10)&amp;"Local Trend: "&amp;HLOOKUP(MID(BG$3,FIND(".",BG$3)+1,FIND(".",BG$3,FIND(".",BG$3)+1)-FIND(".",BG$3)-1),Gällivare!$B$6:$J$36,MATCH($C9,Gällivare!$B$6:$B$36,0),FALSE)&amp;CHAR(10)&amp;"Local Target: "&amp;HLOOKUP(RIGHT(BG$3,LEN(BG$3)-FIND(".",BG$3,FIND(".",BG$3)+1)),Gällivare!$B$6:$J$36,MATCH($C9,Gällivare!$B$6:$B$36,0),FALSE)))</f>
        <v>Medium</v>
      </c>
      <c r="BH9" s="177" t="str">
        <f>IF(AND(HLOOKUP(MID(BH$3,FIND(".",BH$3)+1,FIND(".",BH$3,FIND(".",BH$3)+1)-FIND(".",BH$3)-1),Gällivare!$B$6:$J$36,MATCH($C9,Gällivare!$B$6:$B$36,0),FALSE)="No Impact",HLOOKUP(RIGHT(BH$3,LEN(BH$3)-FIND(".",BH$3,FIND(".",BH$3)+1)),Gällivare!$B$6:$J$36,MATCH($C9,Gällivare!$B$6:$B$36,0),FALSE)="No Impact"),HLOOKUP(LEFT(BH$3,4),Global!$B$6:$J$36,MATCH($C9,Global!$B$6:$B$36,0),FALSE),IF(AND(HLOOKUP(MID(BH$3,FIND(".",BH$3)+1,FIND(".",BH$3,FIND(".",BH$3)+1)-FIND(".",BH$3)-1),Gällivare!$B$6:$J$36,MATCH($C9,Gällivare!$B$6:$B$36,0),FALSE)="No Impact",HLOOKUP(LEFT(BH$3,4),Global!$B$6:$J$36,MATCH($C9,Global!$B$6:$B$36,0),FALSE)="No Impact"),HLOOKUP(RIGHT(BH$3,LEN(BH$3)-FIND(".",BH$3,FIND(".",BH$3)+1)),Gällivare!$B$6:$J$36,MATCH($C9,Gällivare!$B$6:$B$36,0),FALSE),"Global: "&amp;HLOOKUP(LEFT(BH$3,4),Global!$B$6:$J$36,MATCH($C9,Global!$B$6:$B$36,0),FALSE)&amp;CHAR(10)&amp;"Local Trend: "&amp;HLOOKUP(MID(BH$3,FIND(".",BH$3)+1,FIND(".",BH$3,FIND(".",BH$3)+1)-FIND(".",BH$3)-1),Gällivare!$B$6:$J$36,MATCH($C9,Gällivare!$B$6:$B$36,0),FALSE)&amp;CHAR(10)&amp;"Local Target: "&amp;HLOOKUP(RIGHT(BH$3,LEN(BH$3)-FIND(".",BH$3,FIND(".",BH$3)+1)),Gällivare!$B$6:$J$36,MATCH($C9,Gällivare!$B$6:$B$36,0),FALSE)))</f>
        <v>Medium</v>
      </c>
      <c r="BI9" s="177" t="str">
        <f>IF(AND(HLOOKUP(MID(BI$3,FIND(".",BI$3)+1,FIND(".",BI$3,FIND(".",BI$3)+1)-FIND(".",BI$3)-1),Gällivare!$B$6:$J$36,MATCH($C9,Gällivare!$B$6:$B$36,0),FALSE)="No Impact",HLOOKUP(RIGHT(BI$3,LEN(BI$3)-FIND(".",BI$3,FIND(".",BI$3)+1)),Gällivare!$B$6:$J$36,MATCH($C9,Gällivare!$B$6:$B$36,0),FALSE)="No Impact"),HLOOKUP(LEFT(BI$3,4),Global!$B$6:$J$36,MATCH($C9,Global!$B$6:$B$36,0),FALSE),IF(AND(HLOOKUP(MID(BI$3,FIND(".",BI$3)+1,FIND(".",BI$3,FIND(".",BI$3)+1)-FIND(".",BI$3)-1),Gällivare!$B$6:$J$36,MATCH($C9,Gällivare!$B$6:$B$36,0),FALSE)="No Impact",HLOOKUP(LEFT(BI$3,4),Global!$B$6:$J$36,MATCH($C9,Global!$B$6:$B$36,0),FALSE)="No Impact"),HLOOKUP(RIGHT(BI$3,LEN(BI$3)-FIND(".",BI$3,FIND(".",BI$3)+1)),Gällivare!$B$6:$J$36,MATCH($C9,Gällivare!$B$6:$B$36,0),FALSE),"Global: "&amp;HLOOKUP(LEFT(BI$3,4),Global!$B$6:$J$36,MATCH($C9,Global!$B$6:$B$36,0),FALSE)&amp;CHAR(10)&amp;"Local Trend: "&amp;HLOOKUP(MID(BI$3,FIND(".",BI$3)+1,FIND(".",BI$3,FIND(".",BI$3)+1)-FIND(".",BI$3)-1),Gällivare!$B$6:$J$36,MATCH($C9,Gällivare!$B$6:$B$36,0),FALSE)&amp;CHAR(10)&amp;"Local Target: "&amp;HLOOKUP(RIGHT(BI$3,LEN(BI$3)-FIND(".",BI$3,FIND(".",BI$3)+1)),Gällivare!$B$6:$J$36,MATCH($C9,Gällivare!$B$6:$B$36,0),FALSE)))</f>
        <v>Medium</v>
      </c>
      <c r="BJ9" s="177" t="str">
        <f>IF(AND(HLOOKUP(MID(BJ$3,FIND(".",BJ$3)+1,FIND(".",BJ$3,FIND(".",BJ$3)+1)-FIND(".",BJ$3)-1),Gällivare!$B$6:$J$36,MATCH($C9,Gällivare!$B$6:$B$36,0),FALSE)="No Impact",HLOOKUP(RIGHT(BJ$3,LEN(BJ$3)-FIND(".",BJ$3,FIND(".",BJ$3)+1)),Gällivare!$B$6:$J$36,MATCH($C9,Gällivare!$B$6:$B$36,0),FALSE)="No Impact"),HLOOKUP(LEFT(BJ$3,4),Global!$B$6:$J$36,MATCH($C9,Global!$B$6:$B$36,0),FALSE),IF(AND(HLOOKUP(MID(BJ$3,FIND(".",BJ$3)+1,FIND(".",BJ$3,FIND(".",BJ$3)+1)-FIND(".",BJ$3)-1),Gällivare!$B$6:$J$36,MATCH($C9,Gällivare!$B$6:$B$36,0),FALSE)="No Impact",HLOOKUP(LEFT(BJ$3,4),Global!$B$6:$J$36,MATCH($C9,Global!$B$6:$B$36,0),FALSE)="No Impact"),HLOOKUP(RIGHT(BJ$3,LEN(BJ$3)-FIND(".",BJ$3,FIND(".",BJ$3)+1)),Gällivare!$B$6:$J$36,MATCH($C9,Gällivare!$B$6:$B$36,0),FALSE),"Global: "&amp;HLOOKUP(LEFT(BJ$3,4),Global!$B$6:$J$36,MATCH($C9,Global!$B$6:$B$36,0),FALSE)&amp;CHAR(10)&amp;"Local Trend: "&amp;HLOOKUP(MID(BJ$3,FIND(".",BJ$3)+1,FIND(".",BJ$3,FIND(".",BJ$3)+1)-FIND(".",BJ$3)-1),Gällivare!$B$6:$J$36,MATCH($C9,Gällivare!$B$6:$B$36,0),FALSE)&amp;CHAR(10)&amp;"Local Target: "&amp;HLOOKUP(RIGHT(BJ$3,LEN(BJ$3)-FIND(".",BJ$3,FIND(".",BJ$3)+1)),Gällivare!$B$6:$J$36,MATCH($C9,Gällivare!$B$6:$B$36,0),FALSE)))</f>
        <v>Medium</v>
      </c>
      <c r="BK9" s="177" t="str">
        <f>IF(AND(HLOOKUP(MID(BK$3,FIND(".",BK$3)+1,FIND(".",BK$3,FIND(".",BK$3)+1)-FIND(".",BK$3)-1),Gällivare!$B$6:$J$36,MATCH($C9,Gällivare!$B$6:$B$36,0),FALSE)="No Impact",HLOOKUP(RIGHT(BK$3,LEN(BK$3)-FIND(".",BK$3,FIND(".",BK$3)+1)),Gällivare!$B$6:$J$36,MATCH($C9,Gällivare!$B$6:$B$36,0),FALSE)="No Impact"),HLOOKUP(LEFT(BK$3,4),Global!$B$6:$J$36,MATCH($C9,Global!$B$6:$B$36,0),FALSE),IF(AND(HLOOKUP(MID(BK$3,FIND(".",BK$3)+1,FIND(".",BK$3,FIND(".",BK$3)+1)-FIND(".",BK$3)-1),Gällivare!$B$6:$J$36,MATCH($C9,Gällivare!$B$6:$B$36,0),FALSE)="No Impact",HLOOKUP(LEFT(BK$3,4),Global!$B$6:$J$36,MATCH($C9,Global!$B$6:$B$36,0),FALSE)="No Impact"),HLOOKUP(RIGHT(BK$3,LEN(BK$3)-FIND(".",BK$3,FIND(".",BK$3)+1)),Gällivare!$B$6:$J$36,MATCH($C9,Gällivare!$B$6:$B$36,0),FALSE),"Global: "&amp;HLOOKUP(LEFT(BK$3,4),Global!$B$6:$J$36,MATCH($C9,Global!$B$6:$B$36,0),FALSE)&amp;CHAR(10)&amp;"Local Trend: "&amp;HLOOKUP(MID(BK$3,FIND(".",BK$3)+1,FIND(".",BK$3,FIND(".",BK$3)+1)-FIND(".",BK$3)-1),Gällivare!$B$6:$J$36,MATCH($C9,Gällivare!$B$6:$B$36,0),FALSE)&amp;CHAR(10)&amp;"Local Target: "&amp;HLOOKUP(RIGHT(BK$3,LEN(BK$3)-FIND(".",BK$3,FIND(".",BK$3)+1)),Gällivare!$B$6:$J$36,MATCH($C9,Gällivare!$B$6:$B$36,0),FALSE)))</f>
        <v>Low</v>
      </c>
      <c r="BL9" s="177" t="str">
        <f>IF(AND(HLOOKUP(MID(BL$3,FIND(".",BL$3)+1,FIND(".",BL$3,FIND(".",BL$3)+1)-FIND(".",BL$3)-1),Gällivare!$B$6:$J$36,MATCH($C9,Gällivare!$B$6:$B$36,0),FALSE)="No Impact",HLOOKUP(RIGHT(BL$3,LEN(BL$3)-FIND(".",BL$3,FIND(".",BL$3)+1)),Gällivare!$B$6:$J$36,MATCH($C9,Gällivare!$B$6:$B$36,0),FALSE)="No Impact"),HLOOKUP(LEFT(BL$3,4),Global!$B$6:$J$36,MATCH($C9,Global!$B$6:$B$36,0),FALSE),IF(AND(HLOOKUP(MID(BL$3,FIND(".",BL$3)+1,FIND(".",BL$3,FIND(".",BL$3)+1)-FIND(".",BL$3)-1),Gällivare!$B$6:$J$36,MATCH($C9,Gällivare!$B$6:$B$36,0),FALSE)="No Impact",HLOOKUP(LEFT(BL$3,4),Global!$B$6:$J$36,MATCH($C9,Global!$B$6:$B$36,0),FALSE)="No Impact"),HLOOKUP(RIGHT(BL$3,LEN(BL$3)-FIND(".",BL$3,FIND(".",BL$3)+1)),Gällivare!$B$6:$J$36,MATCH($C9,Gällivare!$B$6:$B$36,0),FALSE),"Global: "&amp;HLOOKUP(LEFT(BL$3,4),Global!$B$6:$J$36,MATCH($C9,Global!$B$6:$B$36,0),FALSE)&amp;CHAR(10)&amp;"Local Trend: "&amp;HLOOKUP(MID(BL$3,FIND(".",BL$3)+1,FIND(".",BL$3,FIND(".",BL$3)+1)-FIND(".",BL$3)-1),Gällivare!$B$6:$J$36,MATCH($C9,Gällivare!$B$6:$B$36,0),FALSE)&amp;CHAR(10)&amp;"Local Target: "&amp;HLOOKUP(RIGHT(BL$3,LEN(BL$3)-FIND(".",BL$3,FIND(".",BL$3)+1)),Gällivare!$B$6:$J$36,MATCH($C9,Gällivare!$B$6:$B$36,0),FALSE)))</f>
        <v>Low</v>
      </c>
      <c r="BM9" s="177" t="str">
        <f>IF(AND(HLOOKUP(MID(BM$3,FIND(".",BM$3)+1,FIND(".",BM$3,FIND(".",BM$3)+1)-FIND(".",BM$3)-1),Gällivare!$B$6:$J$36,MATCH($C9,Gällivare!$B$6:$B$36,0),FALSE)="No Impact",HLOOKUP(RIGHT(BM$3,LEN(BM$3)-FIND(".",BM$3,FIND(".",BM$3)+1)),Gällivare!$B$6:$J$36,MATCH($C9,Gällivare!$B$6:$B$36,0),FALSE)="No Impact"),HLOOKUP(LEFT(BM$3,4),Global!$B$6:$J$36,MATCH($C9,Global!$B$6:$B$36,0),FALSE),IF(AND(HLOOKUP(MID(BM$3,FIND(".",BM$3)+1,FIND(".",BM$3,FIND(".",BM$3)+1)-FIND(".",BM$3)-1),Gällivare!$B$6:$J$36,MATCH($C9,Gällivare!$B$6:$B$36,0),FALSE)="No Impact",HLOOKUP(LEFT(BM$3,4),Global!$B$6:$J$36,MATCH($C9,Global!$B$6:$B$36,0),FALSE)="No Impact"),HLOOKUP(RIGHT(BM$3,LEN(BM$3)-FIND(".",BM$3,FIND(".",BM$3)+1)),Gällivare!$B$6:$J$36,MATCH($C9,Gällivare!$B$6:$B$36,0),FALSE),"Global: "&amp;HLOOKUP(LEFT(BM$3,4),Global!$B$6:$J$36,MATCH($C9,Global!$B$6:$B$36,0),FALSE)&amp;CHAR(10)&amp;"Local Trend: "&amp;HLOOKUP(MID(BM$3,FIND(".",BM$3)+1,FIND(".",BM$3,FIND(".",BM$3)+1)-FIND(".",BM$3)-1),Gällivare!$B$6:$J$36,MATCH($C9,Gällivare!$B$6:$B$36,0),FALSE)&amp;CHAR(10)&amp;"Local Target: "&amp;HLOOKUP(RIGHT(BM$3,LEN(BM$3)-FIND(".",BM$3,FIND(".",BM$3)+1)),Gällivare!$B$6:$J$36,MATCH($C9,Gällivare!$B$6:$B$36,0),FALSE)))</f>
        <v>Low</v>
      </c>
      <c r="BN9" s="177" t="str">
        <f>IF(AND(HLOOKUP(MID(BN$3,FIND(".",BN$3)+1,FIND(".",BN$3,FIND(".",BN$3)+1)-FIND(".",BN$3)-1),Gällivare!$B$6:$J$36,MATCH($C9,Gällivare!$B$6:$B$36,0),FALSE)="No Impact",HLOOKUP(RIGHT(BN$3,LEN(BN$3)-FIND(".",BN$3,FIND(".",BN$3)+1)),Gällivare!$B$6:$J$36,MATCH($C9,Gällivare!$B$6:$B$36,0),FALSE)="No Impact"),HLOOKUP(LEFT(BN$3,4),Global!$B$6:$J$36,MATCH($C9,Global!$B$6:$B$36,0),FALSE),IF(AND(HLOOKUP(MID(BN$3,FIND(".",BN$3)+1,FIND(".",BN$3,FIND(".",BN$3)+1)-FIND(".",BN$3)-1),Gällivare!$B$6:$J$36,MATCH($C9,Gällivare!$B$6:$B$36,0),FALSE)="No Impact",HLOOKUP(LEFT(BN$3,4),Global!$B$6:$J$36,MATCH($C9,Global!$B$6:$B$36,0),FALSE)="No Impact"),HLOOKUP(RIGHT(BN$3,LEN(BN$3)-FIND(".",BN$3,FIND(".",BN$3)+1)),Gällivare!$B$6:$J$36,MATCH($C9,Gällivare!$B$6:$B$36,0),FALSE),"Global: "&amp;HLOOKUP(LEFT(BN$3,4),Global!$B$6:$J$36,MATCH($C9,Global!$B$6:$B$36,0),FALSE)&amp;CHAR(10)&amp;"Local Trend: "&amp;HLOOKUP(MID(BN$3,FIND(".",BN$3)+1,FIND(".",BN$3,FIND(".",BN$3)+1)-FIND(".",BN$3)-1),Gällivare!$B$6:$J$36,MATCH($C9,Gällivare!$B$6:$B$36,0),FALSE)&amp;CHAR(10)&amp;"Local Target: "&amp;HLOOKUP(RIGHT(BN$3,LEN(BN$3)-FIND(".",BN$3,FIND(".",BN$3)+1)),Gällivare!$B$6:$J$36,MATCH($C9,Gällivare!$B$6:$B$36,0),FALSE)))</f>
        <v>Low</v>
      </c>
      <c r="BO9" s="177" t="str">
        <f>IF(AND(HLOOKUP(MID(BO$3,FIND(".",BO$3)+1,FIND(".",BO$3,FIND(".",BO$3)+1)-FIND(".",BO$3)-1),Gällivare!$B$6:$J$36,MATCH($C9,Gällivare!$B$6:$B$36,0),FALSE)="No Impact",HLOOKUP(RIGHT(BO$3,LEN(BO$3)-FIND(".",BO$3,FIND(".",BO$3)+1)),Gällivare!$B$6:$J$36,MATCH($C9,Gällivare!$B$6:$B$36,0),FALSE)="No Impact"),HLOOKUP(LEFT(BO$3,4),Global!$B$6:$J$36,MATCH($C9,Global!$B$6:$B$36,0),FALSE),IF(AND(HLOOKUP(MID(BO$3,FIND(".",BO$3)+1,FIND(".",BO$3,FIND(".",BO$3)+1)-FIND(".",BO$3)-1),Gällivare!$B$6:$J$36,MATCH($C9,Gällivare!$B$6:$B$36,0),FALSE)="No Impact",HLOOKUP(LEFT(BO$3,4),Global!$B$6:$J$36,MATCH($C9,Global!$B$6:$B$36,0),FALSE)="No Impact"),HLOOKUP(RIGHT(BO$3,LEN(BO$3)-FIND(".",BO$3,FIND(".",BO$3)+1)),Gällivare!$B$6:$J$36,MATCH($C9,Gällivare!$B$6:$B$36,0),FALSE),"Global: "&amp;HLOOKUP(LEFT(BO$3,4),Global!$B$6:$J$36,MATCH($C9,Global!$B$6:$B$36,0),FALSE)&amp;CHAR(10)&amp;"Local Trend: "&amp;HLOOKUP(MID(BO$3,FIND(".",BO$3)+1,FIND(".",BO$3,FIND(".",BO$3)+1)-FIND(".",BO$3)-1),Gällivare!$B$6:$J$36,MATCH($C9,Gällivare!$B$6:$B$36,0),FALSE)&amp;CHAR(10)&amp;"Local Target: "&amp;HLOOKUP(RIGHT(BO$3,LEN(BO$3)-FIND(".",BO$3,FIND(".",BO$3)+1)),Gällivare!$B$6:$J$36,MATCH($C9,Gällivare!$B$6:$B$36,0),FALSE)))</f>
        <v>Low</v>
      </c>
      <c r="BP9" s="177" t="str">
        <f>IF(AND(HLOOKUP(MID(BP$3,FIND(".",BP$3)+1,FIND(".",BP$3,FIND(".",BP$3)+1)-FIND(".",BP$3)-1),Gällivare!$B$6:$J$36,MATCH($C9,Gällivare!$B$6:$B$36,0),FALSE)="No Impact",HLOOKUP(RIGHT(BP$3,LEN(BP$3)-FIND(".",BP$3,FIND(".",BP$3)+1)),Gällivare!$B$6:$J$36,MATCH($C9,Gällivare!$B$6:$B$36,0),FALSE)="No Impact"),HLOOKUP(LEFT(BP$3,4),Global!$B$6:$J$36,MATCH($C9,Global!$B$6:$B$36,0),FALSE),IF(AND(HLOOKUP(MID(BP$3,FIND(".",BP$3)+1,FIND(".",BP$3,FIND(".",BP$3)+1)-FIND(".",BP$3)-1),Gällivare!$B$6:$J$36,MATCH($C9,Gällivare!$B$6:$B$36,0),FALSE)="No Impact",HLOOKUP(LEFT(BP$3,4),Global!$B$6:$J$36,MATCH($C9,Global!$B$6:$B$36,0),FALSE)="No Impact"),HLOOKUP(RIGHT(BP$3,LEN(BP$3)-FIND(".",BP$3,FIND(".",BP$3)+1)),Gällivare!$B$6:$J$36,MATCH($C9,Gällivare!$B$6:$B$36,0),FALSE),"Global: "&amp;HLOOKUP(LEFT(BP$3,4),Global!$B$6:$J$36,MATCH($C9,Global!$B$6:$B$36,0),FALSE)&amp;CHAR(10)&amp;"Local Trend: "&amp;HLOOKUP(MID(BP$3,FIND(".",BP$3)+1,FIND(".",BP$3,FIND(".",BP$3)+1)-FIND(".",BP$3)-1),Gällivare!$B$6:$J$36,MATCH($C9,Gällivare!$B$6:$B$36,0),FALSE)&amp;CHAR(10)&amp;"Local Target: "&amp;HLOOKUP(RIGHT(BP$3,LEN(BP$3)-FIND(".",BP$3,FIND(".",BP$3)+1)),Gällivare!$B$6:$J$36,MATCH($C9,Gällivare!$B$6:$B$36,0),FALSE)))</f>
        <v>Low</v>
      </c>
      <c r="BU9" s="171"/>
      <c r="BV9" s="171"/>
    </row>
    <row r="10" spans="2:82" x14ac:dyDescent="0.3">
      <c r="B10" s="243"/>
      <c r="C10" s="175" t="s">
        <v>94</v>
      </c>
      <c r="D10" s="175" t="str">
        <f>D9</f>
        <v>Global/ Swedish</v>
      </c>
      <c r="E10" s="175" t="str">
        <f t="shared" ref="E10:AK10" si="2">E9</f>
        <v>IMPORT price of all Biofuels commodities</v>
      </c>
      <c r="F10" s="175" t="str">
        <f t="shared" si="2"/>
        <v>Input to model</v>
      </c>
      <c r="G10" s="175"/>
      <c r="H10" s="175" t="str">
        <f t="shared" si="2"/>
        <v>High</v>
      </c>
      <c r="I10" s="175" t="str">
        <f t="shared" si="2"/>
        <v>High</v>
      </c>
      <c r="J10" s="175" t="str">
        <f t="shared" si="2"/>
        <v>High</v>
      </c>
      <c r="K10" s="175" t="str">
        <f t="shared" si="2"/>
        <v>High</v>
      </c>
      <c r="L10" s="175" t="str">
        <f t="shared" si="2"/>
        <v>High</v>
      </c>
      <c r="M10" s="175" t="str">
        <f t="shared" si="2"/>
        <v>High</v>
      </c>
      <c r="N10" s="175" t="str">
        <f t="shared" si="2"/>
        <v>Medium</v>
      </c>
      <c r="O10" s="175" t="str">
        <f t="shared" si="2"/>
        <v>Medium</v>
      </c>
      <c r="P10" s="175" t="str">
        <f t="shared" si="2"/>
        <v>Medium</v>
      </c>
      <c r="Q10" s="175" t="str">
        <f t="shared" si="2"/>
        <v>Medium</v>
      </c>
      <c r="R10" s="175" t="str">
        <f t="shared" si="2"/>
        <v>Medium</v>
      </c>
      <c r="S10" s="175" t="str">
        <f t="shared" si="2"/>
        <v>Medium</v>
      </c>
      <c r="T10" s="175" t="str">
        <f t="shared" si="2"/>
        <v>Medium</v>
      </c>
      <c r="U10" s="175" t="str">
        <f t="shared" si="2"/>
        <v>Medium</v>
      </c>
      <c r="V10" s="175" t="str">
        <f t="shared" si="2"/>
        <v>Medium</v>
      </c>
      <c r="W10" s="175" t="str">
        <f t="shared" si="2"/>
        <v>Medium</v>
      </c>
      <c r="X10" s="175" t="str">
        <f t="shared" si="2"/>
        <v>Medium</v>
      </c>
      <c r="Y10" s="175" t="str">
        <f t="shared" si="2"/>
        <v>Medium</v>
      </c>
      <c r="Z10" s="175" t="str">
        <f t="shared" si="2"/>
        <v>Medium</v>
      </c>
      <c r="AA10" s="175" t="str">
        <f t="shared" si="2"/>
        <v>Medium</v>
      </c>
      <c r="AB10" s="175" t="str">
        <f t="shared" si="2"/>
        <v>Medium</v>
      </c>
      <c r="AC10" s="175" t="str">
        <f t="shared" si="2"/>
        <v>Medium</v>
      </c>
      <c r="AD10" s="175" t="str">
        <f t="shared" si="2"/>
        <v>Medium</v>
      </c>
      <c r="AE10" s="175" t="str">
        <f t="shared" si="2"/>
        <v>Medium</v>
      </c>
      <c r="AF10" s="175" t="str">
        <f t="shared" si="2"/>
        <v>Low</v>
      </c>
      <c r="AG10" s="175" t="str">
        <f t="shared" si="2"/>
        <v>Low</v>
      </c>
      <c r="AH10" s="175" t="str">
        <f t="shared" si="2"/>
        <v>Low</v>
      </c>
      <c r="AI10" s="175" t="str">
        <f t="shared" si="2"/>
        <v>Low</v>
      </c>
      <c r="AJ10" s="175" t="str">
        <f t="shared" si="2"/>
        <v>Low</v>
      </c>
      <c r="AK10" s="175" t="str">
        <f t="shared" si="2"/>
        <v>Low</v>
      </c>
      <c r="AL10" s="175"/>
      <c r="AM10" s="177" t="str">
        <f>IF(AND(HLOOKUP(MID(AM$3,FIND(".",AM$3)+1,FIND(".",AM$3,FIND(".",AM$3)+1)-FIND(".",AM$3)-1),Gällivare!$B$6:$J$36,MATCH($C10,Gällivare!$B$6:$B$36,0),FALSE)="No Impact",HLOOKUP(RIGHT(AM$3,LEN(AM$3)-FIND(".",AM$3,FIND(".",AM$3)+1)),Gällivare!$B$6:$J$36,MATCH($C10,Gällivare!$B$6:$B$36,0),FALSE)="No Impact"),HLOOKUP(LEFT(AM$3,4),Global!$B$6:$J$36,MATCH($C10,Global!$B$6:$B$36,0),FALSE),IF(AND(HLOOKUP(MID(AM$3,FIND(".",AM$3)+1,FIND(".",AM$3,FIND(".",AM$3)+1)-FIND(".",AM$3)-1),Gällivare!$B$6:$J$36,MATCH($C10,Gällivare!$B$6:$B$36,0),FALSE)="No Impact",HLOOKUP(LEFT(AM$3,4),Global!$B$6:$J$36,MATCH($C10,Global!$B$6:$B$36,0),FALSE)="No Impact"),HLOOKUP(RIGHT(AM$3,LEN(AM$3)-FIND(".",AM$3,FIND(".",AM$3)+1)),Gällivare!$B$6:$J$36,MATCH($C10,Gällivare!$B$6:$B$36,0),FALSE),"Global: "&amp;HLOOKUP(LEFT(AM$3,4),Global!$B$6:$J$36,MATCH($C10,Global!$B$6:$B$36,0),FALSE)&amp;CHAR(10)&amp;"Local Trend: "&amp;HLOOKUP(MID(AM$3,FIND(".",AM$3)+1,FIND(".",AM$3,FIND(".",AM$3)+1)-FIND(".",AM$3)-1),Gällivare!$B$6:$J$36,MATCH($C10,Gällivare!$B$6:$B$36,0),FALSE)&amp;CHAR(10)&amp;"Local Target: "&amp;HLOOKUP(RIGHT(AM$3,LEN(AM$3)-FIND(".",AM$3,FIND(".",AM$3)+1)),Gällivare!$B$6:$J$36,MATCH($C10,Gällivare!$B$6:$B$36,0),FALSE)))</f>
        <v>High</v>
      </c>
      <c r="AN10" s="177" t="str">
        <f>IF(AND(HLOOKUP(MID(AN$3,FIND(".",AN$3)+1,FIND(".",AN$3,FIND(".",AN$3)+1)-FIND(".",AN$3)-1),Gällivare!$B$6:$J$36,MATCH($C10,Gällivare!$B$6:$B$36,0),FALSE)="No Impact",HLOOKUP(RIGHT(AN$3,LEN(AN$3)-FIND(".",AN$3,FIND(".",AN$3)+1)),Gällivare!$B$6:$J$36,MATCH($C10,Gällivare!$B$6:$B$36,0),FALSE)="No Impact"),HLOOKUP(LEFT(AN$3,4),Global!$B$6:$J$36,MATCH($C10,Global!$B$6:$B$36,0),FALSE),IF(AND(HLOOKUP(MID(AN$3,FIND(".",AN$3)+1,FIND(".",AN$3,FIND(".",AN$3)+1)-FIND(".",AN$3)-1),Gällivare!$B$6:$J$36,MATCH($C10,Gällivare!$B$6:$B$36,0),FALSE)="No Impact",HLOOKUP(LEFT(AN$3,4),Global!$B$6:$J$36,MATCH($C10,Global!$B$6:$B$36,0),FALSE)="No Impact"),HLOOKUP(RIGHT(AN$3,LEN(AN$3)-FIND(".",AN$3,FIND(".",AN$3)+1)),Gällivare!$B$6:$J$36,MATCH($C10,Gällivare!$B$6:$B$36,0),FALSE),"Global: "&amp;HLOOKUP(LEFT(AN$3,4),Global!$B$6:$J$36,MATCH($C10,Global!$B$6:$B$36,0),FALSE)&amp;CHAR(10)&amp;"Local Trend: "&amp;HLOOKUP(MID(AN$3,FIND(".",AN$3)+1,FIND(".",AN$3,FIND(".",AN$3)+1)-FIND(".",AN$3)-1),Gällivare!$B$6:$J$36,MATCH($C10,Gällivare!$B$6:$B$36,0),FALSE)&amp;CHAR(10)&amp;"Local Target: "&amp;HLOOKUP(RIGHT(AN$3,LEN(AN$3)-FIND(".",AN$3,FIND(".",AN$3)+1)),Gällivare!$B$6:$J$36,MATCH($C10,Gällivare!$B$6:$B$36,0),FALSE)))</f>
        <v>High</v>
      </c>
      <c r="AO10" s="177" t="str">
        <f>IF(AND(HLOOKUP(MID(AO$3,FIND(".",AO$3)+1,FIND(".",AO$3,FIND(".",AO$3)+1)-FIND(".",AO$3)-1),Gällivare!$B$6:$J$36,MATCH($C10,Gällivare!$B$6:$B$36,0),FALSE)="No Impact",HLOOKUP(RIGHT(AO$3,LEN(AO$3)-FIND(".",AO$3,FIND(".",AO$3)+1)),Gällivare!$B$6:$J$36,MATCH($C10,Gällivare!$B$6:$B$36,0),FALSE)="No Impact"),HLOOKUP(LEFT(AO$3,4),Global!$B$6:$J$36,MATCH($C10,Global!$B$6:$B$36,0),FALSE),IF(AND(HLOOKUP(MID(AO$3,FIND(".",AO$3)+1,FIND(".",AO$3,FIND(".",AO$3)+1)-FIND(".",AO$3)-1),Gällivare!$B$6:$J$36,MATCH($C10,Gällivare!$B$6:$B$36,0),FALSE)="No Impact",HLOOKUP(LEFT(AO$3,4),Global!$B$6:$J$36,MATCH($C10,Global!$B$6:$B$36,0),FALSE)="No Impact"),HLOOKUP(RIGHT(AO$3,LEN(AO$3)-FIND(".",AO$3,FIND(".",AO$3)+1)),Gällivare!$B$6:$J$36,MATCH($C10,Gällivare!$B$6:$B$36,0),FALSE),"Global: "&amp;HLOOKUP(LEFT(AO$3,4),Global!$B$6:$J$36,MATCH($C10,Global!$B$6:$B$36,0),FALSE)&amp;CHAR(10)&amp;"Local Trend: "&amp;HLOOKUP(MID(AO$3,FIND(".",AO$3)+1,FIND(".",AO$3,FIND(".",AO$3)+1)-FIND(".",AO$3)-1),Gällivare!$B$6:$J$36,MATCH($C10,Gällivare!$B$6:$B$36,0),FALSE)&amp;CHAR(10)&amp;"Local Target: "&amp;HLOOKUP(RIGHT(AO$3,LEN(AO$3)-FIND(".",AO$3,FIND(".",AO$3)+1)),Gällivare!$B$6:$J$36,MATCH($C10,Gällivare!$B$6:$B$36,0),FALSE)))</f>
        <v>High</v>
      </c>
      <c r="AP10" s="177" t="str">
        <f>IF(AND(HLOOKUP(MID(AP$3,FIND(".",AP$3)+1,FIND(".",AP$3,FIND(".",AP$3)+1)-FIND(".",AP$3)-1),Gällivare!$B$6:$J$36,MATCH($C10,Gällivare!$B$6:$B$36,0),FALSE)="No Impact",HLOOKUP(RIGHT(AP$3,LEN(AP$3)-FIND(".",AP$3,FIND(".",AP$3)+1)),Gällivare!$B$6:$J$36,MATCH($C10,Gällivare!$B$6:$B$36,0),FALSE)="No Impact"),HLOOKUP(LEFT(AP$3,4),Global!$B$6:$J$36,MATCH($C10,Global!$B$6:$B$36,0),FALSE),IF(AND(HLOOKUP(MID(AP$3,FIND(".",AP$3)+1,FIND(".",AP$3,FIND(".",AP$3)+1)-FIND(".",AP$3)-1),Gällivare!$B$6:$J$36,MATCH($C10,Gällivare!$B$6:$B$36,0),FALSE)="No Impact",HLOOKUP(LEFT(AP$3,4),Global!$B$6:$J$36,MATCH($C10,Global!$B$6:$B$36,0),FALSE)="No Impact"),HLOOKUP(RIGHT(AP$3,LEN(AP$3)-FIND(".",AP$3,FIND(".",AP$3)+1)),Gällivare!$B$6:$J$36,MATCH($C10,Gällivare!$B$6:$B$36,0),FALSE),"Global: "&amp;HLOOKUP(LEFT(AP$3,4),Global!$B$6:$J$36,MATCH($C10,Global!$B$6:$B$36,0),FALSE)&amp;CHAR(10)&amp;"Local Trend: "&amp;HLOOKUP(MID(AP$3,FIND(".",AP$3)+1,FIND(".",AP$3,FIND(".",AP$3)+1)-FIND(".",AP$3)-1),Gällivare!$B$6:$J$36,MATCH($C10,Gällivare!$B$6:$B$36,0),FALSE)&amp;CHAR(10)&amp;"Local Target: "&amp;HLOOKUP(RIGHT(AP$3,LEN(AP$3)-FIND(".",AP$3,FIND(".",AP$3)+1)),Gällivare!$B$6:$J$36,MATCH($C10,Gällivare!$B$6:$B$36,0),FALSE)))</f>
        <v>High</v>
      </c>
      <c r="AQ10" s="177" t="str">
        <f>IF(AND(HLOOKUP(MID(AQ$3,FIND(".",AQ$3)+1,FIND(".",AQ$3,FIND(".",AQ$3)+1)-FIND(".",AQ$3)-1),Gällivare!$B$6:$J$36,MATCH($C10,Gällivare!$B$6:$B$36,0),FALSE)="No Impact",HLOOKUP(RIGHT(AQ$3,LEN(AQ$3)-FIND(".",AQ$3,FIND(".",AQ$3)+1)),Gällivare!$B$6:$J$36,MATCH($C10,Gällivare!$B$6:$B$36,0),FALSE)="No Impact"),HLOOKUP(LEFT(AQ$3,4),Global!$B$6:$J$36,MATCH($C10,Global!$B$6:$B$36,0),FALSE),IF(AND(HLOOKUP(MID(AQ$3,FIND(".",AQ$3)+1,FIND(".",AQ$3,FIND(".",AQ$3)+1)-FIND(".",AQ$3)-1),Gällivare!$B$6:$J$36,MATCH($C10,Gällivare!$B$6:$B$36,0),FALSE)="No Impact",HLOOKUP(LEFT(AQ$3,4),Global!$B$6:$J$36,MATCH($C10,Global!$B$6:$B$36,0),FALSE)="No Impact"),HLOOKUP(RIGHT(AQ$3,LEN(AQ$3)-FIND(".",AQ$3,FIND(".",AQ$3)+1)),Gällivare!$B$6:$J$36,MATCH($C10,Gällivare!$B$6:$B$36,0),FALSE),"Global: "&amp;HLOOKUP(LEFT(AQ$3,4),Global!$B$6:$J$36,MATCH($C10,Global!$B$6:$B$36,0),FALSE)&amp;CHAR(10)&amp;"Local Trend: "&amp;HLOOKUP(MID(AQ$3,FIND(".",AQ$3)+1,FIND(".",AQ$3,FIND(".",AQ$3)+1)-FIND(".",AQ$3)-1),Gällivare!$B$6:$J$36,MATCH($C10,Gällivare!$B$6:$B$36,0),FALSE)&amp;CHAR(10)&amp;"Local Target: "&amp;HLOOKUP(RIGHT(AQ$3,LEN(AQ$3)-FIND(".",AQ$3,FIND(".",AQ$3)+1)),Gällivare!$B$6:$J$36,MATCH($C10,Gällivare!$B$6:$B$36,0),FALSE)))</f>
        <v>High</v>
      </c>
      <c r="AR10" s="177" t="str">
        <f>IF(AND(HLOOKUP(MID(AR$3,FIND(".",AR$3)+1,FIND(".",AR$3,FIND(".",AR$3)+1)-FIND(".",AR$3)-1),Gällivare!$B$6:$J$36,MATCH($C10,Gällivare!$B$6:$B$36,0),FALSE)="No Impact",HLOOKUP(RIGHT(AR$3,LEN(AR$3)-FIND(".",AR$3,FIND(".",AR$3)+1)),Gällivare!$B$6:$J$36,MATCH($C10,Gällivare!$B$6:$B$36,0),FALSE)="No Impact"),HLOOKUP(LEFT(AR$3,4),Global!$B$6:$J$36,MATCH($C10,Global!$B$6:$B$36,0),FALSE),IF(AND(HLOOKUP(MID(AR$3,FIND(".",AR$3)+1,FIND(".",AR$3,FIND(".",AR$3)+1)-FIND(".",AR$3)-1),Gällivare!$B$6:$J$36,MATCH($C10,Gällivare!$B$6:$B$36,0),FALSE)="No Impact",HLOOKUP(LEFT(AR$3,4),Global!$B$6:$J$36,MATCH($C10,Global!$B$6:$B$36,0),FALSE)="No Impact"),HLOOKUP(RIGHT(AR$3,LEN(AR$3)-FIND(".",AR$3,FIND(".",AR$3)+1)),Gällivare!$B$6:$J$36,MATCH($C10,Gällivare!$B$6:$B$36,0),FALSE),"Global: "&amp;HLOOKUP(LEFT(AR$3,4),Global!$B$6:$J$36,MATCH($C10,Global!$B$6:$B$36,0),FALSE)&amp;CHAR(10)&amp;"Local Trend: "&amp;HLOOKUP(MID(AR$3,FIND(".",AR$3)+1,FIND(".",AR$3,FIND(".",AR$3)+1)-FIND(".",AR$3)-1),Gällivare!$B$6:$J$36,MATCH($C10,Gällivare!$B$6:$B$36,0),FALSE)&amp;CHAR(10)&amp;"Local Target: "&amp;HLOOKUP(RIGHT(AR$3,LEN(AR$3)-FIND(".",AR$3,FIND(".",AR$3)+1)),Gällivare!$B$6:$J$36,MATCH($C10,Gällivare!$B$6:$B$36,0),FALSE)))</f>
        <v>High</v>
      </c>
      <c r="AS10" s="177" t="str">
        <f>IF(AND(HLOOKUP(MID(AS$3,FIND(".",AS$3)+1,FIND(".",AS$3,FIND(".",AS$3)+1)-FIND(".",AS$3)-1),Gällivare!$B$6:$J$36,MATCH($C10,Gällivare!$B$6:$B$36,0),FALSE)="No Impact",HLOOKUP(RIGHT(AS$3,LEN(AS$3)-FIND(".",AS$3,FIND(".",AS$3)+1)),Gällivare!$B$6:$J$36,MATCH($C10,Gällivare!$B$6:$B$36,0),FALSE)="No Impact"),HLOOKUP(LEFT(AS$3,4),Global!$B$6:$J$36,MATCH($C10,Global!$B$6:$B$36,0),FALSE),IF(AND(HLOOKUP(MID(AS$3,FIND(".",AS$3)+1,FIND(".",AS$3,FIND(".",AS$3)+1)-FIND(".",AS$3)-1),Gällivare!$B$6:$J$36,MATCH($C10,Gällivare!$B$6:$B$36,0),FALSE)="No Impact",HLOOKUP(LEFT(AS$3,4),Global!$B$6:$J$36,MATCH($C10,Global!$B$6:$B$36,0),FALSE)="No Impact"),HLOOKUP(RIGHT(AS$3,LEN(AS$3)-FIND(".",AS$3,FIND(".",AS$3)+1)),Gällivare!$B$6:$J$36,MATCH($C10,Gällivare!$B$6:$B$36,0),FALSE),"Global: "&amp;HLOOKUP(LEFT(AS$3,4),Global!$B$6:$J$36,MATCH($C10,Global!$B$6:$B$36,0),FALSE)&amp;CHAR(10)&amp;"Local Trend: "&amp;HLOOKUP(MID(AS$3,FIND(".",AS$3)+1,FIND(".",AS$3,FIND(".",AS$3)+1)-FIND(".",AS$3)-1),Gällivare!$B$6:$J$36,MATCH($C10,Gällivare!$B$6:$B$36,0),FALSE)&amp;CHAR(10)&amp;"Local Target: "&amp;HLOOKUP(RIGHT(AS$3,LEN(AS$3)-FIND(".",AS$3,FIND(".",AS$3)+1)),Gällivare!$B$6:$J$36,MATCH($C10,Gällivare!$B$6:$B$36,0),FALSE)))</f>
        <v>Medium</v>
      </c>
      <c r="AT10" s="177" t="str">
        <f>IF(AND(HLOOKUP(MID(AT$3,FIND(".",AT$3)+1,FIND(".",AT$3,FIND(".",AT$3)+1)-FIND(".",AT$3)-1),Gällivare!$B$6:$J$36,MATCH($C10,Gällivare!$B$6:$B$36,0),FALSE)="No Impact",HLOOKUP(RIGHT(AT$3,LEN(AT$3)-FIND(".",AT$3,FIND(".",AT$3)+1)),Gällivare!$B$6:$J$36,MATCH($C10,Gällivare!$B$6:$B$36,0),FALSE)="No Impact"),HLOOKUP(LEFT(AT$3,4),Global!$B$6:$J$36,MATCH($C10,Global!$B$6:$B$36,0),FALSE),IF(AND(HLOOKUP(MID(AT$3,FIND(".",AT$3)+1,FIND(".",AT$3,FIND(".",AT$3)+1)-FIND(".",AT$3)-1),Gällivare!$B$6:$J$36,MATCH($C10,Gällivare!$B$6:$B$36,0),FALSE)="No Impact",HLOOKUP(LEFT(AT$3,4),Global!$B$6:$J$36,MATCH($C10,Global!$B$6:$B$36,0),FALSE)="No Impact"),HLOOKUP(RIGHT(AT$3,LEN(AT$3)-FIND(".",AT$3,FIND(".",AT$3)+1)),Gällivare!$B$6:$J$36,MATCH($C10,Gällivare!$B$6:$B$36,0),FALSE),"Global: "&amp;HLOOKUP(LEFT(AT$3,4),Global!$B$6:$J$36,MATCH($C10,Global!$B$6:$B$36,0),FALSE)&amp;CHAR(10)&amp;"Local Trend: "&amp;HLOOKUP(MID(AT$3,FIND(".",AT$3)+1,FIND(".",AT$3,FIND(".",AT$3)+1)-FIND(".",AT$3)-1),Gällivare!$B$6:$J$36,MATCH($C10,Gällivare!$B$6:$B$36,0),FALSE)&amp;CHAR(10)&amp;"Local Target: "&amp;HLOOKUP(RIGHT(AT$3,LEN(AT$3)-FIND(".",AT$3,FIND(".",AT$3)+1)),Gällivare!$B$6:$J$36,MATCH($C10,Gällivare!$B$6:$B$36,0),FALSE)))</f>
        <v>Medium</v>
      </c>
      <c r="AU10" s="177" t="str">
        <f>IF(AND(HLOOKUP(MID(AU$3,FIND(".",AU$3)+1,FIND(".",AU$3,FIND(".",AU$3)+1)-FIND(".",AU$3)-1),Gällivare!$B$6:$J$36,MATCH($C10,Gällivare!$B$6:$B$36,0),FALSE)="No Impact",HLOOKUP(RIGHT(AU$3,LEN(AU$3)-FIND(".",AU$3,FIND(".",AU$3)+1)),Gällivare!$B$6:$J$36,MATCH($C10,Gällivare!$B$6:$B$36,0),FALSE)="No Impact"),HLOOKUP(LEFT(AU$3,4),Global!$B$6:$J$36,MATCH($C10,Global!$B$6:$B$36,0),FALSE),IF(AND(HLOOKUP(MID(AU$3,FIND(".",AU$3)+1,FIND(".",AU$3,FIND(".",AU$3)+1)-FIND(".",AU$3)-1),Gällivare!$B$6:$J$36,MATCH($C10,Gällivare!$B$6:$B$36,0),FALSE)="No Impact",HLOOKUP(LEFT(AU$3,4),Global!$B$6:$J$36,MATCH($C10,Global!$B$6:$B$36,0),FALSE)="No Impact"),HLOOKUP(RIGHT(AU$3,LEN(AU$3)-FIND(".",AU$3,FIND(".",AU$3)+1)),Gällivare!$B$6:$J$36,MATCH($C10,Gällivare!$B$6:$B$36,0),FALSE),"Global: "&amp;HLOOKUP(LEFT(AU$3,4),Global!$B$6:$J$36,MATCH($C10,Global!$B$6:$B$36,0),FALSE)&amp;CHAR(10)&amp;"Local Trend: "&amp;HLOOKUP(MID(AU$3,FIND(".",AU$3)+1,FIND(".",AU$3,FIND(".",AU$3)+1)-FIND(".",AU$3)-1),Gällivare!$B$6:$J$36,MATCH($C10,Gällivare!$B$6:$B$36,0),FALSE)&amp;CHAR(10)&amp;"Local Target: "&amp;HLOOKUP(RIGHT(AU$3,LEN(AU$3)-FIND(".",AU$3,FIND(".",AU$3)+1)),Gällivare!$B$6:$J$36,MATCH($C10,Gällivare!$B$6:$B$36,0),FALSE)))</f>
        <v>Medium</v>
      </c>
      <c r="AV10" s="177" t="str">
        <f>IF(AND(HLOOKUP(MID(AV$3,FIND(".",AV$3)+1,FIND(".",AV$3,FIND(".",AV$3)+1)-FIND(".",AV$3)-1),Gällivare!$B$6:$J$36,MATCH($C10,Gällivare!$B$6:$B$36,0),FALSE)="No Impact",HLOOKUP(RIGHT(AV$3,LEN(AV$3)-FIND(".",AV$3,FIND(".",AV$3)+1)),Gällivare!$B$6:$J$36,MATCH($C10,Gällivare!$B$6:$B$36,0),FALSE)="No Impact"),HLOOKUP(LEFT(AV$3,4),Global!$B$6:$J$36,MATCH($C10,Global!$B$6:$B$36,0),FALSE),IF(AND(HLOOKUP(MID(AV$3,FIND(".",AV$3)+1,FIND(".",AV$3,FIND(".",AV$3)+1)-FIND(".",AV$3)-1),Gällivare!$B$6:$J$36,MATCH($C10,Gällivare!$B$6:$B$36,0),FALSE)="No Impact",HLOOKUP(LEFT(AV$3,4),Global!$B$6:$J$36,MATCH($C10,Global!$B$6:$B$36,0),FALSE)="No Impact"),HLOOKUP(RIGHT(AV$3,LEN(AV$3)-FIND(".",AV$3,FIND(".",AV$3)+1)),Gällivare!$B$6:$J$36,MATCH($C10,Gällivare!$B$6:$B$36,0),FALSE),"Global: "&amp;HLOOKUP(LEFT(AV$3,4),Global!$B$6:$J$36,MATCH($C10,Global!$B$6:$B$36,0),FALSE)&amp;CHAR(10)&amp;"Local Trend: "&amp;HLOOKUP(MID(AV$3,FIND(".",AV$3)+1,FIND(".",AV$3,FIND(".",AV$3)+1)-FIND(".",AV$3)-1),Gällivare!$B$6:$J$36,MATCH($C10,Gällivare!$B$6:$B$36,0),FALSE)&amp;CHAR(10)&amp;"Local Target: "&amp;HLOOKUP(RIGHT(AV$3,LEN(AV$3)-FIND(".",AV$3,FIND(".",AV$3)+1)),Gällivare!$B$6:$J$36,MATCH($C10,Gällivare!$B$6:$B$36,0),FALSE)))</f>
        <v>Medium</v>
      </c>
      <c r="AW10" s="177" t="str">
        <f>IF(AND(HLOOKUP(MID(AW$3,FIND(".",AW$3)+1,FIND(".",AW$3,FIND(".",AW$3)+1)-FIND(".",AW$3)-1),Gällivare!$B$6:$J$36,MATCH($C10,Gällivare!$B$6:$B$36,0),FALSE)="No Impact",HLOOKUP(RIGHT(AW$3,LEN(AW$3)-FIND(".",AW$3,FIND(".",AW$3)+1)),Gällivare!$B$6:$J$36,MATCH($C10,Gällivare!$B$6:$B$36,0),FALSE)="No Impact"),HLOOKUP(LEFT(AW$3,4),Global!$B$6:$J$36,MATCH($C10,Global!$B$6:$B$36,0),FALSE),IF(AND(HLOOKUP(MID(AW$3,FIND(".",AW$3)+1,FIND(".",AW$3,FIND(".",AW$3)+1)-FIND(".",AW$3)-1),Gällivare!$B$6:$J$36,MATCH($C10,Gällivare!$B$6:$B$36,0),FALSE)="No Impact",HLOOKUP(LEFT(AW$3,4),Global!$B$6:$J$36,MATCH($C10,Global!$B$6:$B$36,0),FALSE)="No Impact"),HLOOKUP(RIGHT(AW$3,LEN(AW$3)-FIND(".",AW$3,FIND(".",AW$3)+1)),Gällivare!$B$6:$J$36,MATCH($C10,Gällivare!$B$6:$B$36,0),FALSE),"Global: "&amp;HLOOKUP(LEFT(AW$3,4),Global!$B$6:$J$36,MATCH($C10,Global!$B$6:$B$36,0),FALSE)&amp;CHAR(10)&amp;"Local Trend: "&amp;HLOOKUP(MID(AW$3,FIND(".",AW$3)+1,FIND(".",AW$3,FIND(".",AW$3)+1)-FIND(".",AW$3)-1),Gällivare!$B$6:$J$36,MATCH($C10,Gällivare!$B$6:$B$36,0),FALSE)&amp;CHAR(10)&amp;"Local Target: "&amp;HLOOKUP(RIGHT(AW$3,LEN(AW$3)-FIND(".",AW$3,FIND(".",AW$3)+1)),Gällivare!$B$6:$J$36,MATCH($C10,Gällivare!$B$6:$B$36,0),FALSE)))</f>
        <v>Medium</v>
      </c>
      <c r="AX10" s="177" t="str">
        <f>IF(AND(HLOOKUP(MID(AX$3,FIND(".",AX$3)+1,FIND(".",AX$3,FIND(".",AX$3)+1)-FIND(".",AX$3)-1),Gällivare!$B$6:$J$36,MATCH($C10,Gällivare!$B$6:$B$36,0),FALSE)="No Impact",HLOOKUP(RIGHT(AX$3,LEN(AX$3)-FIND(".",AX$3,FIND(".",AX$3)+1)),Gällivare!$B$6:$J$36,MATCH($C10,Gällivare!$B$6:$B$36,0),FALSE)="No Impact"),HLOOKUP(LEFT(AX$3,4),Global!$B$6:$J$36,MATCH($C10,Global!$B$6:$B$36,0),FALSE),IF(AND(HLOOKUP(MID(AX$3,FIND(".",AX$3)+1,FIND(".",AX$3,FIND(".",AX$3)+1)-FIND(".",AX$3)-1),Gällivare!$B$6:$J$36,MATCH($C10,Gällivare!$B$6:$B$36,0),FALSE)="No Impact",HLOOKUP(LEFT(AX$3,4),Global!$B$6:$J$36,MATCH($C10,Global!$B$6:$B$36,0),FALSE)="No Impact"),HLOOKUP(RIGHT(AX$3,LEN(AX$3)-FIND(".",AX$3,FIND(".",AX$3)+1)),Gällivare!$B$6:$J$36,MATCH($C10,Gällivare!$B$6:$B$36,0),FALSE),"Global: "&amp;HLOOKUP(LEFT(AX$3,4),Global!$B$6:$J$36,MATCH($C10,Global!$B$6:$B$36,0),FALSE)&amp;CHAR(10)&amp;"Local Trend: "&amp;HLOOKUP(MID(AX$3,FIND(".",AX$3)+1,FIND(".",AX$3,FIND(".",AX$3)+1)-FIND(".",AX$3)-1),Gällivare!$B$6:$J$36,MATCH($C10,Gällivare!$B$6:$B$36,0),FALSE)&amp;CHAR(10)&amp;"Local Target: "&amp;HLOOKUP(RIGHT(AX$3,LEN(AX$3)-FIND(".",AX$3,FIND(".",AX$3)+1)),Gällivare!$B$6:$J$36,MATCH($C10,Gällivare!$B$6:$B$36,0),FALSE)))</f>
        <v>Medium</v>
      </c>
      <c r="AY10" s="177" t="str">
        <f>IF(AND(HLOOKUP(MID(AY$3,FIND(".",AY$3)+1,FIND(".",AY$3,FIND(".",AY$3)+1)-FIND(".",AY$3)-1),Gällivare!$B$6:$J$36,MATCH($C10,Gällivare!$B$6:$B$36,0),FALSE)="No Impact",HLOOKUP(RIGHT(AY$3,LEN(AY$3)-FIND(".",AY$3,FIND(".",AY$3)+1)),Gällivare!$B$6:$J$36,MATCH($C10,Gällivare!$B$6:$B$36,0),FALSE)="No Impact"),HLOOKUP(LEFT(AY$3,4),Global!$B$6:$J$36,MATCH($C10,Global!$B$6:$B$36,0),FALSE),IF(AND(HLOOKUP(MID(AY$3,FIND(".",AY$3)+1,FIND(".",AY$3,FIND(".",AY$3)+1)-FIND(".",AY$3)-1),Gällivare!$B$6:$J$36,MATCH($C10,Gällivare!$B$6:$B$36,0),FALSE)="No Impact",HLOOKUP(LEFT(AY$3,4),Global!$B$6:$J$36,MATCH($C10,Global!$B$6:$B$36,0),FALSE)="No Impact"),HLOOKUP(RIGHT(AY$3,LEN(AY$3)-FIND(".",AY$3,FIND(".",AY$3)+1)),Gällivare!$B$6:$J$36,MATCH($C10,Gällivare!$B$6:$B$36,0),FALSE),"Global: "&amp;HLOOKUP(LEFT(AY$3,4),Global!$B$6:$J$36,MATCH($C10,Global!$B$6:$B$36,0),FALSE)&amp;CHAR(10)&amp;"Local Trend: "&amp;HLOOKUP(MID(AY$3,FIND(".",AY$3)+1,FIND(".",AY$3,FIND(".",AY$3)+1)-FIND(".",AY$3)-1),Gällivare!$B$6:$J$36,MATCH($C10,Gällivare!$B$6:$B$36,0),FALSE)&amp;CHAR(10)&amp;"Local Target: "&amp;HLOOKUP(RIGHT(AY$3,LEN(AY$3)-FIND(".",AY$3,FIND(".",AY$3)+1)),Gällivare!$B$6:$J$36,MATCH($C10,Gällivare!$B$6:$B$36,0),FALSE)))</f>
        <v>Medium</v>
      </c>
      <c r="AZ10" s="177" t="str">
        <f>IF(AND(HLOOKUP(MID(AZ$3,FIND(".",AZ$3)+1,FIND(".",AZ$3,FIND(".",AZ$3)+1)-FIND(".",AZ$3)-1),Gällivare!$B$6:$J$36,MATCH($C10,Gällivare!$B$6:$B$36,0),FALSE)="No Impact",HLOOKUP(RIGHT(AZ$3,LEN(AZ$3)-FIND(".",AZ$3,FIND(".",AZ$3)+1)),Gällivare!$B$6:$J$36,MATCH($C10,Gällivare!$B$6:$B$36,0),FALSE)="No Impact"),HLOOKUP(LEFT(AZ$3,4),Global!$B$6:$J$36,MATCH($C10,Global!$B$6:$B$36,0),FALSE),IF(AND(HLOOKUP(MID(AZ$3,FIND(".",AZ$3)+1,FIND(".",AZ$3,FIND(".",AZ$3)+1)-FIND(".",AZ$3)-1),Gällivare!$B$6:$J$36,MATCH($C10,Gällivare!$B$6:$B$36,0),FALSE)="No Impact",HLOOKUP(LEFT(AZ$3,4),Global!$B$6:$J$36,MATCH($C10,Global!$B$6:$B$36,0),FALSE)="No Impact"),HLOOKUP(RIGHT(AZ$3,LEN(AZ$3)-FIND(".",AZ$3,FIND(".",AZ$3)+1)),Gällivare!$B$6:$J$36,MATCH($C10,Gällivare!$B$6:$B$36,0),FALSE),"Global: "&amp;HLOOKUP(LEFT(AZ$3,4),Global!$B$6:$J$36,MATCH($C10,Global!$B$6:$B$36,0),FALSE)&amp;CHAR(10)&amp;"Local Trend: "&amp;HLOOKUP(MID(AZ$3,FIND(".",AZ$3)+1,FIND(".",AZ$3,FIND(".",AZ$3)+1)-FIND(".",AZ$3)-1),Gällivare!$B$6:$J$36,MATCH($C10,Gällivare!$B$6:$B$36,0),FALSE)&amp;CHAR(10)&amp;"Local Target: "&amp;HLOOKUP(RIGHT(AZ$3,LEN(AZ$3)-FIND(".",AZ$3,FIND(".",AZ$3)+1)),Gällivare!$B$6:$J$36,MATCH($C10,Gällivare!$B$6:$B$36,0),FALSE)))</f>
        <v>Medium</v>
      </c>
      <c r="BA10" s="177" t="str">
        <f>IF(AND(HLOOKUP(MID(BA$3,FIND(".",BA$3)+1,FIND(".",BA$3,FIND(".",BA$3)+1)-FIND(".",BA$3)-1),Gällivare!$B$6:$J$36,MATCH($C10,Gällivare!$B$6:$B$36,0),FALSE)="No Impact",HLOOKUP(RIGHT(BA$3,LEN(BA$3)-FIND(".",BA$3,FIND(".",BA$3)+1)),Gällivare!$B$6:$J$36,MATCH($C10,Gällivare!$B$6:$B$36,0),FALSE)="No Impact"),HLOOKUP(LEFT(BA$3,4),Global!$B$6:$J$36,MATCH($C10,Global!$B$6:$B$36,0),FALSE),IF(AND(HLOOKUP(MID(BA$3,FIND(".",BA$3)+1,FIND(".",BA$3,FIND(".",BA$3)+1)-FIND(".",BA$3)-1),Gällivare!$B$6:$J$36,MATCH($C10,Gällivare!$B$6:$B$36,0),FALSE)="No Impact",HLOOKUP(LEFT(BA$3,4),Global!$B$6:$J$36,MATCH($C10,Global!$B$6:$B$36,0),FALSE)="No Impact"),HLOOKUP(RIGHT(BA$3,LEN(BA$3)-FIND(".",BA$3,FIND(".",BA$3)+1)),Gällivare!$B$6:$J$36,MATCH($C10,Gällivare!$B$6:$B$36,0),FALSE),"Global: "&amp;HLOOKUP(LEFT(BA$3,4),Global!$B$6:$J$36,MATCH($C10,Global!$B$6:$B$36,0),FALSE)&amp;CHAR(10)&amp;"Local Trend: "&amp;HLOOKUP(MID(BA$3,FIND(".",BA$3)+1,FIND(".",BA$3,FIND(".",BA$3)+1)-FIND(".",BA$3)-1),Gällivare!$B$6:$J$36,MATCH($C10,Gällivare!$B$6:$B$36,0),FALSE)&amp;CHAR(10)&amp;"Local Target: "&amp;HLOOKUP(RIGHT(BA$3,LEN(BA$3)-FIND(".",BA$3,FIND(".",BA$3)+1)),Gällivare!$B$6:$J$36,MATCH($C10,Gällivare!$B$6:$B$36,0),FALSE)))</f>
        <v>Medium</v>
      </c>
      <c r="BB10" s="177" t="str">
        <f>IF(AND(HLOOKUP(MID(BB$3,FIND(".",BB$3)+1,FIND(".",BB$3,FIND(".",BB$3)+1)-FIND(".",BB$3)-1),Gällivare!$B$6:$J$36,MATCH($C10,Gällivare!$B$6:$B$36,0),FALSE)="No Impact",HLOOKUP(RIGHT(BB$3,LEN(BB$3)-FIND(".",BB$3,FIND(".",BB$3)+1)),Gällivare!$B$6:$J$36,MATCH($C10,Gällivare!$B$6:$B$36,0),FALSE)="No Impact"),HLOOKUP(LEFT(BB$3,4),Global!$B$6:$J$36,MATCH($C10,Global!$B$6:$B$36,0),FALSE),IF(AND(HLOOKUP(MID(BB$3,FIND(".",BB$3)+1,FIND(".",BB$3,FIND(".",BB$3)+1)-FIND(".",BB$3)-1),Gällivare!$B$6:$J$36,MATCH($C10,Gällivare!$B$6:$B$36,0),FALSE)="No Impact",HLOOKUP(LEFT(BB$3,4),Global!$B$6:$J$36,MATCH($C10,Global!$B$6:$B$36,0),FALSE)="No Impact"),HLOOKUP(RIGHT(BB$3,LEN(BB$3)-FIND(".",BB$3,FIND(".",BB$3)+1)),Gällivare!$B$6:$J$36,MATCH($C10,Gällivare!$B$6:$B$36,0),FALSE),"Global: "&amp;HLOOKUP(LEFT(BB$3,4),Global!$B$6:$J$36,MATCH($C10,Global!$B$6:$B$36,0),FALSE)&amp;CHAR(10)&amp;"Local Trend: "&amp;HLOOKUP(MID(BB$3,FIND(".",BB$3)+1,FIND(".",BB$3,FIND(".",BB$3)+1)-FIND(".",BB$3)-1),Gällivare!$B$6:$J$36,MATCH($C10,Gällivare!$B$6:$B$36,0),FALSE)&amp;CHAR(10)&amp;"Local Target: "&amp;HLOOKUP(RIGHT(BB$3,LEN(BB$3)-FIND(".",BB$3,FIND(".",BB$3)+1)),Gällivare!$B$6:$J$36,MATCH($C10,Gällivare!$B$6:$B$36,0),FALSE)))</f>
        <v>Medium</v>
      </c>
      <c r="BC10" s="177" t="str">
        <f>IF(AND(HLOOKUP(MID(BC$3,FIND(".",BC$3)+1,FIND(".",BC$3,FIND(".",BC$3)+1)-FIND(".",BC$3)-1),Gällivare!$B$6:$J$36,MATCH($C10,Gällivare!$B$6:$B$36,0),FALSE)="No Impact",HLOOKUP(RIGHT(BC$3,LEN(BC$3)-FIND(".",BC$3,FIND(".",BC$3)+1)),Gällivare!$B$6:$J$36,MATCH($C10,Gällivare!$B$6:$B$36,0),FALSE)="No Impact"),HLOOKUP(LEFT(BC$3,4),Global!$B$6:$J$36,MATCH($C10,Global!$B$6:$B$36,0),FALSE),IF(AND(HLOOKUP(MID(BC$3,FIND(".",BC$3)+1,FIND(".",BC$3,FIND(".",BC$3)+1)-FIND(".",BC$3)-1),Gällivare!$B$6:$J$36,MATCH($C10,Gällivare!$B$6:$B$36,0),FALSE)="No Impact",HLOOKUP(LEFT(BC$3,4),Global!$B$6:$J$36,MATCH($C10,Global!$B$6:$B$36,0),FALSE)="No Impact"),HLOOKUP(RIGHT(BC$3,LEN(BC$3)-FIND(".",BC$3,FIND(".",BC$3)+1)),Gällivare!$B$6:$J$36,MATCH($C10,Gällivare!$B$6:$B$36,0),FALSE),"Global: "&amp;HLOOKUP(LEFT(BC$3,4),Global!$B$6:$J$36,MATCH($C10,Global!$B$6:$B$36,0),FALSE)&amp;CHAR(10)&amp;"Local Trend: "&amp;HLOOKUP(MID(BC$3,FIND(".",BC$3)+1,FIND(".",BC$3,FIND(".",BC$3)+1)-FIND(".",BC$3)-1),Gällivare!$B$6:$J$36,MATCH($C10,Gällivare!$B$6:$B$36,0),FALSE)&amp;CHAR(10)&amp;"Local Target: "&amp;HLOOKUP(RIGHT(BC$3,LEN(BC$3)-FIND(".",BC$3,FIND(".",BC$3)+1)),Gällivare!$B$6:$J$36,MATCH($C10,Gällivare!$B$6:$B$36,0),FALSE)))</f>
        <v>Medium</v>
      </c>
      <c r="BD10" s="177" t="str">
        <f>IF(AND(HLOOKUP(MID(BD$3,FIND(".",BD$3)+1,FIND(".",BD$3,FIND(".",BD$3)+1)-FIND(".",BD$3)-1),Gällivare!$B$6:$J$36,MATCH($C10,Gällivare!$B$6:$B$36,0),FALSE)="No Impact",HLOOKUP(RIGHT(BD$3,LEN(BD$3)-FIND(".",BD$3,FIND(".",BD$3)+1)),Gällivare!$B$6:$J$36,MATCH($C10,Gällivare!$B$6:$B$36,0),FALSE)="No Impact"),HLOOKUP(LEFT(BD$3,4),Global!$B$6:$J$36,MATCH($C10,Global!$B$6:$B$36,0),FALSE),IF(AND(HLOOKUP(MID(BD$3,FIND(".",BD$3)+1,FIND(".",BD$3,FIND(".",BD$3)+1)-FIND(".",BD$3)-1),Gällivare!$B$6:$J$36,MATCH($C10,Gällivare!$B$6:$B$36,0),FALSE)="No Impact",HLOOKUP(LEFT(BD$3,4),Global!$B$6:$J$36,MATCH($C10,Global!$B$6:$B$36,0),FALSE)="No Impact"),HLOOKUP(RIGHT(BD$3,LEN(BD$3)-FIND(".",BD$3,FIND(".",BD$3)+1)),Gällivare!$B$6:$J$36,MATCH($C10,Gällivare!$B$6:$B$36,0),FALSE),"Global: "&amp;HLOOKUP(LEFT(BD$3,4),Global!$B$6:$J$36,MATCH($C10,Global!$B$6:$B$36,0),FALSE)&amp;CHAR(10)&amp;"Local Trend: "&amp;HLOOKUP(MID(BD$3,FIND(".",BD$3)+1,FIND(".",BD$3,FIND(".",BD$3)+1)-FIND(".",BD$3)-1),Gällivare!$B$6:$J$36,MATCH($C10,Gällivare!$B$6:$B$36,0),FALSE)&amp;CHAR(10)&amp;"Local Target: "&amp;HLOOKUP(RIGHT(BD$3,LEN(BD$3)-FIND(".",BD$3,FIND(".",BD$3)+1)),Gällivare!$B$6:$J$36,MATCH($C10,Gällivare!$B$6:$B$36,0),FALSE)))</f>
        <v>Medium</v>
      </c>
      <c r="BE10" s="177" t="str">
        <f>IF(AND(HLOOKUP(MID(BE$3,FIND(".",BE$3)+1,FIND(".",BE$3,FIND(".",BE$3)+1)-FIND(".",BE$3)-1),Gällivare!$B$6:$J$36,MATCH($C10,Gällivare!$B$6:$B$36,0),FALSE)="No Impact",HLOOKUP(RIGHT(BE$3,LEN(BE$3)-FIND(".",BE$3,FIND(".",BE$3)+1)),Gällivare!$B$6:$J$36,MATCH($C10,Gällivare!$B$6:$B$36,0),FALSE)="No Impact"),HLOOKUP(LEFT(BE$3,4),Global!$B$6:$J$36,MATCH($C10,Global!$B$6:$B$36,0),FALSE),IF(AND(HLOOKUP(MID(BE$3,FIND(".",BE$3)+1,FIND(".",BE$3,FIND(".",BE$3)+1)-FIND(".",BE$3)-1),Gällivare!$B$6:$J$36,MATCH($C10,Gällivare!$B$6:$B$36,0),FALSE)="No Impact",HLOOKUP(LEFT(BE$3,4),Global!$B$6:$J$36,MATCH($C10,Global!$B$6:$B$36,0),FALSE)="No Impact"),HLOOKUP(RIGHT(BE$3,LEN(BE$3)-FIND(".",BE$3,FIND(".",BE$3)+1)),Gällivare!$B$6:$J$36,MATCH($C10,Gällivare!$B$6:$B$36,0),FALSE),"Global: "&amp;HLOOKUP(LEFT(BE$3,4),Global!$B$6:$J$36,MATCH($C10,Global!$B$6:$B$36,0),FALSE)&amp;CHAR(10)&amp;"Local Trend: "&amp;HLOOKUP(MID(BE$3,FIND(".",BE$3)+1,FIND(".",BE$3,FIND(".",BE$3)+1)-FIND(".",BE$3)-1),Gällivare!$B$6:$J$36,MATCH($C10,Gällivare!$B$6:$B$36,0),FALSE)&amp;CHAR(10)&amp;"Local Target: "&amp;HLOOKUP(RIGHT(BE$3,LEN(BE$3)-FIND(".",BE$3,FIND(".",BE$3)+1)),Gällivare!$B$6:$J$36,MATCH($C10,Gällivare!$B$6:$B$36,0),FALSE)))</f>
        <v>Medium</v>
      </c>
      <c r="BF10" s="177" t="str">
        <f>IF(AND(HLOOKUP(MID(BF$3,FIND(".",BF$3)+1,FIND(".",BF$3,FIND(".",BF$3)+1)-FIND(".",BF$3)-1),Gällivare!$B$6:$J$36,MATCH($C10,Gällivare!$B$6:$B$36,0),FALSE)="No Impact",HLOOKUP(RIGHT(BF$3,LEN(BF$3)-FIND(".",BF$3,FIND(".",BF$3)+1)),Gällivare!$B$6:$J$36,MATCH($C10,Gällivare!$B$6:$B$36,0),FALSE)="No Impact"),HLOOKUP(LEFT(BF$3,4),Global!$B$6:$J$36,MATCH($C10,Global!$B$6:$B$36,0),FALSE),IF(AND(HLOOKUP(MID(BF$3,FIND(".",BF$3)+1,FIND(".",BF$3,FIND(".",BF$3)+1)-FIND(".",BF$3)-1),Gällivare!$B$6:$J$36,MATCH($C10,Gällivare!$B$6:$B$36,0),FALSE)="No Impact",HLOOKUP(LEFT(BF$3,4),Global!$B$6:$J$36,MATCH($C10,Global!$B$6:$B$36,0),FALSE)="No Impact"),HLOOKUP(RIGHT(BF$3,LEN(BF$3)-FIND(".",BF$3,FIND(".",BF$3)+1)),Gällivare!$B$6:$J$36,MATCH($C10,Gällivare!$B$6:$B$36,0),FALSE),"Global: "&amp;HLOOKUP(LEFT(BF$3,4),Global!$B$6:$J$36,MATCH($C10,Global!$B$6:$B$36,0),FALSE)&amp;CHAR(10)&amp;"Local Trend: "&amp;HLOOKUP(MID(BF$3,FIND(".",BF$3)+1,FIND(".",BF$3,FIND(".",BF$3)+1)-FIND(".",BF$3)-1),Gällivare!$B$6:$J$36,MATCH($C10,Gällivare!$B$6:$B$36,0),FALSE)&amp;CHAR(10)&amp;"Local Target: "&amp;HLOOKUP(RIGHT(BF$3,LEN(BF$3)-FIND(".",BF$3,FIND(".",BF$3)+1)),Gällivare!$B$6:$J$36,MATCH($C10,Gällivare!$B$6:$B$36,0),FALSE)))</f>
        <v>Medium</v>
      </c>
      <c r="BG10" s="177" t="str">
        <f>IF(AND(HLOOKUP(MID(BG$3,FIND(".",BG$3)+1,FIND(".",BG$3,FIND(".",BG$3)+1)-FIND(".",BG$3)-1),Gällivare!$B$6:$J$36,MATCH($C10,Gällivare!$B$6:$B$36,0),FALSE)="No Impact",HLOOKUP(RIGHT(BG$3,LEN(BG$3)-FIND(".",BG$3,FIND(".",BG$3)+1)),Gällivare!$B$6:$J$36,MATCH($C10,Gällivare!$B$6:$B$36,0),FALSE)="No Impact"),HLOOKUP(LEFT(BG$3,4),Global!$B$6:$J$36,MATCH($C10,Global!$B$6:$B$36,0),FALSE),IF(AND(HLOOKUP(MID(BG$3,FIND(".",BG$3)+1,FIND(".",BG$3,FIND(".",BG$3)+1)-FIND(".",BG$3)-1),Gällivare!$B$6:$J$36,MATCH($C10,Gällivare!$B$6:$B$36,0),FALSE)="No Impact",HLOOKUP(LEFT(BG$3,4),Global!$B$6:$J$36,MATCH($C10,Global!$B$6:$B$36,0),FALSE)="No Impact"),HLOOKUP(RIGHT(BG$3,LEN(BG$3)-FIND(".",BG$3,FIND(".",BG$3)+1)),Gällivare!$B$6:$J$36,MATCH($C10,Gällivare!$B$6:$B$36,0),FALSE),"Global: "&amp;HLOOKUP(LEFT(BG$3,4),Global!$B$6:$J$36,MATCH($C10,Global!$B$6:$B$36,0),FALSE)&amp;CHAR(10)&amp;"Local Trend: "&amp;HLOOKUP(MID(BG$3,FIND(".",BG$3)+1,FIND(".",BG$3,FIND(".",BG$3)+1)-FIND(".",BG$3)-1),Gällivare!$B$6:$J$36,MATCH($C10,Gällivare!$B$6:$B$36,0),FALSE)&amp;CHAR(10)&amp;"Local Target: "&amp;HLOOKUP(RIGHT(BG$3,LEN(BG$3)-FIND(".",BG$3,FIND(".",BG$3)+1)),Gällivare!$B$6:$J$36,MATCH($C10,Gällivare!$B$6:$B$36,0),FALSE)))</f>
        <v>Medium</v>
      </c>
      <c r="BH10" s="177" t="str">
        <f>IF(AND(HLOOKUP(MID(BH$3,FIND(".",BH$3)+1,FIND(".",BH$3,FIND(".",BH$3)+1)-FIND(".",BH$3)-1),Gällivare!$B$6:$J$36,MATCH($C10,Gällivare!$B$6:$B$36,0),FALSE)="No Impact",HLOOKUP(RIGHT(BH$3,LEN(BH$3)-FIND(".",BH$3,FIND(".",BH$3)+1)),Gällivare!$B$6:$J$36,MATCH($C10,Gällivare!$B$6:$B$36,0),FALSE)="No Impact"),HLOOKUP(LEFT(BH$3,4),Global!$B$6:$J$36,MATCH($C10,Global!$B$6:$B$36,0),FALSE),IF(AND(HLOOKUP(MID(BH$3,FIND(".",BH$3)+1,FIND(".",BH$3,FIND(".",BH$3)+1)-FIND(".",BH$3)-1),Gällivare!$B$6:$J$36,MATCH($C10,Gällivare!$B$6:$B$36,0),FALSE)="No Impact",HLOOKUP(LEFT(BH$3,4),Global!$B$6:$J$36,MATCH($C10,Global!$B$6:$B$36,0),FALSE)="No Impact"),HLOOKUP(RIGHT(BH$3,LEN(BH$3)-FIND(".",BH$3,FIND(".",BH$3)+1)),Gällivare!$B$6:$J$36,MATCH($C10,Gällivare!$B$6:$B$36,0),FALSE),"Global: "&amp;HLOOKUP(LEFT(BH$3,4),Global!$B$6:$J$36,MATCH($C10,Global!$B$6:$B$36,0),FALSE)&amp;CHAR(10)&amp;"Local Trend: "&amp;HLOOKUP(MID(BH$3,FIND(".",BH$3)+1,FIND(".",BH$3,FIND(".",BH$3)+1)-FIND(".",BH$3)-1),Gällivare!$B$6:$J$36,MATCH($C10,Gällivare!$B$6:$B$36,0),FALSE)&amp;CHAR(10)&amp;"Local Target: "&amp;HLOOKUP(RIGHT(BH$3,LEN(BH$3)-FIND(".",BH$3,FIND(".",BH$3)+1)),Gällivare!$B$6:$J$36,MATCH($C10,Gällivare!$B$6:$B$36,0),FALSE)))</f>
        <v>Medium</v>
      </c>
      <c r="BI10" s="177" t="str">
        <f>IF(AND(HLOOKUP(MID(BI$3,FIND(".",BI$3)+1,FIND(".",BI$3,FIND(".",BI$3)+1)-FIND(".",BI$3)-1),Gällivare!$B$6:$J$36,MATCH($C10,Gällivare!$B$6:$B$36,0),FALSE)="No Impact",HLOOKUP(RIGHT(BI$3,LEN(BI$3)-FIND(".",BI$3,FIND(".",BI$3)+1)),Gällivare!$B$6:$J$36,MATCH($C10,Gällivare!$B$6:$B$36,0),FALSE)="No Impact"),HLOOKUP(LEFT(BI$3,4),Global!$B$6:$J$36,MATCH($C10,Global!$B$6:$B$36,0),FALSE),IF(AND(HLOOKUP(MID(BI$3,FIND(".",BI$3)+1,FIND(".",BI$3,FIND(".",BI$3)+1)-FIND(".",BI$3)-1),Gällivare!$B$6:$J$36,MATCH($C10,Gällivare!$B$6:$B$36,0),FALSE)="No Impact",HLOOKUP(LEFT(BI$3,4),Global!$B$6:$J$36,MATCH($C10,Global!$B$6:$B$36,0),FALSE)="No Impact"),HLOOKUP(RIGHT(BI$3,LEN(BI$3)-FIND(".",BI$3,FIND(".",BI$3)+1)),Gällivare!$B$6:$J$36,MATCH($C10,Gällivare!$B$6:$B$36,0),FALSE),"Global: "&amp;HLOOKUP(LEFT(BI$3,4),Global!$B$6:$J$36,MATCH($C10,Global!$B$6:$B$36,0),FALSE)&amp;CHAR(10)&amp;"Local Trend: "&amp;HLOOKUP(MID(BI$3,FIND(".",BI$3)+1,FIND(".",BI$3,FIND(".",BI$3)+1)-FIND(".",BI$3)-1),Gällivare!$B$6:$J$36,MATCH($C10,Gällivare!$B$6:$B$36,0),FALSE)&amp;CHAR(10)&amp;"Local Target: "&amp;HLOOKUP(RIGHT(BI$3,LEN(BI$3)-FIND(".",BI$3,FIND(".",BI$3)+1)),Gällivare!$B$6:$J$36,MATCH($C10,Gällivare!$B$6:$B$36,0),FALSE)))</f>
        <v>Medium</v>
      </c>
      <c r="BJ10" s="177" t="str">
        <f>IF(AND(HLOOKUP(MID(BJ$3,FIND(".",BJ$3)+1,FIND(".",BJ$3,FIND(".",BJ$3)+1)-FIND(".",BJ$3)-1),Gällivare!$B$6:$J$36,MATCH($C10,Gällivare!$B$6:$B$36,0),FALSE)="No Impact",HLOOKUP(RIGHT(BJ$3,LEN(BJ$3)-FIND(".",BJ$3,FIND(".",BJ$3)+1)),Gällivare!$B$6:$J$36,MATCH($C10,Gällivare!$B$6:$B$36,0),FALSE)="No Impact"),HLOOKUP(LEFT(BJ$3,4),Global!$B$6:$J$36,MATCH($C10,Global!$B$6:$B$36,0),FALSE),IF(AND(HLOOKUP(MID(BJ$3,FIND(".",BJ$3)+1,FIND(".",BJ$3,FIND(".",BJ$3)+1)-FIND(".",BJ$3)-1),Gällivare!$B$6:$J$36,MATCH($C10,Gällivare!$B$6:$B$36,0),FALSE)="No Impact",HLOOKUP(LEFT(BJ$3,4),Global!$B$6:$J$36,MATCH($C10,Global!$B$6:$B$36,0),FALSE)="No Impact"),HLOOKUP(RIGHT(BJ$3,LEN(BJ$3)-FIND(".",BJ$3,FIND(".",BJ$3)+1)),Gällivare!$B$6:$J$36,MATCH($C10,Gällivare!$B$6:$B$36,0),FALSE),"Global: "&amp;HLOOKUP(LEFT(BJ$3,4),Global!$B$6:$J$36,MATCH($C10,Global!$B$6:$B$36,0),FALSE)&amp;CHAR(10)&amp;"Local Trend: "&amp;HLOOKUP(MID(BJ$3,FIND(".",BJ$3)+1,FIND(".",BJ$3,FIND(".",BJ$3)+1)-FIND(".",BJ$3)-1),Gällivare!$B$6:$J$36,MATCH($C10,Gällivare!$B$6:$B$36,0),FALSE)&amp;CHAR(10)&amp;"Local Target: "&amp;HLOOKUP(RIGHT(BJ$3,LEN(BJ$3)-FIND(".",BJ$3,FIND(".",BJ$3)+1)),Gällivare!$B$6:$J$36,MATCH($C10,Gällivare!$B$6:$B$36,0),FALSE)))</f>
        <v>Medium</v>
      </c>
      <c r="BK10" s="177" t="str">
        <f>IF(AND(HLOOKUP(MID(BK$3,FIND(".",BK$3)+1,FIND(".",BK$3,FIND(".",BK$3)+1)-FIND(".",BK$3)-1),Gällivare!$B$6:$J$36,MATCH($C10,Gällivare!$B$6:$B$36,0),FALSE)="No Impact",HLOOKUP(RIGHT(BK$3,LEN(BK$3)-FIND(".",BK$3,FIND(".",BK$3)+1)),Gällivare!$B$6:$J$36,MATCH($C10,Gällivare!$B$6:$B$36,0),FALSE)="No Impact"),HLOOKUP(LEFT(BK$3,4),Global!$B$6:$J$36,MATCH($C10,Global!$B$6:$B$36,0),FALSE),IF(AND(HLOOKUP(MID(BK$3,FIND(".",BK$3)+1,FIND(".",BK$3,FIND(".",BK$3)+1)-FIND(".",BK$3)-1),Gällivare!$B$6:$J$36,MATCH($C10,Gällivare!$B$6:$B$36,0),FALSE)="No Impact",HLOOKUP(LEFT(BK$3,4),Global!$B$6:$J$36,MATCH($C10,Global!$B$6:$B$36,0),FALSE)="No Impact"),HLOOKUP(RIGHT(BK$3,LEN(BK$3)-FIND(".",BK$3,FIND(".",BK$3)+1)),Gällivare!$B$6:$J$36,MATCH($C10,Gällivare!$B$6:$B$36,0),FALSE),"Global: "&amp;HLOOKUP(LEFT(BK$3,4),Global!$B$6:$J$36,MATCH($C10,Global!$B$6:$B$36,0),FALSE)&amp;CHAR(10)&amp;"Local Trend: "&amp;HLOOKUP(MID(BK$3,FIND(".",BK$3)+1,FIND(".",BK$3,FIND(".",BK$3)+1)-FIND(".",BK$3)-1),Gällivare!$B$6:$J$36,MATCH($C10,Gällivare!$B$6:$B$36,0),FALSE)&amp;CHAR(10)&amp;"Local Target: "&amp;HLOOKUP(RIGHT(BK$3,LEN(BK$3)-FIND(".",BK$3,FIND(".",BK$3)+1)),Gällivare!$B$6:$J$36,MATCH($C10,Gällivare!$B$6:$B$36,0),FALSE)))</f>
        <v>Low</v>
      </c>
      <c r="BL10" s="177" t="str">
        <f>IF(AND(HLOOKUP(MID(BL$3,FIND(".",BL$3)+1,FIND(".",BL$3,FIND(".",BL$3)+1)-FIND(".",BL$3)-1),Gällivare!$B$6:$J$36,MATCH($C10,Gällivare!$B$6:$B$36,0),FALSE)="No Impact",HLOOKUP(RIGHT(BL$3,LEN(BL$3)-FIND(".",BL$3,FIND(".",BL$3)+1)),Gällivare!$B$6:$J$36,MATCH($C10,Gällivare!$B$6:$B$36,0),FALSE)="No Impact"),HLOOKUP(LEFT(BL$3,4),Global!$B$6:$J$36,MATCH($C10,Global!$B$6:$B$36,0),FALSE),IF(AND(HLOOKUP(MID(BL$3,FIND(".",BL$3)+1,FIND(".",BL$3,FIND(".",BL$3)+1)-FIND(".",BL$3)-1),Gällivare!$B$6:$J$36,MATCH($C10,Gällivare!$B$6:$B$36,0),FALSE)="No Impact",HLOOKUP(LEFT(BL$3,4),Global!$B$6:$J$36,MATCH($C10,Global!$B$6:$B$36,0),FALSE)="No Impact"),HLOOKUP(RIGHT(BL$3,LEN(BL$3)-FIND(".",BL$3,FIND(".",BL$3)+1)),Gällivare!$B$6:$J$36,MATCH($C10,Gällivare!$B$6:$B$36,0),FALSE),"Global: "&amp;HLOOKUP(LEFT(BL$3,4),Global!$B$6:$J$36,MATCH($C10,Global!$B$6:$B$36,0),FALSE)&amp;CHAR(10)&amp;"Local Trend: "&amp;HLOOKUP(MID(BL$3,FIND(".",BL$3)+1,FIND(".",BL$3,FIND(".",BL$3)+1)-FIND(".",BL$3)-1),Gällivare!$B$6:$J$36,MATCH($C10,Gällivare!$B$6:$B$36,0),FALSE)&amp;CHAR(10)&amp;"Local Target: "&amp;HLOOKUP(RIGHT(BL$3,LEN(BL$3)-FIND(".",BL$3,FIND(".",BL$3)+1)),Gällivare!$B$6:$J$36,MATCH($C10,Gällivare!$B$6:$B$36,0),FALSE)))</f>
        <v>Low</v>
      </c>
      <c r="BM10" s="177" t="str">
        <f>IF(AND(HLOOKUP(MID(BM$3,FIND(".",BM$3)+1,FIND(".",BM$3,FIND(".",BM$3)+1)-FIND(".",BM$3)-1),Gällivare!$B$6:$J$36,MATCH($C10,Gällivare!$B$6:$B$36,0),FALSE)="No Impact",HLOOKUP(RIGHT(BM$3,LEN(BM$3)-FIND(".",BM$3,FIND(".",BM$3)+1)),Gällivare!$B$6:$J$36,MATCH($C10,Gällivare!$B$6:$B$36,0),FALSE)="No Impact"),HLOOKUP(LEFT(BM$3,4),Global!$B$6:$J$36,MATCH($C10,Global!$B$6:$B$36,0),FALSE),IF(AND(HLOOKUP(MID(BM$3,FIND(".",BM$3)+1,FIND(".",BM$3,FIND(".",BM$3)+1)-FIND(".",BM$3)-1),Gällivare!$B$6:$J$36,MATCH($C10,Gällivare!$B$6:$B$36,0),FALSE)="No Impact",HLOOKUP(LEFT(BM$3,4),Global!$B$6:$J$36,MATCH($C10,Global!$B$6:$B$36,0),FALSE)="No Impact"),HLOOKUP(RIGHT(BM$3,LEN(BM$3)-FIND(".",BM$3,FIND(".",BM$3)+1)),Gällivare!$B$6:$J$36,MATCH($C10,Gällivare!$B$6:$B$36,0),FALSE),"Global: "&amp;HLOOKUP(LEFT(BM$3,4),Global!$B$6:$J$36,MATCH($C10,Global!$B$6:$B$36,0),FALSE)&amp;CHAR(10)&amp;"Local Trend: "&amp;HLOOKUP(MID(BM$3,FIND(".",BM$3)+1,FIND(".",BM$3,FIND(".",BM$3)+1)-FIND(".",BM$3)-1),Gällivare!$B$6:$J$36,MATCH($C10,Gällivare!$B$6:$B$36,0),FALSE)&amp;CHAR(10)&amp;"Local Target: "&amp;HLOOKUP(RIGHT(BM$3,LEN(BM$3)-FIND(".",BM$3,FIND(".",BM$3)+1)),Gällivare!$B$6:$J$36,MATCH($C10,Gällivare!$B$6:$B$36,0),FALSE)))</f>
        <v>Low</v>
      </c>
      <c r="BN10" s="177" t="str">
        <f>IF(AND(HLOOKUP(MID(BN$3,FIND(".",BN$3)+1,FIND(".",BN$3,FIND(".",BN$3)+1)-FIND(".",BN$3)-1),Gällivare!$B$6:$J$36,MATCH($C10,Gällivare!$B$6:$B$36,0),FALSE)="No Impact",HLOOKUP(RIGHT(BN$3,LEN(BN$3)-FIND(".",BN$3,FIND(".",BN$3)+1)),Gällivare!$B$6:$J$36,MATCH($C10,Gällivare!$B$6:$B$36,0),FALSE)="No Impact"),HLOOKUP(LEFT(BN$3,4),Global!$B$6:$J$36,MATCH($C10,Global!$B$6:$B$36,0),FALSE),IF(AND(HLOOKUP(MID(BN$3,FIND(".",BN$3)+1,FIND(".",BN$3,FIND(".",BN$3)+1)-FIND(".",BN$3)-1),Gällivare!$B$6:$J$36,MATCH($C10,Gällivare!$B$6:$B$36,0),FALSE)="No Impact",HLOOKUP(LEFT(BN$3,4),Global!$B$6:$J$36,MATCH($C10,Global!$B$6:$B$36,0),FALSE)="No Impact"),HLOOKUP(RIGHT(BN$3,LEN(BN$3)-FIND(".",BN$3,FIND(".",BN$3)+1)),Gällivare!$B$6:$J$36,MATCH($C10,Gällivare!$B$6:$B$36,0),FALSE),"Global: "&amp;HLOOKUP(LEFT(BN$3,4),Global!$B$6:$J$36,MATCH($C10,Global!$B$6:$B$36,0),FALSE)&amp;CHAR(10)&amp;"Local Trend: "&amp;HLOOKUP(MID(BN$3,FIND(".",BN$3)+1,FIND(".",BN$3,FIND(".",BN$3)+1)-FIND(".",BN$3)-1),Gällivare!$B$6:$J$36,MATCH($C10,Gällivare!$B$6:$B$36,0),FALSE)&amp;CHAR(10)&amp;"Local Target: "&amp;HLOOKUP(RIGHT(BN$3,LEN(BN$3)-FIND(".",BN$3,FIND(".",BN$3)+1)),Gällivare!$B$6:$J$36,MATCH($C10,Gällivare!$B$6:$B$36,0),FALSE)))</f>
        <v>Low</v>
      </c>
      <c r="BO10" s="177" t="str">
        <f>IF(AND(HLOOKUP(MID(BO$3,FIND(".",BO$3)+1,FIND(".",BO$3,FIND(".",BO$3)+1)-FIND(".",BO$3)-1),Gällivare!$B$6:$J$36,MATCH($C10,Gällivare!$B$6:$B$36,0),FALSE)="No Impact",HLOOKUP(RIGHT(BO$3,LEN(BO$3)-FIND(".",BO$3,FIND(".",BO$3)+1)),Gällivare!$B$6:$J$36,MATCH($C10,Gällivare!$B$6:$B$36,0),FALSE)="No Impact"),HLOOKUP(LEFT(BO$3,4),Global!$B$6:$J$36,MATCH($C10,Global!$B$6:$B$36,0),FALSE),IF(AND(HLOOKUP(MID(BO$3,FIND(".",BO$3)+1,FIND(".",BO$3,FIND(".",BO$3)+1)-FIND(".",BO$3)-1),Gällivare!$B$6:$J$36,MATCH($C10,Gällivare!$B$6:$B$36,0),FALSE)="No Impact",HLOOKUP(LEFT(BO$3,4),Global!$B$6:$J$36,MATCH($C10,Global!$B$6:$B$36,0),FALSE)="No Impact"),HLOOKUP(RIGHT(BO$3,LEN(BO$3)-FIND(".",BO$3,FIND(".",BO$3)+1)),Gällivare!$B$6:$J$36,MATCH($C10,Gällivare!$B$6:$B$36,0),FALSE),"Global: "&amp;HLOOKUP(LEFT(BO$3,4),Global!$B$6:$J$36,MATCH($C10,Global!$B$6:$B$36,0),FALSE)&amp;CHAR(10)&amp;"Local Trend: "&amp;HLOOKUP(MID(BO$3,FIND(".",BO$3)+1,FIND(".",BO$3,FIND(".",BO$3)+1)-FIND(".",BO$3)-1),Gällivare!$B$6:$J$36,MATCH($C10,Gällivare!$B$6:$B$36,0),FALSE)&amp;CHAR(10)&amp;"Local Target: "&amp;HLOOKUP(RIGHT(BO$3,LEN(BO$3)-FIND(".",BO$3,FIND(".",BO$3)+1)),Gällivare!$B$6:$J$36,MATCH($C10,Gällivare!$B$6:$B$36,0),FALSE)))</f>
        <v>Low</v>
      </c>
      <c r="BP10" s="177" t="str">
        <f>IF(AND(HLOOKUP(MID(BP$3,FIND(".",BP$3)+1,FIND(".",BP$3,FIND(".",BP$3)+1)-FIND(".",BP$3)-1),Gällivare!$B$6:$J$36,MATCH($C10,Gällivare!$B$6:$B$36,0),FALSE)="No Impact",HLOOKUP(RIGHT(BP$3,LEN(BP$3)-FIND(".",BP$3,FIND(".",BP$3)+1)),Gällivare!$B$6:$J$36,MATCH($C10,Gällivare!$B$6:$B$36,0),FALSE)="No Impact"),HLOOKUP(LEFT(BP$3,4),Global!$B$6:$J$36,MATCH($C10,Global!$B$6:$B$36,0),FALSE),IF(AND(HLOOKUP(MID(BP$3,FIND(".",BP$3)+1,FIND(".",BP$3,FIND(".",BP$3)+1)-FIND(".",BP$3)-1),Gällivare!$B$6:$J$36,MATCH($C10,Gällivare!$B$6:$B$36,0),FALSE)="No Impact",HLOOKUP(LEFT(BP$3,4),Global!$B$6:$J$36,MATCH($C10,Global!$B$6:$B$36,0),FALSE)="No Impact"),HLOOKUP(RIGHT(BP$3,LEN(BP$3)-FIND(".",BP$3,FIND(".",BP$3)+1)),Gällivare!$B$6:$J$36,MATCH($C10,Gällivare!$B$6:$B$36,0),FALSE),"Global: "&amp;HLOOKUP(LEFT(BP$3,4),Global!$B$6:$J$36,MATCH($C10,Global!$B$6:$B$36,0),FALSE)&amp;CHAR(10)&amp;"Local Trend: "&amp;HLOOKUP(MID(BP$3,FIND(".",BP$3)+1,FIND(".",BP$3,FIND(".",BP$3)+1)-FIND(".",BP$3)-1),Gällivare!$B$6:$J$36,MATCH($C10,Gällivare!$B$6:$B$36,0),FALSE)&amp;CHAR(10)&amp;"Local Target: "&amp;HLOOKUP(RIGHT(BP$3,LEN(BP$3)-FIND(".",BP$3,FIND(".",BP$3)+1)),Gällivare!$B$6:$J$36,MATCH($C10,Gällivare!$B$6:$B$36,0),FALSE)))</f>
        <v>Low</v>
      </c>
      <c r="BU10" s="171"/>
      <c r="BV10" s="171"/>
    </row>
    <row r="11" spans="2:82" ht="28.8" x14ac:dyDescent="0.3">
      <c r="B11" s="243"/>
      <c r="C11" s="175" t="s">
        <v>98</v>
      </c>
      <c r="D11" s="175" t="s">
        <v>172</v>
      </c>
      <c r="E11" s="175" t="s">
        <v>174</v>
      </c>
      <c r="F11" s="176" t="s">
        <v>165</v>
      </c>
      <c r="G11" s="176"/>
      <c r="H11" s="175" t="str">
        <f t="shared" si="1"/>
        <v>High</v>
      </c>
      <c r="I11" s="175" t="str">
        <f t="shared" si="0"/>
        <v>High</v>
      </c>
      <c r="J11" s="175" t="str">
        <f t="shared" si="0"/>
        <v>High</v>
      </c>
      <c r="K11" s="175" t="str">
        <f t="shared" si="0"/>
        <v>High</v>
      </c>
      <c r="L11" s="175" t="str">
        <f t="shared" si="0"/>
        <v>High</v>
      </c>
      <c r="M11" s="175" t="str">
        <f t="shared" si="0"/>
        <v>High</v>
      </c>
      <c r="N11" s="175" t="str">
        <f t="shared" si="0"/>
        <v>Medium</v>
      </c>
      <c r="O11" s="175" t="str">
        <f t="shared" si="0"/>
        <v>Medium</v>
      </c>
      <c r="P11" s="175" t="str">
        <f t="shared" si="0"/>
        <v>Medium</v>
      </c>
      <c r="Q11" s="175" t="str">
        <f t="shared" si="0"/>
        <v>Medium</v>
      </c>
      <c r="R11" s="175" t="str">
        <f t="shared" si="0"/>
        <v>Medium</v>
      </c>
      <c r="S11" s="175" t="str">
        <f t="shared" si="0"/>
        <v>Medium</v>
      </c>
      <c r="T11" s="175" t="str">
        <f t="shared" si="0"/>
        <v>Medium</v>
      </c>
      <c r="U11" s="175" t="str">
        <f t="shared" si="0"/>
        <v>Medium</v>
      </c>
      <c r="V11" s="175" t="str">
        <f t="shared" si="0"/>
        <v>Medium</v>
      </c>
      <c r="W11" s="175" t="str">
        <f t="shared" si="0"/>
        <v>Medium</v>
      </c>
      <c r="X11" s="175" t="str">
        <f t="shared" si="0"/>
        <v>Medium</v>
      </c>
      <c r="Y11" s="175" t="str">
        <f t="shared" si="0"/>
        <v>Medium</v>
      </c>
      <c r="Z11" s="175" t="str">
        <f t="shared" si="0"/>
        <v>Medium</v>
      </c>
      <c r="AA11" s="175" t="str">
        <f t="shared" si="0"/>
        <v>Medium</v>
      </c>
      <c r="AB11" s="175" t="str">
        <f t="shared" si="0"/>
        <v>Medium</v>
      </c>
      <c r="AC11" s="175" t="str">
        <f t="shared" si="0"/>
        <v>Medium</v>
      </c>
      <c r="AD11" s="175" t="str">
        <f t="shared" si="0"/>
        <v>Medium</v>
      </c>
      <c r="AE11" s="175" t="str">
        <f t="shared" si="0"/>
        <v>Medium</v>
      </c>
      <c r="AF11" s="175" t="str">
        <f t="shared" si="0"/>
        <v>Low</v>
      </c>
      <c r="AG11" s="175" t="str">
        <f t="shared" si="0"/>
        <v>Low</v>
      </c>
      <c r="AH11" s="175" t="str">
        <f t="shared" si="0"/>
        <v>Low</v>
      </c>
      <c r="AI11" s="175" t="str">
        <f t="shared" si="0"/>
        <v>Low</v>
      </c>
      <c r="AJ11" s="175" t="str">
        <f t="shared" si="0"/>
        <v>Low</v>
      </c>
      <c r="AK11" s="175" t="str">
        <f t="shared" si="0"/>
        <v>Low</v>
      </c>
      <c r="AL11" s="176"/>
      <c r="AM11" s="177" t="str">
        <f>IF(AND(HLOOKUP(MID(AM$3,FIND(".",AM$3)+1,FIND(".",AM$3,FIND(".",AM$3)+1)-FIND(".",AM$3)-1),Gällivare!$B$6:$J$36,MATCH($C11,Gällivare!$B$6:$B$36,0),FALSE)="No Impact",HLOOKUP(RIGHT(AM$3,LEN(AM$3)-FIND(".",AM$3,FIND(".",AM$3)+1)),Gällivare!$B$6:$J$36,MATCH($C11,Gällivare!$B$6:$B$36,0),FALSE)="No Impact"),HLOOKUP(LEFT(AM$3,4),Global!$B$6:$J$36,MATCH($C11,Global!$B$6:$B$36,0),FALSE),IF(AND(HLOOKUP(MID(AM$3,FIND(".",AM$3)+1,FIND(".",AM$3,FIND(".",AM$3)+1)-FIND(".",AM$3)-1),Gällivare!$B$6:$J$36,MATCH($C11,Gällivare!$B$6:$B$36,0),FALSE)="No Impact",HLOOKUP(LEFT(AM$3,4),Global!$B$6:$J$36,MATCH($C11,Global!$B$6:$B$36,0),FALSE)="No Impact"),HLOOKUP(RIGHT(AM$3,LEN(AM$3)-FIND(".",AM$3,FIND(".",AM$3)+1)),Gällivare!$B$6:$J$36,MATCH($C11,Gällivare!$B$6:$B$36,0),FALSE),"Global: "&amp;HLOOKUP(LEFT(AM$3,4),Global!$B$6:$J$36,MATCH($C11,Global!$B$6:$B$36,0),FALSE)&amp;CHAR(10)&amp;"Local Trend: "&amp;HLOOKUP(MID(AM$3,FIND(".",AM$3)+1,FIND(".",AM$3,FIND(".",AM$3)+1)-FIND(".",AM$3)-1),Gällivare!$B$6:$J$36,MATCH($C11,Gällivare!$B$6:$B$36,0),FALSE)&amp;CHAR(10)&amp;"Local Target: "&amp;HLOOKUP(RIGHT(AM$3,LEN(AM$3)-FIND(".",AM$3,FIND(".",AM$3)+1)),Gällivare!$B$6:$J$36,MATCH($C11,Gällivare!$B$6:$B$36,0),FALSE)))</f>
        <v>High</v>
      </c>
      <c r="AN11" s="177" t="str">
        <f>IF(AND(HLOOKUP(MID(AN$3,FIND(".",AN$3)+1,FIND(".",AN$3,FIND(".",AN$3)+1)-FIND(".",AN$3)-1),Gällivare!$B$6:$J$36,MATCH($C11,Gällivare!$B$6:$B$36,0),FALSE)="No Impact",HLOOKUP(RIGHT(AN$3,LEN(AN$3)-FIND(".",AN$3,FIND(".",AN$3)+1)),Gällivare!$B$6:$J$36,MATCH($C11,Gällivare!$B$6:$B$36,0),FALSE)="No Impact"),HLOOKUP(LEFT(AN$3,4),Global!$B$6:$J$36,MATCH($C11,Global!$B$6:$B$36,0),FALSE),IF(AND(HLOOKUP(MID(AN$3,FIND(".",AN$3)+1,FIND(".",AN$3,FIND(".",AN$3)+1)-FIND(".",AN$3)-1),Gällivare!$B$6:$J$36,MATCH($C11,Gällivare!$B$6:$B$36,0),FALSE)="No Impact",HLOOKUP(LEFT(AN$3,4),Global!$B$6:$J$36,MATCH($C11,Global!$B$6:$B$36,0),FALSE)="No Impact"),HLOOKUP(RIGHT(AN$3,LEN(AN$3)-FIND(".",AN$3,FIND(".",AN$3)+1)),Gällivare!$B$6:$J$36,MATCH($C11,Gällivare!$B$6:$B$36,0),FALSE),"Global: "&amp;HLOOKUP(LEFT(AN$3,4),Global!$B$6:$J$36,MATCH($C11,Global!$B$6:$B$36,0),FALSE)&amp;CHAR(10)&amp;"Local Trend: "&amp;HLOOKUP(MID(AN$3,FIND(".",AN$3)+1,FIND(".",AN$3,FIND(".",AN$3)+1)-FIND(".",AN$3)-1),Gällivare!$B$6:$J$36,MATCH($C11,Gällivare!$B$6:$B$36,0),FALSE)&amp;CHAR(10)&amp;"Local Target: "&amp;HLOOKUP(RIGHT(AN$3,LEN(AN$3)-FIND(".",AN$3,FIND(".",AN$3)+1)),Gällivare!$B$6:$J$36,MATCH($C11,Gällivare!$B$6:$B$36,0),FALSE)))</f>
        <v>High</v>
      </c>
      <c r="AO11" s="177" t="str">
        <f>IF(AND(HLOOKUP(MID(AO$3,FIND(".",AO$3)+1,FIND(".",AO$3,FIND(".",AO$3)+1)-FIND(".",AO$3)-1),Gällivare!$B$6:$J$36,MATCH($C11,Gällivare!$B$6:$B$36,0),FALSE)="No Impact",HLOOKUP(RIGHT(AO$3,LEN(AO$3)-FIND(".",AO$3,FIND(".",AO$3)+1)),Gällivare!$B$6:$J$36,MATCH($C11,Gällivare!$B$6:$B$36,0),FALSE)="No Impact"),HLOOKUP(LEFT(AO$3,4),Global!$B$6:$J$36,MATCH($C11,Global!$B$6:$B$36,0),FALSE),IF(AND(HLOOKUP(MID(AO$3,FIND(".",AO$3)+1,FIND(".",AO$3,FIND(".",AO$3)+1)-FIND(".",AO$3)-1),Gällivare!$B$6:$J$36,MATCH($C11,Gällivare!$B$6:$B$36,0),FALSE)="No Impact",HLOOKUP(LEFT(AO$3,4),Global!$B$6:$J$36,MATCH($C11,Global!$B$6:$B$36,0),FALSE)="No Impact"),HLOOKUP(RIGHT(AO$3,LEN(AO$3)-FIND(".",AO$3,FIND(".",AO$3)+1)),Gällivare!$B$6:$J$36,MATCH($C11,Gällivare!$B$6:$B$36,0),FALSE),"Global: "&amp;HLOOKUP(LEFT(AO$3,4),Global!$B$6:$J$36,MATCH($C11,Global!$B$6:$B$36,0),FALSE)&amp;CHAR(10)&amp;"Local Trend: "&amp;HLOOKUP(MID(AO$3,FIND(".",AO$3)+1,FIND(".",AO$3,FIND(".",AO$3)+1)-FIND(".",AO$3)-1),Gällivare!$B$6:$J$36,MATCH($C11,Gällivare!$B$6:$B$36,0),FALSE)&amp;CHAR(10)&amp;"Local Target: "&amp;HLOOKUP(RIGHT(AO$3,LEN(AO$3)-FIND(".",AO$3,FIND(".",AO$3)+1)),Gällivare!$B$6:$J$36,MATCH($C11,Gällivare!$B$6:$B$36,0),FALSE)))</f>
        <v>High</v>
      </c>
      <c r="AP11" s="177" t="str">
        <f>IF(AND(HLOOKUP(MID(AP$3,FIND(".",AP$3)+1,FIND(".",AP$3,FIND(".",AP$3)+1)-FIND(".",AP$3)-1),Gällivare!$B$6:$J$36,MATCH($C11,Gällivare!$B$6:$B$36,0),FALSE)="No Impact",HLOOKUP(RIGHT(AP$3,LEN(AP$3)-FIND(".",AP$3,FIND(".",AP$3)+1)),Gällivare!$B$6:$J$36,MATCH($C11,Gällivare!$B$6:$B$36,0),FALSE)="No Impact"),HLOOKUP(LEFT(AP$3,4),Global!$B$6:$J$36,MATCH($C11,Global!$B$6:$B$36,0),FALSE),IF(AND(HLOOKUP(MID(AP$3,FIND(".",AP$3)+1,FIND(".",AP$3,FIND(".",AP$3)+1)-FIND(".",AP$3)-1),Gällivare!$B$6:$J$36,MATCH($C11,Gällivare!$B$6:$B$36,0),FALSE)="No Impact",HLOOKUP(LEFT(AP$3,4),Global!$B$6:$J$36,MATCH($C11,Global!$B$6:$B$36,0),FALSE)="No Impact"),HLOOKUP(RIGHT(AP$3,LEN(AP$3)-FIND(".",AP$3,FIND(".",AP$3)+1)),Gällivare!$B$6:$J$36,MATCH($C11,Gällivare!$B$6:$B$36,0),FALSE),"Global: "&amp;HLOOKUP(LEFT(AP$3,4),Global!$B$6:$J$36,MATCH($C11,Global!$B$6:$B$36,0),FALSE)&amp;CHAR(10)&amp;"Local Trend: "&amp;HLOOKUP(MID(AP$3,FIND(".",AP$3)+1,FIND(".",AP$3,FIND(".",AP$3)+1)-FIND(".",AP$3)-1),Gällivare!$B$6:$J$36,MATCH($C11,Gällivare!$B$6:$B$36,0),FALSE)&amp;CHAR(10)&amp;"Local Target: "&amp;HLOOKUP(RIGHT(AP$3,LEN(AP$3)-FIND(".",AP$3,FIND(".",AP$3)+1)),Gällivare!$B$6:$J$36,MATCH($C11,Gällivare!$B$6:$B$36,0),FALSE)))</f>
        <v>High</v>
      </c>
      <c r="AQ11" s="177" t="str">
        <f>IF(AND(HLOOKUP(MID(AQ$3,FIND(".",AQ$3)+1,FIND(".",AQ$3,FIND(".",AQ$3)+1)-FIND(".",AQ$3)-1),Gällivare!$B$6:$J$36,MATCH($C11,Gällivare!$B$6:$B$36,0),FALSE)="No Impact",HLOOKUP(RIGHT(AQ$3,LEN(AQ$3)-FIND(".",AQ$3,FIND(".",AQ$3)+1)),Gällivare!$B$6:$J$36,MATCH($C11,Gällivare!$B$6:$B$36,0),FALSE)="No Impact"),HLOOKUP(LEFT(AQ$3,4),Global!$B$6:$J$36,MATCH($C11,Global!$B$6:$B$36,0),FALSE),IF(AND(HLOOKUP(MID(AQ$3,FIND(".",AQ$3)+1,FIND(".",AQ$3,FIND(".",AQ$3)+1)-FIND(".",AQ$3)-1),Gällivare!$B$6:$J$36,MATCH($C11,Gällivare!$B$6:$B$36,0),FALSE)="No Impact",HLOOKUP(LEFT(AQ$3,4),Global!$B$6:$J$36,MATCH($C11,Global!$B$6:$B$36,0),FALSE)="No Impact"),HLOOKUP(RIGHT(AQ$3,LEN(AQ$3)-FIND(".",AQ$3,FIND(".",AQ$3)+1)),Gällivare!$B$6:$J$36,MATCH($C11,Gällivare!$B$6:$B$36,0),FALSE),"Global: "&amp;HLOOKUP(LEFT(AQ$3,4),Global!$B$6:$J$36,MATCH($C11,Global!$B$6:$B$36,0),FALSE)&amp;CHAR(10)&amp;"Local Trend: "&amp;HLOOKUP(MID(AQ$3,FIND(".",AQ$3)+1,FIND(".",AQ$3,FIND(".",AQ$3)+1)-FIND(".",AQ$3)-1),Gällivare!$B$6:$J$36,MATCH($C11,Gällivare!$B$6:$B$36,0),FALSE)&amp;CHAR(10)&amp;"Local Target: "&amp;HLOOKUP(RIGHT(AQ$3,LEN(AQ$3)-FIND(".",AQ$3,FIND(".",AQ$3)+1)),Gällivare!$B$6:$J$36,MATCH($C11,Gällivare!$B$6:$B$36,0),FALSE)))</f>
        <v>High</v>
      </c>
      <c r="AR11" s="177" t="str">
        <f>IF(AND(HLOOKUP(MID(AR$3,FIND(".",AR$3)+1,FIND(".",AR$3,FIND(".",AR$3)+1)-FIND(".",AR$3)-1),Gällivare!$B$6:$J$36,MATCH($C11,Gällivare!$B$6:$B$36,0),FALSE)="No Impact",HLOOKUP(RIGHT(AR$3,LEN(AR$3)-FIND(".",AR$3,FIND(".",AR$3)+1)),Gällivare!$B$6:$J$36,MATCH($C11,Gällivare!$B$6:$B$36,0),FALSE)="No Impact"),HLOOKUP(LEFT(AR$3,4),Global!$B$6:$J$36,MATCH($C11,Global!$B$6:$B$36,0),FALSE),IF(AND(HLOOKUP(MID(AR$3,FIND(".",AR$3)+1,FIND(".",AR$3,FIND(".",AR$3)+1)-FIND(".",AR$3)-1),Gällivare!$B$6:$J$36,MATCH($C11,Gällivare!$B$6:$B$36,0),FALSE)="No Impact",HLOOKUP(LEFT(AR$3,4),Global!$B$6:$J$36,MATCH($C11,Global!$B$6:$B$36,0),FALSE)="No Impact"),HLOOKUP(RIGHT(AR$3,LEN(AR$3)-FIND(".",AR$3,FIND(".",AR$3)+1)),Gällivare!$B$6:$J$36,MATCH($C11,Gällivare!$B$6:$B$36,0),FALSE),"Global: "&amp;HLOOKUP(LEFT(AR$3,4),Global!$B$6:$J$36,MATCH($C11,Global!$B$6:$B$36,0),FALSE)&amp;CHAR(10)&amp;"Local Trend: "&amp;HLOOKUP(MID(AR$3,FIND(".",AR$3)+1,FIND(".",AR$3,FIND(".",AR$3)+1)-FIND(".",AR$3)-1),Gällivare!$B$6:$J$36,MATCH($C11,Gällivare!$B$6:$B$36,0),FALSE)&amp;CHAR(10)&amp;"Local Target: "&amp;HLOOKUP(RIGHT(AR$3,LEN(AR$3)-FIND(".",AR$3,FIND(".",AR$3)+1)),Gällivare!$B$6:$J$36,MATCH($C11,Gällivare!$B$6:$B$36,0),FALSE)))</f>
        <v>High</v>
      </c>
      <c r="AS11" s="177" t="str">
        <f>IF(AND(HLOOKUP(MID(AS$3,FIND(".",AS$3)+1,FIND(".",AS$3,FIND(".",AS$3)+1)-FIND(".",AS$3)-1),Gällivare!$B$6:$J$36,MATCH($C11,Gällivare!$B$6:$B$36,0),FALSE)="No Impact",HLOOKUP(RIGHT(AS$3,LEN(AS$3)-FIND(".",AS$3,FIND(".",AS$3)+1)),Gällivare!$B$6:$J$36,MATCH($C11,Gällivare!$B$6:$B$36,0),FALSE)="No Impact"),HLOOKUP(LEFT(AS$3,4),Global!$B$6:$J$36,MATCH($C11,Global!$B$6:$B$36,0),FALSE),IF(AND(HLOOKUP(MID(AS$3,FIND(".",AS$3)+1,FIND(".",AS$3,FIND(".",AS$3)+1)-FIND(".",AS$3)-1),Gällivare!$B$6:$J$36,MATCH($C11,Gällivare!$B$6:$B$36,0),FALSE)="No Impact",HLOOKUP(LEFT(AS$3,4),Global!$B$6:$J$36,MATCH($C11,Global!$B$6:$B$36,0),FALSE)="No Impact"),HLOOKUP(RIGHT(AS$3,LEN(AS$3)-FIND(".",AS$3,FIND(".",AS$3)+1)),Gällivare!$B$6:$J$36,MATCH($C11,Gällivare!$B$6:$B$36,0),FALSE),"Global: "&amp;HLOOKUP(LEFT(AS$3,4),Global!$B$6:$J$36,MATCH($C11,Global!$B$6:$B$36,0),FALSE)&amp;CHAR(10)&amp;"Local Trend: "&amp;HLOOKUP(MID(AS$3,FIND(".",AS$3)+1,FIND(".",AS$3,FIND(".",AS$3)+1)-FIND(".",AS$3)-1),Gällivare!$B$6:$J$36,MATCH($C11,Gällivare!$B$6:$B$36,0),FALSE)&amp;CHAR(10)&amp;"Local Target: "&amp;HLOOKUP(RIGHT(AS$3,LEN(AS$3)-FIND(".",AS$3,FIND(".",AS$3)+1)),Gällivare!$B$6:$J$36,MATCH($C11,Gällivare!$B$6:$B$36,0),FALSE)))</f>
        <v>Medium</v>
      </c>
      <c r="AT11" s="177" t="str">
        <f>IF(AND(HLOOKUP(MID(AT$3,FIND(".",AT$3)+1,FIND(".",AT$3,FIND(".",AT$3)+1)-FIND(".",AT$3)-1),Gällivare!$B$6:$J$36,MATCH($C11,Gällivare!$B$6:$B$36,0),FALSE)="No Impact",HLOOKUP(RIGHT(AT$3,LEN(AT$3)-FIND(".",AT$3,FIND(".",AT$3)+1)),Gällivare!$B$6:$J$36,MATCH($C11,Gällivare!$B$6:$B$36,0),FALSE)="No Impact"),HLOOKUP(LEFT(AT$3,4),Global!$B$6:$J$36,MATCH($C11,Global!$B$6:$B$36,0),FALSE),IF(AND(HLOOKUP(MID(AT$3,FIND(".",AT$3)+1,FIND(".",AT$3,FIND(".",AT$3)+1)-FIND(".",AT$3)-1),Gällivare!$B$6:$J$36,MATCH($C11,Gällivare!$B$6:$B$36,0),FALSE)="No Impact",HLOOKUP(LEFT(AT$3,4),Global!$B$6:$J$36,MATCH($C11,Global!$B$6:$B$36,0),FALSE)="No Impact"),HLOOKUP(RIGHT(AT$3,LEN(AT$3)-FIND(".",AT$3,FIND(".",AT$3)+1)),Gällivare!$B$6:$J$36,MATCH($C11,Gällivare!$B$6:$B$36,0),FALSE),"Global: "&amp;HLOOKUP(LEFT(AT$3,4),Global!$B$6:$J$36,MATCH($C11,Global!$B$6:$B$36,0),FALSE)&amp;CHAR(10)&amp;"Local Trend: "&amp;HLOOKUP(MID(AT$3,FIND(".",AT$3)+1,FIND(".",AT$3,FIND(".",AT$3)+1)-FIND(".",AT$3)-1),Gällivare!$B$6:$J$36,MATCH($C11,Gällivare!$B$6:$B$36,0),FALSE)&amp;CHAR(10)&amp;"Local Target: "&amp;HLOOKUP(RIGHT(AT$3,LEN(AT$3)-FIND(".",AT$3,FIND(".",AT$3)+1)),Gällivare!$B$6:$J$36,MATCH($C11,Gällivare!$B$6:$B$36,0),FALSE)))</f>
        <v>Medium</v>
      </c>
      <c r="AU11" s="177" t="str">
        <f>IF(AND(HLOOKUP(MID(AU$3,FIND(".",AU$3)+1,FIND(".",AU$3,FIND(".",AU$3)+1)-FIND(".",AU$3)-1),Gällivare!$B$6:$J$36,MATCH($C11,Gällivare!$B$6:$B$36,0),FALSE)="No Impact",HLOOKUP(RIGHT(AU$3,LEN(AU$3)-FIND(".",AU$3,FIND(".",AU$3)+1)),Gällivare!$B$6:$J$36,MATCH($C11,Gällivare!$B$6:$B$36,0),FALSE)="No Impact"),HLOOKUP(LEFT(AU$3,4),Global!$B$6:$J$36,MATCH($C11,Global!$B$6:$B$36,0),FALSE),IF(AND(HLOOKUP(MID(AU$3,FIND(".",AU$3)+1,FIND(".",AU$3,FIND(".",AU$3)+1)-FIND(".",AU$3)-1),Gällivare!$B$6:$J$36,MATCH($C11,Gällivare!$B$6:$B$36,0),FALSE)="No Impact",HLOOKUP(LEFT(AU$3,4),Global!$B$6:$J$36,MATCH($C11,Global!$B$6:$B$36,0),FALSE)="No Impact"),HLOOKUP(RIGHT(AU$3,LEN(AU$3)-FIND(".",AU$3,FIND(".",AU$3)+1)),Gällivare!$B$6:$J$36,MATCH($C11,Gällivare!$B$6:$B$36,0),FALSE),"Global: "&amp;HLOOKUP(LEFT(AU$3,4),Global!$B$6:$J$36,MATCH($C11,Global!$B$6:$B$36,0),FALSE)&amp;CHAR(10)&amp;"Local Trend: "&amp;HLOOKUP(MID(AU$3,FIND(".",AU$3)+1,FIND(".",AU$3,FIND(".",AU$3)+1)-FIND(".",AU$3)-1),Gällivare!$B$6:$J$36,MATCH($C11,Gällivare!$B$6:$B$36,0),FALSE)&amp;CHAR(10)&amp;"Local Target: "&amp;HLOOKUP(RIGHT(AU$3,LEN(AU$3)-FIND(".",AU$3,FIND(".",AU$3)+1)),Gällivare!$B$6:$J$36,MATCH($C11,Gällivare!$B$6:$B$36,0),FALSE)))</f>
        <v>Medium</v>
      </c>
      <c r="AV11" s="177" t="str">
        <f>IF(AND(HLOOKUP(MID(AV$3,FIND(".",AV$3)+1,FIND(".",AV$3,FIND(".",AV$3)+1)-FIND(".",AV$3)-1),Gällivare!$B$6:$J$36,MATCH($C11,Gällivare!$B$6:$B$36,0),FALSE)="No Impact",HLOOKUP(RIGHT(AV$3,LEN(AV$3)-FIND(".",AV$3,FIND(".",AV$3)+1)),Gällivare!$B$6:$J$36,MATCH($C11,Gällivare!$B$6:$B$36,0),FALSE)="No Impact"),HLOOKUP(LEFT(AV$3,4),Global!$B$6:$J$36,MATCH($C11,Global!$B$6:$B$36,0),FALSE),IF(AND(HLOOKUP(MID(AV$3,FIND(".",AV$3)+1,FIND(".",AV$3,FIND(".",AV$3)+1)-FIND(".",AV$3)-1),Gällivare!$B$6:$J$36,MATCH($C11,Gällivare!$B$6:$B$36,0),FALSE)="No Impact",HLOOKUP(LEFT(AV$3,4),Global!$B$6:$J$36,MATCH($C11,Global!$B$6:$B$36,0),FALSE)="No Impact"),HLOOKUP(RIGHT(AV$3,LEN(AV$3)-FIND(".",AV$3,FIND(".",AV$3)+1)),Gällivare!$B$6:$J$36,MATCH($C11,Gällivare!$B$6:$B$36,0),FALSE),"Global: "&amp;HLOOKUP(LEFT(AV$3,4),Global!$B$6:$J$36,MATCH($C11,Global!$B$6:$B$36,0),FALSE)&amp;CHAR(10)&amp;"Local Trend: "&amp;HLOOKUP(MID(AV$3,FIND(".",AV$3)+1,FIND(".",AV$3,FIND(".",AV$3)+1)-FIND(".",AV$3)-1),Gällivare!$B$6:$J$36,MATCH($C11,Gällivare!$B$6:$B$36,0),FALSE)&amp;CHAR(10)&amp;"Local Target: "&amp;HLOOKUP(RIGHT(AV$3,LEN(AV$3)-FIND(".",AV$3,FIND(".",AV$3)+1)),Gällivare!$B$6:$J$36,MATCH($C11,Gällivare!$B$6:$B$36,0),FALSE)))</f>
        <v>Medium</v>
      </c>
      <c r="AW11" s="177" t="str">
        <f>IF(AND(HLOOKUP(MID(AW$3,FIND(".",AW$3)+1,FIND(".",AW$3,FIND(".",AW$3)+1)-FIND(".",AW$3)-1),Gällivare!$B$6:$J$36,MATCH($C11,Gällivare!$B$6:$B$36,0),FALSE)="No Impact",HLOOKUP(RIGHT(AW$3,LEN(AW$3)-FIND(".",AW$3,FIND(".",AW$3)+1)),Gällivare!$B$6:$J$36,MATCH($C11,Gällivare!$B$6:$B$36,0),FALSE)="No Impact"),HLOOKUP(LEFT(AW$3,4),Global!$B$6:$J$36,MATCH($C11,Global!$B$6:$B$36,0),FALSE),IF(AND(HLOOKUP(MID(AW$3,FIND(".",AW$3)+1,FIND(".",AW$3,FIND(".",AW$3)+1)-FIND(".",AW$3)-1),Gällivare!$B$6:$J$36,MATCH($C11,Gällivare!$B$6:$B$36,0),FALSE)="No Impact",HLOOKUP(LEFT(AW$3,4),Global!$B$6:$J$36,MATCH($C11,Global!$B$6:$B$36,0),FALSE)="No Impact"),HLOOKUP(RIGHT(AW$3,LEN(AW$3)-FIND(".",AW$3,FIND(".",AW$3)+1)),Gällivare!$B$6:$J$36,MATCH($C11,Gällivare!$B$6:$B$36,0),FALSE),"Global: "&amp;HLOOKUP(LEFT(AW$3,4),Global!$B$6:$J$36,MATCH($C11,Global!$B$6:$B$36,0),FALSE)&amp;CHAR(10)&amp;"Local Trend: "&amp;HLOOKUP(MID(AW$3,FIND(".",AW$3)+1,FIND(".",AW$3,FIND(".",AW$3)+1)-FIND(".",AW$3)-1),Gällivare!$B$6:$J$36,MATCH($C11,Gällivare!$B$6:$B$36,0),FALSE)&amp;CHAR(10)&amp;"Local Target: "&amp;HLOOKUP(RIGHT(AW$3,LEN(AW$3)-FIND(".",AW$3,FIND(".",AW$3)+1)),Gällivare!$B$6:$J$36,MATCH($C11,Gällivare!$B$6:$B$36,0),FALSE)))</f>
        <v>Medium</v>
      </c>
      <c r="AX11" s="177" t="str">
        <f>IF(AND(HLOOKUP(MID(AX$3,FIND(".",AX$3)+1,FIND(".",AX$3,FIND(".",AX$3)+1)-FIND(".",AX$3)-1),Gällivare!$B$6:$J$36,MATCH($C11,Gällivare!$B$6:$B$36,0),FALSE)="No Impact",HLOOKUP(RIGHT(AX$3,LEN(AX$3)-FIND(".",AX$3,FIND(".",AX$3)+1)),Gällivare!$B$6:$J$36,MATCH($C11,Gällivare!$B$6:$B$36,0),FALSE)="No Impact"),HLOOKUP(LEFT(AX$3,4),Global!$B$6:$J$36,MATCH($C11,Global!$B$6:$B$36,0),FALSE),IF(AND(HLOOKUP(MID(AX$3,FIND(".",AX$3)+1,FIND(".",AX$3,FIND(".",AX$3)+1)-FIND(".",AX$3)-1),Gällivare!$B$6:$J$36,MATCH($C11,Gällivare!$B$6:$B$36,0),FALSE)="No Impact",HLOOKUP(LEFT(AX$3,4),Global!$B$6:$J$36,MATCH($C11,Global!$B$6:$B$36,0),FALSE)="No Impact"),HLOOKUP(RIGHT(AX$3,LEN(AX$3)-FIND(".",AX$3,FIND(".",AX$3)+1)),Gällivare!$B$6:$J$36,MATCH($C11,Gällivare!$B$6:$B$36,0),FALSE),"Global: "&amp;HLOOKUP(LEFT(AX$3,4),Global!$B$6:$J$36,MATCH($C11,Global!$B$6:$B$36,0),FALSE)&amp;CHAR(10)&amp;"Local Trend: "&amp;HLOOKUP(MID(AX$3,FIND(".",AX$3)+1,FIND(".",AX$3,FIND(".",AX$3)+1)-FIND(".",AX$3)-1),Gällivare!$B$6:$J$36,MATCH($C11,Gällivare!$B$6:$B$36,0),FALSE)&amp;CHAR(10)&amp;"Local Target: "&amp;HLOOKUP(RIGHT(AX$3,LEN(AX$3)-FIND(".",AX$3,FIND(".",AX$3)+1)),Gällivare!$B$6:$J$36,MATCH($C11,Gällivare!$B$6:$B$36,0),FALSE)))</f>
        <v>Medium</v>
      </c>
      <c r="AY11" s="177" t="str">
        <f>IF(AND(HLOOKUP(MID(AY$3,FIND(".",AY$3)+1,FIND(".",AY$3,FIND(".",AY$3)+1)-FIND(".",AY$3)-1),Gällivare!$B$6:$J$36,MATCH($C11,Gällivare!$B$6:$B$36,0),FALSE)="No Impact",HLOOKUP(RIGHT(AY$3,LEN(AY$3)-FIND(".",AY$3,FIND(".",AY$3)+1)),Gällivare!$B$6:$J$36,MATCH($C11,Gällivare!$B$6:$B$36,0),FALSE)="No Impact"),HLOOKUP(LEFT(AY$3,4),Global!$B$6:$J$36,MATCH($C11,Global!$B$6:$B$36,0),FALSE),IF(AND(HLOOKUP(MID(AY$3,FIND(".",AY$3)+1,FIND(".",AY$3,FIND(".",AY$3)+1)-FIND(".",AY$3)-1),Gällivare!$B$6:$J$36,MATCH($C11,Gällivare!$B$6:$B$36,0),FALSE)="No Impact",HLOOKUP(LEFT(AY$3,4),Global!$B$6:$J$36,MATCH($C11,Global!$B$6:$B$36,0),FALSE)="No Impact"),HLOOKUP(RIGHT(AY$3,LEN(AY$3)-FIND(".",AY$3,FIND(".",AY$3)+1)),Gällivare!$B$6:$J$36,MATCH($C11,Gällivare!$B$6:$B$36,0),FALSE),"Global: "&amp;HLOOKUP(LEFT(AY$3,4),Global!$B$6:$J$36,MATCH($C11,Global!$B$6:$B$36,0),FALSE)&amp;CHAR(10)&amp;"Local Trend: "&amp;HLOOKUP(MID(AY$3,FIND(".",AY$3)+1,FIND(".",AY$3,FIND(".",AY$3)+1)-FIND(".",AY$3)-1),Gällivare!$B$6:$J$36,MATCH($C11,Gällivare!$B$6:$B$36,0),FALSE)&amp;CHAR(10)&amp;"Local Target: "&amp;HLOOKUP(RIGHT(AY$3,LEN(AY$3)-FIND(".",AY$3,FIND(".",AY$3)+1)),Gällivare!$B$6:$J$36,MATCH($C11,Gällivare!$B$6:$B$36,0),FALSE)))</f>
        <v>Medium</v>
      </c>
      <c r="AZ11" s="177" t="str">
        <f>IF(AND(HLOOKUP(MID(AZ$3,FIND(".",AZ$3)+1,FIND(".",AZ$3,FIND(".",AZ$3)+1)-FIND(".",AZ$3)-1),Gällivare!$B$6:$J$36,MATCH($C11,Gällivare!$B$6:$B$36,0),FALSE)="No Impact",HLOOKUP(RIGHT(AZ$3,LEN(AZ$3)-FIND(".",AZ$3,FIND(".",AZ$3)+1)),Gällivare!$B$6:$J$36,MATCH($C11,Gällivare!$B$6:$B$36,0),FALSE)="No Impact"),HLOOKUP(LEFT(AZ$3,4),Global!$B$6:$J$36,MATCH($C11,Global!$B$6:$B$36,0),FALSE),IF(AND(HLOOKUP(MID(AZ$3,FIND(".",AZ$3)+1,FIND(".",AZ$3,FIND(".",AZ$3)+1)-FIND(".",AZ$3)-1),Gällivare!$B$6:$J$36,MATCH($C11,Gällivare!$B$6:$B$36,0),FALSE)="No Impact",HLOOKUP(LEFT(AZ$3,4),Global!$B$6:$J$36,MATCH($C11,Global!$B$6:$B$36,0),FALSE)="No Impact"),HLOOKUP(RIGHT(AZ$3,LEN(AZ$3)-FIND(".",AZ$3,FIND(".",AZ$3)+1)),Gällivare!$B$6:$J$36,MATCH($C11,Gällivare!$B$6:$B$36,0),FALSE),"Global: "&amp;HLOOKUP(LEFT(AZ$3,4),Global!$B$6:$J$36,MATCH($C11,Global!$B$6:$B$36,0),FALSE)&amp;CHAR(10)&amp;"Local Trend: "&amp;HLOOKUP(MID(AZ$3,FIND(".",AZ$3)+1,FIND(".",AZ$3,FIND(".",AZ$3)+1)-FIND(".",AZ$3)-1),Gällivare!$B$6:$J$36,MATCH($C11,Gällivare!$B$6:$B$36,0),FALSE)&amp;CHAR(10)&amp;"Local Target: "&amp;HLOOKUP(RIGHT(AZ$3,LEN(AZ$3)-FIND(".",AZ$3,FIND(".",AZ$3)+1)),Gällivare!$B$6:$J$36,MATCH($C11,Gällivare!$B$6:$B$36,0),FALSE)))</f>
        <v>Medium</v>
      </c>
      <c r="BA11" s="177" t="str">
        <f>IF(AND(HLOOKUP(MID(BA$3,FIND(".",BA$3)+1,FIND(".",BA$3,FIND(".",BA$3)+1)-FIND(".",BA$3)-1),Gällivare!$B$6:$J$36,MATCH($C11,Gällivare!$B$6:$B$36,0),FALSE)="No Impact",HLOOKUP(RIGHT(BA$3,LEN(BA$3)-FIND(".",BA$3,FIND(".",BA$3)+1)),Gällivare!$B$6:$J$36,MATCH($C11,Gällivare!$B$6:$B$36,0),FALSE)="No Impact"),HLOOKUP(LEFT(BA$3,4),Global!$B$6:$J$36,MATCH($C11,Global!$B$6:$B$36,0),FALSE),IF(AND(HLOOKUP(MID(BA$3,FIND(".",BA$3)+1,FIND(".",BA$3,FIND(".",BA$3)+1)-FIND(".",BA$3)-1),Gällivare!$B$6:$J$36,MATCH($C11,Gällivare!$B$6:$B$36,0),FALSE)="No Impact",HLOOKUP(LEFT(BA$3,4),Global!$B$6:$J$36,MATCH($C11,Global!$B$6:$B$36,0),FALSE)="No Impact"),HLOOKUP(RIGHT(BA$3,LEN(BA$3)-FIND(".",BA$3,FIND(".",BA$3)+1)),Gällivare!$B$6:$J$36,MATCH($C11,Gällivare!$B$6:$B$36,0),FALSE),"Global: "&amp;HLOOKUP(LEFT(BA$3,4),Global!$B$6:$J$36,MATCH($C11,Global!$B$6:$B$36,0),FALSE)&amp;CHAR(10)&amp;"Local Trend: "&amp;HLOOKUP(MID(BA$3,FIND(".",BA$3)+1,FIND(".",BA$3,FIND(".",BA$3)+1)-FIND(".",BA$3)-1),Gällivare!$B$6:$J$36,MATCH($C11,Gällivare!$B$6:$B$36,0),FALSE)&amp;CHAR(10)&amp;"Local Target: "&amp;HLOOKUP(RIGHT(BA$3,LEN(BA$3)-FIND(".",BA$3,FIND(".",BA$3)+1)),Gällivare!$B$6:$J$36,MATCH($C11,Gällivare!$B$6:$B$36,0),FALSE)))</f>
        <v>Medium</v>
      </c>
      <c r="BB11" s="177" t="str">
        <f>IF(AND(HLOOKUP(MID(BB$3,FIND(".",BB$3)+1,FIND(".",BB$3,FIND(".",BB$3)+1)-FIND(".",BB$3)-1),Gällivare!$B$6:$J$36,MATCH($C11,Gällivare!$B$6:$B$36,0),FALSE)="No Impact",HLOOKUP(RIGHT(BB$3,LEN(BB$3)-FIND(".",BB$3,FIND(".",BB$3)+1)),Gällivare!$B$6:$J$36,MATCH($C11,Gällivare!$B$6:$B$36,0),FALSE)="No Impact"),HLOOKUP(LEFT(BB$3,4),Global!$B$6:$J$36,MATCH($C11,Global!$B$6:$B$36,0),FALSE),IF(AND(HLOOKUP(MID(BB$3,FIND(".",BB$3)+1,FIND(".",BB$3,FIND(".",BB$3)+1)-FIND(".",BB$3)-1),Gällivare!$B$6:$J$36,MATCH($C11,Gällivare!$B$6:$B$36,0),FALSE)="No Impact",HLOOKUP(LEFT(BB$3,4),Global!$B$6:$J$36,MATCH($C11,Global!$B$6:$B$36,0),FALSE)="No Impact"),HLOOKUP(RIGHT(BB$3,LEN(BB$3)-FIND(".",BB$3,FIND(".",BB$3)+1)),Gällivare!$B$6:$J$36,MATCH($C11,Gällivare!$B$6:$B$36,0),FALSE),"Global: "&amp;HLOOKUP(LEFT(BB$3,4),Global!$B$6:$J$36,MATCH($C11,Global!$B$6:$B$36,0),FALSE)&amp;CHAR(10)&amp;"Local Trend: "&amp;HLOOKUP(MID(BB$3,FIND(".",BB$3)+1,FIND(".",BB$3,FIND(".",BB$3)+1)-FIND(".",BB$3)-1),Gällivare!$B$6:$J$36,MATCH($C11,Gällivare!$B$6:$B$36,0),FALSE)&amp;CHAR(10)&amp;"Local Target: "&amp;HLOOKUP(RIGHT(BB$3,LEN(BB$3)-FIND(".",BB$3,FIND(".",BB$3)+1)),Gällivare!$B$6:$J$36,MATCH($C11,Gällivare!$B$6:$B$36,0),FALSE)))</f>
        <v>Medium</v>
      </c>
      <c r="BC11" s="177" t="str">
        <f>IF(AND(HLOOKUP(MID(BC$3,FIND(".",BC$3)+1,FIND(".",BC$3,FIND(".",BC$3)+1)-FIND(".",BC$3)-1),Gällivare!$B$6:$J$36,MATCH($C11,Gällivare!$B$6:$B$36,0),FALSE)="No Impact",HLOOKUP(RIGHT(BC$3,LEN(BC$3)-FIND(".",BC$3,FIND(".",BC$3)+1)),Gällivare!$B$6:$J$36,MATCH($C11,Gällivare!$B$6:$B$36,0),FALSE)="No Impact"),HLOOKUP(LEFT(BC$3,4),Global!$B$6:$J$36,MATCH($C11,Global!$B$6:$B$36,0),FALSE),IF(AND(HLOOKUP(MID(BC$3,FIND(".",BC$3)+1,FIND(".",BC$3,FIND(".",BC$3)+1)-FIND(".",BC$3)-1),Gällivare!$B$6:$J$36,MATCH($C11,Gällivare!$B$6:$B$36,0),FALSE)="No Impact",HLOOKUP(LEFT(BC$3,4),Global!$B$6:$J$36,MATCH($C11,Global!$B$6:$B$36,0),FALSE)="No Impact"),HLOOKUP(RIGHT(BC$3,LEN(BC$3)-FIND(".",BC$3,FIND(".",BC$3)+1)),Gällivare!$B$6:$J$36,MATCH($C11,Gällivare!$B$6:$B$36,0),FALSE),"Global: "&amp;HLOOKUP(LEFT(BC$3,4),Global!$B$6:$J$36,MATCH($C11,Global!$B$6:$B$36,0),FALSE)&amp;CHAR(10)&amp;"Local Trend: "&amp;HLOOKUP(MID(BC$3,FIND(".",BC$3)+1,FIND(".",BC$3,FIND(".",BC$3)+1)-FIND(".",BC$3)-1),Gällivare!$B$6:$J$36,MATCH($C11,Gällivare!$B$6:$B$36,0),FALSE)&amp;CHAR(10)&amp;"Local Target: "&amp;HLOOKUP(RIGHT(BC$3,LEN(BC$3)-FIND(".",BC$3,FIND(".",BC$3)+1)),Gällivare!$B$6:$J$36,MATCH($C11,Gällivare!$B$6:$B$36,0),FALSE)))</f>
        <v>Medium</v>
      </c>
      <c r="BD11" s="177" t="str">
        <f>IF(AND(HLOOKUP(MID(BD$3,FIND(".",BD$3)+1,FIND(".",BD$3,FIND(".",BD$3)+1)-FIND(".",BD$3)-1),Gällivare!$B$6:$J$36,MATCH($C11,Gällivare!$B$6:$B$36,0),FALSE)="No Impact",HLOOKUP(RIGHT(BD$3,LEN(BD$3)-FIND(".",BD$3,FIND(".",BD$3)+1)),Gällivare!$B$6:$J$36,MATCH($C11,Gällivare!$B$6:$B$36,0),FALSE)="No Impact"),HLOOKUP(LEFT(BD$3,4),Global!$B$6:$J$36,MATCH($C11,Global!$B$6:$B$36,0),FALSE),IF(AND(HLOOKUP(MID(BD$3,FIND(".",BD$3)+1,FIND(".",BD$3,FIND(".",BD$3)+1)-FIND(".",BD$3)-1),Gällivare!$B$6:$J$36,MATCH($C11,Gällivare!$B$6:$B$36,0),FALSE)="No Impact",HLOOKUP(LEFT(BD$3,4),Global!$B$6:$J$36,MATCH($C11,Global!$B$6:$B$36,0),FALSE)="No Impact"),HLOOKUP(RIGHT(BD$3,LEN(BD$3)-FIND(".",BD$3,FIND(".",BD$3)+1)),Gällivare!$B$6:$J$36,MATCH($C11,Gällivare!$B$6:$B$36,0),FALSE),"Global: "&amp;HLOOKUP(LEFT(BD$3,4),Global!$B$6:$J$36,MATCH($C11,Global!$B$6:$B$36,0),FALSE)&amp;CHAR(10)&amp;"Local Trend: "&amp;HLOOKUP(MID(BD$3,FIND(".",BD$3)+1,FIND(".",BD$3,FIND(".",BD$3)+1)-FIND(".",BD$3)-1),Gällivare!$B$6:$J$36,MATCH($C11,Gällivare!$B$6:$B$36,0),FALSE)&amp;CHAR(10)&amp;"Local Target: "&amp;HLOOKUP(RIGHT(BD$3,LEN(BD$3)-FIND(".",BD$3,FIND(".",BD$3)+1)),Gällivare!$B$6:$J$36,MATCH($C11,Gällivare!$B$6:$B$36,0),FALSE)))</f>
        <v>Medium</v>
      </c>
      <c r="BE11" s="177" t="str">
        <f>IF(AND(HLOOKUP(MID(BE$3,FIND(".",BE$3)+1,FIND(".",BE$3,FIND(".",BE$3)+1)-FIND(".",BE$3)-1),Gällivare!$B$6:$J$36,MATCH($C11,Gällivare!$B$6:$B$36,0),FALSE)="No Impact",HLOOKUP(RIGHT(BE$3,LEN(BE$3)-FIND(".",BE$3,FIND(".",BE$3)+1)),Gällivare!$B$6:$J$36,MATCH($C11,Gällivare!$B$6:$B$36,0),FALSE)="No Impact"),HLOOKUP(LEFT(BE$3,4),Global!$B$6:$J$36,MATCH($C11,Global!$B$6:$B$36,0),FALSE),IF(AND(HLOOKUP(MID(BE$3,FIND(".",BE$3)+1,FIND(".",BE$3,FIND(".",BE$3)+1)-FIND(".",BE$3)-1),Gällivare!$B$6:$J$36,MATCH($C11,Gällivare!$B$6:$B$36,0),FALSE)="No Impact",HLOOKUP(LEFT(BE$3,4),Global!$B$6:$J$36,MATCH($C11,Global!$B$6:$B$36,0),FALSE)="No Impact"),HLOOKUP(RIGHT(BE$3,LEN(BE$3)-FIND(".",BE$3,FIND(".",BE$3)+1)),Gällivare!$B$6:$J$36,MATCH($C11,Gällivare!$B$6:$B$36,0),FALSE),"Global: "&amp;HLOOKUP(LEFT(BE$3,4),Global!$B$6:$J$36,MATCH($C11,Global!$B$6:$B$36,0),FALSE)&amp;CHAR(10)&amp;"Local Trend: "&amp;HLOOKUP(MID(BE$3,FIND(".",BE$3)+1,FIND(".",BE$3,FIND(".",BE$3)+1)-FIND(".",BE$3)-1),Gällivare!$B$6:$J$36,MATCH($C11,Gällivare!$B$6:$B$36,0),FALSE)&amp;CHAR(10)&amp;"Local Target: "&amp;HLOOKUP(RIGHT(BE$3,LEN(BE$3)-FIND(".",BE$3,FIND(".",BE$3)+1)),Gällivare!$B$6:$J$36,MATCH($C11,Gällivare!$B$6:$B$36,0),FALSE)))</f>
        <v>Medium</v>
      </c>
      <c r="BF11" s="177" t="str">
        <f>IF(AND(HLOOKUP(MID(BF$3,FIND(".",BF$3)+1,FIND(".",BF$3,FIND(".",BF$3)+1)-FIND(".",BF$3)-1),Gällivare!$B$6:$J$36,MATCH($C11,Gällivare!$B$6:$B$36,0),FALSE)="No Impact",HLOOKUP(RIGHT(BF$3,LEN(BF$3)-FIND(".",BF$3,FIND(".",BF$3)+1)),Gällivare!$B$6:$J$36,MATCH($C11,Gällivare!$B$6:$B$36,0),FALSE)="No Impact"),HLOOKUP(LEFT(BF$3,4),Global!$B$6:$J$36,MATCH($C11,Global!$B$6:$B$36,0),FALSE),IF(AND(HLOOKUP(MID(BF$3,FIND(".",BF$3)+1,FIND(".",BF$3,FIND(".",BF$3)+1)-FIND(".",BF$3)-1),Gällivare!$B$6:$J$36,MATCH($C11,Gällivare!$B$6:$B$36,0),FALSE)="No Impact",HLOOKUP(LEFT(BF$3,4),Global!$B$6:$J$36,MATCH($C11,Global!$B$6:$B$36,0),FALSE)="No Impact"),HLOOKUP(RIGHT(BF$3,LEN(BF$3)-FIND(".",BF$3,FIND(".",BF$3)+1)),Gällivare!$B$6:$J$36,MATCH($C11,Gällivare!$B$6:$B$36,0),FALSE),"Global: "&amp;HLOOKUP(LEFT(BF$3,4),Global!$B$6:$J$36,MATCH($C11,Global!$B$6:$B$36,0),FALSE)&amp;CHAR(10)&amp;"Local Trend: "&amp;HLOOKUP(MID(BF$3,FIND(".",BF$3)+1,FIND(".",BF$3,FIND(".",BF$3)+1)-FIND(".",BF$3)-1),Gällivare!$B$6:$J$36,MATCH($C11,Gällivare!$B$6:$B$36,0),FALSE)&amp;CHAR(10)&amp;"Local Target: "&amp;HLOOKUP(RIGHT(BF$3,LEN(BF$3)-FIND(".",BF$3,FIND(".",BF$3)+1)),Gällivare!$B$6:$J$36,MATCH($C11,Gällivare!$B$6:$B$36,0),FALSE)))</f>
        <v>Medium</v>
      </c>
      <c r="BG11" s="177" t="str">
        <f>IF(AND(HLOOKUP(MID(BG$3,FIND(".",BG$3)+1,FIND(".",BG$3,FIND(".",BG$3)+1)-FIND(".",BG$3)-1),Gällivare!$B$6:$J$36,MATCH($C11,Gällivare!$B$6:$B$36,0),FALSE)="No Impact",HLOOKUP(RIGHT(BG$3,LEN(BG$3)-FIND(".",BG$3,FIND(".",BG$3)+1)),Gällivare!$B$6:$J$36,MATCH($C11,Gällivare!$B$6:$B$36,0),FALSE)="No Impact"),HLOOKUP(LEFT(BG$3,4),Global!$B$6:$J$36,MATCH($C11,Global!$B$6:$B$36,0),FALSE),IF(AND(HLOOKUP(MID(BG$3,FIND(".",BG$3)+1,FIND(".",BG$3,FIND(".",BG$3)+1)-FIND(".",BG$3)-1),Gällivare!$B$6:$J$36,MATCH($C11,Gällivare!$B$6:$B$36,0),FALSE)="No Impact",HLOOKUP(LEFT(BG$3,4),Global!$B$6:$J$36,MATCH($C11,Global!$B$6:$B$36,0),FALSE)="No Impact"),HLOOKUP(RIGHT(BG$3,LEN(BG$3)-FIND(".",BG$3,FIND(".",BG$3)+1)),Gällivare!$B$6:$J$36,MATCH($C11,Gällivare!$B$6:$B$36,0),FALSE),"Global: "&amp;HLOOKUP(LEFT(BG$3,4),Global!$B$6:$J$36,MATCH($C11,Global!$B$6:$B$36,0),FALSE)&amp;CHAR(10)&amp;"Local Trend: "&amp;HLOOKUP(MID(BG$3,FIND(".",BG$3)+1,FIND(".",BG$3,FIND(".",BG$3)+1)-FIND(".",BG$3)-1),Gällivare!$B$6:$J$36,MATCH($C11,Gällivare!$B$6:$B$36,0),FALSE)&amp;CHAR(10)&amp;"Local Target: "&amp;HLOOKUP(RIGHT(BG$3,LEN(BG$3)-FIND(".",BG$3,FIND(".",BG$3)+1)),Gällivare!$B$6:$J$36,MATCH($C11,Gällivare!$B$6:$B$36,0),FALSE)))</f>
        <v>Medium</v>
      </c>
      <c r="BH11" s="177" t="str">
        <f>IF(AND(HLOOKUP(MID(BH$3,FIND(".",BH$3)+1,FIND(".",BH$3,FIND(".",BH$3)+1)-FIND(".",BH$3)-1),Gällivare!$B$6:$J$36,MATCH($C11,Gällivare!$B$6:$B$36,0),FALSE)="No Impact",HLOOKUP(RIGHT(BH$3,LEN(BH$3)-FIND(".",BH$3,FIND(".",BH$3)+1)),Gällivare!$B$6:$J$36,MATCH($C11,Gällivare!$B$6:$B$36,0),FALSE)="No Impact"),HLOOKUP(LEFT(BH$3,4),Global!$B$6:$J$36,MATCH($C11,Global!$B$6:$B$36,0),FALSE),IF(AND(HLOOKUP(MID(BH$3,FIND(".",BH$3)+1,FIND(".",BH$3,FIND(".",BH$3)+1)-FIND(".",BH$3)-1),Gällivare!$B$6:$J$36,MATCH($C11,Gällivare!$B$6:$B$36,0),FALSE)="No Impact",HLOOKUP(LEFT(BH$3,4),Global!$B$6:$J$36,MATCH($C11,Global!$B$6:$B$36,0),FALSE)="No Impact"),HLOOKUP(RIGHT(BH$3,LEN(BH$3)-FIND(".",BH$3,FIND(".",BH$3)+1)),Gällivare!$B$6:$J$36,MATCH($C11,Gällivare!$B$6:$B$36,0),FALSE),"Global: "&amp;HLOOKUP(LEFT(BH$3,4),Global!$B$6:$J$36,MATCH($C11,Global!$B$6:$B$36,0),FALSE)&amp;CHAR(10)&amp;"Local Trend: "&amp;HLOOKUP(MID(BH$3,FIND(".",BH$3)+1,FIND(".",BH$3,FIND(".",BH$3)+1)-FIND(".",BH$3)-1),Gällivare!$B$6:$J$36,MATCH($C11,Gällivare!$B$6:$B$36,0),FALSE)&amp;CHAR(10)&amp;"Local Target: "&amp;HLOOKUP(RIGHT(BH$3,LEN(BH$3)-FIND(".",BH$3,FIND(".",BH$3)+1)),Gällivare!$B$6:$J$36,MATCH($C11,Gällivare!$B$6:$B$36,0),FALSE)))</f>
        <v>Medium</v>
      </c>
      <c r="BI11" s="177" t="str">
        <f>IF(AND(HLOOKUP(MID(BI$3,FIND(".",BI$3)+1,FIND(".",BI$3,FIND(".",BI$3)+1)-FIND(".",BI$3)-1),Gällivare!$B$6:$J$36,MATCH($C11,Gällivare!$B$6:$B$36,0),FALSE)="No Impact",HLOOKUP(RIGHT(BI$3,LEN(BI$3)-FIND(".",BI$3,FIND(".",BI$3)+1)),Gällivare!$B$6:$J$36,MATCH($C11,Gällivare!$B$6:$B$36,0),FALSE)="No Impact"),HLOOKUP(LEFT(BI$3,4),Global!$B$6:$J$36,MATCH($C11,Global!$B$6:$B$36,0),FALSE),IF(AND(HLOOKUP(MID(BI$3,FIND(".",BI$3)+1,FIND(".",BI$3,FIND(".",BI$3)+1)-FIND(".",BI$3)-1),Gällivare!$B$6:$J$36,MATCH($C11,Gällivare!$B$6:$B$36,0),FALSE)="No Impact",HLOOKUP(LEFT(BI$3,4),Global!$B$6:$J$36,MATCH($C11,Global!$B$6:$B$36,0),FALSE)="No Impact"),HLOOKUP(RIGHT(BI$3,LEN(BI$3)-FIND(".",BI$3,FIND(".",BI$3)+1)),Gällivare!$B$6:$J$36,MATCH($C11,Gällivare!$B$6:$B$36,0),FALSE),"Global: "&amp;HLOOKUP(LEFT(BI$3,4),Global!$B$6:$J$36,MATCH($C11,Global!$B$6:$B$36,0),FALSE)&amp;CHAR(10)&amp;"Local Trend: "&amp;HLOOKUP(MID(BI$3,FIND(".",BI$3)+1,FIND(".",BI$3,FIND(".",BI$3)+1)-FIND(".",BI$3)-1),Gällivare!$B$6:$J$36,MATCH($C11,Gällivare!$B$6:$B$36,0),FALSE)&amp;CHAR(10)&amp;"Local Target: "&amp;HLOOKUP(RIGHT(BI$3,LEN(BI$3)-FIND(".",BI$3,FIND(".",BI$3)+1)),Gällivare!$B$6:$J$36,MATCH($C11,Gällivare!$B$6:$B$36,0),FALSE)))</f>
        <v>Medium</v>
      </c>
      <c r="BJ11" s="177" t="str">
        <f>IF(AND(HLOOKUP(MID(BJ$3,FIND(".",BJ$3)+1,FIND(".",BJ$3,FIND(".",BJ$3)+1)-FIND(".",BJ$3)-1),Gällivare!$B$6:$J$36,MATCH($C11,Gällivare!$B$6:$B$36,0),FALSE)="No Impact",HLOOKUP(RIGHT(BJ$3,LEN(BJ$3)-FIND(".",BJ$3,FIND(".",BJ$3)+1)),Gällivare!$B$6:$J$36,MATCH($C11,Gällivare!$B$6:$B$36,0),FALSE)="No Impact"),HLOOKUP(LEFT(BJ$3,4),Global!$B$6:$J$36,MATCH($C11,Global!$B$6:$B$36,0),FALSE),IF(AND(HLOOKUP(MID(BJ$3,FIND(".",BJ$3)+1,FIND(".",BJ$3,FIND(".",BJ$3)+1)-FIND(".",BJ$3)-1),Gällivare!$B$6:$J$36,MATCH($C11,Gällivare!$B$6:$B$36,0),FALSE)="No Impact",HLOOKUP(LEFT(BJ$3,4),Global!$B$6:$J$36,MATCH($C11,Global!$B$6:$B$36,0),FALSE)="No Impact"),HLOOKUP(RIGHT(BJ$3,LEN(BJ$3)-FIND(".",BJ$3,FIND(".",BJ$3)+1)),Gällivare!$B$6:$J$36,MATCH($C11,Gällivare!$B$6:$B$36,0),FALSE),"Global: "&amp;HLOOKUP(LEFT(BJ$3,4),Global!$B$6:$J$36,MATCH($C11,Global!$B$6:$B$36,0),FALSE)&amp;CHAR(10)&amp;"Local Trend: "&amp;HLOOKUP(MID(BJ$3,FIND(".",BJ$3)+1,FIND(".",BJ$3,FIND(".",BJ$3)+1)-FIND(".",BJ$3)-1),Gällivare!$B$6:$J$36,MATCH($C11,Gällivare!$B$6:$B$36,0),FALSE)&amp;CHAR(10)&amp;"Local Target: "&amp;HLOOKUP(RIGHT(BJ$3,LEN(BJ$3)-FIND(".",BJ$3,FIND(".",BJ$3)+1)),Gällivare!$B$6:$J$36,MATCH($C11,Gällivare!$B$6:$B$36,0),FALSE)))</f>
        <v>Medium</v>
      </c>
      <c r="BK11" s="177" t="str">
        <f>IF(AND(HLOOKUP(MID(BK$3,FIND(".",BK$3)+1,FIND(".",BK$3,FIND(".",BK$3)+1)-FIND(".",BK$3)-1),Gällivare!$B$6:$J$36,MATCH($C11,Gällivare!$B$6:$B$36,0),FALSE)="No Impact",HLOOKUP(RIGHT(BK$3,LEN(BK$3)-FIND(".",BK$3,FIND(".",BK$3)+1)),Gällivare!$B$6:$J$36,MATCH($C11,Gällivare!$B$6:$B$36,0),FALSE)="No Impact"),HLOOKUP(LEFT(BK$3,4),Global!$B$6:$J$36,MATCH($C11,Global!$B$6:$B$36,0),FALSE),IF(AND(HLOOKUP(MID(BK$3,FIND(".",BK$3)+1,FIND(".",BK$3,FIND(".",BK$3)+1)-FIND(".",BK$3)-1),Gällivare!$B$6:$J$36,MATCH($C11,Gällivare!$B$6:$B$36,0),FALSE)="No Impact",HLOOKUP(LEFT(BK$3,4),Global!$B$6:$J$36,MATCH($C11,Global!$B$6:$B$36,0),FALSE)="No Impact"),HLOOKUP(RIGHT(BK$3,LEN(BK$3)-FIND(".",BK$3,FIND(".",BK$3)+1)),Gällivare!$B$6:$J$36,MATCH($C11,Gällivare!$B$6:$B$36,0),FALSE),"Global: "&amp;HLOOKUP(LEFT(BK$3,4),Global!$B$6:$J$36,MATCH($C11,Global!$B$6:$B$36,0),FALSE)&amp;CHAR(10)&amp;"Local Trend: "&amp;HLOOKUP(MID(BK$3,FIND(".",BK$3)+1,FIND(".",BK$3,FIND(".",BK$3)+1)-FIND(".",BK$3)-1),Gällivare!$B$6:$J$36,MATCH($C11,Gällivare!$B$6:$B$36,0),FALSE)&amp;CHAR(10)&amp;"Local Target: "&amp;HLOOKUP(RIGHT(BK$3,LEN(BK$3)-FIND(".",BK$3,FIND(".",BK$3)+1)),Gällivare!$B$6:$J$36,MATCH($C11,Gällivare!$B$6:$B$36,0),FALSE)))</f>
        <v>Low</v>
      </c>
      <c r="BL11" s="177" t="str">
        <f>IF(AND(HLOOKUP(MID(BL$3,FIND(".",BL$3)+1,FIND(".",BL$3,FIND(".",BL$3)+1)-FIND(".",BL$3)-1),Gällivare!$B$6:$J$36,MATCH($C11,Gällivare!$B$6:$B$36,0),FALSE)="No Impact",HLOOKUP(RIGHT(BL$3,LEN(BL$3)-FIND(".",BL$3,FIND(".",BL$3)+1)),Gällivare!$B$6:$J$36,MATCH($C11,Gällivare!$B$6:$B$36,0),FALSE)="No Impact"),HLOOKUP(LEFT(BL$3,4),Global!$B$6:$J$36,MATCH($C11,Global!$B$6:$B$36,0),FALSE),IF(AND(HLOOKUP(MID(BL$3,FIND(".",BL$3)+1,FIND(".",BL$3,FIND(".",BL$3)+1)-FIND(".",BL$3)-1),Gällivare!$B$6:$J$36,MATCH($C11,Gällivare!$B$6:$B$36,0),FALSE)="No Impact",HLOOKUP(LEFT(BL$3,4),Global!$B$6:$J$36,MATCH($C11,Global!$B$6:$B$36,0),FALSE)="No Impact"),HLOOKUP(RIGHT(BL$3,LEN(BL$3)-FIND(".",BL$3,FIND(".",BL$3)+1)),Gällivare!$B$6:$J$36,MATCH($C11,Gällivare!$B$6:$B$36,0),FALSE),"Global: "&amp;HLOOKUP(LEFT(BL$3,4),Global!$B$6:$J$36,MATCH($C11,Global!$B$6:$B$36,0),FALSE)&amp;CHAR(10)&amp;"Local Trend: "&amp;HLOOKUP(MID(BL$3,FIND(".",BL$3)+1,FIND(".",BL$3,FIND(".",BL$3)+1)-FIND(".",BL$3)-1),Gällivare!$B$6:$J$36,MATCH($C11,Gällivare!$B$6:$B$36,0),FALSE)&amp;CHAR(10)&amp;"Local Target: "&amp;HLOOKUP(RIGHT(BL$3,LEN(BL$3)-FIND(".",BL$3,FIND(".",BL$3)+1)),Gällivare!$B$6:$J$36,MATCH($C11,Gällivare!$B$6:$B$36,0),FALSE)))</f>
        <v>Low</v>
      </c>
      <c r="BM11" s="177" t="str">
        <f>IF(AND(HLOOKUP(MID(BM$3,FIND(".",BM$3)+1,FIND(".",BM$3,FIND(".",BM$3)+1)-FIND(".",BM$3)-1),Gällivare!$B$6:$J$36,MATCH($C11,Gällivare!$B$6:$B$36,0),FALSE)="No Impact",HLOOKUP(RIGHT(BM$3,LEN(BM$3)-FIND(".",BM$3,FIND(".",BM$3)+1)),Gällivare!$B$6:$J$36,MATCH($C11,Gällivare!$B$6:$B$36,0),FALSE)="No Impact"),HLOOKUP(LEFT(BM$3,4),Global!$B$6:$J$36,MATCH($C11,Global!$B$6:$B$36,0),FALSE),IF(AND(HLOOKUP(MID(BM$3,FIND(".",BM$3)+1,FIND(".",BM$3,FIND(".",BM$3)+1)-FIND(".",BM$3)-1),Gällivare!$B$6:$J$36,MATCH($C11,Gällivare!$B$6:$B$36,0),FALSE)="No Impact",HLOOKUP(LEFT(BM$3,4),Global!$B$6:$J$36,MATCH($C11,Global!$B$6:$B$36,0),FALSE)="No Impact"),HLOOKUP(RIGHT(BM$3,LEN(BM$3)-FIND(".",BM$3,FIND(".",BM$3)+1)),Gällivare!$B$6:$J$36,MATCH($C11,Gällivare!$B$6:$B$36,0),FALSE),"Global: "&amp;HLOOKUP(LEFT(BM$3,4),Global!$B$6:$J$36,MATCH($C11,Global!$B$6:$B$36,0),FALSE)&amp;CHAR(10)&amp;"Local Trend: "&amp;HLOOKUP(MID(BM$3,FIND(".",BM$3)+1,FIND(".",BM$3,FIND(".",BM$3)+1)-FIND(".",BM$3)-1),Gällivare!$B$6:$J$36,MATCH($C11,Gällivare!$B$6:$B$36,0),FALSE)&amp;CHAR(10)&amp;"Local Target: "&amp;HLOOKUP(RIGHT(BM$3,LEN(BM$3)-FIND(".",BM$3,FIND(".",BM$3)+1)),Gällivare!$B$6:$J$36,MATCH($C11,Gällivare!$B$6:$B$36,0),FALSE)))</f>
        <v>Low</v>
      </c>
      <c r="BN11" s="177" t="str">
        <f>IF(AND(HLOOKUP(MID(BN$3,FIND(".",BN$3)+1,FIND(".",BN$3,FIND(".",BN$3)+1)-FIND(".",BN$3)-1),Gällivare!$B$6:$J$36,MATCH($C11,Gällivare!$B$6:$B$36,0),FALSE)="No Impact",HLOOKUP(RIGHT(BN$3,LEN(BN$3)-FIND(".",BN$3,FIND(".",BN$3)+1)),Gällivare!$B$6:$J$36,MATCH($C11,Gällivare!$B$6:$B$36,0),FALSE)="No Impact"),HLOOKUP(LEFT(BN$3,4),Global!$B$6:$J$36,MATCH($C11,Global!$B$6:$B$36,0),FALSE),IF(AND(HLOOKUP(MID(BN$3,FIND(".",BN$3)+1,FIND(".",BN$3,FIND(".",BN$3)+1)-FIND(".",BN$3)-1),Gällivare!$B$6:$J$36,MATCH($C11,Gällivare!$B$6:$B$36,0),FALSE)="No Impact",HLOOKUP(LEFT(BN$3,4),Global!$B$6:$J$36,MATCH($C11,Global!$B$6:$B$36,0),FALSE)="No Impact"),HLOOKUP(RIGHT(BN$3,LEN(BN$3)-FIND(".",BN$3,FIND(".",BN$3)+1)),Gällivare!$B$6:$J$36,MATCH($C11,Gällivare!$B$6:$B$36,0),FALSE),"Global: "&amp;HLOOKUP(LEFT(BN$3,4),Global!$B$6:$J$36,MATCH($C11,Global!$B$6:$B$36,0),FALSE)&amp;CHAR(10)&amp;"Local Trend: "&amp;HLOOKUP(MID(BN$3,FIND(".",BN$3)+1,FIND(".",BN$3,FIND(".",BN$3)+1)-FIND(".",BN$3)-1),Gällivare!$B$6:$J$36,MATCH($C11,Gällivare!$B$6:$B$36,0),FALSE)&amp;CHAR(10)&amp;"Local Target: "&amp;HLOOKUP(RIGHT(BN$3,LEN(BN$3)-FIND(".",BN$3,FIND(".",BN$3)+1)),Gällivare!$B$6:$J$36,MATCH($C11,Gällivare!$B$6:$B$36,0),FALSE)))</f>
        <v>Low</v>
      </c>
      <c r="BO11" s="177" t="str">
        <f>IF(AND(HLOOKUP(MID(BO$3,FIND(".",BO$3)+1,FIND(".",BO$3,FIND(".",BO$3)+1)-FIND(".",BO$3)-1),Gällivare!$B$6:$J$36,MATCH($C11,Gällivare!$B$6:$B$36,0),FALSE)="No Impact",HLOOKUP(RIGHT(BO$3,LEN(BO$3)-FIND(".",BO$3,FIND(".",BO$3)+1)),Gällivare!$B$6:$J$36,MATCH($C11,Gällivare!$B$6:$B$36,0),FALSE)="No Impact"),HLOOKUP(LEFT(BO$3,4),Global!$B$6:$J$36,MATCH($C11,Global!$B$6:$B$36,0),FALSE),IF(AND(HLOOKUP(MID(BO$3,FIND(".",BO$3)+1,FIND(".",BO$3,FIND(".",BO$3)+1)-FIND(".",BO$3)-1),Gällivare!$B$6:$J$36,MATCH($C11,Gällivare!$B$6:$B$36,0),FALSE)="No Impact",HLOOKUP(LEFT(BO$3,4),Global!$B$6:$J$36,MATCH($C11,Global!$B$6:$B$36,0),FALSE)="No Impact"),HLOOKUP(RIGHT(BO$3,LEN(BO$3)-FIND(".",BO$3,FIND(".",BO$3)+1)),Gällivare!$B$6:$J$36,MATCH($C11,Gällivare!$B$6:$B$36,0),FALSE),"Global: "&amp;HLOOKUP(LEFT(BO$3,4),Global!$B$6:$J$36,MATCH($C11,Global!$B$6:$B$36,0),FALSE)&amp;CHAR(10)&amp;"Local Trend: "&amp;HLOOKUP(MID(BO$3,FIND(".",BO$3)+1,FIND(".",BO$3,FIND(".",BO$3)+1)-FIND(".",BO$3)-1),Gällivare!$B$6:$J$36,MATCH($C11,Gällivare!$B$6:$B$36,0),FALSE)&amp;CHAR(10)&amp;"Local Target: "&amp;HLOOKUP(RIGHT(BO$3,LEN(BO$3)-FIND(".",BO$3,FIND(".",BO$3)+1)),Gällivare!$B$6:$J$36,MATCH($C11,Gällivare!$B$6:$B$36,0),FALSE)))</f>
        <v>Low</v>
      </c>
      <c r="BP11" s="177" t="str">
        <f>IF(AND(HLOOKUP(MID(BP$3,FIND(".",BP$3)+1,FIND(".",BP$3,FIND(".",BP$3)+1)-FIND(".",BP$3)-1),Gällivare!$B$6:$J$36,MATCH($C11,Gällivare!$B$6:$B$36,0),FALSE)="No Impact",HLOOKUP(RIGHT(BP$3,LEN(BP$3)-FIND(".",BP$3,FIND(".",BP$3)+1)),Gällivare!$B$6:$J$36,MATCH($C11,Gällivare!$B$6:$B$36,0),FALSE)="No Impact"),HLOOKUP(LEFT(BP$3,4),Global!$B$6:$J$36,MATCH($C11,Global!$B$6:$B$36,0),FALSE),IF(AND(HLOOKUP(MID(BP$3,FIND(".",BP$3)+1,FIND(".",BP$3,FIND(".",BP$3)+1)-FIND(".",BP$3)-1),Gällivare!$B$6:$J$36,MATCH($C11,Gällivare!$B$6:$B$36,0),FALSE)="No Impact",HLOOKUP(LEFT(BP$3,4),Global!$B$6:$J$36,MATCH($C11,Global!$B$6:$B$36,0),FALSE)="No Impact"),HLOOKUP(RIGHT(BP$3,LEN(BP$3)-FIND(".",BP$3,FIND(".",BP$3)+1)),Gällivare!$B$6:$J$36,MATCH($C11,Gällivare!$B$6:$B$36,0),FALSE),"Global: "&amp;HLOOKUP(LEFT(BP$3,4),Global!$B$6:$J$36,MATCH($C11,Global!$B$6:$B$36,0),FALSE)&amp;CHAR(10)&amp;"Local Trend: "&amp;HLOOKUP(MID(BP$3,FIND(".",BP$3)+1,FIND(".",BP$3,FIND(".",BP$3)+1)-FIND(".",BP$3)-1),Gällivare!$B$6:$J$36,MATCH($C11,Gällivare!$B$6:$B$36,0),FALSE)&amp;CHAR(10)&amp;"Local Target: "&amp;HLOOKUP(RIGHT(BP$3,LEN(BP$3)-FIND(".",BP$3,FIND(".",BP$3)+1)),Gällivare!$B$6:$J$36,MATCH($C11,Gällivare!$B$6:$B$36,0),FALSE)))</f>
        <v>Low</v>
      </c>
      <c r="BT11" s="178"/>
      <c r="BU11" s="178"/>
      <c r="BV11" s="178"/>
    </row>
    <row r="12" spans="2:82" ht="28.8" x14ac:dyDescent="0.3">
      <c r="B12" s="174"/>
      <c r="C12" s="175" t="s">
        <v>100</v>
      </c>
      <c r="D12" s="175" t="str">
        <f>D11</f>
        <v>Global/ Swedish</v>
      </c>
      <c r="E12" s="175" t="str">
        <f t="shared" ref="E12:AK12" si="3">E11</f>
        <v>IMPORT price of all Solid biomass commodities</v>
      </c>
      <c r="F12" s="175" t="str">
        <f t="shared" si="3"/>
        <v>Input to model</v>
      </c>
      <c r="G12" s="175"/>
      <c r="H12" s="175" t="str">
        <f t="shared" si="3"/>
        <v>High</v>
      </c>
      <c r="I12" s="175" t="str">
        <f t="shared" si="3"/>
        <v>High</v>
      </c>
      <c r="J12" s="175" t="str">
        <f t="shared" si="3"/>
        <v>High</v>
      </c>
      <c r="K12" s="175" t="str">
        <f t="shared" si="3"/>
        <v>High</v>
      </c>
      <c r="L12" s="175" t="str">
        <f t="shared" si="3"/>
        <v>High</v>
      </c>
      <c r="M12" s="175" t="str">
        <f t="shared" si="3"/>
        <v>High</v>
      </c>
      <c r="N12" s="175" t="str">
        <f t="shared" si="3"/>
        <v>Medium</v>
      </c>
      <c r="O12" s="175" t="str">
        <f t="shared" si="3"/>
        <v>Medium</v>
      </c>
      <c r="P12" s="175" t="str">
        <f t="shared" si="3"/>
        <v>Medium</v>
      </c>
      <c r="Q12" s="175" t="str">
        <f t="shared" si="3"/>
        <v>Medium</v>
      </c>
      <c r="R12" s="175" t="str">
        <f t="shared" si="3"/>
        <v>Medium</v>
      </c>
      <c r="S12" s="175" t="str">
        <f t="shared" si="3"/>
        <v>Medium</v>
      </c>
      <c r="T12" s="175" t="str">
        <f t="shared" si="3"/>
        <v>Medium</v>
      </c>
      <c r="U12" s="175" t="str">
        <f t="shared" si="3"/>
        <v>Medium</v>
      </c>
      <c r="V12" s="175" t="str">
        <f t="shared" si="3"/>
        <v>Medium</v>
      </c>
      <c r="W12" s="175" t="str">
        <f t="shared" si="3"/>
        <v>Medium</v>
      </c>
      <c r="X12" s="175" t="str">
        <f t="shared" si="3"/>
        <v>Medium</v>
      </c>
      <c r="Y12" s="175" t="str">
        <f t="shared" si="3"/>
        <v>Medium</v>
      </c>
      <c r="Z12" s="175" t="str">
        <f t="shared" si="3"/>
        <v>Medium</v>
      </c>
      <c r="AA12" s="175" t="str">
        <f t="shared" si="3"/>
        <v>Medium</v>
      </c>
      <c r="AB12" s="175" t="str">
        <f t="shared" si="3"/>
        <v>Medium</v>
      </c>
      <c r="AC12" s="175" t="str">
        <f t="shared" si="3"/>
        <v>Medium</v>
      </c>
      <c r="AD12" s="175" t="str">
        <f t="shared" si="3"/>
        <v>Medium</v>
      </c>
      <c r="AE12" s="175" t="str">
        <f t="shared" si="3"/>
        <v>Medium</v>
      </c>
      <c r="AF12" s="175" t="str">
        <f t="shared" si="3"/>
        <v>Low</v>
      </c>
      <c r="AG12" s="175" t="str">
        <f t="shared" si="3"/>
        <v>Low</v>
      </c>
      <c r="AH12" s="175" t="str">
        <f t="shared" si="3"/>
        <v>Low</v>
      </c>
      <c r="AI12" s="175" t="str">
        <f t="shared" si="3"/>
        <v>Low</v>
      </c>
      <c r="AJ12" s="175" t="str">
        <f t="shared" si="3"/>
        <v>Low</v>
      </c>
      <c r="AK12" s="175" t="str">
        <f t="shared" si="3"/>
        <v>Low</v>
      </c>
      <c r="AL12" s="175"/>
      <c r="AM12" s="177" t="str">
        <f>IF(AND(HLOOKUP(MID(AM$3,FIND(".",AM$3)+1,FIND(".",AM$3,FIND(".",AM$3)+1)-FIND(".",AM$3)-1),Gällivare!$B$6:$J$36,MATCH($C12,Gällivare!$B$6:$B$36,0),FALSE)="No Impact",HLOOKUP(RIGHT(AM$3,LEN(AM$3)-FIND(".",AM$3,FIND(".",AM$3)+1)),Gällivare!$B$6:$J$36,MATCH($C12,Gällivare!$B$6:$B$36,0),FALSE)="No Impact"),HLOOKUP(LEFT(AM$3,4),Global!$B$6:$J$36,MATCH($C12,Global!$B$6:$B$36,0),FALSE),IF(AND(HLOOKUP(MID(AM$3,FIND(".",AM$3)+1,FIND(".",AM$3,FIND(".",AM$3)+1)-FIND(".",AM$3)-1),Gällivare!$B$6:$J$36,MATCH($C12,Gällivare!$B$6:$B$36,0),FALSE)="No Impact",HLOOKUP(LEFT(AM$3,4),Global!$B$6:$J$36,MATCH($C12,Global!$B$6:$B$36,0),FALSE)="No Impact"),HLOOKUP(RIGHT(AM$3,LEN(AM$3)-FIND(".",AM$3,FIND(".",AM$3)+1)),Gällivare!$B$6:$J$36,MATCH($C12,Gällivare!$B$6:$B$36,0),FALSE),"Global: "&amp;HLOOKUP(LEFT(AM$3,4),Global!$B$6:$J$36,MATCH($C12,Global!$B$6:$B$36,0),FALSE)&amp;CHAR(10)&amp;"Local Trend: "&amp;HLOOKUP(MID(AM$3,FIND(".",AM$3)+1,FIND(".",AM$3,FIND(".",AM$3)+1)-FIND(".",AM$3)-1),Gällivare!$B$6:$J$36,MATCH($C12,Gällivare!$B$6:$B$36,0),FALSE)&amp;CHAR(10)&amp;"Local Target: "&amp;HLOOKUP(RIGHT(AM$3,LEN(AM$3)-FIND(".",AM$3,FIND(".",AM$3)+1)),Gällivare!$B$6:$J$36,MATCH($C12,Gällivare!$B$6:$B$36,0),FALSE)))</f>
        <v>High</v>
      </c>
      <c r="AN12" s="177" t="str">
        <f>IF(AND(HLOOKUP(MID(AN$3,FIND(".",AN$3)+1,FIND(".",AN$3,FIND(".",AN$3)+1)-FIND(".",AN$3)-1),Gällivare!$B$6:$J$36,MATCH($C12,Gällivare!$B$6:$B$36,0),FALSE)="No Impact",HLOOKUP(RIGHT(AN$3,LEN(AN$3)-FIND(".",AN$3,FIND(".",AN$3)+1)),Gällivare!$B$6:$J$36,MATCH($C12,Gällivare!$B$6:$B$36,0),FALSE)="No Impact"),HLOOKUP(LEFT(AN$3,4),Global!$B$6:$J$36,MATCH($C12,Global!$B$6:$B$36,0),FALSE),IF(AND(HLOOKUP(MID(AN$3,FIND(".",AN$3)+1,FIND(".",AN$3,FIND(".",AN$3)+1)-FIND(".",AN$3)-1),Gällivare!$B$6:$J$36,MATCH($C12,Gällivare!$B$6:$B$36,0),FALSE)="No Impact",HLOOKUP(LEFT(AN$3,4),Global!$B$6:$J$36,MATCH($C12,Global!$B$6:$B$36,0),FALSE)="No Impact"),HLOOKUP(RIGHT(AN$3,LEN(AN$3)-FIND(".",AN$3,FIND(".",AN$3)+1)),Gällivare!$B$6:$J$36,MATCH($C12,Gällivare!$B$6:$B$36,0),FALSE),"Global: "&amp;HLOOKUP(LEFT(AN$3,4),Global!$B$6:$J$36,MATCH($C12,Global!$B$6:$B$36,0),FALSE)&amp;CHAR(10)&amp;"Local Trend: "&amp;HLOOKUP(MID(AN$3,FIND(".",AN$3)+1,FIND(".",AN$3,FIND(".",AN$3)+1)-FIND(".",AN$3)-1),Gällivare!$B$6:$J$36,MATCH($C12,Gällivare!$B$6:$B$36,0),FALSE)&amp;CHAR(10)&amp;"Local Target: "&amp;HLOOKUP(RIGHT(AN$3,LEN(AN$3)-FIND(".",AN$3,FIND(".",AN$3)+1)),Gällivare!$B$6:$J$36,MATCH($C12,Gällivare!$B$6:$B$36,0),FALSE)))</f>
        <v>High</v>
      </c>
      <c r="AO12" s="177" t="str">
        <f>IF(AND(HLOOKUP(MID(AO$3,FIND(".",AO$3)+1,FIND(".",AO$3,FIND(".",AO$3)+1)-FIND(".",AO$3)-1),Gällivare!$B$6:$J$36,MATCH($C12,Gällivare!$B$6:$B$36,0),FALSE)="No Impact",HLOOKUP(RIGHT(AO$3,LEN(AO$3)-FIND(".",AO$3,FIND(".",AO$3)+1)),Gällivare!$B$6:$J$36,MATCH($C12,Gällivare!$B$6:$B$36,0),FALSE)="No Impact"),HLOOKUP(LEFT(AO$3,4),Global!$B$6:$J$36,MATCH($C12,Global!$B$6:$B$36,0),FALSE),IF(AND(HLOOKUP(MID(AO$3,FIND(".",AO$3)+1,FIND(".",AO$3,FIND(".",AO$3)+1)-FIND(".",AO$3)-1),Gällivare!$B$6:$J$36,MATCH($C12,Gällivare!$B$6:$B$36,0),FALSE)="No Impact",HLOOKUP(LEFT(AO$3,4),Global!$B$6:$J$36,MATCH($C12,Global!$B$6:$B$36,0),FALSE)="No Impact"),HLOOKUP(RIGHT(AO$3,LEN(AO$3)-FIND(".",AO$3,FIND(".",AO$3)+1)),Gällivare!$B$6:$J$36,MATCH($C12,Gällivare!$B$6:$B$36,0),FALSE),"Global: "&amp;HLOOKUP(LEFT(AO$3,4),Global!$B$6:$J$36,MATCH($C12,Global!$B$6:$B$36,0),FALSE)&amp;CHAR(10)&amp;"Local Trend: "&amp;HLOOKUP(MID(AO$3,FIND(".",AO$3)+1,FIND(".",AO$3,FIND(".",AO$3)+1)-FIND(".",AO$3)-1),Gällivare!$B$6:$J$36,MATCH($C12,Gällivare!$B$6:$B$36,0),FALSE)&amp;CHAR(10)&amp;"Local Target: "&amp;HLOOKUP(RIGHT(AO$3,LEN(AO$3)-FIND(".",AO$3,FIND(".",AO$3)+1)),Gällivare!$B$6:$J$36,MATCH($C12,Gällivare!$B$6:$B$36,0),FALSE)))</f>
        <v>High</v>
      </c>
      <c r="AP12" s="177" t="str">
        <f>IF(AND(HLOOKUP(MID(AP$3,FIND(".",AP$3)+1,FIND(".",AP$3,FIND(".",AP$3)+1)-FIND(".",AP$3)-1),Gällivare!$B$6:$J$36,MATCH($C12,Gällivare!$B$6:$B$36,0),FALSE)="No Impact",HLOOKUP(RIGHT(AP$3,LEN(AP$3)-FIND(".",AP$3,FIND(".",AP$3)+1)),Gällivare!$B$6:$J$36,MATCH($C12,Gällivare!$B$6:$B$36,0),FALSE)="No Impact"),HLOOKUP(LEFT(AP$3,4),Global!$B$6:$J$36,MATCH($C12,Global!$B$6:$B$36,0),FALSE),IF(AND(HLOOKUP(MID(AP$3,FIND(".",AP$3)+1,FIND(".",AP$3,FIND(".",AP$3)+1)-FIND(".",AP$3)-1),Gällivare!$B$6:$J$36,MATCH($C12,Gällivare!$B$6:$B$36,0),FALSE)="No Impact",HLOOKUP(LEFT(AP$3,4),Global!$B$6:$J$36,MATCH($C12,Global!$B$6:$B$36,0),FALSE)="No Impact"),HLOOKUP(RIGHT(AP$3,LEN(AP$3)-FIND(".",AP$3,FIND(".",AP$3)+1)),Gällivare!$B$6:$J$36,MATCH($C12,Gällivare!$B$6:$B$36,0),FALSE),"Global: "&amp;HLOOKUP(LEFT(AP$3,4),Global!$B$6:$J$36,MATCH($C12,Global!$B$6:$B$36,0),FALSE)&amp;CHAR(10)&amp;"Local Trend: "&amp;HLOOKUP(MID(AP$3,FIND(".",AP$3)+1,FIND(".",AP$3,FIND(".",AP$3)+1)-FIND(".",AP$3)-1),Gällivare!$B$6:$J$36,MATCH($C12,Gällivare!$B$6:$B$36,0),FALSE)&amp;CHAR(10)&amp;"Local Target: "&amp;HLOOKUP(RIGHT(AP$3,LEN(AP$3)-FIND(".",AP$3,FIND(".",AP$3)+1)),Gällivare!$B$6:$J$36,MATCH($C12,Gällivare!$B$6:$B$36,0),FALSE)))</f>
        <v>High</v>
      </c>
      <c r="AQ12" s="177" t="str">
        <f>IF(AND(HLOOKUP(MID(AQ$3,FIND(".",AQ$3)+1,FIND(".",AQ$3,FIND(".",AQ$3)+1)-FIND(".",AQ$3)-1),Gällivare!$B$6:$J$36,MATCH($C12,Gällivare!$B$6:$B$36,0),FALSE)="No Impact",HLOOKUP(RIGHT(AQ$3,LEN(AQ$3)-FIND(".",AQ$3,FIND(".",AQ$3)+1)),Gällivare!$B$6:$J$36,MATCH($C12,Gällivare!$B$6:$B$36,0),FALSE)="No Impact"),HLOOKUP(LEFT(AQ$3,4),Global!$B$6:$J$36,MATCH($C12,Global!$B$6:$B$36,0),FALSE),IF(AND(HLOOKUP(MID(AQ$3,FIND(".",AQ$3)+1,FIND(".",AQ$3,FIND(".",AQ$3)+1)-FIND(".",AQ$3)-1),Gällivare!$B$6:$J$36,MATCH($C12,Gällivare!$B$6:$B$36,0),FALSE)="No Impact",HLOOKUP(LEFT(AQ$3,4),Global!$B$6:$J$36,MATCH($C12,Global!$B$6:$B$36,0),FALSE)="No Impact"),HLOOKUP(RIGHT(AQ$3,LEN(AQ$3)-FIND(".",AQ$3,FIND(".",AQ$3)+1)),Gällivare!$B$6:$J$36,MATCH($C12,Gällivare!$B$6:$B$36,0),FALSE),"Global: "&amp;HLOOKUP(LEFT(AQ$3,4),Global!$B$6:$J$36,MATCH($C12,Global!$B$6:$B$36,0),FALSE)&amp;CHAR(10)&amp;"Local Trend: "&amp;HLOOKUP(MID(AQ$3,FIND(".",AQ$3)+1,FIND(".",AQ$3,FIND(".",AQ$3)+1)-FIND(".",AQ$3)-1),Gällivare!$B$6:$J$36,MATCH($C12,Gällivare!$B$6:$B$36,0),FALSE)&amp;CHAR(10)&amp;"Local Target: "&amp;HLOOKUP(RIGHT(AQ$3,LEN(AQ$3)-FIND(".",AQ$3,FIND(".",AQ$3)+1)),Gällivare!$B$6:$J$36,MATCH($C12,Gällivare!$B$6:$B$36,0),FALSE)))</f>
        <v>High</v>
      </c>
      <c r="AR12" s="177" t="str">
        <f>IF(AND(HLOOKUP(MID(AR$3,FIND(".",AR$3)+1,FIND(".",AR$3,FIND(".",AR$3)+1)-FIND(".",AR$3)-1),Gällivare!$B$6:$J$36,MATCH($C12,Gällivare!$B$6:$B$36,0),FALSE)="No Impact",HLOOKUP(RIGHT(AR$3,LEN(AR$3)-FIND(".",AR$3,FIND(".",AR$3)+1)),Gällivare!$B$6:$J$36,MATCH($C12,Gällivare!$B$6:$B$36,0),FALSE)="No Impact"),HLOOKUP(LEFT(AR$3,4),Global!$B$6:$J$36,MATCH($C12,Global!$B$6:$B$36,0),FALSE),IF(AND(HLOOKUP(MID(AR$3,FIND(".",AR$3)+1,FIND(".",AR$3,FIND(".",AR$3)+1)-FIND(".",AR$3)-1),Gällivare!$B$6:$J$36,MATCH($C12,Gällivare!$B$6:$B$36,0),FALSE)="No Impact",HLOOKUP(LEFT(AR$3,4),Global!$B$6:$J$36,MATCH($C12,Global!$B$6:$B$36,0),FALSE)="No Impact"),HLOOKUP(RIGHT(AR$3,LEN(AR$3)-FIND(".",AR$3,FIND(".",AR$3)+1)),Gällivare!$B$6:$J$36,MATCH($C12,Gällivare!$B$6:$B$36,0),FALSE),"Global: "&amp;HLOOKUP(LEFT(AR$3,4),Global!$B$6:$J$36,MATCH($C12,Global!$B$6:$B$36,0),FALSE)&amp;CHAR(10)&amp;"Local Trend: "&amp;HLOOKUP(MID(AR$3,FIND(".",AR$3)+1,FIND(".",AR$3,FIND(".",AR$3)+1)-FIND(".",AR$3)-1),Gällivare!$B$6:$J$36,MATCH($C12,Gällivare!$B$6:$B$36,0),FALSE)&amp;CHAR(10)&amp;"Local Target: "&amp;HLOOKUP(RIGHT(AR$3,LEN(AR$3)-FIND(".",AR$3,FIND(".",AR$3)+1)),Gällivare!$B$6:$J$36,MATCH($C12,Gällivare!$B$6:$B$36,0),FALSE)))</f>
        <v>High</v>
      </c>
      <c r="AS12" s="177" t="str">
        <f>IF(AND(HLOOKUP(MID(AS$3,FIND(".",AS$3)+1,FIND(".",AS$3,FIND(".",AS$3)+1)-FIND(".",AS$3)-1),Gällivare!$B$6:$J$36,MATCH($C12,Gällivare!$B$6:$B$36,0),FALSE)="No Impact",HLOOKUP(RIGHT(AS$3,LEN(AS$3)-FIND(".",AS$3,FIND(".",AS$3)+1)),Gällivare!$B$6:$J$36,MATCH($C12,Gällivare!$B$6:$B$36,0),FALSE)="No Impact"),HLOOKUP(LEFT(AS$3,4),Global!$B$6:$J$36,MATCH($C12,Global!$B$6:$B$36,0),FALSE),IF(AND(HLOOKUP(MID(AS$3,FIND(".",AS$3)+1,FIND(".",AS$3,FIND(".",AS$3)+1)-FIND(".",AS$3)-1),Gällivare!$B$6:$J$36,MATCH($C12,Gällivare!$B$6:$B$36,0),FALSE)="No Impact",HLOOKUP(LEFT(AS$3,4),Global!$B$6:$J$36,MATCH($C12,Global!$B$6:$B$36,0),FALSE)="No Impact"),HLOOKUP(RIGHT(AS$3,LEN(AS$3)-FIND(".",AS$3,FIND(".",AS$3)+1)),Gällivare!$B$6:$J$36,MATCH($C12,Gällivare!$B$6:$B$36,0),FALSE),"Global: "&amp;HLOOKUP(LEFT(AS$3,4),Global!$B$6:$J$36,MATCH($C12,Global!$B$6:$B$36,0),FALSE)&amp;CHAR(10)&amp;"Local Trend: "&amp;HLOOKUP(MID(AS$3,FIND(".",AS$3)+1,FIND(".",AS$3,FIND(".",AS$3)+1)-FIND(".",AS$3)-1),Gällivare!$B$6:$J$36,MATCH($C12,Gällivare!$B$6:$B$36,0),FALSE)&amp;CHAR(10)&amp;"Local Target: "&amp;HLOOKUP(RIGHT(AS$3,LEN(AS$3)-FIND(".",AS$3,FIND(".",AS$3)+1)),Gällivare!$B$6:$J$36,MATCH($C12,Gällivare!$B$6:$B$36,0),FALSE)))</f>
        <v>Medium</v>
      </c>
      <c r="AT12" s="177" t="str">
        <f>IF(AND(HLOOKUP(MID(AT$3,FIND(".",AT$3)+1,FIND(".",AT$3,FIND(".",AT$3)+1)-FIND(".",AT$3)-1),Gällivare!$B$6:$J$36,MATCH($C12,Gällivare!$B$6:$B$36,0),FALSE)="No Impact",HLOOKUP(RIGHT(AT$3,LEN(AT$3)-FIND(".",AT$3,FIND(".",AT$3)+1)),Gällivare!$B$6:$J$36,MATCH($C12,Gällivare!$B$6:$B$36,0),FALSE)="No Impact"),HLOOKUP(LEFT(AT$3,4),Global!$B$6:$J$36,MATCH($C12,Global!$B$6:$B$36,0),FALSE),IF(AND(HLOOKUP(MID(AT$3,FIND(".",AT$3)+1,FIND(".",AT$3,FIND(".",AT$3)+1)-FIND(".",AT$3)-1),Gällivare!$B$6:$J$36,MATCH($C12,Gällivare!$B$6:$B$36,0),FALSE)="No Impact",HLOOKUP(LEFT(AT$3,4),Global!$B$6:$J$36,MATCH($C12,Global!$B$6:$B$36,0),FALSE)="No Impact"),HLOOKUP(RIGHT(AT$3,LEN(AT$3)-FIND(".",AT$3,FIND(".",AT$3)+1)),Gällivare!$B$6:$J$36,MATCH($C12,Gällivare!$B$6:$B$36,0),FALSE),"Global: "&amp;HLOOKUP(LEFT(AT$3,4),Global!$B$6:$J$36,MATCH($C12,Global!$B$6:$B$36,0),FALSE)&amp;CHAR(10)&amp;"Local Trend: "&amp;HLOOKUP(MID(AT$3,FIND(".",AT$3)+1,FIND(".",AT$3,FIND(".",AT$3)+1)-FIND(".",AT$3)-1),Gällivare!$B$6:$J$36,MATCH($C12,Gällivare!$B$6:$B$36,0),FALSE)&amp;CHAR(10)&amp;"Local Target: "&amp;HLOOKUP(RIGHT(AT$3,LEN(AT$3)-FIND(".",AT$3,FIND(".",AT$3)+1)),Gällivare!$B$6:$J$36,MATCH($C12,Gällivare!$B$6:$B$36,0),FALSE)))</f>
        <v>Medium</v>
      </c>
      <c r="AU12" s="177" t="str">
        <f>IF(AND(HLOOKUP(MID(AU$3,FIND(".",AU$3)+1,FIND(".",AU$3,FIND(".",AU$3)+1)-FIND(".",AU$3)-1),Gällivare!$B$6:$J$36,MATCH($C12,Gällivare!$B$6:$B$36,0),FALSE)="No Impact",HLOOKUP(RIGHT(AU$3,LEN(AU$3)-FIND(".",AU$3,FIND(".",AU$3)+1)),Gällivare!$B$6:$J$36,MATCH($C12,Gällivare!$B$6:$B$36,0),FALSE)="No Impact"),HLOOKUP(LEFT(AU$3,4),Global!$B$6:$J$36,MATCH($C12,Global!$B$6:$B$36,0),FALSE),IF(AND(HLOOKUP(MID(AU$3,FIND(".",AU$3)+1,FIND(".",AU$3,FIND(".",AU$3)+1)-FIND(".",AU$3)-1),Gällivare!$B$6:$J$36,MATCH($C12,Gällivare!$B$6:$B$36,0),FALSE)="No Impact",HLOOKUP(LEFT(AU$3,4),Global!$B$6:$J$36,MATCH($C12,Global!$B$6:$B$36,0),FALSE)="No Impact"),HLOOKUP(RIGHT(AU$3,LEN(AU$3)-FIND(".",AU$3,FIND(".",AU$3)+1)),Gällivare!$B$6:$J$36,MATCH($C12,Gällivare!$B$6:$B$36,0),FALSE),"Global: "&amp;HLOOKUP(LEFT(AU$3,4),Global!$B$6:$J$36,MATCH($C12,Global!$B$6:$B$36,0),FALSE)&amp;CHAR(10)&amp;"Local Trend: "&amp;HLOOKUP(MID(AU$3,FIND(".",AU$3)+1,FIND(".",AU$3,FIND(".",AU$3)+1)-FIND(".",AU$3)-1),Gällivare!$B$6:$J$36,MATCH($C12,Gällivare!$B$6:$B$36,0),FALSE)&amp;CHAR(10)&amp;"Local Target: "&amp;HLOOKUP(RIGHT(AU$3,LEN(AU$3)-FIND(".",AU$3,FIND(".",AU$3)+1)),Gällivare!$B$6:$J$36,MATCH($C12,Gällivare!$B$6:$B$36,0),FALSE)))</f>
        <v>Medium</v>
      </c>
      <c r="AV12" s="177" t="str">
        <f>IF(AND(HLOOKUP(MID(AV$3,FIND(".",AV$3)+1,FIND(".",AV$3,FIND(".",AV$3)+1)-FIND(".",AV$3)-1),Gällivare!$B$6:$J$36,MATCH($C12,Gällivare!$B$6:$B$36,0),FALSE)="No Impact",HLOOKUP(RIGHT(AV$3,LEN(AV$3)-FIND(".",AV$3,FIND(".",AV$3)+1)),Gällivare!$B$6:$J$36,MATCH($C12,Gällivare!$B$6:$B$36,0),FALSE)="No Impact"),HLOOKUP(LEFT(AV$3,4),Global!$B$6:$J$36,MATCH($C12,Global!$B$6:$B$36,0),FALSE),IF(AND(HLOOKUP(MID(AV$3,FIND(".",AV$3)+1,FIND(".",AV$3,FIND(".",AV$3)+1)-FIND(".",AV$3)-1),Gällivare!$B$6:$J$36,MATCH($C12,Gällivare!$B$6:$B$36,0),FALSE)="No Impact",HLOOKUP(LEFT(AV$3,4),Global!$B$6:$J$36,MATCH($C12,Global!$B$6:$B$36,0),FALSE)="No Impact"),HLOOKUP(RIGHT(AV$3,LEN(AV$3)-FIND(".",AV$3,FIND(".",AV$3)+1)),Gällivare!$B$6:$J$36,MATCH($C12,Gällivare!$B$6:$B$36,0),FALSE),"Global: "&amp;HLOOKUP(LEFT(AV$3,4),Global!$B$6:$J$36,MATCH($C12,Global!$B$6:$B$36,0),FALSE)&amp;CHAR(10)&amp;"Local Trend: "&amp;HLOOKUP(MID(AV$3,FIND(".",AV$3)+1,FIND(".",AV$3,FIND(".",AV$3)+1)-FIND(".",AV$3)-1),Gällivare!$B$6:$J$36,MATCH($C12,Gällivare!$B$6:$B$36,0),FALSE)&amp;CHAR(10)&amp;"Local Target: "&amp;HLOOKUP(RIGHT(AV$3,LEN(AV$3)-FIND(".",AV$3,FIND(".",AV$3)+1)),Gällivare!$B$6:$J$36,MATCH($C12,Gällivare!$B$6:$B$36,0),FALSE)))</f>
        <v>Medium</v>
      </c>
      <c r="AW12" s="177" t="str">
        <f>IF(AND(HLOOKUP(MID(AW$3,FIND(".",AW$3)+1,FIND(".",AW$3,FIND(".",AW$3)+1)-FIND(".",AW$3)-1),Gällivare!$B$6:$J$36,MATCH($C12,Gällivare!$B$6:$B$36,0),FALSE)="No Impact",HLOOKUP(RIGHT(AW$3,LEN(AW$3)-FIND(".",AW$3,FIND(".",AW$3)+1)),Gällivare!$B$6:$J$36,MATCH($C12,Gällivare!$B$6:$B$36,0),FALSE)="No Impact"),HLOOKUP(LEFT(AW$3,4),Global!$B$6:$J$36,MATCH($C12,Global!$B$6:$B$36,0),FALSE),IF(AND(HLOOKUP(MID(AW$3,FIND(".",AW$3)+1,FIND(".",AW$3,FIND(".",AW$3)+1)-FIND(".",AW$3)-1),Gällivare!$B$6:$J$36,MATCH($C12,Gällivare!$B$6:$B$36,0),FALSE)="No Impact",HLOOKUP(LEFT(AW$3,4),Global!$B$6:$J$36,MATCH($C12,Global!$B$6:$B$36,0),FALSE)="No Impact"),HLOOKUP(RIGHT(AW$3,LEN(AW$3)-FIND(".",AW$3,FIND(".",AW$3)+1)),Gällivare!$B$6:$J$36,MATCH($C12,Gällivare!$B$6:$B$36,0),FALSE),"Global: "&amp;HLOOKUP(LEFT(AW$3,4),Global!$B$6:$J$36,MATCH($C12,Global!$B$6:$B$36,0),FALSE)&amp;CHAR(10)&amp;"Local Trend: "&amp;HLOOKUP(MID(AW$3,FIND(".",AW$3)+1,FIND(".",AW$3,FIND(".",AW$3)+1)-FIND(".",AW$3)-1),Gällivare!$B$6:$J$36,MATCH($C12,Gällivare!$B$6:$B$36,0),FALSE)&amp;CHAR(10)&amp;"Local Target: "&amp;HLOOKUP(RIGHT(AW$3,LEN(AW$3)-FIND(".",AW$3,FIND(".",AW$3)+1)),Gällivare!$B$6:$J$36,MATCH($C12,Gällivare!$B$6:$B$36,0),FALSE)))</f>
        <v>Medium</v>
      </c>
      <c r="AX12" s="177" t="str">
        <f>IF(AND(HLOOKUP(MID(AX$3,FIND(".",AX$3)+1,FIND(".",AX$3,FIND(".",AX$3)+1)-FIND(".",AX$3)-1),Gällivare!$B$6:$J$36,MATCH($C12,Gällivare!$B$6:$B$36,0),FALSE)="No Impact",HLOOKUP(RIGHT(AX$3,LEN(AX$3)-FIND(".",AX$3,FIND(".",AX$3)+1)),Gällivare!$B$6:$J$36,MATCH($C12,Gällivare!$B$6:$B$36,0),FALSE)="No Impact"),HLOOKUP(LEFT(AX$3,4),Global!$B$6:$J$36,MATCH($C12,Global!$B$6:$B$36,0),FALSE),IF(AND(HLOOKUP(MID(AX$3,FIND(".",AX$3)+1,FIND(".",AX$3,FIND(".",AX$3)+1)-FIND(".",AX$3)-1),Gällivare!$B$6:$J$36,MATCH($C12,Gällivare!$B$6:$B$36,0),FALSE)="No Impact",HLOOKUP(LEFT(AX$3,4),Global!$B$6:$J$36,MATCH($C12,Global!$B$6:$B$36,0),FALSE)="No Impact"),HLOOKUP(RIGHT(AX$3,LEN(AX$3)-FIND(".",AX$3,FIND(".",AX$3)+1)),Gällivare!$B$6:$J$36,MATCH($C12,Gällivare!$B$6:$B$36,0),FALSE),"Global: "&amp;HLOOKUP(LEFT(AX$3,4),Global!$B$6:$J$36,MATCH($C12,Global!$B$6:$B$36,0),FALSE)&amp;CHAR(10)&amp;"Local Trend: "&amp;HLOOKUP(MID(AX$3,FIND(".",AX$3)+1,FIND(".",AX$3,FIND(".",AX$3)+1)-FIND(".",AX$3)-1),Gällivare!$B$6:$J$36,MATCH($C12,Gällivare!$B$6:$B$36,0),FALSE)&amp;CHAR(10)&amp;"Local Target: "&amp;HLOOKUP(RIGHT(AX$3,LEN(AX$3)-FIND(".",AX$3,FIND(".",AX$3)+1)),Gällivare!$B$6:$J$36,MATCH($C12,Gällivare!$B$6:$B$36,0),FALSE)))</f>
        <v>Medium</v>
      </c>
      <c r="AY12" s="177" t="str">
        <f>IF(AND(HLOOKUP(MID(AY$3,FIND(".",AY$3)+1,FIND(".",AY$3,FIND(".",AY$3)+1)-FIND(".",AY$3)-1),Gällivare!$B$6:$J$36,MATCH($C12,Gällivare!$B$6:$B$36,0),FALSE)="No Impact",HLOOKUP(RIGHT(AY$3,LEN(AY$3)-FIND(".",AY$3,FIND(".",AY$3)+1)),Gällivare!$B$6:$J$36,MATCH($C12,Gällivare!$B$6:$B$36,0),FALSE)="No Impact"),HLOOKUP(LEFT(AY$3,4),Global!$B$6:$J$36,MATCH($C12,Global!$B$6:$B$36,0),FALSE),IF(AND(HLOOKUP(MID(AY$3,FIND(".",AY$3)+1,FIND(".",AY$3,FIND(".",AY$3)+1)-FIND(".",AY$3)-1),Gällivare!$B$6:$J$36,MATCH($C12,Gällivare!$B$6:$B$36,0),FALSE)="No Impact",HLOOKUP(LEFT(AY$3,4),Global!$B$6:$J$36,MATCH($C12,Global!$B$6:$B$36,0),FALSE)="No Impact"),HLOOKUP(RIGHT(AY$3,LEN(AY$3)-FIND(".",AY$3,FIND(".",AY$3)+1)),Gällivare!$B$6:$J$36,MATCH($C12,Gällivare!$B$6:$B$36,0),FALSE),"Global: "&amp;HLOOKUP(LEFT(AY$3,4),Global!$B$6:$J$36,MATCH($C12,Global!$B$6:$B$36,0),FALSE)&amp;CHAR(10)&amp;"Local Trend: "&amp;HLOOKUP(MID(AY$3,FIND(".",AY$3)+1,FIND(".",AY$3,FIND(".",AY$3)+1)-FIND(".",AY$3)-1),Gällivare!$B$6:$J$36,MATCH($C12,Gällivare!$B$6:$B$36,0),FALSE)&amp;CHAR(10)&amp;"Local Target: "&amp;HLOOKUP(RIGHT(AY$3,LEN(AY$3)-FIND(".",AY$3,FIND(".",AY$3)+1)),Gällivare!$B$6:$J$36,MATCH($C12,Gällivare!$B$6:$B$36,0),FALSE)))</f>
        <v>Medium</v>
      </c>
      <c r="AZ12" s="177" t="str">
        <f>IF(AND(HLOOKUP(MID(AZ$3,FIND(".",AZ$3)+1,FIND(".",AZ$3,FIND(".",AZ$3)+1)-FIND(".",AZ$3)-1),Gällivare!$B$6:$J$36,MATCH($C12,Gällivare!$B$6:$B$36,0),FALSE)="No Impact",HLOOKUP(RIGHT(AZ$3,LEN(AZ$3)-FIND(".",AZ$3,FIND(".",AZ$3)+1)),Gällivare!$B$6:$J$36,MATCH($C12,Gällivare!$B$6:$B$36,0),FALSE)="No Impact"),HLOOKUP(LEFT(AZ$3,4),Global!$B$6:$J$36,MATCH($C12,Global!$B$6:$B$36,0),FALSE),IF(AND(HLOOKUP(MID(AZ$3,FIND(".",AZ$3)+1,FIND(".",AZ$3,FIND(".",AZ$3)+1)-FIND(".",AZ$3)-1),Gällivare!$B$6:$J$36,MATCH($C12,Gällivare!$B$6:$B$36,0),FALSE)="No Impact",HLOOKUP(LEFT(AZ$3,4),Global!$B$6:$J$36,MATCH($C12,Global!$B$6:$B$36,0),FALSE)="No Impact"),HLOOKUP(RIGHT(AZ$3,LEN(AZ$3)-FIND(".",AZ$3,FIND(".",AZ$3)+1)),Gällivare!$B$6:$J$36,MATCH($C12,Gällivare!$B$6:$B$36,0),FALSE),"Global: "&amp;HLOOKUP(LEFT(AZ$3,4),Global!$B$6:$J$36,MATCH($C12,Global!$B$6:$B$36,0),FALSE)&amp;CHAR(10)&amp;"Local Trend: "&amp;HLOOKUP(MID(AZ$3,FIND(".",AZ$3)+1,FIND(".",AZ$3,FIND(".",AZ$3)+1)-FIND(".",AZ$3)-1),Gällivare!$B$6:$J$36,MATCH($C12,Gällivare!$B$6:$B$36,0),FALSE)&amp;CHAR(10)&amp;"Local Target: "&amp;HLOOKUP(RIGHT(AZ$3,LEN(AZ$3)-FIND(".",AZ$3,FIND(".",AZ$3)+1)),Gällivare!$B$6:$J$36,MATCH($C12,Gällivare!$B$6:$B$36,0),FALSE)))</f>
        <v>Medium</v>
      </c>
      <c r="BA12" s="177" t="str">
        <f>IF(AND(HLOOKUP(MID(BA$3,FIND(".",BA$3)+1,FIND(".",BA$3,FIND(".",BA$3)+1)-FIND(".",BA$3)-1),Gällivare!$B$6:$J$36,MATCH($C12,Gällivare!$B$6:$B$36,0),FALSE)="No Impact",HLOOKUP(RIGHT(BA$3,LEN(BA$3)-FIND(".",BA$3,FIND(".",BA$3)+1)),Gällivare!$B$6:$J$36,MATCH($C12,Gällivare!$B$6:$B$36,0),FALSE)="No Impact"),HLOOKUP(LEFT(BA$3,4),Global!$B$6:$J$36,MATCH($C12,Global!$B$6:$B$36,0),FALSE),IF(AND(HLOOKUP(MID(BA$3,FIND(".",BA$3)+1,FIND(".",BA$3,FIND(".",BA$3)+1)-FIND(".",BA$3)-1),Gällivare!$B$6:$J$36,MATCH($C12,Gällivare!$B$6:$B$36,0),FALSE)="No Impact",HLOOKUP(LEFT(BA$3,4),Global!$B$6:$J$36,MATCH($C12,Global!$B$6:$B$36,0),FALSE)="No Impact"),HLOOKUP(RIGHT(BA$3,LEN(BA$3)-FIND(".",BA$3,FIND(".",BA$3)+1)),Gällivare!$B$6:$J$36,MATCH($C12,Gällivare!$B$6:$B$36,0),FALSE),"Global: "&amp;HLOOKUP(LEFT(BA$3,4),Global!$B$6:$J$36,MATCH($C12,Global!$B$6:$B$36,0),FALSE)&amp;CHAR(10)&amp;"Local Trend: "&amp;HLOOKUP(MID(BA$3,FIND(".",BA$3)+1,FIND(".",BA$3,FIND(".",BA$3)+1)-FIND(".",BA$3)-1),Gällivare!$B$6:$J$36,MATCH($C12,Gällivare!$B$6:$B$36,0),FALSE)&amp;CHAR(10)&amp;"Local Target: "&amp;HLOOKUP(RIGHT(BA$3,LEN(BA$3)-FIND(".",BA$3,FIND(".",BA$3)+1)),Gällivare!$B$6:$J$36,MATCH($C12,Gällivare!$B$6:$B$36,0),FALSE)))</f>
        <v>Medium</v>
      </c>
      <c r="BB12" s="177" t="str">
        <f>IF(AND(HLOOKUP(MID(BB$3,FIND(".",BB$3)+1,FIND(".",BB$3,FIND(".",BB$3)+1)-FIND(".",BB$3)-1),Gällivare!$B$6:$J$36,MATCH($C12,Gällivare!$B$6:$B$36,0),FALSE)="No Impact",HLOOKUP(RIGHT(BB$3,LEN(BB$3)-FIND(".",BB$3,FIND(".",BB$3)+1)),Gällivare!$B$6:$J$36,MATCH($C12,Gällivare!$B$6:$B$36,0),FALSE)="No Impact"),HLOOKUP(LEFT(BB$3,4),Global!$B$6:$J$36,MATCH($C12,Global!$B$6:$B$36,0),FALSE),IF(AND(HLOOKUP(MID(BB$3,FIND(".",BB$3)+1,FIND(".",BB$3,FIND(".",BB$3)+1)-FIND(".",BB$3)-1),Gällivare!$B$6:$J$36,MATCH($C12,Gällivare!$B$6:$B$36,0),FALSE)="No Impact",HLOOKUP(LEFT(BB$3,4),Global!$B$6:$J$36,MATCH($C12,Global!$B$6:$B$36,0),FALSE)="No Impact"),HLOOKUP(RIGHT(BB$3,LEN(BB$3)-FIND(".",BB$3,FIND(".",BB$3)+1)),Gällivare!$B$6:$J$36,MATCH($C12,Gällivare!$B$6:$B$36,0),FALSE),"Global: "&amp;HLOOKUP(LEFT(BB$3,4),Global!$B$6:$J$36,MATCH($C12,Global!$B$6:$B$36,0),FALSE)&amp;CHAR(10)&amp;"Local Trend: "&amp;HLOOKUP(MID(BB$3,FIND(".",BB$3)+1,FIND(".",BB$3,FIND(".",BB$3)+1)-FIND(".",BB$3)-1),Gällivare!$B$6:$J$36,MATCH($C12,Gällivare!$B$6:$B$36,0),FALSE)&amp;CHAR(10)&amp;"Local Target: "&amp;HLOOKUP(RIGHT(BB$3,LEN(BB$3)-FIND(".",BB$3,FIND(".",BB$3)+1)),Gällivare!$B$6:$J$36,MATCH($C12,Gällivare!$B$6:$B$36,0),FALSE)))</f>
        <v>Medium</v>
      </c>
      <c r="BC12" s="177" t="str">
        <f>IF(AND(HLOOKUP(MID(BC$3,FIND(".",BC$3)+1,FIND(".",BC$3,FIND(".",BC$3)+1)-FIND(".",BC$3)-1),Gällivare!$B$6:$J$36,MATCH($C12,Gällivare!$B$6:$B$36,0),FALSE)="No Impact",HLOOKUP(RIGHT(BC$3,LEN(BC$3)-FIND(".",BC$3,FIND(".",BC$3)+1)),Gällivare!$B$6:$J$36,MATCH($C12,Gällivare!$B$6:$B$36,0),FALSE)="No Impact"),HLOOKUP(LEFT(BC$3,4),Global!$B$6:$J$36,MATCH($C12,Global!$B$6:$B$36,0),FALSE),IF(AND(HLOOKUP(MID(BC$3,FIND(".",BC$3)+1,FIND(".",BC$3,FIND(".",BC$3)+1)-FIND(".",BC$3)-1),Gällivare!$B$6:$J$36,MATCH($C12,Gällivare!$B$6:$B$36,0),FALSE)="No Impact",HLOOKUP(LEFT(BC$3,4),Global!$B$6:$J$36,MATCH($C12,Global!$B$6:$B$36,0),FALSE)="No Impact"),HLOOKUP(RIGHT(BC$3,LEN(BC$3)-FIND(".",BC$3,FIND(".",BC$3)+1)),Gällivare!$B$6:$J$36,MATCH($C12,Gällivare!$B$6:$B$36,0),FALSE),"Global: "&amp;HLOOKUP(LEFT(BC$3,4),Global!$B$6:$J$36,MATCH($C12,Global!$B$6:$B$36,0),FALSE)&amp;CHAR(10)&amp;"Local Trend: "&amp;HLOOKUP(MID(BC$3,FIND(".",BC$3)+1,FIND(".",BC$3,FIND(".",BC$3)+1)-FIND(".",BC$3)-1),Gällivare!$B$6:$J$36,MATCH($C12,Gällivare!$B$6:$B$36,0),FALSE)&amp;CHAR(10)&amp;"Local Target: "&amp;HLOOKUP(RIGHT(BC$3,LEN(BC$3)-FIND(".",BC$3,FIND(".",BC$3)+1)),Gällivare!$B$6:$J$36,MATCH($C12,Gällivare!$B$6:$B$36,0),FALSE)))</f>
        <v>Medium</v>
      </c>
      <c r="BD12" s="177" t="str">
        <f>IF(AND(HLOOKUP(MID(BD$3,FIND(".",BD$3)+1,FIND(".",BD$3,FIND(".",BD$3)+1)-FIND(".",BD$3)-1),Gällivare!$B$6:$J$36,MATCH($C12,Gällivare!$B$6:$B$36,0),FALSE)="No Impact",HLOOKUP(RIGHT(BD$3,LEN(BD$3)-FIND(".",BD$3,FIND(".",BD$3)+1)),Gällivare!$B$6:$J$36,MATCH($C12,Gällivare!$B$6:$B$36,0),FALSE)="No Impact"),HLOOKUP(LEFT(BD$3,4),Global!$B$6:$J$36,MATCH($C12,Global!$B$6:$B$36,0),FALSE),IF(AND(HLOOKUP(MID(BD$3,FIND(".",BD$3)+1,FIND(".",BD$3,FIND(".",BD$3)+1)-FIND(".",BD$3)-1),Gällivare!$B$6:$J$36,MATCH($C12,Gällivare!$B$6:$B$36,0),FALSE)="No Impact",HLOOKUP(LEFT(BD$3,4),Global!$B$6:$J$36,MATCH($C12,Global!$B$6:$B$36,0),FALSE)="No Impact"),HLOOKUP(RIGHT(BD$3,LEN(BD$3)-FIND(".",BD$3,FIND(".",BD$3)+1)),Gällivare!$B$6:$J$36,MATCH($C12,Gällivare!$B$6:$B$36,0),FALSE),"Global: "&amp;HLOOKUP(LEFT(BD$3,4),Global!$B$6:$J$36,MATCH($C12,Global!$B$6:$B$36,0),FALSE)&amp;CHAR(10)&amp;"Local Trend: "&amp;HLOOKUP(MID(BD$3,FIND(".",BD$3)+1,FIND(".",BD$3,FIND(".",BD$3)+1)-FIND(".",BD$3)-1),Gällivare!$B$6:$J$36,MATCH($C12,Gällivare!$B$6:$B$36,0),FALSE)&amp;CHAR(10)&amp;"Local Target: "&amp;HLOOKUP(RIGHT(BD$3,LEN(BD$3)-FIND(".",BD$3,FIND(".",BD$3)+1)),Gällivare!$B$6:$J$36,MATCH($C12,Gällivare!$B$6:$B$36,0),FALSE)))</f>
        <v>Medium</v>
      </c>
      <c r="BE12" s="177" t="str">
        <f>IF(AND(HLOOKUP(MID(BE$3,FIND(".",BE$3)+1,FIND(".",BE$3,FIND(".",BE$3)+1)-FIND(".",BE$3)-1),Gällivare!$B$6:$J$36,MATCH($C12,Gällivare!$B$6:$B$36,0),FALSE)="No Impact",HLOOKUP(RIGHT(BE$3,LEN(BE$3)-FIND(".",BE$3,FIND(".",BE$3)+1)),Gällivare!$B$6:$J$36,MATCH($C12,Gällivare!$B$6:$B$36,0),FALSE)="No Impact"),HLOOKUP(LEFT(BE$3,4),Global!$B$6:$J$36,MATCH($C12,Global!$B$6:$B$36,0),FALSE),IF(AND(HLOOKUP(MID(BE$3,FIND(".",BE$3)+1,FIND(".",BE$3,FIND(".",BE$3)+1)-FIND(".",BE$3)-1),Gällivare!$B$6:$J$36,MATCH($C12,Gällivare!$B$6:$B$36,0),FALSE)="No Impact",HLOOKUP(LEFT(BE$3,4),Global!$B$6:$J$36,MATCH($C12,Global!$B$6:$B$36,0),FALSE)="No Impact"),HLOOKUP(RIGHT(BE$3,LEN(BE$3)-FIND(".",BE$3,FIND(".",BE$3)+1)),Gällivare!$B$6:$J$36,MATCH($C12,Gällivare!$B$6:$B$36,0),FALSE),"Global: "&amp;HLOOKUP(LEFT(BE$3,4),Global!$B$6:$J$36,MATCH($C12,Global!$B$6:$B$36,0),FALSE)&amp;CHAR(10)&amp;"Local Trend: "&amp;HLOOKUP(MID(BE$3,FIND(".",BE$3)+1,FIND(".",BE$3,FIND(".",BE$3)+1)-FIND(".",BE$3)-1),Gällivare!$B$6:$J$36,MATCH($C12,Gällivare!$B$6:$B$36,0),FALSE)&amp;CHAR(10)&amp;"Local Target: "&amp;HLOOKUP(RIGHT(BE$3,LEN(BE$3)-FIND(".",BE$3,FIND(".",BE$3)+1)),Gällivare!$B$6:$J$36,MATCH($C12,Gällivare!$B$6:$B$36,0),FALSE)))</f>
        <v>Medium</v>
      </c>
      <c r="BF12" s="177" t="str">
        <f>IF(AND(HLOOKUP(MID(BF$3,FIND(".",BF$3)+1,FIND(".",BF$3,FIND(".",BF$3)+1)-FIND(".",BF$3)-1),Gällivare!$B$6:$J$36,MATCH($C12,Gällivare!$B$6:$B$36,0),FALSE)="No Impact",HLOOKUP(RIGHT(BF$3,LEN(BF$3)-FIND(".",BF$3,FIND(".",BF$3)+1)),Gällivare!$B$6:$J$36,MATCH($C12,Gällivare!$B$6:$B$36,0),FALSE)="No Impact"),HLOOKUP(LEFT(BF$3,4),Global!$B$6:$J$36,MATCH($C12,Global!$B$6:$B$36,0),FALSE),IF(AND(HLOOKUP(MID(BF$3,FIND(".",BF$3)+1,FIND(".",BF$3,FIND(".",BF$3)+1)-FIND(".",BF$3)-1),Gällivare!$B$6:$J$36,MATCH($C12,Gällivare!$B$6:$B$36,0),FALSE)="No Impact",HLOOKUP(LEFT(BF$3,4),Global!$B$6:$J$36,MATCH($C12,Global!$B$6:$B$36,0),FALSE)="No Impact"),HLOOKUP(RIGHT(BF$3,LEN(BF$3)-FIND(".",BF$3,FIND(".",BF$3)+1)),Gällivare!$B$6:$J$36,MATCH($C12,Gällivare!$B$6:$B$36,0),FALSE),"Global: "&amp;HLOOKUP(LEFT(BF$3,4),Global!$B$6:$J$36,MATCH($C12,Global!$B$6:$B$36,0),FALSE)&amp;CHAR(10)&amp;"Local Trend: "&amp;HLOOKUP(MID(BF$3,FIND(".",BF$3)+1,FIND(".",BF$3,FIND(".",BF$3)+1)-FIND(".",BF$3)-1),Gällivare!$B$6:$J$36,MATCH($C12,Gällivare!$B$6:$B$36,0),FALSE)&amp;CHAR(10)&amp;"Local Target: "&amp;HLOOKUP(RIGHT(BF$3,LEN(BF$3)-FIND(".",BF$3,FIND(".",BF$3)+1)),Gällivare!$B$6:$J$36,MATCH($C12,Gällivare!$B$6:$B$36,0),FALSE)))</f>
        <v>Medium</v>
      </c>
      <c r="BG12" s="177" t="str">
        <f>IF(AND(HLOOKUP(MID(BG$3,FIND(".",BG$3)+1,FIND(".",BG$3,FIND(".",BG$3)+1)-FIND(".",BG$3)-1),Gällivare!$B$6:$J$36,MATCH($C12,Gällivare!$B$6:$B$36,0),FALSE)="No Impact",HLOOKUP(RIGHT(BG$3,LEN(BG$3)-FIND(".",BG$3,FIND(".",BG$3)+1)),Gällivare!$B$6:$J$36,MATCH($C12,Gällivare!$B$6:$B$36,0),FALSE)="No Impact"),HLOOKUP(LEFT(BG$3,4),Global!$B$6:$J$36,MATCH($C12,Global!$B$6:$B$36,0),FALSE),IF(AND(HLOOKUP(MID(BG$3,FIND(".",BG$3)+1,FIND(".",BG$3,FIND(".",BG$3)+1)-FIND(".",BG$3)-1),Gällivare!$B$6:$J$36,MATCH($C12,Gällivare!$B$6:$B$36,0),FALSE)="No Impact",HLOOKUP(LEFT(BG$3,4),Global!$B$6:$J$36,MATCH($C12,Global!$B$6:$B$36,0),FALSE)="No Impact"),HLOOKUP(RIGHT(BG$3,LEN(BG$3)-FIND(".",BG$3,FIND(".",BG$3)+1)),Gällivare!$B$6:$J$36,MATCH($C12,Gällivare!$B$6:$B$36,0),FALSE),"Global: "&amp;HLOOKUP(LEFT(BG$3,4),Global!$B$6:$J$36,MATCH($C12,Global!$B$6:$B$36,0),FALSE)&amp;CHAR(10)&amp;"Local Trend: "&amp;HLOOKUP(MID(BG$3,FIND(".",BG$3)+1,FIND(".",BG$3,FIND(".",BG$3)+1)-FIND(".",BG$3)-1),Gällivare!$B$6:$J$36,MATCH($C12,Gällivare!$B$6:$B$36,0),FALSE)&amp;CHAR(10)&amp;"Local Target: "&amp;HLOOKUP(RIGHT(BG$3,LEN(BG$3)-FIND(".",BG$3,FIND(".",BG$3)+1)),Gällivare!$B$6:$J$36,MATCH($C12,Gällivare!$B$6:$B$36,0),FALSE)))</f>
        <v>Medium</v>
      </c>
      <c r="BH12" s="177" t="str">
        <f>IF(AND(HLOOKUP(MID(BH$3,FIND(".",BH$3)+1,FIND(".",BH$3,FIND(".",BH$3)+1)-FIND(".",BH$3)-1),Gällivare!$B$6:$J$36,MATCH($C12,Gällivare!$B$6:$B$36,0),FALSE)="No Impact",HLOOKUP(RIGHT(BH$3,LEN(BH$3)-FIND(".",BH$3,FIND(".",BH$3)+1)),Gällivare!$B$6:$J$36,MATCH($C12,Gällivare!$B$6:$B$36,0),FALSE)="No Impact"),HLOOKUP(LEFT(BH$3,4),Global!$B$6:$J$36,MATCH($C12,Global!$B$6:$B$36,0),FALSE),IF(AND(HLOOKUP(MID(BH$3,FIND(".",BH$3)+1,FIND(".",BH$3,FIND(".",BH$3)+1)-FIND(".",BH$3)-1),Gällivare!$B$6:$J$36,MATCH($C12,Gällivare!$B$6:$B$36,0),FALSE)="No Impact",HLOOKUP(LEFT(BH$3,4),Global!$B$6:$J$36,MATCH($C12,Global!$B$6:$B$36,0),FALSE)="No Impact"),HLOOKUP(RIGHT(BH$3,LEN(BH$3)-FIND(".",BH$3,FIND(".",BH$3)+1)),Gällivare!$B$6:$J$36,MATCH($C12,Gällivare!$B$6:$B$36,0),FALSE),"Global: "&amp;HLOOKUP(LEFT(BH$3,4),Global!$B$6:$J$36,MATCH($C12,Global!$B$6:$B$36,0),FALSE)&amp;CHAR(10)&amp;"Local Trend: "&amp;HLOOKUP(MID(BH$3,FIND(".",BH$3)+1,FIND(".",BH$3,FIND(".",BH$3)+1)-FIND(".",BH$3)-1),Gällivare!$B$6:$J$36,MATCH($C12,Gällivare!$B$6:$B$36,0),FALSE)&amp;CHAR(10)&amp;"Local Target: "&amp;HLOOKUP(RIGHT(BH$3,LEN(BH$3)-FIND(".",BH$3,FIND(".",BH$3)+1)),Gällivare!$B$6:$J$36,MATCH($C12,Gällivare!$B$6:$B$36,0),FALSE)))</f>
        <v>Medium</v>
      </c>
      <c r="BI12" s="177" t="str">
        <f>IF(AND(HLOOKUP(MID(BI$3,FIND(".",BI$3)+1,FIND(".",BI$3,FIND(".",BI$3)+1)-FIND(".",BI$3)-1),Gällivare!$B$6:$J$36,MATCH($C12,Gällivare!$B$6:$B$36,0),FALSE)="No Impact",HLOOKUP(RIGHT(BI$3,LEN(BI$3)-FIND(".",BI$3,FIND(".",BI$3)+1)),Gällivare!$B$6:$J$36,MATCH($C12,Gällivare!$B$6:$B$36,0),FALSE)="No Impact"),HLOOKUP(LEFT(BI$3,4),Global!$B$6:$J$36,MATCH($C12,Global!$B$6:$B$36,0),FALSE),IF(AND(HLOOKUP(MID(BI$3,FIND(".",BI$3)+1,FIND(".",BI$3,FIND(".",BI$3)+1)-FIND(".",BI$3)-1),Gällivare!$B$6:$J$36,MATCH($C12,Gällivare!$B$6:$B$36,0),FALSE)="No Impact",HLOOKUP(LEFT(BI$3,4),Global!$B$6:$J$36,MATCH($C12,Global!$B$6:$B$36,0),FALSE)="No Impact"),HLOOKUP(RIGHT(BI$3,LEN(BI$3)-FIND(".",BI$3,FIND(".",BI$3)+1)),Gällivare!$B$6:$J$36,MATCH($C12,Gällivare!$B$6:$B$36,0),FALSE),"Global: "&amp;HLOOKUP(LEFT(BI$3,4),Global!$B$6:$J$36,MATCH($C12,Global!$B$6:$B$36,0),FALSE)&amp;CHAR(10)&amp;"Local Trend: "&amp;HLOOKUP(MID(BI$3,FIND(".",BI$3)+1,FIND(".",BI$3,FIND(".",BI$3)+1)-FIND(".",BI$3)-1),Gällivare!$B$6:$J$36,MATCH($C12,Gällivare!$B$6:$B$36,0),FALSE)&amp;CHAR(10)&amp;"Local Target: "&amp;HLOOKUP(RIGHT(BI$3,LEN(BI$3)-FIND(".",BI$3,FIND(".",BI$3)+1)),Gällivare!$B$6:$J$36,MATCH($C12,Gällivare!$B$6:$B$36,0),FALSE)))</f>
        <v>Medium</v>
      </c>
      <c r="BJ12" s="177" t="str">
        <f>IF(AND(HLOOKUP(MID(BJ$3,FIND(".",BJ$3)+1,FIND(".",BJ$3,FIND(".",BJ$3)+1)-FIND(".",BJ$3)-1),Gällivare!$B$6:$J$36,MATCH($C12,Gällivare!$B$6:$B$36,0),FALSE)="No Impact",HLOOKUP(RIGHT(BJ$3,LEN(BJ$3)-FIND(".",BJ$3,FIND(".",BJ$3)+1)),Gällivare!$B$6:$J$36,MATCH($C12,Gällivare!$B$6:$B$36,0),FALSE)="No Impact"),HLOOKUP(LEFT(BJ$3,4),Global!$B$6:$J$36,MATCH($C12,Global!$B$6:$B$36,0),FALSE),IF(AND(HLOOKUP(MID(BJ$3,FIND(".",BJ$3)+1,FIND(".",BJ$3,FIND(".",BJ$3)+1)-FIND(".",BJ$3)-1),Gällivare!$B$6:$J$36,MATCH($C12,Gällivare!$B$6:$B$36,0),FALSE)="No Impact",HLOOKUP(LEFT(BJ$3,4),Global!$B$6:$J$36,MATCH($C12,Global!$B$6:$B$36,0),FALSE)="No Impact"),HLOOKUP(RIGHT(BJ$3,LEN(BJ$3)-FIND(".",BJ$3,FIND(".",BJ$3)+1)),Gällivare!$B$6:$J$36,MATCH($C12,Gällivare!$B$6:$B$36,0),FALSE),"Global: "&amp;HLOOKUP(LEFT(BJ$3,4),Global!$B$6:$J$36,MATCH($C12,Global!$B$6:$B$36,0),FALSE)&amp;CHAR(10)&amp;"Local Trend: "&amp;HLOOKUP(MID(BJ$3,FIND(".",BJ$3)+1,FIND(".",BJ$3,FIND(".",BJ$3)+1)-FIND(".",BJ$3)-1),Gällivare!$B$6:$J$36,MATCH($C12,Gällivare!$B$6:$B$36,0),FALSE)&amp;CHAR(10)&amp;"Local Target: "&amp;HLOOKUP(RIGHT(BJ$3,LEN(BJ$3)-FIND(".",BJ$3,FIND(".",BJ$3)+1)),Gällivare!$B$6:$J$36,MATCH($C12,Gällivare!$B$6:$B$36,0),FALSE)))</f>
        <v>Medium</v>
      </c>
      <c r="BK12" s="177" t="str">
        <f>IF(AND(HLOOKUP(MID(BK$3,FIND(".",BK$3)+1,FIND(".",BK$3,FIND(".",BK$3)+1)-FIND(".",BK$3)-1),Gällivare!$B$6:$J$36,MATCH($C12,Gällivare!$B$6:$B$36,0),FALSE)="No Impact",HLOOKUP(RIGHT(BK$3,LEN(BK$3)-FIND(".",BK$3,FIND(".",BK$3)+1)),Gällivare!$B$6:$J$36,MATCH($C12,Gällivare!$B$6:$B$36,0),FALSE)="No Impact"),HLOOKUP(LEFT(BK$3,4),Global!$B$6:$J$36,MATCH($C12,Global!$B$6:$B$36,0),FALSE),IF(AND(HLOOKUP(MID(BK$3,FIND(".",BK$3)+1,FIND(".",BK$3,FIND(".",BK$3)+1)-FIND(".",BK$3)-1),Gällivare!$B$6:$J$36,MATCH($C12,Gällivare!$B$6:$B$36,0),FALSE)="No Impact",HLOOKUP(LEFT(BK$3,4),Global!$B$6:$J$36,MATCH($C12,Global!$B$6:$B$36,0),FALSE)="No Impact"),HLOOKUP(RIGHT(BK$3,LEN(BK$3)-FIND(".",BK$3,FIND(".",BK$3)+1)),Gällivare!$B$6:$J$36,MATCH($C12,Gällivare!$B$6:$B$36,0),FALSE),"Global: "&amp;HLOOKUP(LEFT(BK$3,4),Global!$B$6:$J$36,MATCH($C12,Global!$B$6:$B$36,0),FALSE)&amp;CHAR(10)&amp;"Local Trend: "&amp;HLOOKUP(MID(BK$3,FIND(".",BK$3)+1,FIND(".",BK$3,FIND(".",BK$3)+1)-FIND(".",BK$3)-1),Gällivare!$B$6:$J$36,MATCH($C12,Gällivare!$B$6:$B$36,0),FALSE)&amp;CHAR(10)&amp;"Local Target: "&amp;HLOOKUP(RIGHT(BK$3,LEN(BK$3)-FIND(".",BK$3,FIND(".",BK$3)+1)),Gällivare!$B$6:$J$36,MATCH($C12,Gällivare!$B$6:$B$36,0),FALSE)))</f>
        <v>Low</v>
      </c>
      <c r="BL12" s="177" t="str">
        <f>IF(AND(HLOOKUP(MID(BL$3,FIND(".",BL$3)+1,FIND(".",BL$3,FIND(".",BL$3)+1)-FIND(".",BL$3)-1),Gällivare!$B$6:$J$36,MATCH($C12,Gällivare!$B$6:$B$36,0),FALSE)="No Impact",HLOOKUP(RIGHT(BL$3,LEN(BL$3)-FIND(".",BL$3,FIND(".",BL$3)+1)),Gällivare!$B$6:$J$36,MATCH($C12,Gällivare!$B$6:$B$36,0),FALSE)="No Impact"),HLOOKUP(LEFT(BL$3,4),Global!$B$6:$J$36,MATCH($C12,Global!$B$6:$B$36,0),FALSE),IF(AND(HLOOKUP(MID(BL$3,FIND(".",BL$3)+1,FIND(".",BL$3,FIND(".",BL$3)+1)-FIND(".",BL$3)-1),Gällivare!$B$6:$J$36,MATCH($C12,Gällivare!$B$6:$B$36,0),FALSE)="No Impact",HLOOKUP(LEFT(BL$3,4),Global!$B$6:$J$36,MATCH($C12,Global!$B$6:$B$36,0),FALSE)="No Impact"),HLOOKUP(RIGHT(BL$3,LEN(BL$3)-FIND(".",BL$3,FIND(".",BL$3)+1)),Gällivare!$B$6:$J$36,MATCH($C12,Gällivare!$B$6:$B$36,0),FALSE),"Global: "&amp;HLOOKUP(LEFT(BL$3,4),Global!$B$6:$J$36,MATCH($C12,Global!$B$6:$B$36,0),FALSE)&amp;CHAR(10)&amp;"Local Trend: "&amp;HLOOKUP(MID(BL$3,FIND(".",BL$3)+1,FIND(".",BL$3,FIND(".",BL$3)+1)-FIND(".",BL$3)-1),Gällivare!$B$6:$J$36,MATCH($C12,Gällivare!$B$6:$B$36,0),FALSE)&amp;CHAR(10)&amp;"Local Target: "&amp;HLOOKUP(RIGHT(BL$3,LEN(BL$3)-FIND(".",BL$3,FIND(".",BL$3)+1)),Gällivare!$B$6:$J$36,MATCH($C12,Gällivare!$B$6:$B$36,0),FALSE)))</f>
        <v>Low</v>
      </c>
      <c r="BM12" s="177" t="str">
        <f>IF(AND(HLOOKUP(MID(BM$3,FIND(".",BM$3)+1,FIND(".",BM$3,FIND(".",BM$3)+1)-FIND(".",BM$3)-1),Gällivare!$B$6:$J$36,MATCH($C12,Gällivare!$B$6:$B$36,0),FALSE)="No Impact",HLOOKUP(RIGHT(BM$3,LEN(BM$3)-FIND(".",BM$3,FIND(".",BM$3)+1)),Gällivare!$B$6:$J$36,MATCH($C12,Gällivare!$B$6:$B$36,0),FALSE)="No Impact"),HLOOKUP(LEFT(BM$3,4),Global!$B$6:$J$36,MATCH($C12,Global!$B$6:$B$36,0),FALSE),IF(AND(HLOOKUP(MID(BM$3,FIND(".",BM$3)+1,FIND(".",BM$3,FIND(".",BM$3)+1)-FIND(".",BM$3)-1),Gällivare!$B$6:$J$36,MATCH($C12,Gällivare!$B$6:$B$36,0),FALSE)="No Impact",HLOOKUP(LEFT(BM$3,4),Global!$B$6:$J$36,MATCH($C12,Global!$B$6:$B$36,0),FALSE)="No Impact"),HLOOKUP(RIGHT(BM$3,LEN(BM$3)-FIND(".",BM$3,FIND(".",BM$3)+1)),Gällivare!$B$6:$J$36,MATCH($C12,Gällivare!$B$6:$B$36,0),FALSE),"Global: "&amp;HLOOKUP(LEFT(BM$3,4),Global!$B$6:$J$36,MATCH($C12,Global!$B$6:$B$36,0),FALSE)&amp;CHAR(10)&amp;"Local Trend: "&amp;HLOOKUP(MID(BM$3,FIND(".",BM$3)+1,FIND(".",BM$3,FIND(".",BM$3)+1)-FIND(".",BM$3)-1),Gällivare!$B$6:$J$36,MATCH($C12,Gällivare!$B$6:$B$36,0),FALSE)&amp;CHAR(10)&amp;"Local Target: "&amp;HLOOKUP(RIGHT(BM$3,LEN(BM$3)-FIND(".",BM$3,FIND(".",BM$3)+1)),Gällivare!$B$6:$J$36,MATCH($C12,Gällivare!$B$6:$B$36,0),FALSE)))</f>
        <v>Low</v>
      </c>
      <c r="BN12" s="177" t="str">
        <f>IF(AND(HLOOKUP(MID(BN$3,FIND(".",BN$3)+1,FIND(".",BN$3,FIND(".",BN$3)+1)-FIND(".",BN$3)-1),Gällivare!$B$6:$J$36,MATCH($C12,Gällivare!$B$6:$B$36,0),FALSE)="No Impact",HLOOKUP(RIGHT(BN$3,LEN(BN$3)-FIND(".",BN$3,FIND(".",BN$3)+1)),Gällivare!$B$6:$J$36,MATCH($C12,Gällivare!$B$6:$B$36,0),FALSE)="No Impact"),HLOOKUP(LEFT(BN$3,4),Global!$B$6:$J$36,MATCH($C12,Global!$B$6:$B$36,0),FALSE),IF(AND(HLOOKUP(MID(BN$3,FIND(".",BN$3)+1,FIND(".",BN$3,FIND(".",BN$3)+1)-FIND(".",BN$3)-1),Gällivare!$B$6:$J$36,MATCH($C12,Gällivare!$B$6:$B$36,0),FALSE)="No Impact",HLOOKUP(LEFT(BN$3,4),Global!$B$6:$J$36,MATCH($C12,Global!$B$6:$B$36,0),FALSE)="No Impact"),HLOOKUP(RIGHT(BN$3,LEN(BN$3)-FIND(".",BN$3,FIND(".",BN$3)+1)),Gällivare!$B$6:$J$36,MATCH($C12,Gällivare!$B$6:$B$36,0),FALSE),"Global: "&amp;HLOOKUP(LEFT(BN$3,4),Global!$B$6:$J$36,MATCH($C12,Global!$B$6:$B$36,0),FALSE)&amp;CHAR(10)&amp;"Local Trend: "&amp;HLOOKUP(MID(BN$3,FIND(".",BN$3)+1,FIND(".",BN$3,FIND(".",BN$3)+1)-FIND(".",BN$3)-1),Gällivare!$B$6:$J$36,MATCH($C12,Gällivare!$B$6:$B$36,0),FALSE)&amp;CHAR(10)&amp;"Local Target: "&amp;HLOOKUP(RIGHT(BN$3,LEN(BN$3)-FIND(".",BN$3,FIND(".",BN$3)+1)),Gällivare!$B$6:$J$36,MATCH($C12,Gällivare!$B$6:$B$36,0),FALSE)))</f>
        <v>Low</v>
      </c>
      <c r="BO12" s="177" t="str">
        <f>IF(AND(HLOOKUP(MID(BO$3,FIND(".",BO$3)+1,FIND(".",BO$3,FIND(".",BO$3)+1)-FIND(".",BO$3)-1),Gällivare!$B$6:$J$36,MATCH($C12,Gällivare!$B$6:$B$36,0),FALSE)="No Impact",HLOOKUP(RIGHT(BO$3,LEN(BO$3)-FIND(".",BO$3,FIND(".",BO$3)+1)),Gällivare!$B$6:$J$36,MATCH($C12,Gällivare!$B$6:$B$36,0),FALSE)="No Impact"),HLOOKUP(LEFT(BO$3,4),Global!$B$6:$J$36,MATCH($C12,Global!$B$6:$B$36,0),FALSE),IF(AND(HLOOKUP(MID(BO$3,FIND(".",BO$3)+1,FIND(".",BO$3,FIND(".",BO$3)+1)-FIND(".",BO$3)-1),Gällivare!$B$6:$J$36,MATCH($C12,Gällivare!$B$6:$B$36,0),FALSE)="No Impact",HLOOKUP(LEFT(BO$3,4),Global!$B$6:$J$36,MATCH($C12,Global!$B$6:$B$36,0),FALSE)="No Impact"),HLOOKUP(RIGHT(BO$3,LEN(BO$3)-FIND(".",BO$3,FIND(".",BO$3)+1)),Gällivare!$B$6:$J$36,MATCH($C12,Gällivare!$B$6:$B$36,0),FALSE),"Global: "&amp;HLOOKUP(LEFT(BO$3,4),Global!$B$6:$J$36,MATCH($C12,Global!$B$6:$B$36,0),FALSE)&amp;CHAR(10)&amp;"Local Trend: "&amp;HLOOKUP(MID(BO$3,FIND(".",BO$3)+1,FIND(".",BO$3,FIND(".",BO$3)+1)-FIND(".",BO$3)-1),Gällivare!$B$6:$J$36,MATCH($C12,Gällivare!$B$6:$B$36,0),FALSE)&amp;CHAR(10)&amp;"Local Target: "&amp;HLOOKUP(RIGHT(BO$3,LEN(BO$3)-FIND(".",BO$3,FIND(".",BO$3)+1)),Gällivare!$B$6:$J$36,MATCH($C12,Gällivare!$B$6:$B$36,0),FALSE)))</f>
        <v>Low</v>
      </c>
      <c r="BP12" s="177" t="str">
        <f>IF(AND(HLOOKUP(MID(BP$3,FIND(".",BP$3)+1,FIND(".",BP$3,FIND(".",BP$3)+1)-FIND(".",BP$3)-1),Gällivare!$B$6:$J$36,MATCH($C12,Gällivare!$B$6:$B$36,0),FALSE)="No Impact",HLOOKUP(RIGHT(BP$3,LEN(BP$3)-FIND(".",BP$3,FIND(".",BP$3)+1)),Gällivare!$B$6:$J$36,MATCH($C12,Gällivare!$B$6:$B$36,0),FALSE)="No Impact"),HLOOKUP(LEFT(BP$3,4),Global!$B$6:$J$36,MATCH($C12,Global!$B$6:$B$36,0),FALSE),IF(AND(HLOOKUP(MID(BP$3,FIND(".",BP$3)+1,FIND(".",BP$3,FIND(".",BP$3)+1)-FIND(".",BP$3)-1),Gällivare!$B$6:$J$36,MATCH($C12,Gällivare!$B$6:$B$36,0),FALSE)="No Impact",HLOOKUP(LEFT(BP$3,4),Global!$B$6:$J$36,MATCH($C12,Global!$B$6:$B$36,0),FALSE)="No Impact"),HLOOKUP(RIGHT(BP$3,LEN(BP$3)-FIND(".",BP$3,FIND(".",BP$3)+1)),Gällivare!$B$6:$J$36,MATCH($C12,Gällivare!$B$6:$B$36,0),FALSE),"Global: "&amp;HLOOKUP(LEFT(BP$3,4),Global!$B$6:$J$36,MATCH($C12,Global!$B$6:$B$36,0),FALSE)&amp;CHAR(10)&amp;"Local Trend: "&amp;HLOOKUP(MID(BP$3,FIND(".",BP$3)+1,FIND(".",BP$3,FIND(".",BP$3)+1)-FIND(".",BP$3)-1),Gällivare!$B$6:$J$36,MATCH($C12,Gällivare!$B$6:$B$36,0),FALSE)&amp;CHAR(10)&amp;"Local Target: "&amp;HLOOKUP(RIGHT(BP$3,LEN(BP$3)-FIND(".",BP$3,FIND(".",BP$3)+1)),Gällivare!$B$6:$J$36,MATCH($C12,Gällivare!$B$6:$B$36,0),FALSE)))</f>
        <v>Low</v>
      </c>
      <c r="BT12" s="178"/>
      <c r="BU12" s="178"/>
      <c r="BV12" s="178"/>
    </row>
    <row r="13" spans="2:82" ht="56.4" customHeight="1" x14ac:dyDescent="0.3">
      <c r="B13" s="245" t="s">
        <v>175</v>
      </c>
      <c r="C13" s="175" t="s">
        <v>176</v>
      </c>
      <c r="D13" s="175" t="s">
        <v>177</v>
      </c>
      <c r="E13" s="175" t="s">
        <v>178</v>
      </c>
      <c r="F13" s="176" t="s">
        <v>165</v>
      </c>
      <c r="G13" s="176"/>
      <c r="H13" s="179" t="s">
        <v>54</v>
      </c>
      <c r="I13" s="179" t="s">
        <v>54</v>
      </c>
      <c r="J13" s="179" t="s">
        <v>54</v>
      </c>
      <c r="K13" s="179" t="s">
        <v>53</v>
      </c>
      <c r="L13" s="179" t="s">
        <v>53</v>
      </c>
      <c r="M13" s="179" t="s">
        <v>53</v>
      </c>
      <c r="N13" s="179" t="s">
        <v>53</v>
      </c>
      <c r="O13" s="179" t="s">
        <v>53</v>
      </c>
      <c r="P13" s="179" t="s">
        <v>53</v>
      </c>
      <c r="Q13" s="179" t="s">
        <v>53</v>
      </c>
      <c r="R13" s="179" t="s">
        <v>53</v>
      </c>
      <c r="S13" s="179" t="s">
        <v>53</v>
      </c>
      <c r="T13" s="179" t="s">
        <v>52</v>
      </c>
      <c r="U13" s="179" t="s">
        <v>52</v>
      </c>
      <c r="V13" s="179" t="s">
        <v>52</v>
      </c>
      <c r="W13" s="179" t="s">
        <v>52</v>
      </c>
      <c r="X13" s="179" t="s">
        <v>52</v>
      </c>
      <c r="Y13" s="179" t="s">
        <v>52</v>
      </c>
      <c r="Z13" s="179" t="s">
        <v>53</v>
      </c>
      <c r="AA13" s="179" t="s">
        <v>53</v>
      </c>
      <c r="AB13" s="179" t="s">
        <v>53</v>
      </c>
      <c r="AC13" s="179" t="s">
        <v>53</v>
      </c>
      <c r="AD13" s="179" t="s">
        <v>53</v>
      </c>
      <c r="AE13" s="179" t="s">
        <v>53</v>
      </c>
      <c r="AF13" s="179" t="s">
        <v>52</v>
      </c>
      <c r="AG13" s="179" t="s">
        <v>52</v>
      </c>
      <c r="AH13" s="179" t="s">
        <v>52</v>
      </c>
      <c r="AI13" s="179" t="s">
        <v>52</v>
      </c>
      <c r="AJ13" s="179" t="s">
        <v>52</v>
      </c>
      <c r="AK13" s="179" t="s">
        <v>52</v>
      </c>
      <c r="AL13" s="176"/>
      <c r="AM13" s="177" t="str">
        <f>IF(AND(HLOOKUP(MID(AM$3,FIND(".",AM$3)+1,FIND(".",AM$3,FIND(".",AM$3)+1)-FIND(".",AM$3)-1),Gällivare!$B$6:$J$36,MATCH($C13,Gällivare!$B$6:$B$36,0),FALSE)="No Impact",HLOOKUP(RIGHT(AM$3,LEN(AM$3)-FIND(".",AM$3,FIND(".",AM$3)+1)),Gällivare!$B$6:$J$36,MATCH($C13,Gällivare!$B$6:$B$36,0),FALSE)="No Impact"),HLOOKUP(LEFT(AM$3,4),Global!$B$6:$J$36,MATCH($C13,Global!$B$6:$B$36,0),FALSE),IF(AND(HLOOKUP(MID(AM$3,FIND(".",AM$3)+1,FIND(".",AM$3,FIND(".",AM$3)+1)-FIND(".",AM$3)-1),Gällivare!$B$6:$J$36,MATCH($C13,Gällivare!$B$6:$B$36,0),FALSE)="No Impact",HLOOKUP(LEFT(AM$3,4),Global!$B$6:$J$36,MATCH($C13,Global!$B$6:$B$36,0),FALSE)="No Impact"),HLOOKUP(RIGHT(AM$3,LEN(AM$3)-FIND(".",AM$3,FIND(".",AM$3)+1)),Gällivare!$B$6:$J$36,MATCH($C13,Gällivare!$B$6:$B$36,0),FALSE),"Global: "&amp;HLOOKUP(LEFT(AM$3,4),Global!$B$6:$J$36,MATCH($C13,Global!$B$6:$B$36,0),FALSE)&amp;CHAR(10)&amp;"Local Trend: "&amp;HLOOKUP(MID(AM$3,FIND(".",AM$3)+1,FIND(".",AM$3,FIND(".",AM$3)+1)-FIND(".",AM$3)-1),Gällivare!$B$6:$J$36,MATCH($C13,Gällivare!$B$6:$B$36,0),FALSE)&amp;CHAR(10)&amp;"Local Target: "&amp;HLOOKUP(RIGHT(AM$3,LEN(AM$3)-FIND(".",AM$3,FIND(".",AM$3)+1)),Gällivare!$B$6:$J$36,MATCH($C13,Gällivare!$B$6:$B$36,0),FALSE)))</f>
        <v>Global: High
Local Trend: High
Local Target: No impact</v>
      </c>
      <c r="AN13" s="177" t="str">
        <f>IF(AND(HLOOKUP(MID(AN$3,FIND(".",AN$3)+1,FIND(".",AN$3,FIND(".",AN$3)+1)-FIND(".",AN$3)-1),Gällivare!$B$6:$J$36,MATCH($C13,Gällivare!$B$6:$B$36,0),FALSE)="No Impact",HLOOKUP(RIGHT(AN$3,LEN(AN$3)-FIND(".",AN$3,FIND(".",AN$3)+1)),Gällivare!$B$6:$J$36,MATCH($C13,Gällivare!$B$6:$B$36,0),FALSE)="No Impact"),HLOOKUP(LEFT(AN$3,4),Global!$B$6:$J$36,MATCH($C13,Global!$B$6:$B$36,0),FALSE),IF(AND(HLOOKUP(MID(AN$3,FIND(".",AN$3)+1,FIND(".",AN$3,FIND(".",AN$3)+1)-FIND(".",AN$3)-1),Gällivare!$B$6:$J$36,MATCH($C13,Gällivare!$B$6:$B$36,0),FALSE)="No Impact",HLOOKUP(LEFT(AN$3,4),Global!$B$6:$J$36,MATCH($C13,Global!$B$6:$B$36,0),FALSE)="No Impact"),HLOOKUP(RIGHT(AN$3,LEN(AN$3)-FIND(".",AN$3,FIND(".",AN$3)+1)),Gällivare!$B$6:$J$36,MATCH($C13,Gällivare!$B$6:$B$36,0),FALSE),"Global: "&amp;HLOOKUP(LEFT(AN$3,4),Global!$B$6:$J$36,MATCH($C13,Global!$B$6:$B$36,0),FALSE)&amp;CHAR(10)&amp;"Local Trend: "&amp;HLOOKUP(MID(AN$3,FIND(".",AN$3)+1,FIND(".",AN$3,FIND(".",AN$3)+1)-FIND(".",AN$3)-1),Gällivare!$B$6:$J$36,MATCH($C13,Gällivare!$B$6:$B$36,0),FALSE)&amp;CHAR(10)&amp;"Local Target: "&amp;HLOOKUP(RIGHT(AN$3,LEN(AN$3)-FIND(".",AN$3,FIND(".",AN$3)+1)),Gällivare!$B$6:$J$36,MATCH($C13,Gällivare!$B$6:$B$36,0),FALSE)))</f>
        <v>Global: High
Local Trend: High
Local Target: No impact</v>
      </c>
      <c r="AO13" s="177" t="str">
        <f>IF(AND(HLOOKUP(MID(AO$3,FIND(".",AO$3)+1,FIND(".",AO$3,FIND(".",AO$3)+1)-FIND(".",AO$3)-1),Gällivare!$B$6:$J$36,MATCH($C13,Gällivare!$B$6:$B$36,0),FALSE)="No Impact",HLOOKUP(RIGHT(AO$3,LEN(AO$3)-FIND(".",AO$3,FIND(".",AO$3)+1)),Gällivare!$B$6:$J$36,MATCH($C13,Gällivare!$B$6:$B$36,0),FALSE)="No Impact"),HLOOKUP(LEFT(AO$3,4),Global!$B$6:$J$36,MATCH($C13,Global!$B$6:$B$36,0),FALSE),IF(AND(HLOOKUP(MID(AO$3,FIND(".",AO$3)+1,FIND(".",AO$3,FIND(".",AO$3)+1)-FIND(".",AO$3)-1),Gällivare!$B$6:$J$36,MATCH($C13,Gällivare!$B$6:$B$36,0),FALSE)="No Impact",HLOOKUP(LEFT(AO$3,4),Global!$B$6:$J$36,MATCH($C13,Global!$B$6:$B$36,0),FALSE)="No Impact"),HLOOKUP(RIGHT(AO$3,LEN(AO$3)-FIND(".",AO$3,FIND(".",AO$3)+1)),Gällivare!$B$6:$J$36,MATCH($C13,Gällivare!$B$6:$B$36,0),FALSE),"Global: "&amp;HLOOKUP(LEFT(AO$3,4),Global!$B$6:$J$36,MATCH($C13,Global!$B$6:$B$36,0),FALSE)&amp;CHAR(10)&amp;"Local Trend: "&amp;HLOOKUP(MID(AO$3,FIND(".",AO$3)+1,FIND(".",AO$3,FIND(".",AO$3)+1)-FIND(".",AO$3)-1),Gällivare!$B$6:$J$36,MATCH($C13,Gällivare!$B$6:$B$36,0),FALSE)&amp;CHAR(10)&amp;"Local Target: "&amp;HLOOKUP(RIGHT(AO$3,LEN(AO$3)-FIND(".",AO$3,FIND(".",AO$3)+1)),Gällivare!$B$6:$J$36,MATCH($C13,Gällivare!$B$6:$B$36,0),FALSE)))</f>
        <v>Global: High
Local Trend: High
Local Target: No impact</v>
      </c>
      <c r="AP13" s="177" t="str">
        <f>IF(AND(HLOOKUP(MID(AP$3,FIND(".",AP$3)+1,FIND(".",AP$3,FIND(".",AP$3)+1)-FIND(".",AP$3)-1),Gällivare!$B$6:$J$36,MATCH($C13,Gällivare!$B$6:$B$36,0),FALSE)="No Impact",HLOOKUP(RIGHT(AP$3,LEN(AP$3)-FIND(".",AP$3,FIND(".",AP$3)+1)),Gällivare!$B$6:$J$36,MATCH($C13,Gällivare!$B$6:$B$36,0),FALSE)="No Impact"),HLOOKUP(LEFT(AP$3,4),Global!$B$6:$J$36,MATCH($C13,Global!$B$6:$B$36,0),FALSE),IF(AND(HLOOKUP(MID(AP$3,FIND(".",AP$3)+1,FIND(".",AP$3,FIND(".",AP$3)+1)-FIND(".",AP$3)-1),Gällivare!$B$6:$J$36,MATCH($C13,Gällivare!$B$6:$B$36,0),FALSE)="No Impact",HLOOKUP(LEFT(AP$3,4),Global!$B$6:$J$36,MATCH($C13,Global!$B$6:$B$36,0),FALSE)="No Impact"),HLOOKUP(RIGHT(AP$3,LEN(AP$3)-FIND(".",AP$3,FIND(".",AP$3)+1)),Gällivare!$B$6:$J$36,MATCH($C13,Gällivare!$B$6:$B$36,0),FALSE),"Global: "&amp;HLOOKUP(LEFT(AP$3,4),Global!$B$6:$J$36,MATCH($C13,Global!$B$6:$B$36,0),FALSE)&amp;CHAR(10)&amp;"Local Trend: "&amp;HLOOKUP(MID(AP$3,FIND(".",AP$3)+1,FIND(".",AP$3,FIND(".",AP$3)+1)-FIND(".",AP$3)-1),Gällivare!$B$6:$J$36,MATCH($C13,Gällivare!$B$6:$B$36,0),FALSE)&amp;CHAR(10)&amp;"Local Target: "&amp;HLOOKUP(RIGHT(AP$3,LEN(AP$3)-FIND(".",AP$3,FIND(".",AP$3)+1)),Gällivare!$B$6:$J$36,MATCH($C13,Gällivare!$B$6:$B$36,0),FALSE)))</f>
        <v>Global: High
Local Trend: Low
Local Target: No impact</v>
      </c>
      <c r="AQ13" s="177" t="str">
        <f>IF(AND(HLOOKUP(MID(AQ$3,FIND(".",AQ$3)+1,FIND(".",AQ$3,FIND(".",AQ$3)+1)-FIND(".",AQ$3)-1),Gällivare!$B$6:$J$36,MATCH($C13,Gällivare!$B$6:$B$36,0),FALSE)="No Impact",HLOOKUP(RIGHT(AQ$3,LEN(AQ$3)-FIND(".",AQ$3,FIND(".",AQ$3)+1)),Gällivare!$B$6:$J$36,MATCH($C13,Gällivare!$B$6:$B$36,0),FALSE)="No Impact"),HLOOKUP(LEFT(AQ$3,4),Global!$B$6:$J$36,MATCH($C13,Global!$B$6:$B$36,0),FALSE),IF(AND(HLOOKUP(MID(AQ$3,FIND(".",AQ$3)+1,FIND(".",AQ$3,FIND(".",AQ$3)+1)-FIND(".",AQ$3)-1),Gällivare!$B$6:$J$36,MATCH($C13,Gällivare!$B$6:$B$36,0),FALSE)="No Impact",HLOOKUP(LEFT(AQ$3,4),Global!$B$6:$J$36,MATCH($C13,Global!$B$6:$B$36,0),FALSE)="No Impact"),HLOOKUP(RIGHT(AQ$3,LEN(AQ$3)-FIND(".",AQ$3,FIND(".",AQ$3)+1)),Gällivare!$B$6:$J$36,MATCH($C13,Gällivare!$B$6:$B$36,0),FALSE),"Global: "&amp;HLOOKUP(LEFT(AQ$3,4),Global!$B$6:$J$36,MATCH($C13,Global!$B$6:$B$36,0),FALSE)&amp;CHAR(10)&amp;"Local Trend: "&amp;HLOOKUP(MID(AQ$3,FIND(".",AQ$3)+1,FIND(".",AQ$3,FIND(".",AQ$3)+1)-FIND(".",AQ$3)-1),Gällivare!$B$6:$J$36,MATCH($C13,Gällivare!$B$6:$B$36,0),FALSE)&amp;CHAR(10)&amp;"Local Target: "&amp;HLOOKUP(RIGHT(AQ$3,LEN(AQ$3)-FIND(".",AQ$3,FIND(".",AQ$3)+1)),Gällivare!$B$6:$J$36,MATCH($C13,Gällivare!$B$6:$B$36,0),FALSE)))</f>
        <v>Global: High
Local Trend: Low
Local Target: No impact</v>
      </c>
      <c r="AR13" s="177" t="str">
        <f>IF(AND(HLOOKUP(MID(AR$3,FIND(".",AR$3)+1,FIND(".",AR$3,FIND(".",AR$3)+1)-FIND(".",AR$3)-1),Gällivare!$B$6:$J$36,MATCH($C13,Gällivare!$B$6:$B$36,0),FALSE)="No Impact",HLOOKUP(RIGHT(AR$3,LEN(AR$3)-FIND(".",AR$3,FIND(".",AR$3)+1)),Gällivare!$B$6:$J$36,MATCH($C13,Gällivare!$B$6:$B$36,0),FALSE)="No Impact"),HLOOKUP(LEFT(AR$3,4),Global!$B$6:$J$36,MATCH($C13,Global!$B$6:$B$36,0),FALSE),IF(AND(HLOOKUP(MID(AR$3,FIND(".",AR$3)+1,FIND(".",AR$3,FIND(".",AR$3)+1)-FIND(".",AR$3)-1),Gällivare!$B$6:$J$36,MATCH($C13,Gällivare!$B$6:$B$36,0),FALSE)="No Impact",HLOOKUP(LEFT(AR$3,4),Global!$B$6:$J$36,MATCH($C13,Global!$B$6:$B$36,0),FALSE)="No Impact"),HLOOKUP(RIGHT(AR$3,LEN(AR$3)-FIND(".",AR$3,FIND(".",AR$3)+1)),Gällivare!$B$6:$J$36,MATCH($C13,Gällivare!$B$6:$B$36,0),FALSE),"Global: "&amp;HLOOKUP(LEFT(AR$3,4),Global!$B$6:$J$36,MATCH($C13,Global!$B$6:$B$36,0),FALSE)&amp;CHAR(10)&amp;"Local Trend: "&amp;HLOOKUP(MID(AR$3,FIND(".",AR$3)+1,FIND(".",AR$3,FIND(".",AR$3)+1)-FIND(".",AR$3)-1),Gällivare!$B$6:$J$36,MATCH($C13,Gällivare!$B$6:$B$36,0),FALSE)&amp;CHAR(10)&amp;"Local Target: "&amp;HLOOKUP(RIGHT(AR$3,LEN(AR$3)-FIND(".",AR$3,FIND(".",AR$3)+1)),Gällivare!$B$6:$J$36,MATCH($C13,Gällivare!$B$6:$B$36,0),FALSE)))</f>
        <v>Global: High
Local Trend: Low
Local Target: No impact</v>
      </c>
      <c r="AS13" s="177" t="str">
        <f>IF(AND(HLOOKUP(MID(AS$3,FIND(".",AS$3)+1,FIND(".",AS$3,FIND(".",AS$3)+1)-FIND(".",AS$3)-1),Gällivare!$B$6:$J$36,MATCH($C13,Gällivare!$B$6:$B$36,0),FALSE)="No Impact",HLOOKUP(RIGHT(AS$3,LEN(AS$3)-FIND(".",AS$3,FIND(".",AS$3)+1)),Gällivare!$B$6:$J$36,MATCH($C13,Gällivare!$B$6:$B$36,0),FALSE)="No Impact"),HLOOKUP(LEFT(AS$3,4),Global!$B$6:$J$36,MATCH($C13,Global!$B$6:$B$36,0),FALSE),IF(AND(HLOOKUP(MID(AS$3,FIND(".",AS$3)+1,FIND(".",AS$3,FIND(".",AS$3)+1)-FIND(".",AS$3)-1),Gällivare!$B$6:$J$36,MATCH($C13,Gällivare!$B$6:$B$36,0),FALSE)="No Impact",HLOOKUP(LEFT(AS$3,4),Global!$B$6:$J$36,MATCH($C13,Global!$B$6:$B$36,0),FALSE)="No Impact"),HLOOKUP(RIGHT(AS$3,LEN(AS$3)-FIND(".",AS$3,FIND(".",AS$3)+1)),Gällivare!$B$6:$J$36,MATCH($C13,Gällivare!$B$6:$B$36,0),FALSE),"Global: "&amp;HLOOKUP(LEFT(AS$3,4),Global!$B$6:$J$36,MATCH($C13,Global!$B$6:$B$36,0),FALSE)&amp;CHAR(10)&amp;"Local Trend: "&amp;HLOOKUP(MID(AS$3,FIND(".",AS$3)+1,FIND(".",AS$3,FIND(".",AS$3)+1)-FIND(".",AS$3)-1),Gällivare!$B$6:$J$36,MATCH($C13,Gällivare!$B$6:$B$36,0),FALSE)&amp;CHAR(10)&amp;"Local Target: "&amp;HLOOKUP(RIGHT(AS$3,LEN(AS$3)-FIND(".",AS$3,FIND(".",AS$3)+1)),Gällivare!$B$6:$J$36,MATCH($C13,Gällivare!$B$6:$B$36,0),FALSE)))</f>
        <v>Global: Medium
Local Trend: High
Local Target: No impact</v>
      </c>
      <c r="AT13" s="177" t="str">
        <f>IF(AND(HLOOKUP(MID(AT$3,FIND(".",AT$3)+1,FIND(".",AT$3,FIND(".",AT$3)+1)-FIND(".",AT$3)-1),Gällivare!$B$6:$J$36,MATCH($C13,Gällivare!$B$6:$B$36,0),FALSE)="No Impact",HLOOKUP(RIGHT(AT$3,LEN(AT$3)-FIND(".",AT$3,FIND(".",AT$3)+1)),Gällivare!$B$6:$J$36,MATCH($C13,Gällivare!$B$6:$B$36,0),FALSE)="No Impact"),HLOOKUP(LEFT(AT$3,4),Global!$B$6:$J$36,MATCH($C13,Global!$B$6:$B$36,0),FALSE),IF(AND(HLOOKUP(MID(AT$3,FIND(".",AT$3)+1,FIND(".",AT$3,FIND(".",AT$3)+1)-FIND(".",AT$3)-1),Gällivare!$B$6:$J$36,MATCH($C13,Gällivare!$B$6:$B$36,0),FALSE)="No Impact",HLOOKUP(LEFT(AT$3,4),Global!$B$6:$J$36,MATCH($C13,Global!$B$6:$B$36,0),FALSE)="No Impact"),HLOOKUP(RIGHT(AT$3,LEN(AT$3)-FIND(".",AT$3,FIND(".",AT$3)+1)),Gällivare!$B$6:$J$36,MATCH($C13,Gällivare!$B$6:$B$36,0),FALSE),"Global: "&amp;HLOOKUP(LEFT(AT$3,4),Global!$B$6:$J$36,MATCH($C13,Global!$B$6:$B$36,0),FALSE)&amp;CHAR(10)&amp;"Local Trend: "&amp;HLOOKUP(MID(AT$3,FIND(".",AT$3)+1,FIND(".",AT$3,FIND(".",AT$3)+1)-FIND(".",AT$3)-1),Gällivare!$B$6:$J$36,MATCH($C13,Gällivare!$B$6:$B$36,0),FALSE)&amp;CHAR(10)&amp;"Local Target: "&amp;HLOOKUP(RIGHT(AT$3,LEN(AT$3)-FIND(".",AT$3,FIND(".",AT$3)+1)),Gällivare!$B$6:$J$36,MATCH($C13,Gällivare!$B$6:$B$36,0),FALSE)))</f>
        <v>Global: Medium
Local Trend: High
Local Target: No impact</v>
      </c>
      <c r="AU13" s="177" t="str">
        <f>IF(AND(HLOOKUP(MID(AU$3,FIND(".",AU$3)+1,FIND(".",AU$3,FIND(".",AU$3)+1)-FIND(".",AU$3)-1),Gällivare!$B$6:$J$36,MATCH($C13,Gällivare!$B$6:$B$36,0),FALSE)="No Impact",HLOOKUP(RIGHT(AU$3,LEN(AU$3)-FIND(".",AU$3,FIND(".",AU$3)+1)),Gällivare!$B$6:$J$36,MATCH($C13,Gällivare!$B$6:$B$36,0),FALSE)="No Impact"),HLOOKUP(LEFT(AU$3,4),Global!$B$6:$J$36,MATCH($C13,Global!$B$6:$B$36,0),FALSE),IF(AND(HLOOKUP(MID(AU$3,FIND(".",AU$3)+1,FIND(".",AU$3,FIND(".",AU$3)+1)-FIND(".",AU$3)-1),Gällivare!$B$6:$J$36,MATCH($C13,Gällivare!$B$6:$B$36,0),FALSE)="No Impact",HLOOKUP(LEFT(AU$3,4),Global!$B$6:$J$36,MATCH($C13,Global!$B$6:$B$36,0),FALSE)="No Impact"),HLOOKUP(RIGHT(AU$3,LEN(AU$3)-FIND(".",AU$3,FIND(".",AU$3)+1)),Gällivare!$B$6:$J$36,MATCH($C13,Gällivare!$B$6:$B$36,0),FALSE),"Global: "&amp;HLOOKUP(LEFT(AU$3,4),Global!$B$6:$J$36,MATCH($C13,Global!$B$6:$B$36,0),FALSE)&amp;CHAR(10)&amp;"Local Trend: "&amp;HLOOKUP(MID(AU$3,FIND(".",AU$3)+1,FIND(".",AU$3,FIND(".",AU$3)+1)-FIND(".",AU$3)-1),Gällivare!$B$6:$J$36,MATCH($C13,Gällivare!$B$6:$B$36,0),FALSE)&amp;CHAR(10)&amp;"Local Target: "&amp;HLOOKUP(RIGHT(AU$3,LEN(AU$3)-FIND(".",AU$3,FIND(".",AU$3)+1)),Gällivare!$B$6:$J$36,MATCH($C13,Gällivare!$B$6:$B$36,0),FALSE)))</f>
        <v>Global: Medium
Local Trend: High
Local Target: No impact</v>
      </c>
      <c r="AV13" s="177" t="str">
        <f>IF(AND(HLOOKUP(MID(AV$3,FIND(".",AV$3)+1,FIND(".",AV$3,FIND(".",AV$3)+1)-FIND(".",AV$3)-1),Gällivare!$B$6:$J$36,MATCH($C13,Gällivare!$B$6:$B$36,0),FALSE)="No Impact",HLOOKUP(RIGHT(AV$3,LEN(AV$3)-FIND(".",AV$3,FIND(".",AV$3)+1)),Gällivare!$B$6:$J$36,MATCH($C13,Gällivare!$B$6:$B$36,0),FALSE)="No Impact"),HLOOKUP(LEFT(AV$3,4),Global!$B$6:$J$36,MATCH($C13,Global!$B$6:$B$36,0),FALSE),IF(AND(HLOOKUP(MID(AV$3,FIND(".",AV$3)+1,FIND(".",AV$3,FIND(".",AV$3)+1)-FIND(".",AV$3)-1),Gällivare!$B$6:$J$36,MATCH($C13,Gällivare!$B$6:$B$36,0),FALSE)="No Impact",HLOOKUP(LEFT(AV$3,4),Global!$B$6:$J$36,MATCH($C13,Global!$B$6:$B$36,0),FALSE)="No Impact"),HLOOKUP(RIGHT(AV$3,LEN(AV$3)-FIND(".",AV$3,FIND(".",AV$3)+1)),Gällivare!$B$6:$J$36,MATCH($C13,Gällivare!$B$6:$B$36,0),FALSE),"Global: "&amp;HLOOKUP(LEFT(AV$3,4),Global!$B$6:$J$36,MATCH($C13,Global!$B$6:$B$36,0),FALSE)&amp;CHAR(10)&amp;"Local Trend: "&amp;HLOOKUP(MID(AV$3,FIND(".",AV$3)+1,FIND(".",AV$3,FIND(".",AV$3)+1)-FIND(".",AV$3)-1),Gällivare!$B$6:$J$36,MATCH($C13,Gällivare!$B$6:$B$36,0),FALSE)&amp;CHAR(10)&amp;"Local Target: "&amp;HLOOKUP(RIGHT(AV$3,LEN(AV$3)-FIND(".",AV$3,FIND(".",AV$3)+1)),Gällivare!$B$6:$J$36,MATCH($C13,Gällivare!$B$6:$B$36,0),FALSE)))</f>
        <v>Global: Medium
Local Trend: Low
Local Target: No impact</v>
      </c>
      <c r="AW13" s="177" t="str">
        <f>IF(AND(HLOOKUP(MID(AW$3,FIND(".",AW$3)+1,FIND(".",AW$3,FIND(".",AW$3)+1)-FIND(".",AW$3)-1),Gällivare!$B$6:$J$36,MATCH($C13,Gällivare!$B$6:$B$36,0),FALSE)="No Impact",HLOOKUP(RIGHT(AW$3,LEN(AW$3)-FIND(".",AW$3,FIND(".",AW$3)+1)),Gällivare!$B$6:$J$36,MATCH($C13,Gällivare!$B$6:$B$36,0),FALSE)="No Impact"),HLOOKUP(LEFT(AW$3,4),Global!$B$6:$J$36,MATCH($C13,Global!$B$6:$B$36,0),FALSE),IF(AND(HLOOKUP(MID(AW$3,FIND(".",AW$3)+1,FIND(".",AW$3,FIND(".",AW$3)+1)-FIND(".",AW$3)-1),Gällivare!$B$6:$J$36,MATCH($C13,Gällivare!$B$6:$B$36,0),FALSE)="No Impact",HLOOKUP(LEFT(AW$3,4),Global!$B$6:$J$36,MATCH($C13,Global!$B$6:$B$36,0),FALSE)="No Impact"),HLOOKUP(RIGHT(AW$3,LEN(AW$3)-FIND(".",AW$3,FIND(".",AW$3)+1)),Gällivare!$B$6:$J$36,MATCH($C13,Gällivare!$B$6:$B$36,0),FALSE),"Global: "&amp;HLOOKUP(LEFT(AW$3,4),Global!$B$6:$J$36,MATCH($C13,Global!$B$6:$B$36,0),FALSE)&amp;CHAR(10)&amp;"Local Trend: "&amp;HLOOKUP(MID(AW$3,FIND(".",AW$3)+1,FIND(".",AW$3,FIND(".",AW$3)+1)-FIND(".",AW$3)-1),Gällivare!$B$6:$J$36,MATCH($C13,Gällivare!$B$6:$B$36,0),FALSE)&amp;CHAR(10)&amp;"Local Target: "&amp;HLOOKUP(RIGHT(AW$3,LEN(AW$3)-FIND(".",AW$3,FIND(".",AW$3)+1)),Gällivare!$B$6:$J$36,MATCH($C13,Gällivare!$B$6:$B$36,0),FALSE)))</f>
        <v>Global: Medium
Local Trend: Low
Local Target: No impact</v>
      </c>
      <c r="AX13" s="177" t="str">
        <f>IF(AND(HLOOKUP(MID(AX$3,FIND(".",AX$3)+1,FIND(".",AX$3,FIND(".",AX$3)+1)-FIND(".",AX$3)-1),Gällivare!$B$6:$J$36,MATCH($C13,Gällivare!$B$6:$B$36,0),FALSE)="No Impact",HLOOKUP(RIGHT(AX$3,LEN(AX$3)-FIND(".",AX$3,FIND(".",AX$3)+1)),Gällivare!$B$6:$J$36,MATCH($C13,Gällivare!$B$6:$B$36,0),FALSE)="No Impact"),HLOOKUP(LEFT(AX$3,4),Global!$B$6:$J$36,MATCH($C13,Global!$B$6:$B$36,0),FALSE),IF(AND(HLOOKUP(MID(AX$3,FIND(".",AX$3)+1,FIND(".",AX$3,FIND(".",AX$3)+1)-FIND(".",AX$3)-1),Gällivare!$B$6:$J$36,MATCH($C13,Gällivare!$B$6:$B$36,0),FALSE)="No Impact",HLOOKUP(LEFT(AX$3,4),Global!$B$6:$J$36,MATCH($C13,Global!$B$6:$B$36,0),FALSE)="No Impact"),HLOOKUP(RIGHT(AX$3,LEN(AX$3)-FIND(".",AX$3,FIND(".",AX$3)+1)),Gällivare!$B$6:$J$36,MATCH($C13,Gällivare!$B$6:$B$36,0),FALSE),"Global: "&amp;HLOOKUP(LEFT(AX$3,4),Global!$B$6:$J$36,MATCH($C13,Global!$B$6:$B$36,0),FALSE)&amp;CHAR(10)&amp;"Local Trend: "&amp;HLOOKUP(MID(AX$3,FIND(".",AX$3)+1,FIND(".",AX$3,FIND(".",AX$3)+1)-FIND(".",AX$3)-1),Gällivare!$B$6:$J$36,MATCH($C13,Gällivare!$B$6:$B$36,0),FALSE)&amp;CHAR(10)&amp;"Local Target: "&amp;HLOOKUP(RIGHT(AX$3,LEN(AX$3)-FIND(".",AX$3,FIND(".",AX$3)+1)),Gällivare!$B$6:$J$36,MATCH($C13,Gällivare!$B$6:$B$36,0),FALSE)))</f>
        <v>Global: Medium
Local Trend: Low
Local Target: No impact</v>
      </c>
      <c r="AY13" s="177" t="str">
        <f>IF(AND(HLOOKUP(MID(AY$3,FIND(".",AY$3)+1,FIND(".",AY$3,FIND(".",AY$3)+1)-FIND(".",AY$3)-1),Gällivare!$B$6:$J$36,MATCH($C13,Gällivare!$B$6:$B$36,0),FALSE)="No Impact",HLOOKUP(RIGHT(AY$3,LEN(AY$3)-FIND(".",AY$3,FIND(".",AY$3)+1)),Gällivare!$B$6:$J$36,MATCH($C13,Gällivare!$B$6:$B$36,0),FALSE)="No Impact"),HLOOKUP(LEFT(AY$3,4),Global!$B$6:$J$36,MATCH($C13,Global!$B$6:$B$36,0),FALSE),IF(AND(HLOOKUP(MID(AY$3,FIND(".",AY$3)+1,FIND(".",AY$3,FIND(".",AY$3)+1)-FIND(".",AY$3)-1),Gällivare!$B$6:$J$36,MATCH($C13,Gällivare!$B$6:$B$36,0),FALSE)="No Impact",HLOOKUP(LEFT(AY$3,4),Global!$B$6:$J$36,MATCH($C13,Global!$B$6:$B$36,0),FALSE)="No Impact"),HLOOKUP(RIGHT(AY$3,LEN(AY$3)-FIND(".",AY$3,FIND(".",AY$3)+1)),Gällivare!$B$6:$J$36,MATCH($C13,Gällivare!$B$6:$B$36,0),FALSE),"Global: "&amp;HLOOKUP(LEFT(AY$3,4),Global!$B$6:$J$36,MATCH($C13,Global!$B$6:$B$36,0),FALSE)&amp;CHAR(10)&amp;"Local Trend: "&amp;HLOOKUP(MID(AY$3,FIND(".",AY$3)+1,FIND(".",AY$3,FIND(".",AY$3)+1)-FIND(".",AY$3)-1),Gällivare!$B$6:$J$36,MATCH($C13,Gällivare!$B$6:$B$36,0),FALSE)&amp;CHAR(10)&amp;"Local Target: "&amp;HLOOKUP(RIGHT(AY$3,LEN(AY$3)-FIND(".",AY$3,FIND(".",AY$3)+1)),Gällivare!$B$6:$J$36,MATCH($C13,Gällivare!$B$6:$B$36,0),FALSE)))</f>
        <v>Global: Low
Local Trend: High
Local Target: No impact</v>
      </c>
      <c r="AZ13" s="177" t="str">
        <f>IF(AND(HLOOKUP(MID(AZ$3,FIND(".",AZ$3)+1,FIND(".",AZ$3,FIND(".",AZ$3)+1)-FIND(".",AZ$3)-1),Gällivare!$B$6:$J$36,MATCH($C13,Gällivare!$B$6:$B$36,0),FALSE)="No Impact",HLOOKUP(RIGHT(AZ$3,LEN(AZ$3)-FIND(".",AZ$3,FIND(".",AZ$3)+1)),Gällivare!$B$6:$J$36,MATCH($C13,Gällivare!$B$6:$B$36,0),FALSE)="No Impact"),HLOOKUP(LEFT(AZ$3,4),Global!$B$6:$J$36,MATCH($C13,Global!$B$6:$B$36,0),FALSE),IF(AND(HLOOKUP(MID(AZ$3,FIND(".",AZ$3)+1,FIND(".",AZ$3,FIND(".",AZ$3)+1)-FIND(".",AZ$3)-1),Gällivare!$B$6:$J$36,MATCH($C13,Gällivare!$B$6:$B$36,0),FALSE)="No Impact",HLOOKUP(LEFT(AZ$3,4),Global!$B$6:$J$36,MATCH($C13,Global!$B$6:$B$36,0),FALSE)="No Impact"),HLOOKUP(RIGHT(AZ$3,LEN(AZ$3)-FIND(".",AZ$3,FIND(".",AZ$3)+1)),Gällivare!$B$6:$J$36,MATCH($C13,Gällivare!$B$6:$B$36,0),FALSE),"Global: "&amp;HLOOKUP(LEFT(AZ$3,4),Global!$B$6:$J$36,MATCH($C13,Global!$B$6:$B$36,0),FALSE)&amp;CHAR(10)&amp;"Local Trend: "&amp;HLOOKUP(MID(AZ$3,FIND(".",AZ$3)+1,FIND(".",AZ$3,FIND(".",AZ$3)+1)-FIND(".",AZ$3)-1),Gällivare!$B$6:$J$36,MATCH($C13,Gällivare!$B$6:$B$36,0),FALSE)&amp;CHAR(10)&amp;"Local Target: "&amp;HLOOKUP(RIGHT(AZ$3,LEN(AZ$3)-FIND(".",AZ$3,FIND(".",AZ$3)+1)),Gällivare!$B$6:$J$36,MATCH($C13,Gällivare!$B$6:$B$36,0),FALSE)))</f>
        <v>Global: Low
Local Trend: High
Local Target: No impact</v>
      </c>
      <c r="BA13" s="177" t="str">
        <f>IF(AND(HLOOKUP(MID(BA$3,FIND(".",BA$3)+1,FIND(".",BA$3,FIND(".",BA$3)+1)-FIND(".",BA$3)-1),Gällivare!$B$6:$J$36,MATCH($C13,Gällivare!$B$6:$B$36,0),FALSE)="No Impact",HLOOKUP(RIGHT(BA$3,LEN(BA$3)-FIND(".",BA$3,FIND(".",BA$3)+1)),Gällivare!$B$6:$J$36,MATCH($C13,Gällivare!$B$6:$B$36,0),FALSE)="No Impact"),HLOOKUP(LEFT(BA$3,4),Global!$B$6:$J$36,MATCH($C13,Global!$B$6:$B$36,0),FALSE),IF(AND(HLOOKUP(MID(BA$3,FIND(".",BA$3)+1,FIND(".",BA$3,FIND(".",BA$3)+1)-FIND(".",BA$3)-1),Gällivare!$B$6:$J$36,MATCH($C13,Gällivare!$B$6:$B$36,0),FALSE)="No Impact",HLOOKUP(LEFT(BA$3,4),Global!$B$6:$J$36,MATCH($C13,Global!$B$6:$B$36,0),FALSE)="No Impact"),HLOOKUP(RIGHT(BA$3,LEN(BA$3)-FIND(".",BA$3,FIND(".",BA$3)+1)),Gällivare!$B$6:$J$36,MATCH($C13,Gällivare!$B$6:$B$36,0),FALSE),"Global: "&amp;HLOOKUP(LEFT(BA$3,4),Global!$B$6:$J$36,MATCH($C13,Global!$B$6:$B$36,0),FALSE)&amp;CHAR(10)&amp;"Local Trend: "&amp;HLOOKUP(MID(BA$3,FIND(".",BA$3)+1,FIND(".",BA$3,FIND(".",BA$3)+1)-FIND(".",BA$3)-1),Gällivare!$B$6:$J$36,MATCH($C13,Gällivare!$B$6:$B$36,0),FALSE)&amp;CHAR(10)&amp;"Local Target: "&amp;HLOOKUP(RIGHT(BA$3,LEN(BA$3)-FIND(".",BA$3,FIND(".",BA$3)+1)),Gällivare!$B$6:$J$36,MATCH($C13,Gällivare!$B$6:$B$36,0),FALSE)))</f>
        <v>Global: Low
Local Trend: High
Local Target: No impact</v>
      </c>
      <c r="BB13" s="177" t="str">
        <f>IF(AND(HLOOKUP(MID(BB$3,FIND(".",BB$3)+1,FIND(".",BB$3,FIND(".",BB$3)+1)-FIND(".",BB$3)-1),Gällivare!$B$6:$J$36,MATCH($C13,Gällivare!$B$6:$B$36,0),FALSE)="No Impact",HLOOKUP(RIGHT(BB$3,LEN(BB$3)-FIND(".",BB$3,FIND(".",BB$3)+1)),Gällivare!$B$6:$J$36,MATCH($C13,Gällivare!$B$6:$B$36,0),FALSE)="No Impact"),HLOOKUP(LEFT(BB$3,4),Global!$B$6:$J$36,MATCH($C13,Global!$B$6:$B$36,0),FALSE),IF(AND(HLOOKUP(MID(BB$3,FIND(".",BB$3)+1,FIND(".",BB$3,FIND(".",BB$3)+1)-FIND(".",BB$3)-1),Gällivare!$B$6:$J$36,MATCH($C13,Gällivare!$B$6:$B$36,0),FALSE)="No Impact",HLOOKUP(LEFT(BB$3,4),Global!$B$6:$J$36,MATCH($C13,Global!$B$6:$B$36,0),FALSE)="No Impact"),HLOOKUP(RIGHT(BB$3,LEN(BB$3)-FIND(".",BB$3,FIND(".",BB$3)+1)),Gällivare!$B$6:$J$36,MATCH($C13,Gällivare!$B$6:$B$36,0),FALSE),"Global: "&amp;HLOOKUP(LEFT(BB$3,4),Global!$B$6:$J$36,MATCH($C13,Global!$B$6:$B$36,0),FALSE)&amp;CHAR(10)&amp;"Local Trend: "&amp;HLOOKUP(MID(BB$3,FIND(".",BB$3)+1,FIND(".",BB$3,FIND(".",BB$3)+1)-FIND(".",BB$3)-1),Gällivare!$B$6:$J$36,MATCH($C13,Gällivare!$B$6:$B$36,0),FALSE)&amp;CHAR(10)&amp;"Local Target: "&amp;HLOOKUP(RIGHT(BB$3,LEN(BB$3)-FIND(".",BB$3,FIND(".",BB$3)+1)),Gällivare!$B$6:$J$36,MATCH($C13,Gällivare!$B$6:$B$36,0),FALSE)))</f>
        <v>Global: Low
Local Trend: Low
Local Target: No impact</v>
      </c>
      <c r="BC13" s="177" t="str">
        <f>IF(AND(HLOOKUP(MID(BC$3,FIND(".",BC$3)+1,FIND(".",BC$3,FIND(".",BC$3)+1)-FIND(".",BC$3)-1),Gällivare!$B$6:$J$36,MATCH($C13,Gällivare!$B$6:$B$36,0),FALSE)="No Impact",HLOOKUP(RIGHT(BC$3,LEN(BC$3)-FIND(".",BC$3,FIND(".",BC$3)+1)),Gällivare!$B$6:$J$36,MATCH($C13,Gällivare!$B$6:$B$36,0),FALSE)="No Impact"),HLOOKUP(LEFT(BC$3,4),Global!$B$6:$J$36,MATCH($C13,Global!$B$6:$B$36,0),FALSE),IF(AND(HLOOKUP(MID(BC$3,FIND(".",BC$3)+1,FIND(".",BC$3,FIND(".",BC$3)+1)-FIND(".",BC$3)-1),Gällivare!$B$6:$J$36,MATCH($C13,Gällivare!$B$6:$B$36,0),FALSE)="No Impact",HLOOKUP(LEFT(BC$3,4),Global!$B$6:$J$36,MATCH($C13,Global!$B$6:$B$36,0),FALSE)="No Impact"),HLOOKUP(RIGHT(BC$3,LEN(BC$3)-FIND(".",BC$3,FIND(".",BC$3)+1)),Gällivare!$B$6:$J$36,MATCH($C13,Gällivare!$B$6:$B$36,0),FALSE),"Global: "&amp;HLOOKUP(LEFT(BC$3,4),Global!$B$6:$J$36,MATCH($C13,Global!$B$6:$B$36,0),FALSE)&amp;CHAR(10)&amp;"Local Trend: "&amp;HLOOKUP(MID(BC$3,FIND(".",BC$3)+1,FIND(".",BC$3,FIND(".",BC$3)+1)-FIND(".",BC$3)-1),Gällivare!$B$6:$J$36,MATCH($C13,Gällivare!$B$6:$B$36,0),FALSE)&amp;CHAR(10)&amp;"Local Target: "&amp;HLOOKUP(RIGHT(BC$3,LEN(BC$3)-FIND(".",BC$3,FIND(".",BC$3)+1)),Gällivare!$B$6:$J$36,MATCH($C13,Gällivare!$B$6:$B$36,0),FALSE)))</f>
        <v>Global: Low
Local Trend: Low
Local Target: No impact</v>
      </c>
      <c r="BD13" s="177" t="str">
        <f>IF(AND(HLOOKUP(MID(BD$3,FIND(".",BD$3)+1,FIND(".",BD$3,FIND(".",BD$3)+1)-FIND(".",BD$3)-1),Gällivare!$B$6:$J$36,MATCH($C13,Gällivare!$B$6:$B$36,0),FALSE)="No Impact",HLOOKUP(RIGHT(BD$3,LEN(BD$3)-FIND(".",BD$3,FIND(".",BD$3)+1)),Gällivare!$B$6:$J$36,MATCH($C13,Gällivare!$B$6:$B$36,0),FALSE)="No Impact"),HLOOKUP(LEFT(BD$3,4),Global!$B$6:$J$36,MATCH($C13,Global!$B$6:$B$36,0),FALSE),IF(AND(HLOOKUP(MID(BD$3,FIND(".",BD$3)+1,FIND(".",BD$3,FIND(".",BD$3)+1)-FIND(".",BD$3)-1),Gällivare!$B$6:$J$36,MATCH($C13,Gällivare!$B$6:$B$36,0),FALSE)="No Impact",HLOOKUP(LEFT(BD$3,4),Global!$B$6:$J$36,MATCH($C13,Global!$B$6:$B$36,0),FALSE)="No Impact"),HLOOKUP(RIGHT(BD$3,LEN(BD$3)-FIND(".",BD$3,FIND(".",BD$3)+1)),Gällivare!$B$6:$J$36,MATCH($C13,Gällivare!$B$6:$B$36,0),FALSE),"Global: "&amp;HLOOKUP(LEFT(BD$3,4),Global!$B$6:$J$36,MATCH($C13,Global!$B$6:$B$36,0),FALSE)&amp;CHAR(10)&amp;"Local Trend: "&amp;HLOOKUP(MID(BD$3,FIND(".",BD$3)+1,FIND(".",BD$3,FIND(".",BD$3)+1)-FIND(".",BD$3)-1),Gällivare!$B$6:$J$36,MATCH($C13,Gällivare!$B$6:$B$36,0),FALSE)&amp;CHAR(10)&amp;"Local Target: "&amp;HLOOKUP(RIGHT(BD$3,LEN(BD$3)-FIND(".",BD$3,FIND(".",BD$3)+1)),Gällivare!$B$6:$J$36,MATCH($C13,Gällivare!$B$6:$B$36,0),FALSE)))</f>
        <v>Global: Low
Local Trend: Low
Local Target: No impact</v>
      </c>
      <c r="BE13" s="177" t="str">
        <f>IF(AND(HLOOKUP(MID(BE$3,FIND(".",BE$3)+1,FIND(".",BE$3,FIND(".",BE$3)+1)-FIND(".",BE$3)-1),Gällivare!$B$6:$J$36,MATCH($C13,Gällivare!$B$6:$B$36,0),FALSE)="No Impact",HLOOKUP(RIGHT(BE$3,LEN(BE$3)-FIND(".",BE$3,FIND(".",BE$3)+1)),Gällivare!$B$6:$J$36,MATCH($C13,Gällivare!$B$6:$B$36,0),FALSE)="No Impact"),HLOOKUP(LEFT(BE$3,4),Global!$B$6:$J$36,MATCH($C13,Global!$B$6:$B$36,0),FALSE),IF(AND(HLOOKUP(MID(BE$3,FIND(".",BE$3)+1,FIND(".",BE$3,FIND(".",BE$3)+1)-FIND(".",BE$3)-1),Gällivare!$B$6:$J$36,MATCH($C13,Gällivare!$B$6:$B$36,0),FALSE)="No Impact",HLOOKUP(LEFT(BE$3,4),Global!$B$6:$J$36,MATCH($C13,Global!$B$6:$B$36,0),FALSE)="No Impact"),HLOOKUP(RIGHT(BE$3,LEN(BE$3)-FIND(".",BE$3,FIND(".",BE$3)+1)),Gällivare!$B$6:$J$36,MATCH($C13,Gällivare!$B$6:$B$36,0),FALSE),"Global: "&amp;HLOOKUP(LEFT(BE$3,4),Global!$B$6:$J$36,MATCH($C13,Global!$B$6:$B$36,0),FALSE)&amp;CHAR(10)&amp;"Local Trend: "&amp;HLOOKUP(MID(BE$3,FIND(".",BE$3)+1,FIND(".",BE$3,FIND(".",BE$3)+1)-FIND(".",BE$3)-1),Gällivare!$B$6:$J$36,MATCH($C13,Gällivare!$B$6:$B$36,0),FALSE)&amp;CHAR(10)&amp;"Local Target: "&amp;HLOOKUP(RIGHT(BE$3,LEN(BE$3)-FIND(".",BE$3,FIND(".",BE$3)+1)),Gällivare!$B$6:$J$36,MATCH($C13,Gällivare!$B$6:$B$36,0),FALSE)))</f>
        <v>Global: Medium
Local Trend: High
Local Target: No impact</v>
      </c>
      <c r="BF13" s="177" t="str">
        <f>IF(AND(HLOOKUP(MID(BF$3,FIND(".",BF$3)+1,FIND(".",BF$3,FIND(".",BF$3)+1)-FIND(".",BF$3)-1),Gällivare!$B$6:$J$36,MATCH($C13,Gällivare!$B$6:$B$36,0),FALSE)="No Impact",HLOOKUP(RIGHT(BF$3,LEN(BF$3)-FIND(".",BF$3,FIND(".",BF$3)+1)),Gällivare!$B$6:$J$36,MATCH($C13,Gällivare!$B$6:$B$36,0),FALSE)="No Impact"),HLOOKUP(LEFT(BF$3,4),Global!$B$6:$J$36,MATCH($C13,Global!$B$6:$B$36,0),FALSE),IF(AND(HLOOKUP(MID(BF$3,FIND(".",BF$3)+1,FIND(".",BF$3,FIND(".",BF$3)+1)-FIND(".",BF$3)-1),Gällivare!$B$6:$J$36,MATCH($C13,Gällivare!$B$6:$B$36,0),FALSE)="No Impact",HLOOKUP(LEFT(BF$3,4),Global!$B$6:$J$36,MATCH($C13,Global!$B$6:$B$36,0),FALSE)="No Impact"),HLOOKUP(RIGHT(BF$3,LEN(BF$3)-FIND(".",BF$3,FIND(".",BF$3)+1)),Gällivare!$B$6:$J$36,MATCH($C13,Gällivare!$B$6:$B$36,0),FALSE),"Global: "&amp;HLOOKUP(LEFT(BF$3,4),Global!$B$6:$J$36,MATCH($C13,Global!$B$6:$B$36,0),FALSE)&amp;CHAR(10)&amp;"Local Trend: "&amp;HLOOKUP(MID(BF$3,FIND(".",BF$3)+1,FIND(".",BF$3,FIND(".",BF$3)+1)-FIND(".",BF$3)-1),Gällivare!$B$6:$J$36,MATCH($C13,Gällivare!$B$6:$B$36,0),FALSE)&amp;CHAR(10)&amp;"Local Target: "&amp;HLOOKUP(RIGHT(BF$3,LEN(BF$3)-FIND(".",BF$3,FIND(".",BF$3)+1)),Gällivare!$B$6:$J$36,MATCH($C13,Gällivare!$B$6:$B$36,0),FALSE)))</f>
        <v>Global: Medium
Local Trend: High
Local Target: No impact</v>
      </c>
      <c r="BG13" s="177" t="str">
        <f>IF(AND(HLOOKUP(MID(BG$3,FIND(".",BG$3)+1,FIND(".",BG$3,FIND(".",BG$3)+1)-FIND(".",BG$3)-1),Gällivare!$B$6:$J$36,MATCH($C13,Gällivare!$B$6:$B$36,0),FALSE)="No Impact",HLOOKUP(RIGHT(BG$3,LEN(BG$3)-FIND(".",BG$3,FIND(".",BG$3)+1)),Gällivare!$B$6:$J$36,MATCH($C13,Gällivare!$B$6:$B$36,0),FALSE)="No Impact"),HLOOKUP(LEFT(BG$3,4),Global!$B$6:$J$36,MATCH($C13,Global!$B$6:$B$36,0),FALSE),IF(AND(HLOOKUP(MID(BG$3,FIND(".",BG$3)+1,FIND(".",BG$3,FIND(".",BG$3)+1)-FIND(".",BG$3)-1),Gällivare!$B$6:$J$36,MATCH($C13,Gällivare!$B$6:$B$36,0),FALSE)="No Impact",HLOOKUP(LEFT(BG$3,4),Global!$B$6:$J$36,MATCH($C13,Global!$B$6:$B$36,0),FALSE)="No Impact"),HLOOKUP(RIGHT(BG$3,LEN(BG$3)-FIND(".",BG$3,FIND(".",BG$3)+1)),Gällivare!$B$6:$J$36,MATCH($C13,Gällivare!$B$6:$B$36,0),FALSE),"Global: "&amp;HLOOKUP(LEFT(BG$3,4),Global!$B$6:$J$36,MATCH($C13,Global!$B$6:$B$36,0),FALSE)&amp;CHAR(10)&amp;"Local Trend: "&amp;HLOOKUP(MID(BG$3,FIND(".",BG$3)+1,FIND(".",BG$3,FIND(".",BG$3)+1)-FIND(".",BG$3)-1),Gällivare!$B$6:$J$36,MATCH($C13,Gällivare!$B$6:$B$36,0),FALSE)&amp;CHAR(10)&amp;"Local Target: "&amp;HLOOKUP(RIGHT(BG$3,LEN(BG$3)-FIND(".",BG$3,FIND(".",BG$3)+1)),Gällivare!$B$6:$J$36,MATCH($C13,Gällivare!$B$6:$B$36,0),FALSE)))</f>
        <v>Global: Medium
Local Trend: High
Local Target: No impact</v>
      </c>
      <c r="BH13" s="177" t="str">
        <f>IF(AND(HLOOKUP(MID(BH$3,FIND(".",BH$3)+1,FIND(".",BH$3,FIND(".",BH$3)+1)-FIND(".",BH$3)-1),Gällivare!$B$6:$J$36,MATCH($C13,Gällivare!$B$6:$B$36,0),FALSE)="No Impact",HLOOKUP(RIGHT(BH$3,LEN(BH$3)-FIND(".",BH$3,FIND(".",BH$3)+1)),Gällivare!$B$6:$J$36,MATCH($C13,Gällivare!$B$6:$B$36,0),FALSE)="No Impact"),HLOOKUP(LEFT(BH$3,4),Global!$B$6:$J$36,MATCH($C13,Global!$B$6:$B$36,0),FALSE),IF(AND(HLOOKUP(MID(BH$3,FIND(".",BH$3)+1,FIND(".",BH$3,FIND(".",BH$3)+1)-FIND(".",BH$3)-1),Gällivare!$B$6:$J$36,MATCH($C13,Gällivare!$B$6:$B$36,0),FALSE)="No Impact",HLOOKUP(LEFT(BH$3,4),Global!$B$6:$J$36,MATCH($C13,Global!$B$6:$B$36,0),FALSE)="No Impact"),HLOOKUP(RIGHT(BH$3,LEN(BH$3)-FIND(".",BH$3,FIND(".",BH$3)+1)),Gällivare!$B$6:$J$36,MATCH($C13,Gällivare!$B$6:$B$36,0),FALSE),"Global: "&amp;HLOOKUP(LEFT(BH$3,4),Global!$B$6:$J$36,MATCH($C13,Global!$B$6:$B$36,0),FALSE)&amp;CHAR(10)&amp;"Local Trend: "&amp;HLOOKUP(MID(BH$3,FIND(".",BH$3)+1,FIND(".",BH$3,FIND(".",BH$3)+1)-FIND(".",BH$3)-1),Gällivare!$B$6:$J$36,MATCH($C13,Gällivare!$B$6:$B$36,0),FALSE)&amp;CHAR(10)&amp;"Local Target: "&amp;HLOOKUP(RIGHT(BH$3,LEN(BH$3)-FIND(".",BH$3,FIND(".",BH$3)+1)),Gällivare!$B$6:$J$36,MATCH($C13,Gällivare!$B$6:$B$36,0),FALSE)))</f>
        <v>Global: Medium
Local Trend: Low
Local Target: No impact</v>
      </c>
      <c r="BI13" s="177" t="str">
        <f>IF(AND(HLOOKUP(MID(BI$3,FIND(".",BI$3)+1,FIND(".",BI$3,FIND(".",BI$3)+1)-FIND(".",BI$3)-1),Gällivare!$B$6:$J$36,MATCH($C13,Gällivare!$B$6:$B$36,0),FALSE)="No Impact",HLOOKUP(RIGHT(BI$3,LEN(BI$3)-FIND(".",BI$3,FIND(".",BI$3)+1)),Gällivare!$B$6:$J$36,MATCH($C13,Gällivare!$B$6:$B$36,0),FALSE)="No Impact"),HLOOKUP(LEFT(BI$3,4),Global!$B$6:$J$36,MATCH($C13,Global!$B$6:$B$36,0),FALSE),IF(AND(HLOOKUP(MID(BI$3,FIND(".",BI$3)+1,FIND(".",BI$3,FIND(".",BI$3)+1)-FIND(".",BI$3)-1),Gällivare!$B$6:$J$36,MATCH($C13,Gällivare!$B$6:$B$36,0),FALSE)="No Impact",HLOOKUP(LEFT(BI$3,4),Global!$B$6:$J$36,MATCH($C13,Global!$B$6:$B$36,0),FALSE)="No Impact"),HLOOKUP(RIGHT(BI$3,LEN(BI$3)-FIND(".",BI$3,FIND(".",BI$3)+1)),Gällivare!$B$6:$J$36,MATCH($C13,Gällivare!$B$6:$B$36,0),FALSE),"Global: "&amp;HLOOKUP(LEFT(BI$3,4),Global!$B$6:$J$36,MATCH($C13,Global!$B$6:$B$36,0),FALSE)&amp;CHAR(10)&amp;"Local Trend: "&amp;HLOOKUP(MID(BI$3,FIND(".",BI$3)+1,FIND(".",BI$3,FIND(".",BI$3)+1)-FIND(".",BI$3)-1),Gällivare!$B$6:$J$36,MATCH($C13,Gällivare!$B$6:$B$36,0),FALSE)&amp;CHAR(10)&amp;"Local Target: "&amp;HLOOKUP(RIGHT(BI$3,LEN(BI$3)-FIND(".",BI$3,FIND(".",BI$3)+1)),Gällivare!$B$6:$J$36,MATCH($C13,Gällivare!$B$6:$B$36,0),FALSE)))</f>
        <v>Global: Medium
Local Trend: Low
Local Target: No impact</v>
      </c>
      <c r="BJ13" s="177" t="str">
        <f>IF(AND(HLOOKUP(MID(BJ$3,FIND(".",BJ$3)+1,FIND(".",BJ$3,FIND(".",BJ$3)+1)-FIND(".",BJ$3)-1),Gällivare!$B$6:$J$36,MATCH($C13,Gällivare!$B$6:$B$36,0),FALSE)="No Impact",HLOOKUP(RIGHT(BJ$3,LEN(BJ$3)-FIND(".",BJ$3,FIND(".",BJ$3)+1)),Gällivare!$B$6:$J$36,MATCH($C13,Gällivare!$B$6:$B$36,0),FALSE)="No Impact"),HLOOKUP(LEFT(BJ$3,4),Global!$B$6:$J$36,MATCH($C13,Global!$B$6:$B$36,0),FALSE),IF(AND(HLOOKUP(MID(BJ$3,FIND(".",BJ$3)+1,FIND(".",BJ$3,FIND(".",BJ$3)+1)-FIND(".",BJ$3)-1),Gällivare!$B$6:$J$36,MATCH($C13,Gällivare!$B$6:$B$36,0),FALSE)="No Impact",HLOOKUP(LEFT(BJ$3,4),Global!$B$6:$J$36,MATCH($C13,Global!$B$6:$B$36,0),FALSE)="No Impact"),HLOOKUP(RIGHT(BJ$3,LEN(BJ$3)-FIND(".",BJ$3,FIND(".",BJ$3)+1)),Gällivare!$B$6:$J$36,MATCH($C13,Gällivare!$B$6:$B$36,0),FALSE),"Global: "&amp;HLOOKUP(LEFT(BJ$3,4),Global!$B$6:$J$36,MATCH($C13,Global!$B$6:$B$36,0),FALSE)&amp;CHAR(10)&amp;"Local Trend: "&amp;HLOOKUP(MID(BJ$3,FIND(".",BJ$3)+1,FIND(".",BJ$3,FIND(".",BJ$3)+1)-FIND(".",BJ$3)-1),Gällivare!$B$6:$J$36,MATCH($C13,Gällivare!$B$6:$B$36,0),FALSE)&amp;CHAR(10)&amp;"Local Target: "&amp;HLOOKUP(RIGHT(BJ$3,LEN(BJ$3)-FIND(".",BJ$3,FIND(".",BJ$3)+1)),Gällivare!$B$6:$J$36,MATCH($C13,Gällivare!$B$6:$B$36,0),FALSE)))</f>
        <v>Global: Medium
Local Trend: Low
Local Target: No impact</v>
      </c>
      <c r="BK13" s="177" t="str">
        <f>IF(AND(HLOOKUP(MID(BK$3,FIND(".",BK$3)+1,FIND(".",BK$3,FIND(".",BK$3)+1)-FIND(".",BK$3)-1),Gällivare!$B$6:$J$36,MATCH($C13,Gällivare!$B$6:$B$36,0),FALSE)="No Impact",HLOOKUP(RIGHT(BK$3,LEN(BK$3)-FIND(".",BK$3,FIND(".",BK$3)+1)),Gällivare!$B$6:$J$36,MATCH($C13,Gällivare!$B$6:$B$36,0),FALSE)="No Impact"),HLOOKUP(LEFT(BK$3,4),Global!$B$6:$J$36,MATCH($C13,Global!$B$6:$B$36,0),FALSE),IF(AND(HLOOKUP(MID(BK$3,FIND(".",BK$3)+1,FIND(".",BK$3,FIND(".",BK$3)+1)-FIND(".",BK$3)-1),Gällivare!$B$6:$J$36,MATCH($C13,Gällivare!$B$6:$B$36,0),FALSE)="No Impact",HLOOKUP(LEFT(BK$3,4),Global!$B$6:$J$36,MATCH($C13,Global!$B$6:$B$36,0),FALSE)="No Impact"),HLOOKUP(RIGHT(BK$3,LEN(BK$3)-FIND(".",BK$3,FIND(".",BK$3)+1)),Gällivare!$B$6:$J$36,MATCH($C13,Gällivare!$B$6:$B$36,0),FALSE),"Global: "&amp;HLOOKUP(LEFT(BK$3,4),Global!$B$6:$J$36,MATCH($C13,Global!$B$6:$B$36,0),FALSE)&amp;CHAR(10)&amp;"Local Trend: "&amp;HLOOKUP(MID(BK$3,FIND(".",BK$3)+1,FIND(".",BK$3,FIND(".",BK$3)+1)-FIND(".",BK$3)-1),Gällivare!$B$6:$J$36,MATCH($C13,Gällivare!$B$6:$B$36,0),FALSE)&amp;CHAR(10)&amp;"Local Target: "&amp;HLOOKUP(RIGHT(BK$3,LEN(BK$3)-FIND(".",BK$3,FIND(".",BK$3)+1)),Gällivare!$B$6:$J$36,MATCH($C13,Gällivare!$B$6:$B$36,0),FALSE)))</f>
        <v>Global: Low
Local Trend: High
Local Target: No impact</v>
      </c>
      <c r="BL13" s="177" t="str">
        <f>IF(AND(HLOOKUP(MID(BL$3,FIND(".",BL$3)+1,FIND(".",BL$3,FIND(".",BL$3)+1)-FIND(".",BL$3)-1),Gällivare!$B$6:$J$36,MATCH($C13,Gällivare!$B$6:$B$36,0),FALSE)="No Impact",HLOOKUP(RIGHT(BL$3,LEN(BL$3)-FIND(".",BL$3,FIND(".",BL$3)+1)),Gällivare!$B$6:$J$36,MATCH($C13,Gällivare!$B$6:$B$36,0),FALSE)="No Impact"),HLOOKUP(LEFT(BL$3,4),Global!$B$6:$J$36,MATCH($C13,Global!$B$6:$B$36,0),FALSE),IF(AND(HLOOKUP(MID(BL$3,FIND(".",BL$3)+1,FIND(".",BL$3,FIND(".",BL$3)+1)-FIND(".",BL$3)-1),Gällivare!$B$6:$J$36,MATCH($C13,Gällivare!$B$6:$B$36,0),FALSE)="No Impact",HLOOKUP(LEFT(BL$3,4),Global!$B$6:$J$36,MATCH($C13,Global!$B$6:$B$36,0),FALSE)="No Impact"),HLOOKUP(RIGHT(BL$3,LEN(BL$3)-FIND(".",BL$3,FIND(".",BL$3)+1)),Gällivare!$B$6:$J$36,MATCH($C13,Gällivare!$B$6:$B$36,0),FALSE),"Global: "&amp;HLOOKUP(LEFT(BL$3,4),Global!$B$6:$J$36,MATCH($C13,Global!$B$6:$B$36,0),FALSE)&amp;CHAR(10)&amp;"Local Trend: "&amp;HLOOKUP(MID(BL$3,FIND(".",BL$3)+1,FIND(".",BL$3,FIND(".",BL$3)+1)-FIND(".",BL$3)-1),Gällivare!$B$6:$J$36,MATCH($C13,Gällivare!$B$6:$B$36,0),FALSE)&amp;CHAR(10)&amp;"Local Target: "&amp;HLOOKUP(RIGHT(BL$3,LEN(BL$3)-FIND(".",BL$3,FIND(".",BL$3)+1)),Gällivare!$B$6:$J$36,MATCH($C13,Gällivare!$B$6:$B$36,0),FALSE)))</f>
        <v>Global: Low
Local Trend: High
Local Target: No impact</v>
      </c>
      <c r="BM13" s="177" t="str">
        <f>IF(AND(HLOOKUP(MID(BM$3,FIND(".",BM$3)+1,FIND(".",BM$3,FIND(".",BM$3)+1)-FIND(".",BM$3)-1),Gällivare!$B$6:$J$36,MATCH($C13,Gällivare!$B$6:$B$36,0),FALSE)="No Impact",HLOOKUP(RIGHT(BM$3,LEN(BM$3)-FIND(".",BM$3,FIND(".",BM$3)+1)),Gällivare!$B$6:$J$36,MATCH($C13,Gällivare!$B$6:$B$36,0),FALSE)="No Impact"),HLOOKUP(LEFT(BM$3,4),Global!$B$6:$J$36,MATCH($C13,Global!$B$6:$B$36,0),FALSE),IF(AND(HLOOKUP(MID(BM$3,FIND(".",BM$3)+1,FIND(".",BM$3,FIND(".",BM$3)+1)-FIND(".",BM$3)-1),Gällivare!$B$6:$J$36,MATCH($C13,Gällivare!$B$6:$B$36,0),FALSE)="No Impact",HLOOKUP(LEFT(BM$3,4),Global!$B$6:$J$36,MATCH($C13,Global!$B$6:$B$36,0),FALSE)="No Impact"),HLOOKUP(RIGHT(BM$3,LEN(BM$3)-FIND(".",BM$3,FIND(".",BM$3)+1)),Gällivare!$B$6:$J$36,MATCH($C13,Gällivare!$B$6:$B$36,0),FALSE),"Global: "&amp;HLOOKUP(LEFT(BM$3,4),Global!$B$6:$J$36,MATCH($C13,Global!$B$6:$B$36,0),FALSE)&amp;CHAR(10)&amp;"Local Trend: "&amp;HLOOKUP(MID(BM$3,FIND(".",BM$3)+1,FIND(".",BM$3,FIND(".",BM$3)+1)-FIND(".",BM$3)-1),Gällivare!$B$6:$J$36,MATCH($C13,Gällivare!$B$6:$B$36,0),FALSE)&amp;CHAR(10)&amp;"Local Target: "&amp;HLOOKUP(RIGHT(BM$3,LEN(BM$3)-FIND(".",BM$3,FIND(".",BM$3)+1)),Gällivare!$B$6:$J$36,MATCH($C13,Gällivare!$B$6:$B$36,0),FALSE)))</f>
        <v>Global: Low
Local Trend: High
Local Target: No impact</v>
      </c>
      <c r="BN13" s="177" t="str">
        <f>IF(AND(HLOOKUP(MID(BN$3,FIND(".",BN$3)+1,FIND(".",BN$3,FIND(".",BN$3)+1)-FIND(".",BN$3)-1),Gällivare!$B$6:$J$36,MATCH($C13,Gällivare!$B$6:$B$36,0),FALSE)="No Impact",HLOOKUP(RIGHT(BN$3,LEN(BN$3)-FIND(".",BN$3,FIND(".",BN$3)+1)),Gällivare!$B$6:$J$36,MATCH($C13,Gällivare!$B$6:$B$36,0),FALSE)="No Impact"),HLOOKUP(LEFT(BN$3,4),Global!$B$6:$J$36,MATCH($C13,Global!$B$6:$B$36,0),FALSE),IF(AND(HLOOKUP(MID(BN$3,FIND(".",BN$3)+1,FIND(".",BN$3,FIND(".",BN$3)+1)-FIND(".",BN$3)-1),Gällivare!$B$6:$J$36,MATCH($C13,Gällivare!$B$6:$B$36,0),FALSE)="No Impact",HLOOKUP(LEFT(BN$3,4),Global!$B$6:$J$36,MATCH($C13,Global!$B$6:$B$36,0),FALSE)="No Impact"),HLOOKUP(RIGHT(BN$3,LEN(BN$3)-FIND(".",BN$3,FIND(".",BN$3)+1)),Gällivare!$B$6:$J$36,MATCH($C13,Gällivare!$B$6:$B$36,0),FALSE),"Global: "&amp;HLOOKUP(LEFT(BN$3,4),Global!$B$6:$J$36,MATCH($C13,Global!$B$6:$B$36,0),FALSE)&amp;CHAR(10)&amp;"Local Trend: "&amp;HLOOKUP(MID(BN$3,FIND(".",BN$3)+1,FIND(".",BN$3,FIND(".",BN$3)+1)-FIND(".",BN$3)-1),Gällivare!$B$6:$J$36,MATCH($C13,Gällivare!$B$6:$B$36,0),FALSE)&amp;CHAR(10)&amp;"Local Target: "&amp;HLOOKUP(RIGHT(BN$3,LEN(BN$3)-FIND(".",BN$3,FIND(".",BN$3)+1)),Gällivare!$B$6:$J$36,MATCH($C13,Gällivare!$B$6:$B$36,0),FALSE)))</f>
        <v>Global: Low
Local Trend: Low
Local Target: No impact</v>
      </c>
      <c r="BO13" s="177" t="str">
        <f>IF(AND(HLOOKUP(MID(BO$3,FIND(".",BO$3)+1,FIND(".",BO$3,FIND(".",BO$3)+1)-FIND(".",BO$3)-1),Gällivare!$B$6:$J$36,MATCH($C13,Gällivare!$B$6:$B$36,0),FALSE)="No Impact",HLOOKUP(RIGHT(BO$3,LEN(BO$3)-FIND(".",BO$3,FIND(".",BO$3)+1)),Gällivare!$B$6:$J$36,MATCH($C13,Gällivare!$B$6:$B$36,0),FALSE)="No Impact"),HLOOKUP(LEFT(BO$3,4),Global!$B$6:$J$36,MATCH($C13,Global!$B$6:$B$36,0),FALSE),IF(AND(HLOOKUP(MID(BO$3,FIND(".",BO$3)+1,FIND(".",BO$3,FIND(".",BO$3)+1)-FIND(".",BO$3)-1),Gällivare!$B$6:$J$36,MATCH($C13,Gällivare!$B$6:$B$36,0),FALSE)="No Impact",HLOOKUP(LEFT(BO$3,4),Global!$B$6:$J$36,MATCH($C13,Global!$B$6:$B$36,0),FALSE)="No Impact"),HLOOKUP(RIGHT(BO$3,LEN(BO$3)-FIND(".",BO$3,FIND(".",BO$3)+1)),Gällivare!$B$6:$J$36,MATCH($C13,Gällivare!$B$6:$B$36,0),FALSE),"Global: "&amp;HLOOKUP(LEFT(BO$3,4),Global!$B$6:$J$36,MATCH($C13,Global!$B$6:$B$36,0),FALSE)&amp;CHAR(10)&amp;"Local Trend: "&amp;HLOOKUP(MID(BO$3,FIND(".",BO$3)+1,FIND(".",BO$3,FIND(".",BO$3)+1)-FIND(".",BO$3)-1),Gällivare!$B$6:$J$36,MATCH($C13,Gällivare!$B$6:$B$36,0),FALSE)&amp;CHAR(10)&amp;"Local Target: "&amp;HLOOKUP(RIGHT(BO$3,LEN(BO$3)-FIND(".",BO$3,FIND(".",BO$3)+1)),Gällivare!$B$6:$J$36,MATCH($C13,Gällivare!$B$6:$B$36,0),FALSE)))</f>
        <v>Global: Low
Local Trend: Low
Local Target: No impact</v>
      </c>
      <c r="BP13" s="177" t="str">
        <f>IF(AND(HLOOKUP(MID(BP$3,FIND(".",BP$3)+1,FIND(".",BP$3,FIND(".",BP$3)+1)-FIND(".",BP$3)-1),Gällivare!$B$6:$J$36,MATCH($C13,Gällivare!$B$6:$B$36,0),FALSE)="No Impact",HLOOKUP(RIGHT(BP$3,LEN(BP$3)-FIND(".",BP$3,FIND(".",BP$3)+1)),Gällivare!$B$6:$J$36,MATCH($C13,Gällivare!$B$6:$B$36,0),FALSE)="No Impact"),HLOOKUP(LEFT(BP$3,4),Global!$B$6:$J$36,MATCH($C13,Global!$B$6:$B$36,0),FALSE),IF(AND(HLOOKUP(MID(BP$3,FIND(".",BP$3)+1,FIND(".",BP$3,FIND(".",BP$3)+1)-FIND(".",BP$3)-1),Gällivare!$B$6:$J$36,MATCH($C13,Gällivare!$B$6:$B$36,0),FALSE)="No Impact",HLOOKUP(LEFT(BP$3,4),Global!$B$6:$J$36,MATCH($C13,Global!$B$6:$B$36,0),FALSE)="No Impact"),HLOOKUP(RIGHT(BP$3,LEN(BP$3)-FIND(".",BP$3,FIND(".",BP$3)+1)),Gällivare!$B$6:$J$36,MATCH($C13,Gällivare!$B$6:$B$36,0),FALSE),"Global: "&amp;HLOOKUP(LEFT(BP$3,4),Global!$B$6:$J$36,MATCH($C13,Global!$B$6:$B$36,0),FALSE)&amp;CHAR(10)&amp;"Local Trend: "&amp;HLOOKUP(MID(BP$3,FIND(".",BP$3)+1,FIND(".",BP$3,FIND(".",BP$3)+1)-FIND(".",BP$3)-1),Gällivare!$B$6:$J$36,MATCH($C13,Gällivare!$B$6:$B$36,0),FALSE)&amp;CHAR(10)&amp;"Local Target: "&amp;HLOOKUP(RIGHT(BP$3,LEN(BP$3)-FIND(".",BP$3,FIND(".",BP$3)+1)),Gällivare!$B$6:$J$36,MATCH($C13,Gällivare!$B$6:$B$36,0),FALSE)))</f>
        <v>Global: Low
Local Trend: Low
Local Target: No impact</v>
      </c>
      <c r="BT13" s="178"/>
      <c r="BU13" s="178"/>
      <c r="BV13" s="178"/>
    </row>
    <row r="14" spans="2:82" ht="72" x14ac:dyDescent="0.3">
      <c r="B14" s="245"/>
      <c r="C14" s="175" t="s">
        <v>179</v>
      </c>
      <c r="D14" s="175" t="s">
        <v>180</v>
      </c>
      <c r="E14" s="175" t="s">
        <v>181</v>
      </c>
      <c r="F14" s="176" t="s">
        <v>165</v>
      </c>
      <c r="G14" s="176"/>
      <c r="H14" s="175" t="str">
        <f t="shared" si="1"/>
        <v>Medium</v>
      </c>
      <c r="I14" s="175" t="str">
        <f t="shared" si="0"/>
        <v>High</v>
      </c>
      <c r="J14" s="175" t="str">
        <f t="shared" si="0"/>
        <v>Low in begining
High around 2040</v>
      </c>
      <c r="K14" s="175" t="str">
        <f t="shared" si="0"/>
        <v>Medium</v>
      </c>
      <c r="L14" s="175" t="str">
        <f t="shared" si="0"/>
        <v>High</v>
      </c>
      <c r="M14" s="175" t="str">
        <f t="shared" si="0"/>
        <v>Low in begining
High around 2040</v>
      </c>
      <c r="N14" s="175" t="str">
        <f t="shared" si="0"/>
        <v>Medium</v>
      </c>
      <c r="O14" s="175" t="str">
        <f t="shared" si="0"/>
        <v>High</v>
      </c>
      <c r="P14" s="175" t="str">
        <f t="shared" si="0"/>
        <v>Low in begining
High around 2040</v>
      </c>
      <c r="Q14" s="175" t="str">
        <f t="shared" si="0"/>
        <v>Medium</v>
      </c>
      <c r="R14" s="175" t="str">
        <f t="shared" si="0"/>
        <v>High</v>
      </c>
      <c r="S14" s="175" t="str">
        <f t="shared" si="0"/>
        <v>Low in begining
High around 2040</v>
      </c>
      <c r="T14" s="175" t="str">
        <f t="shared" si="0"/>
        <v>Medium</v>
      </c>
      <c r="U14" s="175" t="str">
        <f t="shared" si="0"/>
        <v>High</v>
      </c>
      <c r="V14" s="175" t="str">
        <f t="shared" si="0"/>
        <v>Low in begining
High around 2040</v>
      </c>
      <c r="W14" s="175" t="str">
        <f t="shared" si="0"/>
        <v>Medium</v>
      </c>
      <c r="X14" s="175" t="str">
        <f t="shared" si="0"/>
        <v>High</v>
      </c>
      <c r="Y14" s="175" t="str">
        <f t="shared" si="0"/>
        <v>Low in begining
High around 2040</v>
      </c>
      <c r="Z14" s="175" t="str">
        <f t="shared" si="0"/>
        <v>Medium</v>
      </c>
      <c r="AA14" s="175" t="str">
        <f t="shared" si="0"/>
        <v>High</v>
      </c>
      <c r="AB14" s="175" t="str">
        <f t="shared" si="0"/>
        <v>Low in begining
High around 2040</v>
      </c>
      <c r="AC14" s="175" t="str">
        <f t="shared" si="0"/>
        <v>Medium</v>
      </c>
      <c r="AD14" s="175" t="str">
        <f t="shared" si="0"/>
        <v>High</v>
      </c>
      <c r="AE14" s="175" t="str">
        <f t="shared" si="0"/>
        <v>Low in begining
High around 2040</v>
      </c>
      <c r="AF14" s="175" t="str">
        <f t="shared" ref="AF14:AK33" si="4">BK14</f>
        <v>Medium</v>
      </c>
      <c r="AG14" s="175" t="str">
        <f t="shared" si="4"/>
        <v>High</v>
      </c>
      <c r="AH14" s="175" t="str">
        <f t="shared" si="4"/>
        <v>Low in begining
High around 2040</v>
      </c>
      <c r="AI14" s="175" t="str">
        <f t="shared" si="4"/>
        <v>Medium</v>
      </c>
      <c r="AJ14" s="175" t="str">
        <f t="shared" si="4"/>
        <v>High</v>
      </c>
      <c r="AK14" s="175" t="str">
        <f t="shared" si="4"/>
        <v>Low in begining
High around 2040</v>
      </c>
      <c r="AL14" s="176"/>
      <c r="AM14" s="177" t="str">
        <f>IF(AND(HLOOKUP(MID(AM$3,FIND(".",AM$3)+1,FIND(".",AM$3,FIND(".",AM$3)+1)-FIND(".",AM$3)-1),Gällivare!$B$6:$J$36,MATCH($C14,Gällivare!$B$6:$B$36,0),FALSE)="No Impact",HLOOKUP(RIGHT(AM$3,LEN(AM$3)-FIND(".",AM$3,FIND(".",AM$3)+1)),Gällivare!$B$6:$J$36,MATCH($C14,Gällivare!$B$6:$B$36,0),FALSE)="No Impact"),HLOOKUP(LEFT(AM$3,4),Global!$B$6:$J$36,MATCH($C14,Global!$B$6:$B$36,0),FALSE),IF(AND(HLOOKUP(MID(AM$3,FIND(".",AM$3)+1,FIND(".",AM$3,FIND(".",AM$3)+1)-FIND(".",AM$3)-1),Gällivare!$B$6:$J$36,MATCH($C14,Gällivare!$B$6:$B$36,0),FALSE)="No Impact",HLOOKUP(LEFT(AM$3,4),Global!$B$6:$J$36,MATCH($C14,Global!$B$6:$B$36,0),FALSE)="No Impact"),HLOOKUP(RIGHT(AM$3,LEN(AM$3)-FIND(".",AM$3,FIND(".",AM$3)+1)),Gällivare!$B$6:$J$36,MATCH($C14,Gällivare!$B$6:$B$36,0),FALSE),"Global: "&amp;HLOOKUP(LEFT(AM$3,4),Global!$B$6:$J$36,MATCH($C14,Global!$B$6:$B$36,0),FALSE)&amp;CHAR(10)&amp;"Local Trend: "&amp;HLOOKUP(MID(AM$3,FIND(".",AM$3)+1,FIND(".",AM$3,FIND(".",AM$3)+1)-FIND(".",AM$3)-1),Gällivare!$B$6:$J$36,MATCH($C14,Gällivare!$B$6:$B$36,0),FALSE)&amp;CHAR(10)&amp;"Local Target: "&amp;HLOOKUP(RIGHT(AM$3,LEN(AM$3)-FIND(".",AM$3,FIND(".",AM$3)+1)),Gällivare!$B$6:$J$36,MATCH($C14,Gällivare!$B$6:$B$36,0),FALSE)))</f>
        <v>Medium</v>
      </c>
      <c r="AN14" s="177" t="str">
        <f>IF(AND(HLOOKUP(MID(AN$3,FIND(".",AN$3)+1,FIND(".",AN$3,FIND(".",AN$3)+1)-FIND(".",AN$3)-1),Gällivare!$B$6:$J$36,MATCH($C14,Gällivare!$B$6:$B$36,0),FALSE)="No Impact",HLOOKUP(RIGHT(AN$3,LEN(AN$3)-FIND(".",AN$3,FIND(".",AN$3)+1)),Gällivare!$B$6:$J$36,MATCH($C14,Gällivare!$B$6:$B$36,0),FALSE)="No Impact"),HLOOKUP(LEFT(AN$3,4),Global!$B$6:$J$36,MATCH($C14,Global!$B$6:$B$36,0),FALSE),IF(AND(HLOOKUP(MID(AN$3,FIND(".",AN$3)+1,FIND(".",AN$3,FIND(".",AN$3)+1)-FIND(".",AN$3)-1),Gällivare!$B$6:$J$36,MATCH($C14,Gällivare!$B$6:$B$36,0),FALSE)="No Impact",HLOOKUP(LEFT(AN$3,4),Global!$B$6:$J$36,MATCH($C14,Global!$B$6:$B$36,0),FALSE)="No Impact"),HLOOKUP(RIGHT(AN$3,LEN(AN$3)-FIND(".",AN$3,FIND(".",AN$3)+1)),Gällivare!$B$6:$J$36,MATCH($C14,Gällivare!$B$6:$B$36,0),FALSE),"Global: "&amp;HLOOKUP(LEFT(AN$3,4),Global!$B$6:$J$36,MATCH($C14,Global!$B$6:$B$36,0),FALSE)&amp;CHAR(10)&amp;"Local Trend: "&amp;HLOOKUP(MID(AN$3,FIND(".",AN$3)+1,FIND(".",AN$3,FIND(".",AN$3)+1)-FIND(".",AN$3)-1),Gällivare!$B$6:$J$36,MATCH($C14,Gällivare!$B$6:$B$36,0),FALSE)&amp;CHAR(10)&amp;"Local Target: "&amp;HLOOKUP(RIGHT(AN$3,LEN(AN$3)-FIND(".",AN$3,FIND(".",AN$3)+1)),Gällivare!$B$6:$J$36,MATCH($C14,Gällivare!$B$6:$B$36,0),FALSE)))</f>
        <v>High</v>
      </c>
      <c r="AO14" s="177" t="str">
        <f>IF(AND(HLOOKUP(MID(AO$3,FIND(".",AO$3)+1,FIND(".",AO$3,FIND(".",AO$3)+1)-FIND(".",AO$3)-1),Gällivare!$B$6:$J$36,MATCH($C14,Gällivare!$B$6:$B$36,0),FALSE)="No Impact",HLOOKUP(RIGHT(AO$3,LEN(AO$3)-FIND(".",AO$3,FIND(".",AO$3)+1)),Gällivare!$B$6:$J$36,MATCH($C14,Gällivare!$B$6:$B$36,0),FALSE)="No Impact"),HLOOKUP(LEFT(AO$3,4),Global!$B$6:$J$36,MATCH($C14,Global!$B$6:$B$36,0),FALSE),IF(AND(HLOOKUP(MID(AO$3,FIND(".",AO$3)+1,FIND(".",AO$3,FIND(".",AO$3)+1)-FIND(".",AO$3)-1),Gällivare!$B$6:$J$36,MATCH($C14,Gällivare!$B$6:$B$36,0),FALSE)="No Impact",HLOOKUP(LEFT(AO$3,4),Global!$B$6:$J$36,MATCH($C14,Global!$B$6:$B$36,0),FALSE)="No Impact"),HLOOKUP(RIGHT(AO$3,LEN(AO$3)-FIND(".",AO$3,FIND(".",AO$3)+1)),Gällivare!$B$6:$J$36,MATCH($C14,Gällivare!$B$6:$B$36,0),FALSE),"Global: "&amp;HLOOKUP(LEFT(AO$3,4),Global!$B$6:$J$36,MATCH($C14,Global!$B$6:$B$36,0),FALSE)&amp;CHAR(10)&amp;"Local Trend: "&amp;HLOOKUP(MID(AO$3,FIND(".",AO$3)+1,FIND(".",AO$3,FIND(".",AO$3)+1)-FIND(".",AO$3)-1),Gällivare!$B$6:$J$36,MATCH($C14,Gällivare!$B$6:$B$36,0),FALSE)&amp;CHAR(10)&amp;"Local Target: "&amp;HLOOKUP(RIGHT(AO$3,LEN(AO$3)-FIND(".",AO$3,FIND(".",AO$3)+1)),Gällivare!$B$6:$J$36,MATCH($C14,Gällivare!$B$6:$B$36,0),FALSE)))</f>
        <v>Low in begining
High around 2040</v>
      </c>
      <c r="AP14" s="177" t="str">
        <f>IF(AND(HLOOKUP(MID(AP$3,FIND(".",AP$3)+1,FIND(".",AP$3,FIND(".",AP$3)+1)-FIND(".",AP$3)-1),Gällivare!$B$6:$J$36,MATCH($C14,Gällivare!$B$6:$B$36,0),FALSE)="No Impact",HLOOKUP(RIGHT(AP$3,LEN(AP$3)-FIND(".",AP$3,FIND(".",AP$3)+1)),Gällivare!$B$6:$J$36,MATCH($C14,Gällivare!$B$6:$B$36,0),FALSE)="No Impact"),HLOOKUP(LEFT(AP$3,4),Global!$B$6:$J$36,MATCH($C14,Global!$B$6:$B$36,0),FALSE),IF(AND(HLOOKUP(MID(AP$3,FIND(".",AP$3)+1,FIND(".",AP$3,FIND(".",AP$3)+1)-FIND(".",AP$3)-1),Gällivare!$B$6:$J$36,MATCH($C14,Gällivare!$B$6:$B$36,0),FALSE)="No Impact",HLOOKUP(LEFT(AP$3,4),Global!$B$6:$J$36,MATCH($C14,Global!$B$6:$B$36,0),FALSE)="No Impact"),HLOOKUP(RIGHT(AP$3,LEN(AP$3)-FIND(".",AP$3,FIND(".",AP$3)+1)),Gällivare!$B$6:$J$36,MATCH($C14,Gällivare!$B$6:$B$36,0),FALSE),"Global: "&amp;HLOOKUP(LEFT(AP$3,4),Global!$B$6:$J$36,MATCH($C14,Global!$B$6:$B$36,0),FALSE)&amp;CHAR(10)&amp;"Local Trend: "&amp;HLOOKUP(MID(AP$3,FIND(".",AP$3)+1,FIND(".",AP$3,FIND(".",AP$3)+1)-FIND(".",AP$3)-1),Gällivare!$B$6:$J$36,MATCH($C14,Gällivare!$B$6:$B$36,0),FALSE)&amp;CHAR(10)&amp;"Local Target: "&amp;HLOOKUP(RIGHT(AP$3,LEN(AP$3)-FIND(".",AP$3,FIND(".",AP$3)+1)),Gällivare!$B$6:$J$36,MATCH($C14,Gällivare!$B$6:$B$36,0),FALSE)))</f>
        <v>Medium</v>
      </c>
      <c r="AQ14" s="177" t="str">
        <f>IF(AND(HLOOKUP(MID(AQ$3,FIND(".",AQ$3)+1,FIND(".",AQ$3,FIND(".",AQ$3)+1)-FIND(".",AQ$3)-1),Gällivare!$B$6:$J$36,MATCH($C14,Gällivare!$B$6:$B$36,0),FALSE)="No Impact",HLOOKUP(RIGHT(AQ$3,LEN(AQ$3)-FIND(".",AQ$3,FIND(".",AQ$3)+1)),Gällivare!$B$6:$J$36,MATCH($C14,Gällivare!$B$6:$B$36,0),FALSE)="No Impact"),HLOOKUP(LEFT(AQ$3,4),Global!$B$6:$J$36,MATCH($C14,Global!$B$6:$B$36,0),FALSE),IF(AND(HLOOKUP(MID(AQ$3,FIND(".",AQ$3)+1,FIND(".",AQ$3,FIND(".",AQ$3)+1)-FIND(".",AQ$3)-1),Gällivare!$B$6:$J$36,MATCH($C14,Gällivare!$B$6:$B$36,0),FALSE)="No Impact",HLOOKUP(LEFT(AQ$3,4),Global!$B$6:$J$36,MATCH($C14,Global!$B$6:$B$36,0),FALSE)="No Impact"),HLOOKUP(RIGHT(AQ$3,LEN(AQ$3)-FIND(".",AQ$3,FIND(".",AQ$3)+1)),Gällivare!$B$6:$J$36,MATCH($C14,Gällivare!$B$6:$B$36,0),FALSE),"Global: "&amp;HLOOKUP(LEFT(AQ$3,4),Global!$B$6:$J$36,MATCH($C14,Global!$B$6:$B$36,0),FALSE)&amp;CHAR(10)&amp;"Local Trend: "&amp;HLOOKUP(MID(AQ$3,FIND(".",AQ$3)+1,FIND(".",AQ$3,FIND(".",AQ$3)+1)-FIND(".",AQ$3)-1),Gällivare!$B$6:$J$36,MATCH($C14,Gällivare!$B$6:$B$36,0),FALSE)&amp;CHAR(10)&amp;"Local Target: "&amp;HLOOKUP(RIGHT(AQ$3,LEN(AQ$3)-FIND(".",AQ$3,FIND(".",AQ$3)+1)),Gällivare!$B$6:$J$36,MATCH($C14,Gällivare!$B$6:$B$36,0),FALSE)))</f>
        <v>High</v>
      </c>
      <c r="AR14" s="177" t="str">
        <f>IF(AND(HLOOKUP(MID(AR$3,FIND(".",AR$3)+1,FIND(".",AR$3,FIND(".",AR$3)+1)-FIND(".",AR$3)-1),Gällivare!$B$6:$J$36,MATCH($C14,Gällivare!$B$6:$B$36,0),FALSE)="No Impact",HLOOKUP(RIGHT(AR$3,LEN(AR$3)-FIND(".",AR$3,FIND(".",AR$3)+1)),Gällivare!$B$6:$J$36,MATCH($C14,Gällivare!$B$6:$B$36,0),FALSE)="No Impact"),HLOOKUP(LEFT(AR$3,4),Global!$B$6:$J$36,MATCH($C14,Global!$B$6:$B$36,0),FALSE),IF(AND(HLOOKUP(MID(AR$3,FIND(".",AR$3)+1,FIND(".",AR$3,FIND(".",AR$3)+1)-FIND(".",AR$3)-1),Gällivare!$B$6:$J$36,MATCH($C14,Gällivare!$B$6:$B$36,0),FALSE)="No Impact",HLOOKUP(LEFT(AR$3,4),Global!$B$6:$J$36,MATCH($C14,Global!$B$6:$B$36,0),FALSE)="No Impact"),HLOOKUP(RIGHT(AR$3,LEN(AR$3)-FIND(".",AR$3,FIND(".",AR$3)+1)),Gällivare!$B$6:$J$36,MATCH($C14,Gällivare!$B$6:$B$36,0),FALSE),"Global: "&amp;HLOOKUP(LEFT(AR$3,4),Global!$B$6:$J$36,MATCH($C14,Global!$B$6:$B$36,0),FALSE)&amp;CHAR(10)&amp;"Local Trend: "&amp;HLOOKUP(MID(AR$3,FIND(".",AR$3)+1,FIND(".",AR$3,FIND(".",AR$3)+1)-FIND(".",AR$3)-1),Gällivare!$B$6:$J$36,MATCH($C14,Gällivare!$B$6:$B$36,0),FALSE)&amp;CHAR(10)&amp;"Local Target: "&amp;HLOOKUP(RIGHT(AR$3,LEN(AR$3)-FIND(".",AR$3,FIND(".",AR$3)+1)),Gällivare!$B$6:$J$36,MATCH($C14,Gällivare!$B$6:$B$36,0),FALSE)))</f>
        <v>Low in begining
High around 2040</v>
      </c>
      <c r="AS14" s="177" t="str">
        <f>IF(AND(HLOOKUP(MID(AS$3,FIND(".",AS$3)+1,FIND(".",AS$3,FIND(".",AS$3)+1)-FIND(".",AS$3)-1),Gällivare!$B$6:$J$36,MATCH($C14,Gällivare!$B$6:$B$36,0),FALSE)="No Impact",HLOOKUP(RIGHT(AS$3,LEN(AS$3)-FIND(".",AS$3,FIND(".",AS$3)+1)),Gällivare!$B$6:$J$36,MATCH($C14,Gällivare!$B$6:$B$36,0),FALSE)="No Impact"),HLOOKUP(LEFT(AS$3,4),Global!$B$6:$J$36,MATCH($C14,Global!$B$6:$B$36,0),FALSE),IF(AND(HLOOKUP(MID(AS$3,FIND(".",AS$3)+1,FIND(".",AS$3,FIND(".",AS$3)+1)-FIND(".",AS$3)-1),Gällivare!$B$6:$J$36,MATCH($C14,Gällivare!$B$6:$B$36,0),FALSE)="No Impact",HLOOKUP(LEFT(AS$3,4),Global!$B$6:$J$36,MATCH($C14,Global!$B$6:$B$36,0),FALSE)="No Impact"),HLOOKUP(RIGHT(AS$3,LEN(AS$3)-FIND(".",AS$3,FIND(".",AS$3)+1)),Gällivare!$B$6:$J$36,MATCH($C14,Gällivare!$B$6:$B$36,0),FALSE),"Global: "&amp;HLOOKUP(LEFT(AS$3,4),Global!$B$6:$J$36,MATCH($C14,Global!$B$6:$B$36,0),FALSE)&amp;CHAR(10)&amp;"Local Trend: "&amp;HLOOKUP(MID(AS$3,FIND(".",AS$3)+1,FIND(".",AS$3,FIND(".",AS$3)+1)-FIND(".",AS$3)-1),Gällivare!$B$6:$J$36,MATCH($C14,Gällivare!$B$6:$B$36,0),FALSE)&amp;CHAR(10)&amp;"Local Target: "&amp;HLOOKUP(RIGHT(AS$3,LEN(AS$3)-FIND(".",AS$3,FIND(".",AS$3)+1)),Gällivare!$B$6:$J$36,MATCH($C14,Gällivare!$B$6:$B$36,0),FALSE)))</f>
        <v>Medium</v>
      </c>
      <c r="AT14" s="177" t="str">
        <f>IF(AND(HLOOKUP(MID(AT$3,FIND(".",AT$3)+1,FIND(".",AT$3,FIND(".",AT$3)+1)-FIND(".",AT$3)-1),Gällivare!$B$6:$J$36,MATCH($C14,Gällivare!$B$6:$B$36,0),FALSE)="No Impact",HLOOKUP(RIGHT(AT$3,LEN(AT$3)-FIND(".",AT$3,FIND(".",AT$3)+1)),Gällivare!$B$6:$J$36,MATCH($C14,Gällivare!$B$6:$B$36,0),FALSE)="No Impact"),HLOOKUP(LEFT(AT$3,4),Global!$B$6:$J$36,MATCH($C14,Global!$B$6:$B$36,0),FALSE),IF(AND(HLOOKUP(MID(AT$3,FIND(".",AT$3)+1,FIND(".",AT$3,FIND(".",AT$3)+1)-FIND(".",AT$3)-1),Gällivare!$B$6:$J$36,MATCH($C14,Gällivare!$B$6:$B$36,0),FALSE)="No Impact",HLOOKUP(LEFT(AT$3,4),Global!$B$6:$J$36,MATCH($C14,Global!$B$6:$B$36,0),FALSE)="No Impact"),HLOOKUP(RIGHT(AT$3,LEN(AT$3)-FIND(".",AT$3,FIND(".",AT$3)+1)),Gällivare!$B$6:$J$36,MATCH($C14,Gällivare!$B$6:$B$36,0),FALSE),"Global: "&amp;HLOOKUP(LEFT(AT$3,4),Global!$B$6:$J$36,MATCH($C14,Global!$B$6:$B$36,0),FALSE)&amp;CHAR(10)&amp;"Local Trend: "&amp;HLOOKUP(MID(AT$3,FIND(".",AT$3)+1,FIND(".",AT$3,FIND(".",AT$3)+1)-FIND(".",AT$3)-1),Gällivare!$B$6:$J$36,MATCH($C14,Gällivare!$B$6:$B$36,0),FALSE)&amp;CHAR(10)&amp;"Local Target: "&amp;HLOOKUP(RIGHT(AT$3,LEN(AT$3)-FIND(".",AT$3,FIND(".",AT$3)+1)),Gällivare!$B$6:$J$36,MATCH($C14,Gällivare!$B$6:$B$36,0),FALSE)))</f>
        <v>High</v>
      </c>
      <c r="AU14" s="177" t="str">
        <f>IF(AND(HLOOKUP(MID(AU$3,FIND(".",AU$3)+1,FIND(".",AU$3,FIND(".",AU$3)+1)-FIND(".",AU$3)-1),Gällivare!$B$6:$J$36,MATCH($C14,Gällivare!$B$6:$B$36,0),FALSE)="No Impact",HLOOKUP(RIGHT(AU$3,LEN(AU$3)-FIND(".",AU$3,FIND(".",AU$3)+1)),Gällivare!$B$6:$J$36,MATCH($C14,Gällivare!$B$6:$B$36,0),FALSE)="No Impact"),HLOOKUP(LEFT(AU$3,4),Global!$B$6:$J$36,MATCH($C14,Global!$B$6:$B$36,0),FALSE),IF(AND(HLOOKUP(MID(AU$3,FIND(".",AU$3)+1,FIND(".",AU$3,FIND(".",AU$3)+1)-FIND(".",AU$3)-1),Gällivare!$B$6:$J$36,MATCH($C14,Gällivare!$B$6:$B$36,0),FALSE)="No Impact",HLOOKUP(LEFT(AU$3,4),Global!$B$6:$J$36,MATCH($C14,Global!$B$6:$B$36,0),FALSE)="No Impact"),HLOOKUP(RIGHT(AU$3,LEN(AU$3)-FIND(".",AU$3,FIND(".",AU$3)+1)),Gällivare!$B$6:$J$36,MATCH($C14,Gällivare!$B$6:$B$36,0),FALSE),"Global: "&amp;HLOOKUP(LEFT(AU$3,4),Global!$B$6:$J$36,MATCH($C14,Global!$B$6:$B$36,0),FALSE)&amp;CHAR(10)&amp;"Local Trend: "&amp;HLOOKUP(MID(AU$3,FIND(".",AU$3)+1,FIND(".",AU$3,FIND(".",AU$3)+1)-FIND(".",AU$3)-1),Gällivare!$B$6:$J$36,MATCH($C14,Gällivare!$B$6:$B$36,0),FALSE)&amp;CHAR(10)&amp;"Local Target: "&amp;HLOOKUP(RIGHT(AU$3,LEN(AU$3)-FIND(".",AU$3,FIND(".",AU$3)+1)),Gällivare!$B$6:$J$36,MATCH($C14,Gällivare!$B$6:$B$36,0),FALSE)))</f>
        <v>Low in begining
High around 2040</v>
      </c>
      <c r="AV14" s="177" t="str">
        <f>IF(AND(HLOOKUP(MID(AV$3,FIND(".",AV$3)+1,FIND(".",AV$3,FIND(".",AV$3)+1)-FIND(".",AV$3)-1),Gällivare!$B$6:$J$36,MATCH($C14,Gällivare!$B$6:$B$36,0),FALSE)="No Impact",HLOOKUP(RIGHT(AV$3,LEN(AV$3)-FIND(".",AV$3,FIND(".",AV$3)+1)),Gällivare!$B$6:$J$36,MATCH($C14,Gällivare!$B$6:$B$36,0),FALSE)="No Impact"),HLOOKUP(LEFT(AV$3,4),Global!$B$6:$J$36,MATCH($C14,Global!$B$6:$B$36,0),FALSE),IF(AND(HLOOKUP(MID(AV$3,FIND(".",AV$3)+1,FIND(".",AV$3,FIND(".",AV$3)+1)-FIND(".",AV$3)-1),Gällivare!$B$6:$J$36,MATCH($C14,Gällivare!$B$6:$B$36,0),FALSE)="No Impact",HLOOKUP(LEFT(AV$3,4),Global!$B$6:$J$36,MATCH($C14,Global!$B$6:$B$36,0),FALSE)="No Impact"),HLOOKUP(RIGHT(AV$3,LEN(AV$3)-FIND(".",AV$3,FIND(".",AV$3)+1)),Gällivare!$B$6:$J$36,MATCH($C14,Gällivare!$B$6:$B$36,0),FALSE),"Global: "&amp;HLOOKUP(LEFT(AV$3,4),Global!$B$6:$J$36,MATCH($C14,Global!$B$6:$B$36,0),FALSE)&amp;CHAR(10)&amp;"Local Trend: "&amp;HLOOKUP(MID(AV$3,FIND(".",AV$3)+1,FIND(".",AV$3,FIND(".",AV$3)+1)-FIND(".",AV$3)-1),Gällivare!$B$6:$J$36,MATCH($C14,Gällivare!$B$6:$B$36,0),FALSE)&amp;CHAR(10)&amp;"Local Target: "&amp;HLOOKUP(RIGHT(AV$3,LEN(AV$3)-FIND(".",AV$3,FIND(".",AV$3)+1)),Gällivare!$B$6:$J$36,MATCH($C14,Gällivare!$B$6:$B$36,0),FALSE)))</f>
        <v>Medium</v>
      </c>
      <c r="AW14" s="177" t="str">
        <f>IF(AND(HLOOKUP(MID(AW$3,FIND(".",AW$3)+1,FIND(".",AW$3,FIND(".",AW$3)+1)-FIND(".",AW$3)-1),Gällivare!$B$6:$J$36,MATCH($C14,Gällivare!$B$6:$B$36,0),FALSE)="No Impact",HLOOKUP(RIGHT(AW$3,LEN(AW$3)-FIND(".",AW$3,FIND(".",AW$3)+1)),Gällivare!$B$6:$J$36,MATCH($C14,Gällivare!$B$6:$B$36,0),FALSE)="No Impact"),HLOOKUP(LEFT(AW$3,4),Global!$B$6:$J$36,MATCH($C14,Global!$B$6:$B$36,0),FALSE),IF(AND(HLOOKUP(MID(AW$3,FIND(".",AW$3)+1,FIND(".",AW$3,FIND(".",AW$3)+1)-FIND(".",AW$3)-1),Gällivare!$B$6:$J$36,MATCH($C14,Gällivare!$B$6:$B$36,0),FALSE)="No Impact",HLOOKUP(LEFT(AW$3,4),Global!$B$6:$J$36,MATCH($C14,Global!$B$6:$B$36,0),FALSE)="No Impact"),HLOOKUP(RIGHT(AW$3,LEN(AW$3)-FIND(".",AW$3,FIND(".",AW$3)+1)),Gällivare!$B$6:$J$36,MATCH($C14,Gällivare!$B$6:$B$36,0),FALSE),"Global: "&amp;HLOOKUP(LEFT(AW$3,4),Global!$B$6:$J$36,MATCH($C14,Global!$B$6:$B$36,0),FALSE)&amp;CHAR(10)&amp;"Local Trend: "&amp;HLOOKUP(MID(AW$3,FIND(".",AW$3)+1,FIND(".",AW$3,FIND(".",AW$3)+1)-FIND(".",AW$3)-1),Gällivare!$B$6:$J$36,MATCH($C14,Gällivare!$B$6:$B$36,0),FALSE)&amp;CHAR(10)&amp;"Local Target: "&amp;HLOOKUP(RIGHT(AW$3,LEN(AW$3)-FIND(".",AW$3,FIND(".",AW$3)+1)),Gällivare!$B$6:$J$36,MATCH($C14,Gällivare!$B$6:$B$36,0),FALSE)))</f>
        <v>High</v>
      </c>
      <c r="AX14" s="177" t="str">
        <f>IF(AND(HLOOKUP(MID(AX$3,FIND(".",AX$3)+1,FIND(".",AX$3,FIND(".",AX$3)+1)-FIND(".",AX$3)-1),Gällivare!$B$6:$J$36,MATCH($C14,Gällivare!$B$6:$B$36,0),FALSE)="No Impact",HLOOKUP(RIGHT(AX$3,LEN(AX$3)-FIND(".",AX$3,FIND(".",AX$3)+1)),Gällivare!$B$6:$J$36,MATCH($C14,Gällivare!$B$6:$B$36,0),FALSE)="No Impact"),HLOOKUP(LEFT(AX$3,4),Global!$B$6:$J$36,MATCH($C14,Global!$B$6:$B$36,0),FALSE),IF(AND(HLOOKUP(MID(AX$3,FIND(".",AX$3)+1,FIND(".",AX$3,FIND(".",AX$3)+1)-FIND(".",AX$3)-1),Gällivare!$B$6:$J$36,MATCH($C14,Gällivare!$B$6:$B$36,0),FALSE)="No Impact",HLOOKUP(LEFT(AX$3,4),Global!$B$6:$J$36,MATCH($C14,Global!$B$6:$B$36,0),FALSE)="No Impact"),HLOOKUP(RIGHT(AX$3,LEN(AX$3)-FIND(".",AX$3,FIND(".",AX$3)+1)),Gällivare!$B$6:$J$36,MATCH($C14,Gällivare!$B$6:$B$36,0),FALSE),"Global: "&amp;HLOOKUP(LEFT(AX$3,4),Global!$B$6:$J$36,MATCH($C14,Global!$B$6:$B$36,0),FALSE)&amp;CHAR(10)&amp;"Local Trend: "&amp;HLOOKUP(MID(AX$3,FIND(".",AX$3)+1,FIND(".",AX$3,FIND(".",AX$3)+1)-FIND(".",AX$3)-1),Gällivare!$B$6:$J$36,MATCH($C14,Gällivare!$B$6:$B$36,0),FALSE)&amp;CHAR(10)&amp;"Local Target: "&amp;HLOOKUP(RIGHT(AX$3,LEN(AX$3)-FIND(".",AX$3,FIND(".",AX$3)+1)),Gällivare!$B$6:$J$36,MATCH($C14,Gällivare!$B$6:$B$36,0),FALSE)))</f>
        <v>Low in begining
High around 2040</v>
      </c>
      <c r="AY14" s="177" t="str">
        <f>IF(AND(HLOOKUP(MID(AY$3,FIND(".",AY$3)+1,FIND(".",AY$3,FIND(".",AY$3)+1)-FIND(".",AY$3)-1),Gällivare!$B$6:$J$36,MATCH($C14,Gällivare!$B$6:$B$36,0),FALSE)="No Impact",HLOOKUP(RIGHT(AY$3,LEN(AY$3)-FIND(".",AY$3,FIND(".",AY$3)+1)),Gällivare!$B$6:$J$36,MATCH($C14,Gällivare!$B$6:$B$36,0),FALSE)="No Impact"),HLOOKUP(LEFT(AY$3,4),Global!$B$6:$J$36,MATCH($C14,Global!$B$6:$B$36,0),FALSE),IF(AND(HLOOKUP(MID(AY$3,FIND(".",AY$3)+1,FIND(".",AY$3,FIND(".",AY$3)+1)-FIND(".",AY$3)-1),Gällivare!$B$6:$J$36,MATCH($C14,Gällivare!$B$6:$B$36,0),FALSE)="No Impact",HLOOKUP(LEFT(AY$3,4),Global!$B$6:$J$36,MATCH($C14,Global!$B$6:$B$36,0),FALSE)="No Impact"),HLOOKUP(RIGHT(AY$3,LEN(AY$3)-FIND(".",AY$3,FIND(".",AY$3)+1)),Gällivare!$B$6:$J$36,MATCH($C14,Gällivare!$B$6:$B$36,0),FALSE),"Global: "&amp;HLOOKUP(LEFT(AY$3,4),Global!$B$6:$J$36,MATCH($C14,Global!$B$6:$B$36,0),FALSE)&amp;CHAR(10)&amp;"Local Trend: "&amp;HLOOKUP(MID(AY$3,FIND(".",AY$3)+1,FIND(".",AY$3,FIND(".",AY$3)+1)-FIND(".",AY$3)-1),Gällivare!$B$6:$J$36,MATCH($C14,Gällivare!$B$6:$B$36,0),FALSE)&amp;CHAR(10)&amp;"Local Target: "&amp;HLOOKUP(RIGHT(AY$3,LEN(AY$3)-FIND(".",AY$3,FIND(".",AY$3)+1)),Gällivare!$B$6:$J$36,MATCH($C14,Gällivare!$B$6:$B$36,0),FALSE)))</f>
        <v>Medium</v>
      </c>
      <c r="AZ14" s="177" t="str">
        <f>IF(AND(HLOOKUP(MID(AZ$3,FIND(".",AZ$3)+1,FIND(".",AZ$3,FIND(".",AZ$3)+1)-FIND(".",AZ$3)-1),Gällivare!$B$6:$J$36,MATCH($C14,Gällivare!$B$6:$B$36,0),FALSE)="No Impact",HLOOKUP(RIGHT(AZ$3,LEN(AZ$3)-FIND(".",AZ$3,FIND(".",AZ$3)+1)),Gällivare!$B$6:$J$36,MATCH($C14,Gällivare!$B$6:$B$36,0),FALSE)="No Impact"),HLOOKUP(LEFT(AZ$3,4),Global!$B$6:$J$36,MATCH($C14,Global!$B$6:$B$36,0),FALSE),IF(AND(HLOOKUP(MID(AZ$3,FIND(".",AZ$3)+1,FIND(".",AZ$3,FIND(".",AZ$3)+1)-FIND(".",AZ$3)-1),Gällivare!$B$6:$J$36,MATCH($C14,Gällivare!$B$6:$B$36,0),FALSE)="No Impact",HLOOKUP(LEFT(AZ$3,4),Global!$B$6:$J$36,MATCH($C14,Global!$B$6:$B$36,0),FALSE)="No Impact"),HLOOKUP(RIGHT(AZ$3,LEN(AZ$3)-FIND(".",AZ$3,FIND(".",AZ$3)+1)),Gällivare!$B$6:$J$36,MATCH($C14,Gällivare!$B$6:$B$36,0),FALSE),"Global: "&amp;HLOOKUP(LEFT(AZ$3,4),Global!$B$6:$J$36,MATCH($C14,Global!$B$6:$B$36,0),FALSE)&amp;CHAR(10)&amp;"Local Trend: "&amp;HLOOKUP(MID(AZ$3,FIND(".",AZ$3)+1,FIND(".",AZ$3,FIND(".",AZ$3)+1)-FIND(".",AZ$3)-1),Gällivare!$B$6:$J$36,MATCH($C14,Gällivare!$B$6:$B$36,0),FALSE)&amp;CHAR(10)&amp;"Local Target: "&amp;HLOOKUP(RIGHT(AZ$3,LEN(AZ$3)-FIND(".",AZ$3,FIND(".",AZ$3)+1)),Gällivare!$B$6:$J$36,MATCH($C14,Gällivare!$B$6:$B$36,0),FALSE)))</f>
        <v>High</v>
      </c>
      <c r="BA14" s="177" t="str">
        <f>IF(AND(HLOOKUP(MID(BA$3,FIND(".",BA$3)+1,FIND(".",BA$3,FIND(".",BA$3)+1)-FIND(".",BA$3)-1),Gällivare!$B$6:$J$36,MATCH($C14,Gällivare!$B$6:$B$36,0),FALSE)="No Impact",HLOOKUP(RIGHT(BA$3,LEN(BA$3)-FIND(".",BA$3,FIND(".",BA$3)+1)),Gällivare!$B$6:$J$36,MATCH($C14,Gällivare!$B$6:$B$36,0),FALSE)="No Impact"),HLOOKUP(LEFT(BA$3,4),Global!$B$6:$J$36,MATCH($C14,Global!$B$6:$B$36,0),FALSE),IF(AND(HLOOKUP(MID(BA$3,FIND(".",BA$3)+1,FIND(".",BA$3,FIND(".",BA$3)+1)-FIND(".",BA$3)-1),Gällivare!$B$6:$J$36,MATCH($C14,Gällivare!$B$6:$B$36,0),FALSE)="No Impact",HLOOKUP(LEFT(BA$3,4),Global!$B$6:$J$36,MATCH($C14,Global!$B$6:$B$36,0),FALSE)="No Impact"),HLOOKUP(RIGHT(BA$3,LEN(BA$3)-FIND(".",BA$3,FIND(".",BA$3)+1)),Gällivare!$B$6:$J$36,MATCH($C14,Gällivare!$B$6:$B$36,0),FALSE),"Global: "&amp;HLOOKUP(LEFT(BA$3,4),Global!$B$6:$J$36,MATCH($C14,Global!$B$6:$B$36,0),FALSE)&amp;CHAR(10)&amp;"Local Trend: "&amp;HLOOKUP(MID(BA$3,FIND(".",BA$3)+1,FIND(".",BA$3,FIND(".",BA$3)+1)-FIND(".",BA$3)-1),Gällivare!$B$6:$J$36,MATCH($C14,Gällivare!$B$6:$B$36,0),FALSE)&amp;CHAR(10)&amp;"Local Target: "&amp;HLOOKUP(RIGHT(BA$3,LEN(BA$3)-FIND(".",BA$3,FIND(".",BA$3)+1)),Gällivare!$B$6:$J$36,MATCH($C14,Gällivare!$B$6:$B$36,0),FALSE)))</f>
        <v>Low in begining
High around 2040</v>
      </c>
      <c r="BB14" s="177" t="str">
        <f>IF(AND(HLOOKUP(MID(BB$3,FIND(".",BB$3)+1,FIND(".",BB$3,FIND(".",BB$3)+1)-FIND(".",BB$3)-1),Gällivare!$B$6:$J$36,MATCH($C14,Gällivare!$B$6:$B$36,0),FALSE)="No Impact",HLOOKUP(RIGHT(BB$3,LEN(BB$3)-FIND(".",BB$3,FIND(".",BB$3)+1)),Gällivare!$B$6:$J$36,MATCH($C14,Gällivare!$B$6:$B$36,0),FALSE)="No Impact"),HLOOKUP(LEFT(BB$3,4),Global!$B$6:$J$36,MATCH($C14,Global!$B$6:$B$36,0),FALSE),IF(AND(HLOOKUP(MID(BB$3,FIND(".",BB$3)+1,FIND(".",BB$3,FIND(".",BB$3)+1)-FIND(".",BB$3)-1),Gällivare!$B$6:$J$36,MATCH($C14,Gällivare!$B$6:$B$36,0),FALSE)="No Impact",HLOOKUP(LEFT(BB$3,4),Global!$B$6:$J$36,MATCH($C14,Global!$B$6:$B$36,0),FALSE)="No Impact"),HLOOKUP(RIGHT(BB$3,LEN(BB$3)-FIND(".",BB$3,FIND(".",BB$3)+1)),Gällivare!$B$6:$J$36,MATCH($C14,Gällivare!$B$6:$B$36,0),FALSE),"Global: "&amp;HLOOKUP(LEFT(BB$3,4),Global!$B$6:$J$36,MATCH($C14,Global!$B$6:$B$36,0),FALSE)&amp;CHAR(10)&amp;"Local Trend: "&amp;HLOOKUP(MID(BB$3,FIND(".",BB$3)+1,FIND(".",BB$3,FIND(".",BB$3)+1)-FIND(".",BB$3)-1),Gällivare!$B$6:$J$36,MATCH($C14,Gällivare!$B$6:$B$36,0),FALSE)&amp;CHAR(10)&amp;"Local Target: "&amp;HLOOKUP(RIGHT(BB$3,LEN(BB$3)-FIND(".",BB$3,FIND(".",BB$3)+1)),Gällivare!$B$6:$J$36,MATCH($C14,Gällivare!$B$6:$B$36,0),FALSE)))</f>
        <v>Medium</v>
      </c>
      <c r="BC14" s="177" t="str">
        <f>IF(AND(HLOOKUP(MID(BC$3,FIND(".",BC$3)+1,FIND(".",BC$3,FIND(".",BC$3)+1)-FIND(".",BC$3)-1),Gällivare!$B$6:$J$36,MATCH($C14,Gällivare!$B$6:$B$36,0),FALSE)="No Impact",HLOOKUP(RIGHT(BC$3,LEN(BC$3)-FIND(".",BC$3,FIND(".",BC$3)+1)),Gällivare!$B$6:$J$36,MATCH($C14,Gällivare!$B$6:$B$36,0),FALSE)="No Impact"),HLOOKUP(LEFT(BC$3,4),Global!$B$6:$J$36,MATCH($C14,Global!$B$6:$B$36,0),FALSE),IF(AND(HLOOKUP(MID(BC$3,FIND(".",BC$3)+1,FIND(".",BC$3,FIND(".",BC$3)+1)-FIND(".",BC$3)-1),Gällivare!$B$6:$J$36,MATCH($C14,Gällivare!$B$6:$B$36,0),FALSE)="No Impact",HLOOKUP(LEFT(BC$3,4),Global!$B$6:$J$36,MATCH($C14,Global!$B$6:$B$36,0),FALSE)="No Impact"),HLOOKUP(RIGHT(BC$3,LEN(BC$3)-FIND(".",BC$3,FIND(".",BC$3)+1)),Gällivare!$B$6:$J$36,MATCH($C14,Gällivare!$B$6:$B$36,0),FALSE),"Global: "&amp;HLOOKUP(LEFT(BC$3,4),Global!$B$6:$J$36,MATCH($C14,Global!$B$6:$B$36,0),FALSE)&amp;CHAR(10)&amp;"Local Trend: "&amp;HLOOKUP(MID(BC$3,FIND(".",BC$3)+1,FIND(".",BC$3,FIND(".",BC$3)+1)-FIND(".",BC$3)-1),Gällivare!$B$6:$J$36,MATCH($C14,Gällivare!$B$6:$B$36,0),FALSE)&amp;CHAR(10)&amp;"Local Target: "&amp;HLOOKUP(RIGHT(BC$3,LEN(BC$3)-FIND(".",BC$3,FIND(".",BC$3)+1)),Gällivare!$B$6:$J$36,MATCH($C14,Gällivare!$B$6:$B$36,0),FALSE)))</f>
        <v>High</v>
      </c>
      <c r="BD14" s="177" t="str">
        <f>IF(AND(HLOOKUP(MID(BD$3,FIND(".",BD$3)+1,FIND(".",BD$3,FIND(".",BD$3)+1)-FIND(".",BD$3)-1),Gällivare!$B$6:$J$36,MATCH($C14,Gällivare!$B$6:$B$36,0),FALSE)="No Impact",HLOOKUP(RIGHT(BD$3,LEN(BD$3)-FIND(".",BD$3,FIND(".",BD$3)+1)),Gällivare!$B$6:$J$36,MATCH($C14,Gällivare!$B$6:$B$36,0),FALSE)="No Impact"),HLOOKUP(LEFT(BD$3,4),Global!$B$6:$J$36,MATCH($C14,Global!$B$6:$B$36,0),FALSE),IF(AND(HLOOKUP(MID(BD$3,FIND(".",BD$3)+1,FIND(".",BD$3,FIND(".",BD$3)+1)-FIND(".",BD$3)-1),Gällivare!$B$6:$J$36,MATCH($C14,Gällivare!$B$6:$B$36,0),FALSE)="No Impact",HLOOKUP(LEFT(BD$3,4),Global!$B$6:$J$36,MATCH($C14,Global!$B$6:$B$36,0),FALSE)="No Impact"),HLOOKUP(RIGHT(BD$3,LEN(BD$3)-FIND(".",BD$3,FIND(".",BD$3)+1)),Gällivare!$B$6:$J$36,MATCH($C14,Gällivare!$B$6:$B$36,0),FALSE),"Global: "&amp;HLOOKUP(LEFT(BD$3,4),Global!$B$6:$J$36,MATCH($C14,Global!$B$6:$B$36,0),FALSE)&amp;CHAR(10)&amp;"Local Trend: "&amp;HLOOKUP(MID(BD$3,FIND(".",BD$3)+1,FIND(".",BD$3,FIND(".",BD$3)+1)-FIND(".",BD$3)-1),Gällivare!$B$6:$J$36,MATCH($C14,Gällivare!$B$6:$B$36,0),FALSE)&amp;CHAR(10)&amp;"Local Target: "&amp;HLOOKUP(RIGHT(BD$3,LEN(BD$3)-FIND(".",BD$3,FIND(".",BD$3)+1)),Gällivare!$B$6:$J$36,MATCH($C14,Gällivare!$B$6:$B$36,0),FALSE)))</f>
        <v>Low in begining
High around 2040</v>
      </c>
      <c r="BE14" s="177" t="str">
        <f>IF(AND(HLOOKUP(MID(BE$3,FIND(".",BE$3)+1,FIND(".",BE$3,FIND(".",BE$3)+1)-FIND(".",BE$3)-1),Gällivare!$B$6:$J$36,MATCH($C14,Gällivare!$B$6:$B$36,0),FALSE)="No Impact",HLOOKUP(RIGHT(BE$3,LEN(BE$3)-FIND(".",BE$3,FIND(".",BE$3)+1)),Gällivare!$B$6:$J$36,MATCH($C14,Gällivare!$B$6:$B$36,0),FALSE)="No Impact"),HLOOKUP(LEFT(BE$3,4),Global!$B$6:$J$36,MATCH($C14,Global!$B$6:$B$36,0),FALSE),IF(AND(HLOOKUP(MID(BE$3,FIND(".",BE$3)+1,FIND(".",BE$3,FIND(".",BE$3)+1)-FIND(".",BE$3)-1),Gällivare!$B$6:$J$36,MATCH($C14,Gällivare!$B$6:$B$36,0),FALSE)="No Impact",HLOOKUP(LEFT(BE$3,4),Global!$B$6:$J$36,MATCH($C14,Global!$B$6:$B$36,0),FALSE)="No Impact"),HLOOKUP(RIGHT(BE$3,LEN(BE$3)-FIND(".",BE$3,FIND(".",BE$3)+1)),Gällivare!$B$6:$J$36,MATCH($C14,Gällivare!$B$6:$B$36,0),FALSE),"Global: "&amp;HLOOKUP(LEFT(BE$3,4),Global!$B$6:$J$36,MATCH($C14,Global!$B$6:$B$36,0),FALSE)&amp;CHAR(10)&amp;"Local Trend: "&amp;HLOOKUP(MID(BE$3,FIND(".",BE$3)+1,FIND(".",BE$3,FIND(".",BE$3)+1)-FIND(".",BE$3)-1),Gällivare!$B$6:$J$36,MATCH($C14,Gällivare!$B$6:$B$36,0),FALSE)&amp;CHAR(10)&amp;"Local Target: "&amp;HLOOKUP(RIGHT(BE$3,LEN(BE$3)-FIND(".",BE$3,FIND(".",BE$3)+1)),Gällivare!$B$6:$J$36,MATCH($C14,Gällivare!$B$6:$B$36,0),FALSE)))</f>
        <v>Medium</v>
      </c>
      <c r="BF14" s="177" t="str">
        <f>IF(AND(HLOOKUP(MID(BF$3,FIND(".",BF$3)+1,FIND(".",BF$3,FIND(".",BF$3)+1)-FIND(".",BF$3)-1),Gällivare!$B$6:$J$36,MATCH($C14,Gällivare!$B$6:$B$36,0),FALSE)="No Impact",HLOOKUP(RIGHT(BF$3,LEN(BF$3)-FIND(".",BF$3,FIND(".",BF$3)+1)),Gällivare!$B$6:$J$36,MATCH($C14,Gällivare!$B$6:$B$36,0),FALSE)="No Impact"),HLOOKUP(LEFT(BF$3,4),Global!$B$6:$J$36,MATCH($C14,Global!$B$6:$B$36,0),FALSE),IF(AND(HLOOKUP(MID(BF$3,FIND(".",BF$3)+1,FIND(".",BF$3,FIND(".",BF$3)+1)-FIND(".",BF$3)-1),Gällivare!$B$6:$J$36,MATCH($C14,Gällivare!$B$6:$B$36,0),FALSE)="No Impact",HLOOKUP(LEFT(BF$3,4),Global!$B$6:$J$36,MATCH($C14,Global!$B$6:$B$36,0),FALSE)="No Impact"),HLOOKUP(RIGHT(BF$3,LEN(BF$3)-FIND(".",BF$3,FIND(".",BF$3)+1)),Gällivare!$B$6:$J$36,MATCH($C14,Gällivare!$B$6:$B$36,0),FALSE),"Global: "&amp;HLOOKUP(LEFT(BF$3,4),Global!$B$6:$J$36,MATCH($C14,Global!$B$6:$B$36,0),FALSE)&amp;CHAR(10)&amp;"Local Trend: "&amp;HLOOKUP(MID(BF$3,FIND(".",BF$3)+1,FIND(".",BF$3,FIND(".",BF$3)+1)-FIND(".",BF$3)-1),Gällivare!$B$6:$J$36,MATCH($C14,Gällivare!$B$6:$B$36,0),FALSE)&amp;CHAR(10)&amp;"Local Target: "&amp;HLOOKUP(RIGHT(BF$3,LEN(BF$3)-FIND(".",BF$3,FIND(".",BF$3)+1)),Gällivare!$B$6:$J$36,MATCH($C14,Gällivare!$B$6:$B$36,0),FALSE)))</f>
        <v>High</v>
      </c>
      <c r="BG14" s="177" t="str">
        <f>IF(AND(HLOOKUP(MID(BG$3,FIND(".",BG$3)+1,FIND(".",BG$3,FIND(".",BG$3)+1)-FIND(".",BG$3)-1),Gällivare!$B$6:$J$36,MATCH($C14,Gällivare!$B$6:$B$36,0),FALSE)="No Impact",HLOOKUP(RIGHT(BG$3,LEN(BG$3)-FIND(".",BG$3,FIND(".",BG$3)+1)),Gällivare!$B$6:$J$36,MATCH($C14,Gällivare!$B$6:$B$36,0),FALSE)="No Impact"),HLOOKUP(LEFT(BG$3,4),Global!$B$6:$J$36,MATCH($C14,Global!$B$6:$B$36,0),FALSE),IF(AND(HLOOKUP(MID(BG$3,FIND(".",BG$3)+1,FIND(".",BG$3,FIND(".",BG$3)+1)-FIND(".",BG$3)-1),Gällivare!$B$6:$J$36,MATCH($C14,Gällivare!$B$6:$B$36,0),FALSE)="No Impact",HLOOKUP(LEFT(BG$3,4),Global!$B$6:$J$36,MATCH($C14,Global!$B$6:$B$36,0),FALSE)="No Impact"),HLOOKUP(RIGHT(BG$3,LEN(BG$3)-FIND(".",BG$3,FIND(".",BG$3)+1)),Gällivare!$B$6:$J$36,MATCH($C14,Gällivare!$B$6:$B$36,0),FALSE),"Global: "&amp;HLOOKUP(LEFT(BG$3,4),Global!$B$6:$J$36,MATCH($C14,Global!$B$6:$B$36,0),FALSE)&amp;CHAR(10)&amp;"Local Trend: "&amp;HLOOKUP(MID(BG$3,FIND(".",BG$3)+1,FIND(".",BG$3,FIND(".",BG$3)+1)-FIND(".",BG$3)-1),Gällivare!$B$6:$J$36,MATCH($C14,Gällivare!$B$6:$B$36,0),FALSE)&amp;CHAR(10)&amp;"Local Target: "&amp;HLOOKUP(RIGHT(BG$3,LEN(BG$3)-FIND(".",BG$3,FIND(".",BG$3)+1)),Gällivare!$B$6:$J$36,MATCH($C14,Gällivare!$B$6:$B$36,0),FALSE)))</f>
        <v>Low in begining
High around 2040</v>
      </c>
      <c r="BH14" s="177" t="str">
        <f>IF(AND(HLOOKUP(MID(BH$3,FIND(".",BH$3)+1,FIND(".",BH$3,FIND(".",BH$3)+1)-FIND(".",BH$3)-1),Gällivare!$B$6:$J$36,MATCH($C14,Gällivare!$B$6:$B$36,0),FALSE)="No Impact",HLOOKUP(RIGHT(BH$3,LEN(BH$3)-FIND(".",BH$3,FIND(".",BH$3)+1)),Gällivare!$B$6:$J$36,MATCH($C14,Gällivare!$B$6:$B$36,0),FALSE)="No Impact"),HLOOKUP(LEFT(BH$3,4),Global!$B$6:$J$36,MATCH($C14,Global!$B$6:$B$36,0),FALSE),IF(AND(HLOOKUP(MID(BH$3,FIND(".",BH$3)+1,FIND(".",BH$3,FIND(".",BH$3)+1)-FIND(".",BH$3)-1),Gällivare!$B$6:$J$36,MATCH($C14,Gällivare!$B$6:$B$36,0),FALSE)="No Impact",HLOOKUP(LEFT(BH$3,4),Global!$B$6:$J$36,MATCH($C14,Global!$B$6:$B$36,0),FALSE)="No Impact"),HLOOKUP(RIGHT(BH$3,LEN(BH$3)-FIND(".",BH$3,FIND(".",BH$3)+1)),Gällivare!$B$6:$J$36,MATCH($C14,Gällivare!$B$6:$B$36,0),FALSE),"Global: "&amp;HLOOKUP(LEFT(BH$3,4),Global!$B$6:$J$36,MATCH($C14,Global!$B$6:$B$36,0),FALSE)&amp;CHAR(10)&amp;"Local Trend: "&amp;HLOOKUP(MID(BH$3,FIND(".",BH$3)+1,FIND(".",BH$3,FIND(".",BH$3)+1)-FIND(".",BH$3)-1),Gällivare!$B$6:$J$36,MATCH($C14,Gällivare!$B$6:$B$36,0),FALSE)&amp;CHAR(10)&amp;"Local Target: "&amp;HLOOKUP(RIGHT(BH$3,LEN(BH$3)-FIND(".",BH$3,FIND(".",BH$3)+1)),Gällivare!$B$6:$J$36,MATCH($C14,Gällivare!$B$6:$B$36,0),FALSE)))</f>
        <v>Medium</v>
      </c>
      <c r="BI14" s="177" t="str">
        <f>IF(AND(HLOOKUP(MID(BI$3,FIND(".",BI$3)+1,FIND(".",BI$3,FIND(".",BI$3)+1)-FIND(".",BI$3)-1),Gällivare!$B$6:$J$36,MATCH($C14,Gällivare!$B$6:$B$36,0),FALSE)="No Impact",HLOOKUP(RIGHT(BI$3,LEN(BI$3)-FIND(".",BI$3,FIND(".",BI$3)+1)),Gällivare!$B$6:$J$36,MATCH($C14,Gällivare!$B$6:$B$36,0),FALSE)="No Impact"),HLOOKUP(LEFT(BI$3,4),Global!$B$6:$J$36,MATCH($C14,Global!$B$6:$B$36,0),FALSE),IF(AND(HLOOKUP(MID(BI$3,FIND(".",BI$3)+1,FIND(".",BI$3,FIND(".",BI$3)+1)-FIND(".",BI$3)-1),Gällivare!$B$6:$J$36,MATCH($C14,Gällivare!$B$6:$B$36,0),FALSE)="No Impact",HLOOKUP(LEFT(BI$3,4),Global!$B$6:$J$36,MATCH($C14,Global!$B$6:$B$36,0),FALSE)="No Impact"),HLOOKUP(RIGHT(BI$3,LEN(BI$3)-FIND(".",BI$3,FIND(".",BI$3)+1)),Gällivare!$B$6:$J$36,MATCH($C14,Gällivare!$B$6:$B$36,0),FALSE),"Global: "&amp;HLOOKUP(LEFT(BI$3,4),Global!$B$6:$J$36,MATCH($C14,Global!$B$6:$B$36,0),FALSE)&amp;CHAR(10)&amp;"Local Trend: "&amp;HLOOKUP(MID(BI$3,FIND(".",BI$3)+1,FIND(".",BI$3,FIND(".",BI$3)+1)-FIND(".",BI$3)-1),Gällivare!$B$6:$J$36,MATCH($C14,Gällivare!$B$6:$B$36,0),FALSE)&amp;CHAR(10)&amp;"Local Target: "&amp;HLOOKUP(RIGHT(BI$3,LEN(BI$3)-FIND(".",BI$3,FIND(".",BI$3)+1)),Gällivare!$B$6:$J$36,MATCH($C14,Gällivare!$B$6:$B$36,0),FALSE)))</f>
        <v>High</v>
      </c>
      <c r="BJ14" s="177" t="str">
        <f>IF(AND(HLOOKUP(MID(BJ$3,FIND(".",BJ$3)+1,FIND(".",BJ$3,FIND(".",BJ$3)+1)-FIND(".",BJ$3)-1),Gällivare!$B$6:$J$36,MATCH($C14,Gällivare!$B$6:$B$36,0),FALSE)="No Impact",HLOOKUP(RIGHT(BJ$3,LEN(BJ$3)-FIND(".",BJ$3,FIND(".",BJ$3)+1)),Gällivare!$B$6:$J$36,MATCH($C14,Gällivare!$B$6:$B$36,0),FALSE)="No Impact"),HLOOKUP(LEFT(BJ$3,4),Global!$B$6:$J$36,MATCH($C14,Global!$B$6:$B$36,0),FALSE),IF(AND(HLOOKUP(MID(BJ$3,FIND(".",BJ$3)+1,FIND(".",BJ$3,FIND(".",BJ$3)+1)-FIND(".",BJ$3)-1),Gällivare!$B$6:$J$36,MATCH($C14,Gällivare!$B$6:$B$36,0),FALSE)="No Impact",HLOOKUP(LEFT(BJ$3,4),Global!$B$6:$J$36,MATCH($C14,Global!$B$6:$B$36,0),FALSE)="No Impact"),HLOOKUP(RIGHT(BJ$3,LEN(BJ$3)-FIND(".",BJ$3,FIND(".",BJ$3)+1)),Gällivare!$B$6:$J$36,MATCH($C14,Gällivare!$B$6:$B$36,0),FALSE),"Global: "&amp;HLOOKUP(LEFT(BJ$3,4),Global!$B$6:$J$36,MATCH($C14,Global!$B$6:$B$36,0),FALSE)&amp;CHAR(10)&amp;"Local Trend: "&amp;HLOOKUP(MID(BJ$3,FIND(".",BJ$3)+1,FIND(".",BJ$3,FIND(".",BJ$3)+1)-FIND(".",BJ$3)-1),Gällivare!$B$6:$J$36,MATCH($C14,Gällivare!$B$6:$B$36,0),FALSE)&amp;CHAR(10)&amp;"Local Target: "&amp;HLOOKUP(RIGHT(BJ$3,LEN(BJ$3)-FIND(".",BJ$3,FIND(".",BJ$3)+1)),Gällivare!$B$6:$J$36,MATCH($C14,Gällivare!$B$6:$B$36,0),FALSE)))</f>
        <v>Low in begining
High around 2040</v>
      </c>
      <c r="BK14" s="177" t="str">
        <f>IF(AND(HLOOKUP(MID(BK$3,FIND(".",BK$3)+1,FIND(".",BK$3,FIND(".",BK$3)+1)-FIND(".",BK$3)-1),Gällivare!$B$6:$J$36,MATCH($C14,Gällivare!$B$6:$B$36,0),FALSE)="No Impact",HLOOKUP(RIGHT(BK$3,LEN(BK$3)-FIND(".",BK$3,FIND(".",BK$3)+1)),Gällivare!$B$6:$J$36,MATCH($C14,Gällivare!$B$6:$B$36,0),FALSE)="No Impact"),HLOOKUP(LEFT(BK$3,4),Global!$B$6:$J$36,MATCH($C14,Global!$B$6:$B$36,0),FALSE),IF(AND(HLOOKUP(MID(BK$3,FIND(".",BK$3)+1,FIND(".",BK$3,FIND(".",BK$3)+1)-FIND(".",BK$3)-1),Gällivare!$B$6:$J$36,MATCH($C14,Gällivare!$B$6:$B$36,0),FALSE)="No Impact",HLOOKUP(LEFT(BK$3,4),Global!$B$6:$J$36,MATCH($C14,Global!$B$6:$B$36,0),FALSE)="No Impact"),HLOOKUP(RIGHT(BK$3,LEN(BK$3)-FIND(".",BK$3,FIND(".",BK$3)+1)),Gällivare!$B$6:$J$36,MATCH($C14,Gällivare!$B$6:$B$36,0),FALSE),"Global: "&amp;HLOOKUP(LEFT(BK$3,4),Global!$B$6:$J$36,MATCH($C14,Global!$B$6:$B$36,0),FALSE)&amp;CHAR(10)&amp;"Local Trend: "&amp;HLOOKUP(MID(BK$3,FIND(".",BK$3)+1,FIND(".",BK$3,FIND(".",BK$3)+1)-FIND(".",BK$3)-1),Gällivare!$B$6:$J$36,MATCH($C14,Gällivare!$B$6:$B$36,0),FALSE)&amp;CHAR(10)&amp;"Local Target: "&amp;HLOOKUP(RIGHT(BK$3,LEN(BK$3)-FIND(".",BK$3,FIND(".",BK$3)+1)),Gällivare!$B$6:$J$36,MATCH($C14,Gällivare!$B$6:$B$36,0),FALSE)))</f>
        <v>Medium</v>
      </c>
      <c r="BL14" s="177" t="str">
        <f>IF(AND(HLOOKUP(MID(BL$3,FIND(".",BL$3)+1,FIND(".",BL$3,FIND(".",BL$3)+1)-FIND(".",BL$3)-1),Gällivare!$B$6:$J$36,MATCH($C14,Gällivare!$B$6:$B$36,0),FALSE)="No Impact",HLOOKUP(RIGHT(BL$3,LEN(BL$3)-FIND(".",BL$3,FIND(".",BL$3)+1)),Gällivare!$B$6:$J$36,MATCH($C14,Gällivare!$B$6:$B$36,0),FALSE)="No Impact"),HLOOKUP(LEFT(BL$3,4),Global!$B$6:$J$36,MATCH($C14,Global!$B$6:$B$36,0),FALSE),IF(AND(HLOOKUP(MID(BL$3,FIND(".",BL$3)+1,FIND(".",BL$3,FIND(".",BL$3)+1)-FIND(".",BL$3)-1),Gällivare!$B$6:$J$36,MATCH($C14,Gällivare!$B$6:$B$36,0),FALSE)="No Impact",HLOOKUP(LEFT(BL$3,4),Global!$B$6:$J$36,MATCH($C14,Global!$B$6:$B$36,0),FALSE)="No Impact"),HLOOKUP(RIGHT(BL$3,LEN(BL$3)-FIND(".",BL$3,FIND(".",BL$3)+1)),Gällivare!$B$6:$J$36,MATCH($C14,Gällivare!$B$6:$B$36,0),FALSE),"Global: "&amp;HLOOKUP(LEFT(BL$3,4),Global!$B$6:$J$36,MATCH($C14,Global!$B$6:$B$36,0),FALSE)&amp;CHAR(10)&amp;"Local Trend: "&amp;HLOOKUP(MID(BL$3,FIND(".",BL$3)+1,FIND(".",BL$3,FIND(".",BL$3)+1)-FIND(".",BL$3)-1),Gällivare!$B$6:$J$36,MATCH($C14,Gällivare!$B$6:$B$36,0),FALSE)&amp;CHAR(10)&amp;"Local Target: "&amp;HLOOKUP(RIGHT(BL$3,LEN(BL$3)-FIND(".",BL$3,FIND(".",BL$3)+1)),Gällivare!$B$6:$J$36,MATCH($C14,Gällivare!$B$6:$B$36,0),FALSE)))</f>
        <v>High</v>
      </c>
      <c r="BM14" s="177" t="str">
        <f>IF(AND(HLOOKUP(MID(BM$3,FIND(".",BM$3)+1,FIND(".",BM$3,FIND(".",BM$3)+1)-FIND(".",BM$3)-1),Gällivare!$B$6:$J$36,MATCH($C14,Gällivare!$B$6:$B$36,0),FALSE)="No Impact",HLOOKUP(RIGHT(BM$3,LEN(BM$3)-FIND(".",BM$3,FIND(".",BM$3)+1)),Gällivare!$B$6:$J$36,MATCH($C14,Gällivare!$B$6:$B$36,0),FALSE)="No Impact"),HLOOKUP(LEFT(BM$3,4),Global!$B$6:$J$36,MATCH($C14,Global!$B$6:$B$36,0),FALSE),IF(AND(HLOOKUP(MID(BM$3,FIND(".",BM$3)+1,FIND(".",BM$3,FIND(".",BM$3)+1)-FIND(".",BM$3)-1),Gällivare!$B$6:$J$36,MATCH($C14,Gällivare!$B$6:$B$36,0),FALSE)="No Impact",HLOOKUP(LEFT(BM$3,4),Global!$B$6:$J$36,MATCH($C14,Global!$B$6:$B$36,0),FALSE)="No Impact"),HLOOKUP(RIGHT(BM$3,LEN(BM$3)-FIND(".",BM$3,FIND(".",BM$3)+1)),Gällivare!$B$6:$J$36,MATCH($C14,Gällivare!$B$6:$B$36,0),FALSE),"Global: "&amp;HLOOKUP(LEFT(BM$3,4),Global!$B$6:$J$36,MATCH($C14,Global!$B$6:$B$36,0),FALSE)&amp;CHAR(10)&amp;"Local Trend: "&amp;HLOOKUP(MID(BM$3,FIND(".",BM$3)+1,FIND(".",BM$3,FIND(".",BM$3)+1)-FIND(".",BM$3)-1),Gällivare!$B$6:$J$36,MATCH($C14,Gällivare!$B$6:$B$36,0),FALSE)&amp;CHAR(10)&amp;"Local Target: "&amp;HLOOKUP(RIGHT(BM$3,LEN(BM$3)-FIND(".",BM$3,FIND(".",BM$3)+1)),Gällivare!$B$6:$J$36,MATCH($C14,Gällivare!$B$6:$B$36,0),FALSE)))</f>
        <v>Low in begining
High around 2040</v>
      </c>
      <c r="BN14" s="177" t="str">
        <f>IF(AND(HLOOKUP(MID(BN$3,FIND(".",BN$3)+1,FIND(".",BN$3,FIND(".",BN$3)+1)-FIND(".",BN$3)-1),Gällivare!$B$6:$J$36,MATCH($C14,Gällivare!$B$6:$B$36,0),FALSE)="No Impact",HLOOKUP(RIGHT(BN$3,LEN(BN$3)-FIND(".",BN$3,FIND(".",BN$3)+1)),Gällivare!$B$6:$J$36,MATCH($C14,Gällivare!$B$6:$B$36,0),FALSE)="No Impact"),HLOOKUP(LEFT(BN$3,4),Global!$B$6:$J$36,MATCH($C14,Global!$B$6:$B$36,0),FALSE),IF(AND(HLOOKUP(MID(BN$3,FIND(".",BN$3)+1,FIND(".",BN$3,FIND(".",BN$3)+1)-FIND(".",BN$3)-1),Gällivare!$B$6:$J$36,MATCH($C14,Gällivare!$B$6:$B$36,0),FALSE)="No Impact",HLOOKUP(LEFT(BN$3,4),Global!$B$6:$J$36,MATCH($C14,Global!$B$6:$B$36,0),FALSE)="No Impact"),HLOOKUP(RIGHT(BN$3,LEN(BN$3)-FIND(".",BN$3,FIND(".",BN$3)+1)),Gällivare!$B$6:$J$36,MATCH($C14,Gällivare!$B$6:$B$36,0),FALSE),"Global: "&amp;HLOOKUP(LEFT(BN$3,4),Global!$B$6:$J$36,MATCH($C14,Global!$B$6:$B$36,0),FALSE)&amp;CHAR(10)&amp;"Local Trend: "&amp;HLOOKUP(MID(BN$3,FIND(".",BN$3)+1,FIND(".",BN$3,FIND(".",BN$3)+1)-FIND(".",BN$3)-1),Gällivare!$B$6:$J$36,MATCH($C14,Gällivare!$B$6:$B$36,0),FALSE)&amp;CHAR(10)&amp;"Local Target: "&amp;HLOOKUP(RIGHT(BN$3,LEN(BN$3)-FIND(".",BN$3,FIND(".",BN$3)+1)),Gällivare!$B$6:$J$36,MATCH($C14,Gällivare!$B$6:$B$36,0),FALSE)))</f>
        <v>Medium</v>
      </c>
      <c r="BO14" s="177" t="str">
        <f>IF(AND(HLOOKUP(MID(BO$3,FIND(".",BO$3)+1,FIND(".",BO$3,FIND(".",BO$3)+1)-FIND(".",BO$3)-1),Gällivare!$B$6:$J$36,MATCH($C14,Gällivare!$B$6:$B$36,0),FALSE)="No Impact",HLOOKUP(RIGHT(BO$3,LEN(BO$3)-FIND(".",BO$3,FIND(".",BO$3)+1)),Gällivare!$B$6:$J$36,MATCH($C14,Gällivare!$B$6:$B$36,0),FALSE)="No Impact"),HLOOKUP(LEFT(BO$3,4),Global!$B$6:$J$36,MATCH($C14,Global!$B$6:$B$36,0),FALSE),IF(AND(HLOOKUP(MID(BO$3,FIND(".",BO$3)+1,FIND(".",BO$3,FIND(".",BO$3)+1)-FIND(".",BO$3)-1),Gällivare!$B$6:$J$36,MATCH($C14,Gällivare!$B$6:$B$36,0),FALSE)="No Impact",HLOOKUP(LEFT(BO$3,4),Global!$B$6:$J$36,MATCH($C14,Global!$B$6:$B$36,0),FALSE)="No Impact"),HLOOKUP(RIGHT(BO$3,LEN(BO$3)-FIND(".",BO$3,FIND(".",BO$3)+1)),Gällivare!$B$6:$J$36,MATCH($C14,Gällivare!$B$6:$B$36,0),FALSE),"Global: "&amp;HLOOKUP(LEFT(BO$3,4),Global!$B$6:$J$36,MATCH($C14,Global!$B$6:$B$36,0),FALSE)&amp;CHAR(10)&amp;"Local Trend: "&amp;HLOOKUP(MID(BO$3,FIND(".",BO$3)+1,FIND(".",BO$3,FIND(".",BO$3)+1)-FIND(".",BO$3)-1),Gällivare!$B$6:$J$36,MATCH($C14,Gällivare!$B$6:$B$36,0),FALSE)&amp;CHAR(10)&amp;"Local Target: "&amp;HLOOKUP(RIGHT(BO$3,LEN(BO$3)-FIND(".",BO$3,FIND(".",BO$3)+1)),Gällivare!$B$6:$J$36,MATCH($C14,Gällivare!$B$6:$B$36,0),FALSE)))</f>
        <v>High</v>
      </c>
      <c r="BP14" s="177" t="str">
        <f>IF(AND(HLOOKUP(MID(BP$3,FIND(".",BP$3)+1,FIND(".",BP$3,FIND(".",BP$3)+1)-FIND(".",BP$3)-1),Gällivare!$B$6:$J$36,MATCH($C14,Gällivare!$B$6:$B$36,0),FALSE)="No Impact",HLOOKUP(RIGHT(BP$3,LEN(BP$3)-FIND(".",BP$3,FIND(".",BP$3)+1)),Gällivare!$B$6:$J$36,MATCH($C14,Gällivare!$B$6:$B$36,0),FALSE)="No Impact"),HLOOKUP(LEFT(BP$3,4),Global!$B$6:$J$36,MATCH($C14,Global!$B$6:$B$36,0),FALSE),IF(AND(HLOOKUP(MID(BP$3,FIND(".",BP$3)+1,FIND(".",BP$3,FIND(".",BP$3)+1)-FIND(".",BP$3)-1),Gällivare!$B$6:$J$36,MATCH($C14,Gällivare!$B$6:$B$36,0),FALSE)="No Impact",HLOOKUP(LEFT(BP$3,4),Global!$B$6:$J$36,MATCH($C14,Global!$B$6:$B$36,0),FALSE)="No Impact"),HLOOKUP(RIGHT(BP$3,LEN(BP$3)-FIND(".",BP$3,FIND(".",BP$3)+1)),Gällivare!$B$6:$J$36,MATCH($C14,Gällivare!$B$6:$B$36,0),FALSE),"Global: "&amp;HLOOKUP(LEFT(BP$3,4),Global!$B$6:$J$36,MATCH($C14,Global!$B$6:$B$36,0),FALSE)&amp;CHAR(10)&amp;"Local Trend: "&amp;HLOOKUP(MID(BP$3,FIND(".",BP$3)+1,FIND(".",BP$3,FIND(".",BP$3)+1)-FIND(".",BP$3)-1),Gällivare!$B$6:$J$36,MATCH($C14,Gällivare!$B$6:$B$36,0),FALSE)&amp;CHAR(10)&amp;"Local Target: "&amp;HLOOKUP(RIGHT(BP$3,LEN(BP$3)-FIND(".",BP$3,FIND(".",BP$3)+1)),Gällivare!$B$6:$J$36,MATCH($C14,Gällivare!$B$6:$B$36,0),FALSE)))</f>
        <v>Low in begining
High around 2040</v>
      </c>
      <c r="BT14" s="24"/>
      <c r="BU14" s="24"/>
      <c r="BV14" s="24"/>
    </row>
    <row r="15" spans="2:82" ht="43.2" x14ac:dyDescent="0.3">
      <c r="B15" s="245"/>
      <c r="C15" s="175" t="s">
        <v>183</v>
      </c>
      <c r="D15" s="175" t="s">
        <v>184</v>
      </c>
      <c r="E15" s="175" t="s">
        <v>185</v>
      </c>
      <c r="F15" s="176" t="s">
        <v>165</v>
      </c>
      <c r="G15" s="176"/>
      <c r="H15" s="175" t="str">
        <f t="shared" si="1"/>
        <v>Medium</v>
      </c>
      <c r="I15" s="175" t="str">
        <f t="shared" si="1"/>
        <v>High</v>
      </c>
      <c r="J15" s="175" t="str">
        <f t="shared" si="1"/>
        <v>Low in begining
High around 2040</v>
      </c>
      <c r="K15" s="175" t="str">
        <f t="shared" si="1"/>
        <v>Medium</v>
      </c>
      <c r="L15" s="175" t="str">
        <f t="shared" si="1"/>
        <v>High</v>
      </c>
      <c r="M15" s="175" t="str">
        <f t="shared" si="1"/>
        <v>Low in begining
High around 2040</v>
      </c>
      <c r="N15" s="175" t="str">
        <f t="shared" si="1"/>
        <v>Medium</v>
      </c>
      <c r="O15" s="175" t="str">
        <f t="shared" si="1"/>
        <v>High</v>
      </c>
      <c r="P15" s="175" t="str">
        <f t="shared" si="1"/>
        <v>Low in begining
High around 2040</v>
      </c>
      <c r="Q15" s="175" t="str">
        <f t="shared" si="1"/>
        <v>Medium</v>
      </c>
      <c r="R15" s="175" t="str">
        <f t="shared" si="1"/>
        <v>High</v>
      </c>
      <c r="S15" s="175" t="str">
        <f t="shared" si="1"/>
        <v>Low in begining
High around 2040</v>
      </c>
      <c r="T15" s="175" t="str">
        <f t="shared" si="1"/>
        <v>Medium</v>
      </c>
      <c r="U15" s="175" t="str">
        <f t="shared" si="1"/>
        <v>High</v>
      </c>
      <c r="V15" s="175" t="str">
        <f t="shared" si="1"/>
        <v>Low in begining
High around 2040</v>
      </c>
      <c r="W15" s="175" t="str">
        <f t="shared" si="1"/>
        <v>Medium</v>
      </c>
      <c r="X15" s="175" t="str">
        <f t="shared" ref="X15:AE33" si="5">BC15</f>
        <v>High</v>
      </c>
      <c r="Y15" s="175" t="str">
        <f t="shared" si="5"/>
        <v>Low in begining
High around 2040</v>
      </c>
      <c r="Z15" s="175" t="str">
        <f t="shared" si="5"/>
        <v>Medium</v>
      </c>
      <c r="AA15" s="175" t="str">
        <f t="shared" si="5"/>
        <v>High</v>
      </c>
      <c r="AB15" s="175" t="str">
        <f t="shared" si="5"/>
        <v>Low in begining
High around 2040</v>
      </c>
      <c r="AC15" s="175" t="str">
        <f t="shared" si="5"/>
        <v>Medium</v>
      </c>
      <c r="AD15" s="175" t="str">
        <f t="shared" si="5"/>
        <v>High</v>
      </c>
      <c r="AE15" s="175" t="str">
        <f t="shared" si="5"/>
        <v>Low in begining
High around 2040</v>
      </c>
      <c r="AF15" s="175" t="str">
        <f t="shared" si="4"/>
        <v>Medium</v>
      </c>
      <c r="AG15" s="175" t="str">
        <f t="shared" si="4"/>
        <v>High</v>
      </c>
      <c r="AH15" s="175" t="str">
        <f t="shared" si="4"/>
        <v>Low in begining
High around 2040</v>
      </c>
      <c r="AI15" s="175" t="str">
        <f t="shared" si="4"/>
        <v>Medium</v>
      </c>
      <c r="AJ15" s="175" t="str">
        <f t="shared" si="4"/>
        <v>High</v>
      </c>
      <c r="AK15" s="175" t="str">
        <f t="shared" si="4"/>
        <v>Low in begining
High around 2040</v>
      </c>
      <c r="AL15" s="176"/>
      <c r="AM15" s="177" t="str">
        <f>IF(AND(HLOOKUP(MID(AM$3,FIND(".",AM$3)+1,FIND(".",AM$3,FIND(".",AM$3)+1)-FIND(".",AM$3)-1),Gällivare!$B$6:$J$36,MATCH($C15,Gällivare!$B$6:$B$36,0),FALSE)="No Impact",HLOOKUP(RIGHT(AM$3,LEN(AM$3)-FIND(".",AM$3,FIND(".",AM$3)+1)),Gällivare!$B$6:$J$36,MATCH($C15,Gällivare!$B$6:$B$36,0),FALSE)="No Impact"),HLOOKUP(LEFT(AM$3,4),Global!$B$6:$J$36,MATCH($C15,Global!$B$6:$B$36,0),FALSE),IF(AND(HLOOKUP(MID(AM$3,FIND(".",AM$3)+1,FIND(".",AM$3,FIND(".",AM$3)+1)-FIND(".",AM$3)-1),Gällivare!$B$6:$J$36,MATCH($C15,Gällivare!$B$6:$B$36,0),FALSE)="No Impact",HLOOKUP(LEFT(AM$3,4),Global!$B$6:$J$36,MATCH($C15,Global!$B$6:$B$36,0),FALSE)="No Impact"),HLOOKUP(RIGHT(AM$3,LEN(AM$3)-FIND(".",AM$3,FIND(".",AM$3)+1)),Gällivare!$B$6:$J$36,MATCH($C15,Gällivare!$B$6:$B$36,0),FALSE),"Global: "&amp;HLOOKUP(LEFT(AM$3,4),Global!$B$6:$J$36,MATCH($C15,Global!$B$6:$B$36,0),FALSE)&amp;CHAR(10)&amp;"Local Trend: "&amp;HLOOKUP(MID(AM$3,FIND(".",AM$3)+1,FIND(".",AM$3,FIND(".",AM$3)+1)-FIND(".",AM$3)-1),Gällivare!$B$6:$J$36,MATCH($C15,Gällivare!$B$6:$B$36,0),FALSE)&amp;CHAR(10)&amp;"Local Target: "&amp;HLOOKUP(RIGHT(AM$3,LEN(AM$3)-FIND(".",AM$3,FIND(".",AM$3)+1)),Gällivare!$B$6:$J$36,MATCH($C15,Gällivare!$B$6:$B$36,0),FALSE)))</f>
        <v>Medium</v>
      </c>
      <c r="AN15" s="177" t="str">
        <f>IF(AND(HLOOKUP(MID(AN$3,FIND(".",AN$3)+1,FIND(".",AN$3,FIND(".",AN$3)+1)-FIND(".",AN$3)-1),Gällivare!$B$6:$J$36,MATCH($C15,Gällivare!$B$6:$B$36,0),FALSE)="No Impact",HLOOKUP(RIGHT(AN$3,LEN(AN$3)-FIND(".",AN$3,FIND(".",AN$3)+1)),Gällivare!$B$6:$J$36,MATCH($C15,Gällivare!$B$6:$B$36,0),FALSE)="No Impact"),HLOOKUP(LEFT(AN$3,4),Global!$B$6:$J$36,MATCH($C15,Global!$B$6:$B$36,0),FALSE),IF(AND(HLOOKUP(MID(AN$3,FIND(".",AN$3)+1,FIND(".",AN$3,FIND(".",AN$3)+1)-FIND(".",AN$3)-1),Gällivare!$B$6:$J$36,MATCH($C15,Gällivare!$B$6:$B$36,0),FALSE)="No Impact",HLOOKUP(LEFT(AN$3,4),Global!$B$6:$J$36,MATCH($C15,Global!$B$6:$B$36,0),FALSE)="No Impact"),HLOOKUP(RIGHT(AN$3,LEN(AN$3)-FIND(".",AN$3,FIND(".",AN$3)+1)),Gällivare!$B$6:$J$36,MATCH($C15,Gällivare!$B$6:$B$36,0),FALSE),"Global: "&amp;HLOOKUP(LEFT(AN$3,4),Global!$B$6:$J$36,MATCH($C15,Global!$B$6:$B$36,0),FALSE)&amp;CHAR(10)&amp;"Local Trend: "&amp;HLOOKUP(MID(AN$3,FIND(".",AN$3)+1,FIND(".",AN$3,FIND(".",AN$3)+1)-FIND(".",AN$3)-1),Gällivare!$B$6:$J$36,MATCH($C15,Gällivare!$B$6:$B$36,0),FALSE)&amp;CHAR(10)&amp;"Local Target: "&amp;HLOOKUP(RIGHT(AN$3,LEN(AN$3)-FIND(".",AN$3,FIND(".",AN$3)+1)),Gällivare!$B$6:$J$36,MATCH($C15,Gällivare!$B$6:$B$36,0),FALSE)))</f>
        <v>High</v>
      </c>
      <c r="AO15" s="177" t="str">
        <f>IF(AND(HLOOKUP(MID(AO$3,FIND(".",AO$3)+1,FIND(".",AO$3,FIND(".",AO$3)+1)-FIND(".",AO$3)-1),Gällivare!$B$6:$J$36,MATCH($C15,Gällivare!$B$6:$B$36,0),FALSE)="No Impact",HLOOKUP(RIGHT(AO$3,LEN(AO$3)-FIND(".",AO$3,FIND(".",AO$3)+1)),Gällivare!$B$6:$J$36,MATCH($C15,Gällivare!$B$6:$B$36,0),FALSE)="No Impact"),HLOOKUP(LEFT(AO$3,4),Global!$B$6:$J$36,MATCH($C15,Global!$B$6:$B$36,0),FALSE),IF(AND(HLOOKUP(MID(AO$3,FIND(".",AO$3)+1,FIND(".",AO$3,FIND(".",AO$3)+1)-FIND(".",AO$3)-1),Gällivare!$B$6:$J$36,MATCH($C15,Gällivare!$B$6:$B$36,0),FALSE)="No Impact",HLOOKUP(LEFT(AO$3,4),Global!$B$6:$J$36,MATCH($C15,Global!$B$6:$B$36,0),FALSE)="No Impact"),HLOOKUP(RIGHT(AO$3,LEN(AO$3)-FIND(".",AO$3,FIND(".",AO$3)+1)),Gällivare!$B$6:$J$36,MATCH($C15,Gällivare!$B$6:$B$36,0),FALSE),"Global: "&amp;HLOOKUP(LEFT(AO$3,4),Global!$B$6:$J$36,MATCH($C15,Global!$B$6:$B$36,0),FALSE)&amp;CHAR(10)&amp;"Local Trend: "&amp;HLOOKUP(MID(AO$3,FIND(".",AO$3)+1,FIND(".",AO$3,FIND(".",AO$3)+1)-FIND(".",AO$3)-1),Gällivare!$B$6:$J$36,MATCH($C15,Gällivare!$B$6:$B$36,0),FALSE)&amp;CHAR(10)&amp;"Local Target: "&amp;HLOOKUP(RIGHT(AO$3,LEN(AO$3)-FIND(".",AO$3,FIND(".",AO$3)+1)),Gällivare!$B$6:$J$36,MATCH($C15,Gällivare!$B$6:$B$36,0),FALSE)))</f>
        <v>Low in begining
High around 2040</v>
      </c>
      <c r="AP15" s="177" t="str">
        <f>IF(AND(HLOOKUP(MID(AP$3,FIND(".",AP$3)+1,FIND(".",AP$3,FIND(".",AP$3)+1)-FIND(".",AP$3)-1),Gällivare!$B$6:$J$36,MATCH($C15,Gällivare!$B$6:$B$36,0),FALSE)="No Impact",HLOOKUP(RIGHT(AP$3,LEN(AP$3)-FIND(".",AP$3,FIND(".",AP$3)+1)),Gällivare!$B$6:$J$36,MATCH($C15,Gällivare!$B$6:$B$36,0),FALSE)="No Impact"),HLOOKUP(LEFT(AP$3,4),Global!$B$6:$J$36,MATCH($C15,Global!$B$6:$B$36,0),FALSE),IF(AND(HLOOKUP(MID(AP$3,FIND(".",AP$3)+1,FIND(".",AP$3,FIND(".",AP$3)+1)-FIND(".",AP$3)-1),Gällivare!$B$6:$J$36,MATCH($C15,Gällivare!$B$6:$B$36,0),FALSE)="No Impact",HLOOKUP(LEFT(AP$3,4),Global!$B$6:$J$36,MATCH($C15,Global!$B$6:$B$36,0),FALSE)="No Impact"),HLOOKUP(RIGHT(AP$3,LEN(AP$3)-FIND(".",AP$3,FIND(".",AP$3)+1)),Gällivare!$B$6:$J$36,MATCH($C15,Gällivare!$B$6:$B$36,0),FALSE),"Global: "&amp;HLOOKUP(LEFT(AP$3,4),Global!$B$6:$J$36,MATCH($C15,Global!$B$6:$B$36,0),FALSE)&amp;CHAR(10)&amp;"Local Trend: "&amp;HLOOKUP(MID(AP$3,FIND(".",AP$3)+1,FIND(".",AP$3,FIND(".",AP$3)+1)-FIND(".",AP$3)-1),Gällivare!$B$6:$J$36,MATCH($C15,Gällivare!$B$6:$B$36,0),FALSE)&amp;CHAR(10)&amp;"Local Target: "&amp;HLOOKUP(RIGHT(AP$3,LEN(AP$3)-FIND(".",AP$3,FIND(".",AP$3)+1)),Gällivare!$B$6:$J$36,MATCH($C15,Gällivare!$B$6:$B$36,0),FALSE)))</f>
        <v>Medium</v>
      </c>
      <c r="AQ15" s="177" t="str">
        <f>IF(AND(HLOOKUP(MID(AQ$3,FIND(".",AQ$3)+1,FIND(".",AQ$3,FIND(".",AQ$3)+1)-FIND(".",AQ$3)-1),Gällivare!$B$6:$J$36,MATCH($C15,Gällivare!$B$6:$B$36,0),FALSE)="No Impact",HLOOKUP(RIGHT(AQ$3,LEN(AQ$3)-FIND(".",AQ$3,FIND(".",AQ$3)+1)),Gällivare!$B$6:$J$36,MATCH($C15,Gällivare!$B$6:$B$36,0),FALSE)="No Impact"),HLOOKUP(LEFT(AQ$3,4),Global!$B$6:$J$36,MATCH($C15,Global!$B$6:$B$36,0),FALSE),IF(AND(HLOOKUP(MID(AQ$3,FIND(".",AQ$3)+1,FIND(".",AQ$3,FIND(".",AQ$3)+1)-FIND(".",AQ$3)-1),Gällivare!$B$6:$J$36,MATCH($C15,Gällivare!$B$6:$B$36,0),FALSE)="No Impact",HLOOKUP(LEFT(AQ$3,4),Global!$B$6:$J$36,MATCH($C15,Global!$B$6:$B$36,0),FALSE)="No Impact"),HLOOKUP(RIGHT(AQ$3,LEN(AQ$3)-FIND(".",AQ$3,FIND(".",AQ$3)+1)),Gällivare!$B$6:$J$36,MATCH($C15,Gällivare!$B$6:$B$36,0),FALSE),"Global: "&amp;HLOOKUP(LEFT(AQ$3,4),Global!$B$6:$J$36,MATCH($C15,Global!$B$6:$B$36,0),FALSE)&amp;CHAR(10)&amp;"Local Trend: "&amp;HLOOKUP(MID(AQ$3,FIND(".",AQ$3)+1,FIND(".",AQ$3,FIND(".",AQ$3)+1)-FIND(".",AQ$3)-1),Gällivare!$B$6:$J$36,MATCH($C15,Gällivare!$B$6:$B$36,0),FALSE)&amp;CHAR(10)&amp;"Local Target: "&amp;HLOOKUP(RIGHT(AQ$3,LEN(AQ$3)-FIND(".",AQ$3,FIND(".",AQ$3)+1)),Gällivare!$B$6:$J$36,MATCH($C15,Gällivare!$B$6:$B$36,0),FALSE)))</f>
        <v>High</v>
      </c>
      <c r="AR15" s="177" t="str">
        <f>IF(AND(HLOOKUP(MID(AR$3,FIND(".",AR$3)+1,FIND(".",AR$3,FIND(".",AR$3)+1)-FIND(".",AR$3)-1),Gällivare!$B$6:$J$36,MATCH($C15,Gällivare!$B$6:$B$36,0),FALSE)="No Impact",HLOOKUP(RIGHT(AR$3,LEN(AR$3)-FIND(".",AR$3,FIND(".",AR$3)+1)),Gällivare!$B$6:$J$36,MATCH($C15,Gällivare!$B$6:$B$36,0),FALSE)="No Impact"),HLOOKUP(LEFT(AR$3,4),Global!$B$6:$J$36,MATCH($C15,Global!$B$6:$B$36,0),FALSE),IF(AND(HLOOKUP(MID(AR$3,FIND(".",AR$3)+1,FIND(".",AR$3,FIND(".",AR$3)+1)-FIND(".",AR$3)-1),Gällivare!$B$6:$J$36,MATCH($C15,Gällivare!$B$6:$B$36,0),FALSE)="No Impact",HLOOKUP(LEFT(AR$3,4),Global!$B$6:$J$36,MATCH($C15,Global!$B$6:$B$36,0),FALSE)="No Impact"),HLOOKUP(RIGHT(AR$3,LEN(AR$3)-FIND(".",AR$3,FIND(".",AR$3)+1)),Gällivare!$B$6:$J$36,MATCH($C15,Gällivare!$B$6:$B$36,0),FALSE),"Global: "&amp;HLOOKUP(LEFT(AR$3,4),Global!$B$6:$J$36,MATCH($C15,Global!$B$6:$B$36,0),FALSE)&amp;CHAR(10)&amp;"Local Trend: "&amp;HLOOKUP(MID(AR$3,FIND(".",AR$3)+1,FIND(".",AR$3,FIND(".",AR$3)+1)-FIND(".",AR$3)-1),Gällivare!$B$6:$J$36,MATCH($C15,Gällivare!$B$6:$B$36,0),FALSE)&amp;CHAR(10)&amp;"Local Target: "&amp;HLOOKUP(RIGHT(AR$3,LEN(AR$3)-FIND(".",AR$3,FIND(".",AR$3)+1)),Gällivare!$B$6:$J$36,MATCH($C15,Gällivare!$B$6:$B$36,0),FALSE)))</f>
        <v>Low in begining
High around 2040</v>
      </c>
      <c r="AS15" s="177" t="str">
        <f>IF(AND(HLOOKUP(MID(AS$3,FIND(".",AS$3)+1,FIND(".",AS$3,FIND(".",AS$3)+1)-FIND(".",AS$3)-1),Gällivare!$B$6:$J$36,MATCH($C15,Gällivare!$B$6:$B$36,0),FALSE)="No Impact",HLOOKUP(RIGHT(AS$3,LEN(AS$3)-FIND(".",AS$3,FIND(".",AS$3)+1)),Gällivare!$B$6:$J$36,MATCH($C15,Gällivare!$B$6:$B$36,0),FALSE)="No Impact"),HLOOKUP(LEFT(AS$3,4),Global!$B$6:$J$36,MATCH($C15,Global!$B$6:$B$36,0),FALSE),IF(AND(HLOOKUP(MID(AS$3,FIND(".",AS$3)+1,FIND(".",AS$3,FIND(".",AS$3)+1)-FIND(".",AS$3)-1),Gällivare!$B$6:$J$36,MATCH($C15,Gällivare!$B$6:$B$36,0),FALSE)="No Impact",HLOOKUP(LEFT(AS$3,4),Global!$B$6:$J$36,MATCH($C15,Global!$B$6:$B$36,0),FALSE)="No Impact"),HLOOKUP(RIGHT(AS$3,LEN(AS$3)-FIND(".",AS$3,FIND(".",AS$3)+1)),Gällivare!$B$6:$J$36,MATCH($C15,Gällivare!$B$6:$B$36,0),FALSE),"Global: "&amp;HLOOKUP(LEFT(AS$3,4),Global!$B$6:$J$36,MATCH($C15,Global!$B$6:$B$36,0),FALSE)&amp;CHAR(10)&amp;"Local Trend: "&amp;HLOOKUP(MID(AS$3,FIND(".",AS$3)+1,FIND(".",AS$3,FIND(".",AS$3)+1)-FIND(".",AS$3)-1),Gällivare!$B$6:$J$36,MATCH($C15,Gällivare!$B$6:$B$36,0),FALSE)&amp;CHAR(10)&amp;"Local Target: "&amp;HLOOKUP(RIGHT(AS$3,LEN(AS$3)-FIND(".",AS$3,FIND(".",AS$3)+1)),Gällivare!$B$6:$J$36,MATCH($C15,Gällivare!$B$6:$B$36,0),FALSE)))</f>
        <v>Medium</v>
      </c>
      <c r="AT15" s="177" t="str">
        <f>IF(AND(HLOOKUP(MID(AT$3,FIND(".",AT$3)+1,FIND(".",AT$3,FIND(".",AT$3)+1)-FIND(".",AT$3)-1),Gällivare!$B$6:$J$36,MATCH($C15,Gällivare!$B$6:$B$36,0),FALSE)="No Impact",HLOOKUP(RIGHT(AT$3,LEN(AT$3)-FIND(".",AT$3,FIND(".",AT$3)+1)),Gällivare!$B$6:$J$36,MATCH($C15,Gällivare!$B$6:$B$36,0),FALSE)="No Impact"),HLOOKUP(LEFT(AT$3,4),Global!$B$6:$J$36,MATCH($C15,Global!$B$6:$B$36,0),FALSE),IF(AND(HLOOKUP(MID(AT$3,FIND(".",AT$3)+1,FIND(".",AT$3,FIND(".",AT$3)+1)-FIND(".",AT$3)-1),Gällivare!$B$6:$J$36,MATCH($C15,Gällivare!$B$6:$B$36,0),FALSE)="No Impact",HLOOKUP(LEFT(AT$3,4),Global!$B$6:$J$36,MATCH($C15,Global!$B$6:$B$36,0),FALSE)="No Impact"),HLOOKUP(RIGHT(AT$3,LEN(AT$3)-FIND(".",AT$3,FIND(".",AT$3)+1)),Gällivare!$B$6:$J$36,MATCH($C15,Gällivare!$B$6:$B$36,0),FALSE),"Global: "&amp;HLOOKUP(LEFT(AT$3,4),Global!$B$6:$J$36,MATCH($C15,Global!$B$6:$B$36,0),FALSE)&amp;CHAR(10)&amp;"Local Trend: "&amp;HLOOKUP(MID(AT$3,FIND(".",AT$3)+1,FIND(".",AT$3,FIND(".",AT$3)+1)-FIND(".",AT$3)-1),Gällivare!$B$6:$J$36,MATCH($C15,Gällivare!$B$6:$B$36,0),FALSE)&amp;CHAR(10)&amp;"Local Target: "&amp;HLOOKUP(RIGHT(AT$3,LEN(AT$3)-FIND(".",AT$3,FIND(".",AT$3)+1)),Gällivare!$B$6:$J$36,MATCH($C15,Gällivare!$B$6:$B$36,0),FALSE)))</f>
        <v>High</v>
      </c>
      <c r="AU15" s="177" t="str">
        <f>IF(AND(HLOOKUP(MID(AU$3,FIND(".",AU$3)+1,FIND(".",AU$3,FIND(".",AU$3)+1)-FIND(".",AU$3)-1),Gällivare!$B$6:$J$36,MATCH($C15,Gällivare!$B$6:$B$36,0),FALSE)="No Impact",HLOOKUP(RIGHT(AU$3,LEN(AU$3)-FIND(".",AU$3,FIND(".",AU$3)+1)),Gällivare!$B$6:$J$36,MATCH($C15,Gällivare!$B$6:$B$36,0),FALSE)="No Impact"),HLOOKUP(LEFT(AU$3,4),Global!$B$6:$J$36,MATCH($C15,Global!$B$6:$B$36,0),FALSE),IF(AND(HLOOKUP(MID(AU$3,FIND(".",AU$3)+1,FIND(".",AU$3,FIND(".",AU$3)+1)-FIND(".",AU$3)-1),Gällivare!$B$6:$J$36,MATCH($C15,Gällivare!$B$6:$B$36,0),FALSE)="No Impact",HLOOKUP(LEFT(AU$3,4),Global!$B$6:$J$36,MATCH($C15,Global!$B$6:$B$36,0),FALSE)="No Impact"),HLOOKUP(RIGHT(AU$3,LEN(AU$3)-FIND(".",AU$3,FIND(".",AU$3)+1)),Gällivare!$B$6:$J$36,MATCH($C15,Gällivare!$B$6:$B$36,0),FALSE),"Global: "&amp;HLOOKUP(LEFT(AU$3,4),Global!$B$6:$J$36,MATCH($C15,Global!$B$6:$B$36,0),FALSE)&amp;CHAR(10)&amp;"Local Trend: "&amp;HLOOKUP(MID(AU$3,FIND(".",AU$3)+1,FIND(".",AU$3,FIND(".",AU$3)+1)-FIND(".",AU$3)-1),Gällivare!$B$6:$J$36,MATCH($C15,Gällivare!$B$6:$B$36,0),FALSE)&amp;CHAR(10)&amp;"Local Target: "&amp;HLOOKUP(RIGHT(AU$3,LEN(AU$3)-FIND(".",AU$3,FIND(".",AU$3)+1)),Gällivare!$B$6:$J$36,MATCH($C15,Gällivare!$B$6:$B$36,0),FALSE)))</f>
        <v>Low in begining
High around 2040</v>
      </c>
      <c r="AV15" s="177" t="str">
        <f>IF(AND(HLOOKUP(MID(AV$3,FIND(".",AV$3)+1,FIND(".",AV$3,FIND(".",AV$3)+1)-FIND(".",AV$3)-1),Gällivare!$B$6:$J$36,MATCH($C15,Gällivare!$B$6:$B$36,0),FALSE)="No Impact",HLOOKUP(RIGHT(AV$3,LEN(AV$3)-FIND(".",AV$3,FIND(".",AV$3)+1)),Gällivare!$B$6:$J$36,MATCH($C15,Gällivare!$B$6:$B$36,0),FALSE)="No Impact"),HLOOKUP(LEFT(AV$3,4),Global!$B$6:$J$36,MATCH($C15,Global!$B$6:$B$36,0),FALSE),IF(AND(HLOOKUP(MID(AV$3,FIND(".",AV$3)+1,FIND(".",AV$3,FIND(".",AV$3)+1)-FIND(".",AV$3)-1),Gällivare!$B$6:$J$36,MATCH($C15,Gällivare!$B$6:$B$36,0),FALSE)="No Impact",HLOOKUP(LEFT(AV$3,4),Global!$B$6:$J$36,MATCH($C15,Global!$B$6:$B$36,0),FALSE)="No Impact"),HLOOKUP(RIGHT(AV$3,LEN(AV$3)-FIND(".",AV$3,FIND(".",AV$3)+1)),Gällivare!$B$6:$J$36,MATCH($C15,Gällivare!$B$6:$B$36,0),FALSE),"Global: "&amp;HLOOKUP(LEFT(AV$3,4),Global!$B$6:$J$36,MATCH($C15,Global!$B$6:$B$36,0),FALSE)&amp;CHAR(10)&amp;"Local Trend: "&amp;HLOOKUP(MID(AV$3,FIND(".",AV$3)+1,FIND(".",AV$3,FIND(".",AV$3)+1)-FIND(".",AV$3)-1),Gällivare!$B$6:$J$36,MATCH($C15,Gällivare!$B$6:$B$36,0),FALSE)&amp;CHAR(10)&amp;"Local Target: "&amp;HLOOKUP(RIGHT(AV$3,LEN(AV$3)-FIND(".",AV$3,FIND(".",AV$3)+1)),Gällivare!$B$6:$J$36,MATCH($C15,Gällivare!$B$6:$B$36,0),FALSE)))</f>
        <v>Medium</v>
      </c>
      <c r="AW15" s="177" t="str">
        <f>IF(AND(HLOOKUP(MID(AW$3,FIND(".",AW$3)+1,FIND(".",AW$3,FIND(".",AW$3)+1)-FIND(".",AW$3)-1),Gällivare!$B$6:$J$36,MATCH($C15,Gällivare!$B$6:$B$36,0),FALSE)="No Impact",HLOOKUP(RIGHT(AW$3,LEN(AW$3)-FIND(".",AW$3,FIND(".",AW$3)+1)),Gällivare!$B$6:$J$36,MATCH($C15,Gällivare!$B$6:$B$36,0),FALSE)="No Impact"),HLOOKUP(LEFT(AW$3,4),Global!$B$6:$J$36,MATCH($C15,Global!$B$6:$B$36,0),FALSE),IF(AND(HLOOKUP(MID(AW$3,FIND(".",AW$3)+1,FIND(".",AW$3,FIND(".",AW$3)+1)-FIND(".",AW$3)-1),Gällivare!$B$6:$J$36,MATCH($C15,Gällivare!$B$6:$B$36,0),FALSE)="No Impact",HLOOKUP(LEFT(AW$3,4),Global!$B$6:$J$36,MATCH($C15,Global!$B$6:$B$36,0),FALSE)="No Impact"),HLOOKUP(RIGHT(AW$3,LEN(AW$3)-FIND(".",AW$3,FIND(".",AW$3)+1)),Gällivare!$B$6:$J$36,MATCH($C15,Gällivare!$B$6:$B$36,0),FALSE),"Global: "&amp;HLOOKUP(LEFT(AW$3,4),Global!$B$6:$J$36,MATCH($C15,Global!$B$6:$B$36,0),FALSE)&amp;CHAR(10)&amp;"Local Trend: "&amp;HLOOKUP(MID(AW$3,FIND(".",AW$3)+1,FIND(".",AW$3,FIND(".",AW$3)+1)-FIND(".",AW$3)-1),Gällivare!$B$6:$J$36,MATCH($C15,Gällivare!$B$6:$B$36,0),FALSE)&amp;CHAR(10)&amp;"Local Target: "&amp;HLOOKUP(RIGHT(AW$3,LEN(AW$3)-FIND(".",AW$3,FIND(".",AW$3)+1)),Gällivare!$B$6:$J$36,MATCH($C15,Gällivare!$B$6:$B$36,0),FALSE)))</f>
        <v>High</v>
      </c>
      <c r="AX15" s="177" t="str">
        <f>IF(AND(HLOOKUP(MID(AX$3,FIND(".",AX$3)+1,FIND(".",AX$3,FIND(".",AX$3)+1)-FIND(".",AX$3)-1),Gällivare!$B$6:$J$36,MATCH($C15,Gällivare!$B$6:$B$36,0),FALSE)="No Impact",HLOOKUP(RIGHT(AX$3,LEN(AX$3)-FIND(".",AX$3,FIND(".",AX$3)+1)),Gällivare!$B$6:$J$36,MATCH($C15,Gällivare!$B$6:$B$36,0),FALSE)="No Impact"),HLOOKUP(LEFT(AX$3,4),Global!$B$6:$J$36,MATCH($C15,Global!$B$6:$B$36,0),FALSE),IF(AND(HLOOKUP(MID(AX$3,FIND(".",AX$3)+1,FIND(".",AX$3,FIND(".",AX$3)+1)-FIND(".",AX$3)-1),Gällivare!$B$6:$J$36,MATCH($C15,Gällivare!$B$6:$B$36,0),FALSE)="No Impact",HLOOKUP(LEFT(AX$3,4),Global!$B$6:$J$36,MATCH($C15,Global!$B$6:$B$36,0),FALSE)="No Impact"),HLOOKUP(RIGHT(AX$3,LEN(AX$3)-FIND(".",AX$3,FIND(".",AX$3)+1)),Gällivare!$B$6:$J$36,MATCH($C15,Gällivare!$B$6:$B$36,0),FALSE),"Global: "&amp;HLOOKUP(LEFT(AX$3,4),Global!$B$6:$J$36,MATCH($C15,Global!$B$6:$B$36,0),FALSE)&amp;CHAR(10)&amp;"Local Trend: "&amp;HLOOKUP(MID(AX$3,FIND(".",AX$3)+1,FIND(".",AX$3,FIND(".",AX$3)+1)-FIND(".",AX$3)-1),Gällivare!$B$6:$J$36,MATCH($C15,Gällivare!$B$6:$B$36,0),FALSE)&amp;CHAR(10)&amp;"Local Target: "&amp;HLOOKUP(RIGHT(AX$3,LEN(AX$3)-FIND(".",AX$3,FIND(".",AX$3)+1)),Gällivare!$B$6:$J$36,MATCH($C15,Gällivare!$B$6:$B$36,0),FALSE)))</f>
        <v>Low in begining
High around 2040</v>
      </c>
      <c r="AY15" s="177" t="str">
        <f>IF(AND(HLOOKUP(MID(AY$3,FIND(".",AY$3)+1,FIND(".",AY$3,FIND(".",AY$3)+1)-FIND(".",AY$3)-1),Gällivare!$B$6:$J$36,MATCH($C15,Gällivare!$B$6:$B$36,0),FALSE)="No Impact",HLOOKUP(RIGHT(AY$3,LEN(AY$3)-FIND(".",AY$3,FIND(".",AY$3)+1)),Gällivare!$B$6:$J$36,MATCH($C15,Gällivare!$B$6:$B$36,0),FALSE)="No Impact"),HLOOKUP(LEFT(AY$3,4),Global!$B$6:$J$36,MATCH($C15,Global!$B$6:$B$36,0),FALSE),IF(AND(HLOOKUP(MID(AY$3,FIND(".",AY$3)+1,FIND(".",AY$3,FIND(".",AY$3)+1)-FIND(".",AY$3)-1),Gällivare!$B$6:$J$36,MATCH($C15,Gällivare!$B$6:$B$36,0),FALSE)="No Impact",HLOOKUP(LEFT(AY$3,4),Global!$B$6:$J$36,MATCH($C15,Global!$B$6:$B$36,0),FALSE)="No Impact"),HLOOKUP(RIGHT(AY$3,LEN(AY$3)-FIND(".",AY$3,FIND(".",AY$3)+1)),Gällivare!$B$6:$J$36,MATCH($C15,Gällivare!$B$6:$B$36,0),FALSE),"Global: "&amp;HLOOKUP(LEFT(AY$3,4),Global!$B$6:$J$36,MATCH($C15,Global!$B$6:$B$36,0),FALSE)&amp;CHAR(10)&amp;"Local Trend: "&amp;HLOOKUP(MID(AY$3,FIND(".",AY$3)+1,FIND(".",AY$3,FIND(".",AY$3)+1)-FIND(".",AY$3)-1),Gällivare!$B$6:$J$36,MATCH($C15,Gällivare!$B$6:$B$36,0),FALSE)&amp;CHAR(10)&amp;"Local Target: "&amp;HLOOKUP(RIGHT(AY$3,LEN(AY$3)-FIND(".",AY$3,FIND(".",AY$3)+1)),Gällivare!$B$6:$J$36,MATCH($C15,Gällivare!$B$6:$B$36,0),FALSE)))</f>
        <v>Medium</v>
      </c>
      <c r="AZ15" s="177" t="str">
        <f>IF(AND(HLOOKUP(MID(AZ$3,FIND(".",AZ$3)+1,FIND(".",AZ$3,FIND(".",AZ$3)+1)-FIND(".",AZ$3)-1),Gällivare!$B$6:$J$36,MATCH($C15,Gällivare!$B$6:$B$36,0),FALSE)="No Impact",HLOOKUP(RIGHT(AZ$3,LEN(AZ$3)-FIND(".",AZ$3,FIND(".",AZ$3)+1)),Gällivare!$B$6:$J$36,MATCH($C15,Gällivare!$B$6:$B$36,0),FALSE)="No Impact"),HLOOKUP(LEFT(AZ$3,4),Global!$B$6:$J$36,MATCH($C15,Global!$B$6:$B$36,0),FALSE),IF(AND(HLOOKUP(MID(AZ$3,FIND(".",AZ$3)+1,FIND(".",AZ$3,FIND(".",AZ$3)+1)-FIND(".",AZ$3)-1),Gällivare!$B$6:$J$36,MATCH($C15,Gällivare!$B$6:$B$36,0),FALSE)="No Impact",HLOOKUP(LEFT(AZ$3,4),Global!$B$6:$J$36,MATCH($C15,Global!$B$6:$B$36,0),FALSE)="No Impact"),HLOOKUP(RIGHT(AZ$3,LEN(AZ$3)-FIND(".",AZ$3,FIND(".",AZ$3)+1)),Gällivare!$B$6:$J$36,MATCH($C15,Gällivare!$B$6:$B$36,0),FALSE),"Global: "&amp;HLOOKUP(LEFT(AZ$3,4),Global!$B$6:$J$36,MATCH($C15,Global!$B$6:$B$36,0),FALSE)&amp;CHAR(10)&amp;"Local Trend: "&amp;HLOOKUP(MID(AZ$3,FIND(".",AZ$3)+1,FIND(".",AZ$3,FIND(".",AZ$3)+1)-FIND(".",AZ$3)-1),Gällivare!$B$6:$J$36,MATCH($C15,Gällivare!$B$6:$B$36,0),FALSE)&amp;CHAR(10)&amp;"Local Target: "&amp;HLOOKUP(RIGHT(AZ$3,LEN(AZ$3)-FIND(".",AZ$3,FIND(".",AZ$3)+1)),Gällivare!$B$6:$J$36,MATCH($C15,Gällivare!$B$6:$B$36,0),FALSE)))</f>
        <v>High</v>
      </c>
      <c r="BA15" s="177" t="str">
        <f>IF(AND(HLOOKUP(MID(BA$3,FIND(".",BA$3)+1,FIND(".",BA$3,FIND(".",BA$3)+1)-FIND(".",BA$3)-1),Gällivare!$B$6:$J$36,MATCH($C15,Gällivare!$B$6:$B$36,0),FALSE)="No Impact",HLOOKUP(RIGHT(BA$3,LEN(BA$3)-FIND(".",BA$3,FIND(".",BA$3)+1)),Gällivare!$B$6:$J$36,MATCH($C15,Gällivare!$B$6:$B$36,0),FALSE)="No Impact"),HLOOKUP(LEFT(BA$3,4),Global!$B$6:$J$36,MATCH($C15,Global!$B$6:$B$36,0),FALSE),IF(AND(HLOOKUP(MID(BA$3,FIND(".",BA$3)+1,FIND(".",BA$3,FIND(".",BA$3)+1)-FIND(".",BA$3)-1),Gällivare!$B$6:$J$36,MATCH($C15,Gällivare!$B$6:$B$36,0),FALSE)="No Impact",HLOOKUP(LEFT(BA$3,4),Global!$B$6:$J$36,MATCH($C15,Global!$B$6:$B$36,0),FALSE)="No Impact"),HLOOKUP(RIGHT(BA$3,LEN(BA$3)-FIND(".",BA$3,FIND(".",BA$3)+1)),Gällivare!$B$6:$J$36,MATCH($C15,Gällivare!$B$6:$B$36,0),FALSE),"Global: "&amp;HLOOKUP(LEFT(BA$3,4),Global!$B$6:$J$36,MATCH($C15,Global!$B$6:$B$36,0),FALSE)&amp;CHAR(10)&amp;"Local Trend: "&amp;HLOOKUP(MID(BA$3,FIND(".",BA$3)+1,FIND(".",BA$3,FIND(".",BA$3)+1)-FIND(".",BA$3)-1),Gällivare!$B$6:$J$36,MATCH($C15,Gällivare!$B$6:$B$36,0),FALSE)&amp;CHAR(10)&amp;"Local Target: "&amp;HLOOKUP(RIGHT(BA$3,LEN(BA$3)-FIND(".",BA$3,FIND(".",BA$3)+1)),Gällivare!$B$6:$J$36,MATCH($C15,Gällivare!$B$6:$B$36,0),FALSE)))</f>
        <v>Low in begining
High around 2040</v>
      </c>
      <c r="BB15" s="177" t="str">
        <f>IF(AND(HLOOKUP(MID(BB$3,FIND(".",BB$3)+1,FIND(".",BB$3,FIND(".",BB$3)+1)-FIND(".",BB$3)-1),Gällivare!$B$6:$J$36,MATCH($C15,Gällivare!$B$6:$B$36,0),FALSE)="No Impact",HLOOKUP(RIGHT(BB$3,LEN(BB$3)-FIND(".",BB$3,FIND(".",BB$3)+1)),Gällivare!$B$6:$J$36,MATCH($C15,Gällivare!$B$6:$B$36,0),FALSE)="No Impact"),HLOOKUP(LEFT(BB$3,4),Global!$B$6:$J$36,MATCH($C15,Global!$B$6:$B$36,0),FALSE),IF(AND(HLOOKUP(MID(BB$3,FIND(".",BB$3)+1,FIND(".",BB$3,FIND(".",BB$3)+1)-FIND(".",BB$3)-1),Gällivare!$B$6:$J$36,MATCH($C15,Gällivare!$B$6:$B$36,0),FALSE)="No Impact",HLOOKUP(LEFT(BB$3,4),Global!$B$6:$J$36,MATCH($C15,Global!$B$6:$B$36,0),FALSE)="No Impact"),HLOOKUP(RIGHT(BB$3,LEN(BB$3)-FIND(".",BB$3,FIND(".",BB$3)+1)),Gällivare!$B$6:$J$36,MATCH($C15,Gällivare!$B$6:$B$36,0),FALSE),"Global: "&amp;HLOOKUP(LEFT(BB$3,4),Global!$B$6:$J$36,MATCH($C15,Global!$B$6:$B$36,0),FALSE)&amp;CHAR(10)&amp;"Local Trend: "&amp;HLOOKUP(MID(BB$3,FIND(".",BB$3)+1,FIND(".",BB$3,FIND(".",BB$3)+1)-FIND(".",BB$3)-1),Gällivare!$B$6:$J$36,MATCH($C15,Gällivare!$B$6:$B$36,0),FALSE)&amp;CHAR(10)&amp;"Local Target: "&amp;HLOOKUP(RIGHT(BB$3,LEN(BB$3)-FIND(".",BB$3,FIND(".",BB$3)+1)),Gällivare!$B$6:$J$36,MATCH($C15,Gällivare!$B$6:$B$36,0),FALSE)))</f>
        <v>Medium</v>
      </c>
      <c r="BC15" s="177" t="str">
        <f>IF(AND(HLOOKUP(MID(BC$3,FIND(".",BC$3)+1,FIND(".",BC$3,FIND(".",BC$3)+1)-FIND(".",BC$3)-1),Gällivare!$B$6:$J$36,MATCH($C15,Gällivare!$B$6:$B$36,0),FALSE)="No Impact",HLOOKUP(RIGHT(BC$3,LEN(BC$3)-FIND(".",BC$3,FIND(".",BC$3)+1)),Gällivare!$B$6:$J$36,MATCH($C15,Gällivare!$B$6:$B$36,0),FALSE)="No Impact"),HLOOKUP(LEFT(BC$3,4),Global!$B$6:$J$36,MATCH($C15,Global!$B$6:$B$36,0),FALSE),IF(AND(HLOOKUP(MID(BC$3,FIND(".",BC$3)+1,FIND(".",BC$3,FIND(".",BC$3)+1)-FIND(".",BC$3)-1),Gällivare!$B$6:$J$36,MATCH($C15,Gällivare!$B$6:$B$36,0),FALSE)="No Impact",HLOOKUP(LEFT(BC$3,4),Global!$B$6:$J$36,MATCH($C15,Global!$B$6:$B$36,0),FALSE)="No Impact"),HLOOKUP(RIGHT(BC$3,LEN(BC$3)-FIND(".",BC$3,FIND(".",BC$3)+1)),Gällivare!$B$6:$J$36,MATCH($C15,Gällivare!$B$6:$B$36,0),FALSE),"Global: "&amp;HLOOKUP(LEFT(BC$3,4),Global!$B$6:$J$36,MATCH($C15,Global!$B$6:$B$36,0),FALSE)&amp;CHAR(10)&amp;"Local Trend: "&amp;HLOOKUP(MID(BC$3,FIND(".",BC$3)+1,FIND(".",BC$3,FIND(".",BC$3)+1)-FIND(".",BC$3)-1),Gällivare!$B$6:$J$36,MATCH($C15,Gällivare!$B$6:$B$36,0),FALSE)&amp;CHAR(10)&amp;"Local Target: "&amp;HLOOKUP(RIGHT(BC$3,LEN(BC$3)-FIND(".",BC$3,FIND(".",BC$3)+1)),Gällivare!$B$6:$J$36,MATCH($C15,Gällivare!$B$6:$B$36,0),FALSE)))</f>
        <v>High</v>
      </c>
      <c r="BD15" s="177" t="str">
        <f>IF(AND(HLOOKUP(MID(BD$3,FIND(".",BD$3)+1,FIND(".",BD$3,FIND(".",BD$3)+1)-FIND(".",BD$3)-1),Gällivare!$B$6:$J$36,MATCH($C15,Gällivare!$B$6:$B$36,0),FALSE)="No Impact",HLOOKUP(RIGHT(BD$3,LEN(BD$3)-FIND(".",BD$3,FIND(".",BD$3)+1)),Gällivare!$B$6:$J$36,MATCH($C15,Gällivare!$B$6:$B$36,0),FALSE)="No Impact"),HLOOKUP(LEFT(BD$3,4),Global!$B$6:$J$36,MATCH($C15,Global!$B$6:$B$36,0),FALSE),IF(AND(HLOOKUP(MID(BD$3,FIND(".",BD$3)+1,FIND(".",BD$3,FIND(".",BD$3)+1)-FIND(".",BD$3)-1),Gällivare!$B$6:$J$36,MATCH($C15,Gällivare!$B$6:$B$36,0),FALSE)="No Impact",HLOOKUP(LEFT(BD$3,4),Global!$B$6:$J$36,MATCH($C15,Global!$B$6:$B$36,0),FALSE)="No Impact"),HLOOKUP(RIGHT(BD$3,LEN(BD$3)-FIND(".",BD$3,FIND(".",BD$3)+1)),Gällivare!$B$6:$J$36,MATCH($C15,Gällivare!$B$6:$B$36,0),FALSE),"Global: "&amp;HLOOKUP(LEFT(BD$3,4),Global!$B$6:$J$36,MATCH($C15,Global!$B$6:$B$36,0),FALSE)&amp;CHAR(10)&amp;"Local Trend: "&amp;HLOOKUP(MID(BD$3,FIND(".",BD$3)+1,FIND(".",BD$3,FIND(".",BD$3)+1)-FIND(".",BD$3)-1),Gällivare!$B$6:$J$36,MATCH($C15,Gällivare!$B$6:$B$36,0),FALSE)&amp;CHAR(10)&amp;"Local Target: "&amp;HLOOKUP(RIGHT(BD$3,LEN(BD$3)-FIND(".",BD$3,FIND(".",BD$3)+1)),Gällivare!$B$6:$J$36,MATCH($C15,Gällivare!$B$6:$B$36,0),FALSE)))</f>
        <v>Low in begining
High around 2040</v>
      </c>
      <c r="BE15" s="177" t="str">
        <f>IF(AND(HLOOKUP(MID(BE$3,FIND(".",BE$3)+1,FIND(".",BE$3,FIND(".",BE$3)+1)-FIND(".",BE$3)-1),Gällivare!$B$6:$J$36,MATCH($C15,Gällivare!$B$6:$B$36,0),FALSE)="No Impact",HLOOKUP(RIGHT(BE$3,LEN(BE$3)-FIND(".",BE$3,FIND(".",BE$3)+1)),Gällivare!$B$6:$J$36,MATCH($C15,Gällivare!$B$6:$B$36,0),FALSE)="No Impact"),HLOOKUP(LEFT(BE$3,4),Global!$B$6:$J$36,MATCH($C15,Global!$B$6:$B$36,0),FALSE),IF(AND(HLOOKUP(MID(BE$3,FIND(".",BE$3)+1,FIND(".",BE$3,FIND(".",BE$3)+1)-FIND(".",BE$3)-1),Gällivare!$B$6:$J$36,MATCH($C15,Gällivare!$B$6:$B$36,0),FALSE)="No Impact",HLOOKUP(LEFT(BE$3,4),Global!$B$6:$J$36,MATCH($C15,Global!$B$6:$B$36,0),FALSE)="No Impact"),HLOOKUP(RIGHT(BE$3,LEN(BE$3)-FIND(".",BE$3,FIND(".",BE$3)+1)),Gällivare!$B$6:$J$36,MATCH($C15,Gällivare!$B$6:$B$36,0),FALSE),"Global: "&amp;HLOOKUP(LEFT(BE$3,4),Global!$B$6:$J$36,MATCH($C15,Global!$B$6:$B$36,0),FALSE)&amp;CHAR(10)&amp;"Local Trend: "&amp;HLOOKUP(MID(BE$3,FIND(".",BE$3)+1,FIND(".",BE$3,FIND(".",BE$3)+1)-FIND(".",BE$3)-1),Gällivare!$B$6:$J$36,MATCH($C15,Gällivare!$B$6:$B$36,0),FALSE)&amp;CHAR(10)&amp;"Local Target: "&amp;HLOOKUP(RIGHT(BE$3,LEN(BE$3)-FIND(".",BE$3,FIND(".",BE$3)+1)),Gällivare!$B$6:$J$36,MATCH($C15,Gällivare!$B$6:$B$36,0),FALSE)))</f>
        <v>Medium</v>
      </c>
      <c r="BF15" s="177" t="str">
        <f>IF(AND(HLOOKUP(MID(BF$3,FIND(".",BF$3)+1,FIND(".",BF$3,FIND(".",BF$3)+1)-FIND(".",BF$3)-1),Gällivare!$B$6:$J$36,MATCH($C15,Gällivare!$B$6:$B$36,0),FALSE)="No Impact",HLOOKUP(RIGHT(BF$3,LEN(BF$3)-FIND(".",BF$3,FIND(".",BF$3)+1)),Gällivare!$B$6:$J$36,MATCH($C15,Gällivare!$B$6:$B$36,0),FALSE)="No Impact"),HLOOKUP(LEFT(BF$3,4),Global!$B$6:$J$36,MATCH($C15,Global!$B$6:$B$36,0),FALSE),IF(AND(HLOOKUP(MID(BF$3,FIND(".",BF$3)+1,FIND(".",BF$3,FIND(".",BF$3)+1)-FIND(".",BF$3)-1),Gällivare!$B$6:$J$36,MATCH($C15,Gällivare!$B$6:$B$36,0),FALSE)="No Impact",HLOOKUP(LEFT(BF$3,4),Global!$B$6:$J$36,MATCH($C15,Global!$B$6:$B$36,0),FALSE)="No Impact"),HLOOKUP(RIGHT(BF$3,LEN(BF$3)-FIND(".",BF$3,FIND(".",BF$3)+1)),Gällivare!$B$6:$J$36,MATCH($C15,Gällivare!$B$6:$B$36,0),FALSE),"Global: "&amp;HLOOKUP(LEFT(BF$3,4),Global!$B$6:$J$36,MATCH($C15,Global!$B$6:$B$36,0),FALSE)&amp;CHAR(10)&amp;"Local Trend: "&amp;HLOOKUP(MID(BF$3,FIND(".",BF$3)+1,FIND(".",BF$3,FIND(".",BF$3)+1)-FIND(".",BF$3)-1),Gällivare!$B$6:$J$36,MATCH($C15,Gällivare!$B$6:$B$36,0),FALSE)&amp;CHAR(10)&amp;"Local Target: "&amp;HLOOKUP(RIGHT(BF$3,LEN(BF$3)-FIND(".",BF$3,FIND(".",BF$3)+1)),Gällivare!$B$6:$J$36,MATCH($C15,Gällivare!$B$6:$B$36,0),FALSE)))</f>
        <v>High</v>
      </c>
      <c r="BG15" s="177" t="str">
        <f>IF(AND(HLOOKUP(MID(BG$3,FIND(".",BG$3)+1,FIND(".",BG$3,FIND(".",BG$3)+1)-FIND(".",BG$3)-1),Gällivare!$B$6:$J$36,MATCH($C15,Gällivare!$B$6:$B$36,0),FALSE)="No Impact",HLOOKUP(RIGHT(BG$3,LEN(BG$3)-FIND(".",BG$3,FIND(".",BG$3)+1)),Gällivare!$B$6:$J$36,MATCH($C15,Gällivare!$B$6:$B$36,0),FALSE)="No Impact"),HLOOKUP(LEFT(BG$3,4),Global!$B$6:$J$36,MATCH($C15,Global!$B$6:$B$36,0),FALSE),IF(AND(HLOOKUP(MID(BG$3,FIND(".",BG$3)+1,FIND(".",BG$3,FIND(".",BG$3)+1)-FIND(".",BG$3)-1),Gällivare!$B$6:$J$36,MATCH($C15,Gällivare!$B$6:$B$36,0),FALSE)="No Impact",HLOOKUP(LEFT(BG$3,4),Global!$B$6:$J$36,MATCH($C15,Global!$B$6:$B$36,0),FALSE)="No Impact"),HLOOKUP(RIGHT(BG$3,LEN(BG$3)-FIND(".",BG$3,FIND(".",BG$3)+1)),Gällivare!$B$6:$J$36,MATCH($C15,Gällivare!$B$6:$B$36,0),FALSE),"Global: "&amp;HLOOKUP(LEFT(BG$3,4),Global!$B$6:$J$36,MATCH($C15,Global!$B$6:$B$36,0),FALSE)&amp;CHAR(10)&amp;"Local Trend: "&amp;HLOOKUP(MID(BG$3,FIND(".",BG$3)+1,FIND(".",BG$3,FIND(".",BG$3)+1)-FIND(".",BG$3)-1),Gällivare!$B$6:$J$36,MATCH($C15,Gällivare!$B$6:$B$36,0),FALSE)&amp;CHAR(10)&amp;"Local Target: "&amp;HLOOKUP(RIGHT(BG$3,LEN(BG$3)-FIND(".",BG$3,FIND(".",BG$3)+1)),Gällivare!$B$6:$J$36,MATCH($C15,Gällivare!$B$6:$B$36,0),FALSE)))</f>
        <v>Low in begining
High around 2040</v>
      </c>
      <c r="BH15" s="177" t="str">
        <f>IF(AND(HLOOKUP(MID(BH$3,FIND(".",BH$3)+1,FIND(".",BH$3,FIND(".",BH$3)+1)-FIND(".",BH$3)-1),Gällivare!$B$6:$J$36,MATCH($C15,Gällivare!$B$6:$B$36,0),FALSE)="No Impact",HLOOKUP(RIGHT(BH$3,LEN(BH$3)-FIND(".",BH$3,FIND(".",BH$3)+1)),Gällivare!$B$6:$J$36,MATCH($C15,Gällivare!$B$6:$B$36,0),FALSE)="No Impact"),HLOOKUP(LEFT(BH$3,4),Global!$B$6:$J$36,MATCH($C15,Global!$B$6:$B$36,0),FALSE),IF(AND(HLOOKUP(MID(BH$3,FIND(".",BH$3)+1,FIND(".",BH$3,FIND(".",BH$3)+1)-FIND(".",BH$3)-1),Gällivare!$B$6:$J$36,MATCH($C15,Gällivare!$B$6:$B$36,0),FALSE)="No Impact",HLOOKUP(LEFT(BH$3,4),Global!$B$6:$J$36,MATCH($C15,Global!$B$6:$B$36,0),FALSE)="No Impact"),HLOOKUP(RIGHT(BH$3,LEN(BH$3)-FIND(".",BH$3,FIND(".",BH$3)+1)),Gällivare!$B$6:$J$36,MATCH($C15,Gällivare!$B$6:$B$36,0),FALSE),"Global: "&amp;HLOOKUP(LEFT(BH$3,4),Global!$B$6:$J$36,MATCH($C15,Global!$B$6:$B$36,0),FALSE)&amp;CHAR(10)&amp;"Local Trend: "&amp;HLOOKUP(MID(BH$3,FIND(".",BH$3)+1,FIND(".",BH$3,FIND(".",BH$3)+1)-FIND(".",BH$3)-1),Gällivare!$B$6:$J$36,MATCH($C15,Gällivare!$B$6:$B$36,0),FALSE)&amp;CHAR(10)&amp;"Local Target: "&amp;HLOOKUP(RIGHT(BH$3,LEN(BH$3)-FIND(".",BH$3,FIND(".",BH$3)+1)),Gällivare!$B$6:$J$36,MATCH($C15,Gällivare!$B$6:$B$36,0),FALSE)))</f>
        <v>Medium</v>
      </c>
      <c r="BI15" s="177" t="str">
        <f>IF(AND(HLOOKUP(MID(BI$3,FIND(".",BI$3)+1,FIND(".",BI$3,FIND(".",BI$3)+1)-FIND(".",BI$3)-1),Gällivare!$B$6:$J$36,MATCH($C15,Gällivare!$B$6:$B$36,0),FALSE)="No Impact",HLOOKUP(RIGHT(BI$3,LEN(BI$3)-FIND(".",BI$3,FIND(".",BI$3)+1)),Gällivare!$B$6:$J$36,MATCH($C15,Gällivare!$B$6:$B$36,0),FALSE)="No Impact"),HLOOKUP(LEFT(BI$3,4),Global!$B$6:$J$36,MATCH($C15,Global!$B$6:$B$36,0),FALSE),IF(AND(HLOOKUP(MID(BI$3,FIND(".",BI$3)+1,FIND(".",BI$3,FIND(".",BI$3)+1)-FIND(".",BI$3)-1),Gällivare!$B$6:$J$36,MATCH($C15,Gällivare!$B$6:$B$36,0),FALSE)="No Impact",HLOOKUP(LEFT(BI$3,4),Global!$B$6:$J$36,MATCH($C15,Global!$B$6:$B$36,0),FALSE)="No Impact"),HLOOKUP(RIGHT(BI$3,LEN(BI$3)-FIND(".",BI$3,FIND(".",BI$3)+1)),Gällivare!$B$6:$J$36,MATCH($C15,Gällivare!$B$6:$B$36,0),FALSE),"Global: "&amp;HLOOKUP(LEFT(BI$3,4),Global!$B$6:$J$36,MATCH($C15,Global!$B$6:$B$36,0),FALSE)&amp;CHAR(10)&amp;"Local Trend: "&amp;HLOOKUP(MID(BI$3,FIND(".",BI$3)+1,FIND(".",BI$3,FIND(".",BI$3)+1)-FIND(".",BI$3)-1),Gällivare!$B$6:$J$36,MATCH($C15,Gällivare!$B$6:$B$36,0),FALSE)&amp;CHAR(10)&amp;"Local Target: "&amp;HLOOKUP(RIGHT(BI$3,LEN(BI$3)-FIND(".",BI$3,FIND(".",BI$3)+1)),Gällivare!$B$6:$J$36,MATCH($C15,Gällivare!$B$6:$B$36,0),FALSE)))</f>
        <v>High</v>
      </c>
      <c r="BJ15" s="177" t="str">
        <f>IF(AND(HLOOKUP(MID(BJ$3,FIND(".",BJ$3)+1,FIND(".",BJ$3,FIND(".",BJ$3)+1)-FIND(".",BJ$3)-1),Gällivare!$B$6:$J$36,MATCH($C15,Gällivare!$B$6:$B$36,0),FALSE)="No Impact",HLOOKUP(RIGHT(BJ$3,LEN(BJ$3)-FIND(".",BJ$3,FIND(".",BJ$3)+1)),Gällivare!$B$6:$J$36,MATCH($C15,Gällivare!$B$6:$B$36,0),FALSE)="No Impact"),HLOOKUP(LEFT(BJ$3,4),Global!$B$6:$J$36,MATCH($C15,Global!$B$6:$B$36,0),FALSE),IF(AND(HLOOKUP(MID(BJ$3,FIND(".",BJ$3)+1,FIND(".",BJ$3,FIND(".",BJ$3)+1)-FIND(".",BJ$3)-1),Gällivare!$B$6:$J$36,MATCH($C15,Gällivare!$B$6:$B$36,0),FALSE)="No Impact",HLOOKUP(LEFT(BJ$3,4),Global!$B$6:$J$36,MATCH($C15,Global!$B$6:$B$36,0),FALSE)="No Impact"),HLOOKUP(RIGHT(BJ$3,LEN(BJ$3)-FIND(".",BJ$3,FIND(".",BJ$3)+1)),Gällivare!$B$6:$J$36,MATCH($C15,Gällivare!$B$6:$B$36,0),FALSE),"Global: "&amp;HLOOKUP(LEFT(BJ$3,4),Global!$B$6:$J$36,MATCH($C15,Global!$B$6:$B$36,0),FALSE)&amp;CHAR(10)&amp;"Local Trend: "&amp;HLOOKUP(MID(BJ$3,FIND(".",BJ$3)+1,FIND(".",BJ$3,FIND(".",BJ$3)+1)-FIND(".",BJ$3)-1),Gällivare!$B$6:$J$36,MATCH($C15,Gällivare!$B$6:$B$36,0),FALSE)&amp;CHAR(10)&amp;"Local Target: "&amp;HLOOKUP(RIGHT(BJ$3,LEN(BJ$3)-FIND(".",BJ$3,FIND(".",BJ$3)+1)),Gällivare!$B$6:$J$36,MATCH($C15,Gällivare!$B$6:$B$36,0),FALSE)))</f>
        <v>Low in begining
High around 2040</v>
      </c>
      <c r="BK15" s="177" t="str">
        <f>IF(AND(HLOOKUP(MID(BK$3,FIND(".",BK$3)+1,FIND(".",BK$3,FIND(".",BK$3)+1)-FIND(".",BK$3)-1),Gällivare!$B$6:$J$36,MATCH($C15,Gällivare!$B$6:$B$36,0),FALSE)="No Impact",HLOOKUP(RIGHT(BK$3,LEN(BK$3)-FIND(".",BK$3,FIND(".",BK$3)+1)),Gällivare!$B$6:$J$36,MATCH($C15,Gällivare!$B$6:$B$36,0),FALSE)="No Impact"),HLOOKUP(LEFT(BK$3,4),Global!$B$6:$J$36,MATCH($C15,Global!$B$6:$B$36,0),FALSE),IF(AND(HLOOKUP(MID(BK$3,FIND(".",BK$3)+1,FIND(".",BK$3,FIND(".",BK$3)+1)-FIND(".",BK$3)-1),Gällivare!$B$6:$J$36,MATCH($C15,Gällivare!$B$6:$B$36,0),FALSE)="No Impact",HLOOKUP(LEFT(BK$3,4),Global!$B$6:$J$36,MATCH($C15,Global!$B$6:$B$36,0),FALSE)="No Impact"),HLOOKUP(RIGHT(BK$3,LEN(BK$3)-FIND(".",BK$3,FIND(".",BK$3)+1)),Gällivare!$B$6:$J$36,MATCH($C15,Gällivare!$B$6:$B$36,0),FALSE),"Global: "&amp;HLOOKUP(LEFT(BK$3,4),Global!$B$6:$J$36,MATCH($C15,Global!$B$6:$B$36,0),FALSE)&amp;CHAR(10)&amp;"Local Trend: "&amp;HLOOKUP(MID(BK$3,FIND(".",BK$3)+1,FIND(".",BK$3,FIND(".",BK$3)+1)-FIND(".",BK$3)-1),Gällivare!$B$6:$J$36,MATCH($C15,Gällivare!$B$6:$B$36,0),FALSE)&amp;CHAR(10)&amp;"Local Target: "&amp;HLOOKUP(RIGHT(BK$3,LEN(BK$3)-FIND(".",BK$3,FIND(".",BK$3)+1)),Gällivare!$B$6:$J$36,MATCH($C15,Gällivare!$B$6:$B$36,0),FALSE)))</f>
        <v>Medium</v>
      </c>
      <c r="BL15" s="177" t="str">
        <f>IF(AND(HLOOKUP(MID(BL$3,FIND(".",BL$3)+1,FIND(".",BL$3,FIND(".",BL$3)+1)-FIND(".",BL$3)-1),Gällivare!$B$6:$J$36,MATCH($C15,Gällivare!$B$6:$B$36,0),FALSE)="No Impact",HLOOKUP(RIGHT(BL$3,LEN(BL$3)-FIND(".",BL$3,FIND(".",BL$3)+1)),Gällivare!$B$6:$J$36,MATCH($C15,Gällivare!$B$6:$B$36,0),FALSE)="No Impact"),HLOOKUP(LEFT(BL$3,4),Global!$B$6:$J$36,MATCH($C15,Global!$B$6:$B$36,0),FALSE),IF(AND(HLOOKUP(MID(BL$3,FIND(".",BL$3)+1,FIND(".",BL$3,FIND(".",BL$3)+1)-FIND(".",BL$3)-1),Gällivare!$B$6:$J$36,MATCH($C15,Gällivare!$B$6:$B$36,0),FALSE)="No Impact",HLOOKUP(LEFT(BL$3,4),Global!$B$6:$J$36,MATCH($C15,Global!$B$6:$B$36,0),FALSE)="No Impact"),HLOOKUP(RIGHT(BL$3,LEN(BL$3)-FIND(".",BL$3,FIND(".",BL$3)+1)),Gällivare!$B$6:$J$36,MATCH($C15,Gällivare!$B$6:$B$36,0),FALSE),"Global: "&amp;HLOOKUP(LEFT(BL$3,4),Global!$B$6:$J$36,MATCH($C15,Global!$B$6:$B$36,0),FALSE)&amp;CHAR(10)&amp;"Local Trend: "&amp;HLOOKUP(MID(BL$3,FIND(".",BL$3)+1,FIND(".",BL$3,FIND(".",BL$3)+1)-FIND(".",BL$3)-1),Gällivare!$B$6:$J$36,MATCH($C15,Gällivare!$B$6:$B$36,0),FALSE)&amp;CHAR(10)&amp;"Local Target: "&amp;HLOOKUP(RIGHT(BL$3,LEN(BL$3)-FIND(".",BL$3,FIND(".",BL$3)+1)),Gällivare!$B$6:$J$36,MATCH($C15,Gällivare!$B$6:$B$36,0),FALSE)))</f>
        <v>High</v>
      </c>
      <c r="BM15" s="177" t="str">
        <f>IF(AND(HLOOKUP(MID(BM$3,FIND(".",BM$3)+1,FIND(".",BM$3,FIND(".",BM$3)+1)-FIND(".",BM$3)-1),Gällivare!$B$6:$J$36,MATCH($C15,Gällivare!$B$6:$B$36,0),FALSE)="No Impact",HLOOKUP(RIGHT(BM$3,LEN(BM$3)-FIND(".",BM$3,FIND(".",BM$3)+1)),Gällivare!$B$6:$J$36,MATCH($C15,Gällivare!$B$6:$B$36,0),FALSE)="No Impact"),HLOOKUP(LEFT(BM$3,4),Global!$B$6:$J$36,MATCH($C15,Global!$B$6:$B$36,0),FALSE),IF(AND(HLOOKUP(MID(BM$3,FIND(".",BM$3)+1,FIND(".",BM$3,FIND(".",BM$3)+1)-FIND(".",BM$3)-1),Gällivare!$B$6:$J$36,MATCH($C15,Gällivare!$B$6:$B$36,0),FALSE)="No Impact",HLOOKUP(LEFT(BM$3,4),Global!$B$6:$J$36,MATCH($C15,Global!$B$6:$B$36,0),FALSE)="No Impact"),HLOOKUP(RIGHT(BM$3,LEN(BM$3)-FIND(".",BM$3,FIND(".",BM$3)+1)),Gällivare!$B$6:$J$36,MATCH($C15,Gällivare!$B$6:$B$36,0),FALSE),"Global: "&amp;HLOOKUP(LEFT(BM$3,4),Global!$B$6:$J$36,MATCH($C15,Global!$B$6:$B$36,0),FALSE)&amp;CHAR(10)&amp;"Local Trend: "&amp;HLOOKUP(MID(BM$3,FIND(".",BM$3)+1,FIND(".",BM$3,FIND(".",BM$3)+1)-FIND(".",BM$3)-1),Gällivare!$B$6:$J$36,MATCH($C15,Gällivare!$B$6:$B$36,0),FALSE)&amp;CHAR(10)&amp;"Local Target: "&amp;HLOOKUP(RIGHT(BM$3,LEN(BM$3)-FIND(".",BM$3,FIND(".",BM$3)+1)),Gällivare!$B$6:$J$36,MATCH($C15,Gällivare!$B$6:$B$36,0),FALSE)))</f>
        <v>Low in begining
High around 2040</v>
      </c>
      <c r="BN15" s="177" t="str">
        <f>IF(AND(HLOOKUP(MID(BN$3,FIND(".",BN$3)+1,FIND(".",BN$3,FIND(".",BN$3)+1)-FIND(".",BN$3)-1),Gällivare!$B$6:$J$36,MATCH($C15,Gällivare!$B$6:$B$36,0),FALSE)="No Impact",HLOOKUP(RIGHT(BN$3,LEN(BN$3)-FIND(".",BN$3,FIND(".",BN$3)+1)),Gällivare!$B$6:$J$36,MATCH($C15,Gällivare!$B$6:$B$36,0),FALSE)="No Impact"),HLOOKUP(LEFT(BN$3,4),Global!$B$6:$J$36,MATCH($C15,Global!$B$6:$B$36,0),FALSE),IF(AND(HLOOKUP(MID(BN$3,FIND(".",BN$3)+1,FIND(".",BN$3,FIND(".",BN$3)+1)-FIND(".",BN$3)-1),Gällivare!$B$6:$J$36,MATCH($C15,Gällivare!$B$6:$B$36,0),FALSE)="No Impact",HLOOKUP(LEFT(BN$3,4),Global!$B$6:$J$36,MATCH($C15,Global!$B$6:$B$36,0),FALSE)="No Impact"),HLOOKUP(RIGHT(BN$3,LEN(BN$3)-FIND(".",BN$3,FIND(".",BN$3)+1)),Gällivare!$B$6:$J$36,MATCH($C15,Gällivare!$B$6:$B$36,0),FALSE),"Global: "&amp;HLOOKUP(LEFT(BN$3,4),Global!$B$6:$J$36,MATCH($C15,Global!$B$6:$B$36,0),FALSE)&amp;CHAR(10)&amp;"Local Trend: "&amp;HLOOKUP(MID(BN$3,FIND(".",BN$3)+1,FIND(".",BN$3,FIND(".",BN$3)+1)-FIND(".",BN$3)-1),Gällivare!$B$6:$J$36,MATCH($C15,Gällivare!$B$6:$B$36,0),FALSE)&amp;CHAR(10)&amp;"Local Target: "&amp;HLOOKUP(RIGHT(BN$3,LEN(BN$3)-FIND(".",BN$3,FIND(".",BN$3)+1)),Gällivare!$B$6:$J$36,MATCH($C15,Gällivare!$B$6:$B$36,0),FALSE)))</f>
        <v>Medium</v>
      </c>
      <c r="BO15" s="177" t="str">
        <f>IF(AND(HLOOKUP(MID(BO$3,FIND(".",BO$3)+1,FIND(".",BO$3,FIND(".",BO$3)+1)-FIND(".",BO$3)-1),Gällivare!$B$6:$J$36,MATCH($C15,Gällivare!$B$6:$B$36,0),FALSE)="No Impact",HLOOKUP(RIGHT(BO$3,LEN(BO$3)-FIND(".",BO$3,FIND(".",BO$3)+1)),Gällivare!$B$6:$J$36,MATCH($C15,Gällivare!$B$6:$B$36,0),FALSE)="No Impact"),HLOOKUP(LEFT(BO$3,4),Global!$B$6:$J$36,MATCH($C15,Global!$B$6:$B$36,0),FALSE),IF(AND(HLOOKUP(MID(BO$3,FIND(".",BO$3)+1,FIND(".",BO$3,FIND(".",BO$3)+1)-FIND(".",BO$3)-1),Gällivare!$B$6:$J$36,MATCH($C15,Gällivare!$B$6:$B$36,0),FALSE)="No Impact",HLOOKUP(LEFT(BO$3,4),Global!$B$6:$J$36,MATCH($C15,Global!$B$6:$B$36,0),FALSE)="No Impact"),HLOOKUP(RIGHT(BO$3,LEN(BO$3)-FIND(".",BO$3,FIND(".",BO$3)+1)),Gällivare!$B$6:$J$36,MATCH($C15,Gällivare!$B$6:$B$36,0),FALSE),"Global: "&amp;HLOOKUP(LEFT(BO$3,4),Global!$B$6:$J$36,MATCH($C15,Global!$B$6:$B$36,0),FALSE)&amp;CHAR(10)&amp;"Local Trend: "&amp;HLOOKUP(MID(BO$3,FIND(".",BO$3)+1,FIND(".",BO$3,FIND(".",BO$3)+1)-FIND(".",BO$3)-1),Gällivare!$B$6:$J$36,MATCH($C15,Gällivare!$B$6:$B$36,0),FALSE)&amp;CHAR(10)&amp;"Local Target: "&amp;HLOOKUP(RIGHT(BO$3,LEN(BO$3)-FIND(".",BO$3,FIND(".",BO$3)+1)),Gällivare!$B$6:$J$36,MATCH($C15,Gällivare!$B$6:$B$36,0),FALSE)))</f>
        <v>High</v>
      </c>
      <c r="BP15" s="177" t="str">
        <f>IF(AND(HLOOKUP(MID(BP$3,FIND(".",BP$3)+1,FIND(".",BP$3,FIND(".",BP$3)+1)-FIND(".",BP$3)-1),Gällivare!$B$6:$J$36,MATCH($C15,Gällivare!$B$6:$B$36,0),FALSE)="No Impact",HLOOKUP(RIGHT(BP$3,LEN(BP$3)-FIND(".",BP$3,FIND(".",BP$3)+1)),Gällivare!$B$6:$J$36,MATCH($C15,Gällivare!$B$6:$B$36,0),FALSE)="No Impact"),HLOOKUP(LEFT(BP$3,4),Global!$B$6:$J$36,MATCH($C15,Global!$B$6:$B$36,0),FALSE),IF(AND(HLOOKUP(MID(BP$3,FIND(".",BP$3)+1,FIND(".",BP$3,FIND(".",BP$3)+1)-FIND(".",BP$3)-1),Gällivare!$B$6:$J$36,MATCH($C15,Gällivare!$B$6:$B$36,0),FALSE)="No Impact",HLOOKUP(LEFT(BP$3,4),Global!$B$6:$J$36,MATCH($C15,Global!$B$6:$B$36,0),FALSE)="No Impact"),HLOOKUP(RIGHT(BP$3,LEN(BP$3)-FIND(".",BP$3,FIND(".",BP$3)+1)),Gällivare!$B$6:$J$36,MATCH($C15,Gällivare!$B$6:$B$36,0),FALSE),"Global: "&amp;HLOOKUP(LEFT(BP$3,4),Global!$B$6:$J$36,MATCH($C15,Global!$B$6:$B$36,0),FALSE)&amp;CHAR(10)&amp;"Local Trend: "&amp;HLOOKUP(MID(BP$3,FIND(".",BP$3)+1,FIND(".",BP$3,FIND(".",BP$3)+1)-FIND(".",BP$3)-1),Gällivare!$B$6:$J$36,MATCH($C15,Gällivare!$B$6:$B$36,0),FALSE)&amp;CHAR(10)&amp;"Local Target: "&amp;HLOOKUP(RIGHT(BP$3,LEN(BP$3)-FIND(".",BP$3,FIND(".",BP$3)+1)),Gällivare!$B$6:$J$36,MATCH($C15,Gällivare!$B$6:$B$36,0),FALSE)))</f>
        <v>Low in begining
High around 2040</v>
      </c>
      <c r="BT15" s="178"/>
      <c r="BU15" s="180"/>
      <c r="BV15" s="181"/>
    </row>
    <row r="16" spans="2:82" ht="28.8" x14ac:dyDescent="0.3">
      <c r="B16" s="246" t="s">
        <v>186</v>
      </c>
      <c r="C16" s="148" t="s">
        <v>125</v>
      </c>
      <c r="D16" s="247" t="s">
        <v>172</v>
      </c>
      <c r="E16" s="175" t="s">
        <v>187</v>
      </c>
      <c r="F16" s="176" t="s">
        <v>165</v>
      </c>
      <c r="G16" s="176"/>
      <c r="H16" s="175" t="str">
        <f t="shared" si="1"/>
        <v>Medium</v>
      </c>
      <c r="I16" s="175" t="str">
        <f t="shared" si="1"/>
        <v>Medium</v>
      </c>
      <c r="J16" s="175" t="str">
        <f t="shared" si="1"/>
        <v>Medium</v>
      </c>
      <c r="K16" s="175" t="str">
        <f t="shared" si="1"/>
        <v>Medium</v>
      </c>
      <c r="L16" s="175" t="str">
        <f t="shared" si="1"/>
        <v>Medium</v>
      </c>
      <c r="M16" s="175" t="str">
        <f t="shared" si="1"/>
        <v>Medium</v>
      </c>
      <c r="N16" s="175" t="str">
        <f t="shared" si="1"/>
        <v>Medium</v>
      </c>
      <c r="O16" s="175" t="str">
        <f t="shared" si="1"/>
        <v>Medium</v>
      </c>
      <c r="P16" s="175" t="str">
        <f t="shared" si="1"/>
        <v>Medium</v>
      </c>
      <c r="Q16" s="175" t="str">
        <f t="shared" si="1"/>
        <v>Medium</v>
      </c>
      <c r="R16" s="175" t="str">
        <f t="shared" si="1"/>
        <v>Medium</v>
      </c>
      <c r="S16" s="175" t="str">
        <f t="shared" si="1"/>
        <v>Medium</v>
      </c>
      <c r="T16" s="175" t="str">
        <f t="shared" si="1"/>
        <v>Low</v>
      </c>
      <c r="U16" s="175" t="str">
        <f t="shared" si="1"/>
        <v>Low</v>
      </c>
      <c r="V16" s="175" t="str">
        <f t="shared" si="1"/>
        <v>Low</v>
      </c>
      <c r="W16" s="175" t="str">
        <f t="shared" si="1"/>
        <v>Low</v>
      </c>
      <c r="X16" s="175" t="str">
        <f t="shared" si="5"/>
        <v>Low</v>
      </c>
      <c r="Y16" s="175" t="str">
        <f t="shared" si="5"/>
        <v>Low</v>
      </c>
      <c r="Z16" s="175" t="str">
        <f t="shared" si="5"/>
        <v>High</v>
      </c>
      <c r="AA16" s="175" t="str">
        <f t="shared" si="5"/>
        <v>High</v>
      </c>
      <c r="AB16" s="175" t="str">
        <f t="shared" si="5"/>
        <v>High</v>
      </c>
      <c r="AC16" s="175" t="str">
        <f t="shared" si="5"/>
        <v>High</v>
      </c>
      <c r="AD16" s="175" t="str">
        <f t="shared" si="5"/>
        <v>High</v>
      </c>
      <c r="AE16" s="175" t="str">
        <f t="shared" si="5"/>
        <v>High</v>
      </c>
      <c r="AF16" s="175" t="str">
        <f t="shared" si="4"/>
        <v>High</v>
      </c>
      <c r="AG16" s="175" t="str">
        <f t="shared" si="4"/>
        <v>High</v>
      </c>
      <c r="AH16" s="175" t="str">
        <f t="shared" si="4"/>
        <v>High</v>
      </c>
      <c r="AI16" s="175" t="str">
        <f t="shared" si="4"/>
        <v>High</v>
      </c>
      <c r="AJ16" s="175" t="str">
        <f t="shared" si="4"/>
        <v>High</v>
      </c>
      <c r="AK16" s="175" t="str">
        <f t="shared" si="4"/>
        <v>High</v>
      </c>
      <c r="AL16" s="176"/>
      <c r="AM16" s="177" t="str">
        <f>IF(AND(HLOOKUP(MID(AM$3,FIND(".",AM$3)+1,FIND(".",AM$3,FIND(".",AM$3)+1)-FIND(".",AM$3)-1),Gällivare!$B$6:$J$36,MATCH($C16,Gällivare!$B$6:$B$36,0),FALSE)="No Impact",HLOOKUP(RIGHT(AM$3,LEN(AM$3)-FIND(".",AM$3,FIND(".",AM$3)+1)),Gällivare!$B$6:$J$36,MATCH($C16,Gällivare!$B$6:$B$36,0),FALSE)="No Impact"),HLOOKUP(LEFT(AM$3,4),Global!$B$6:$J$36,MATCH($C16,Global!$B$6:$B$36,0),FALSE),IF(AND(HLOOKUP(MID(AM$3,FIND(".",AM$3)+1,FIND(".",AM$3,FIND(".",AM$3)+1)-FIND(".",AM$3)-1),Gällivare!$B$6:$J$36,MATCH($C16,Gällivare!$B$6:$B$36,0),FALSE)="No Impact",HLOOKUP(LEFT(AM$3,4),Global!$B$6:$J$36,MATCH($C16,Global!$B$6:$B$36,0),FALSE)="No Impact"),HLOOKUP(RIGHT(AM$3,LEN(AM$3)-FIND(".",AM$3,FIND(".",AM$3)+1)),Gällivare!$B$6:$J$36,MATCH($C16,Gällivare!$B$6:$B$36,0),FALSE),"Global: "&amp;HLOOKUP(LEFT(AM$3,4),Global!$B$6:$J$36,MATCH($C16,Global!$B$6:$B$36,0),FALSE)&amp;CHAR(10)&amp;"Local Trend: "&amp;HLOOKUP(MID(AM$3,FIND(".",AM$3)+1,FIND(".",AM$3,FIND(".",AM$3)+1)-FIND(".",AM$3)-1),Gällivare!$B$6:$J$36,MATCH($C16,Gällivare!$B$6:$B$36,0),FALSE)&amp;CHAR(10)&amp;"Local Target: "&amp;HLOOKUP(RIGHT(AM$3,LEN(AM$3)-FIND(".",AM$3,FIND(".",AM$3)+1)),Gällivare!$B$6:$J$36,MATCH($C16,Gällivare!$B$6:$B$36,0),FALSE)))</f>
        <v>Medium</v>
      </c>
      <c r="AN16" s="177" t="str">
        <f>IF(AND(HLOOKUP(MID(AN$3,FIND(".",AN$3)+1,FIND(".",AN$3,FIND(".",AN$3)+1)-FIND(".",AN$3)-1),Gällivare!$B$6:$J$36,MATCH($C16,Gällivare!$B$6:$B$36,0),FALSE)="No Impact",HLOOKUP(RIGHT(AN$3,LEN(AN$3)-FIND(".",AN$3,FIND(".",AN$3)+1)),Gällivare!$B$6:$J$36,MATCH($C16,Gällivare!$B$6:$B$36,0),FALSE)="No Impact"),HLOOKUP(LEFT(AN$3,4),Global!$B$6:$J$36,MATCH($C16,Global!$B$6:$B$36,0),FALSE),IF(AND(HLOOKUP(MID(AN$3,FIND(".",AN$3)+1,FIND(".",AN$3,FIND(".",AN$3)+1)-FIND(".",AN$3)-1),Gällivare!$B$6:$J$36,MATCH($C16,Gällivare!$B$6:$B$36,0),FALSE)="No Impact",HLOOKUP(LEFT(AN$3,4),Global!$B$6:$J$36,MATCH($C16,Global!$B$6:$B$36,0),FALSE)="No Impact"),HLOOKUP(RIGHT(AN$3,LEN(AN$3)-FIND(".",AN$3,FIND(".",AN$3)+1)),Gällivare!$B$6:$J$36,MATCH($C16,Gällivare!$B$6:$B$36,0),FALSE),"Global: "&amp;HLOOKUP(LEFT(AN$3,4),Global!$B$6:$J$36,MATCH($C16,Global!$B$6:$B$36,0),FALSE)&amp;CHAR(10)&amp;"Local Trend: "&amp;HLOOKUP(MID(AN$3,FIND(".",AN$3)+1,FIND(".",AN$3,FIND(".",AN$3)+1)-FIND(".",AN$3)-1),Gällivare!$B$6:$J$36,MATCH($C16,Gällivare!$B$6:$B$36,0),FALSE)&amp;CHAR(10)&amp;"Local Target: "&amp;HLOOKUP(RIGHT(AN$3,LEN(AN$3)-FIND(".",AN$3,FIND(".",AN$3)+1)),Gällivare!$B$6:$J$36,MATCH($C16,Gällivare!$B$6:$B$36,0),FALSE)))</f>
        <v>Medium</v>
      </c>
      <c r="AO16" s="177" t="str">
        <f>IF(AND(HLOOKUP(MID(AO$3,FIND(".",AO$3)+1,FIND(".",AO$3,FIND(".",AO$3)+1)-FIND(".",AO$3)-1),Gällivare!$B$6:$J$36,MATCH($C16,Gällivare!$B$6:$B$36,0),FALSE)="No Impact",HLOOKUP(RIGHT(AO$3,LEN(AO$3)-FIND(".",AO$3,FIND(".",AO$3)+1)),Gällivare!$B$6:$J$36,MATCH($C16,Gällivare!$B$6:$B$36,0),FALSE)="No Impact"),HLOOKUP(LEFT(AO$3,4),Global!$B$6:$J$36,MATCH($C16,Global!$B$6:$B$36,0),FALSE),IF(AND(HLOOKUP(MID(AO$3,FIND(".",AO$3)+1,FIND(".",AO$3,FIND(".",AO$3)+1)-FIND(".",AO$3)-1),Gällivare!$B$6:$J$36,MATCH($C16,Gällivare!$B$6:$B$36,0),FALSE)="No Impact",HLOOKUP(LEFT(AO$3,4),Global!$B$6:$J$36,MATCH($C16,Global!$B$6:$B$36,0),FALSE)="No Impact"),HLOOKUP(RIGHT(AO$3,LEN(AO$3)-FIND(".",AO$3,FIND(".",AO$3)+1)),Gällivare!$B$6:$J$36,MATCH($C16,Gällivare!$B$6:$B$36,0),FALSE),"Global: "&amp;HLOOKUP(LEFT(AO$3,4),Global!$B$6:$J$36,MATCH($C16,Global!$B$6:$B$36,0),FALSE)&amp;CHAR(10)&amp;"Local Trend: "&amp;HLOOKUP(MID(AO$3,FIND(".",AO$3)+1,FIND(".",AO$3,FIND(".",AO$3)+1)-FIND(".",AO$3)-1),Gällivare!$B$6:$J$36,MATCH($C16,Gällivare!$B$6:$B$36,0),FALSE)&amp;CHAR(10)&amp;"Local Target: "&amp;HLOOKUP(RIGHT(AO$3,LEN(AO$3)-FIND(".",AO$3,FIND(".",AO$3)+1)),Gällivare!$B$6:$J$36,MATCH($C16,Gällivare!$B$6:$B$36,0),FALSE)))</f>
        <v>Medium</v>
      </c>
      <c r="AP16" s="177" t="str">
        <f>IF(AND(HLOOKUP(MID(AP$3,FIND(".",AP$3)+1,FIND(".",AP$3,FIND(".",AP$3)+1)-FIND(".",AP$3)-1),Gällivare!$B$6:$J$36,MATCH($C16,Gällivare!$B$6:$B$36,0),FALSE)="No Impact",HLOOKUP(RIGHT(AP$3,LEN(AP$3)-FIND(".",AP$3,FIND(".",AP$3)+1)),Gällivare!$B$6:$J$36,MATCH($C16,Gällivare!$B$6:$B$36,0),FALSE)="No Impact"),HLOOKUP(LEFT(AP$3,4),Global!$B$6:$J$36,MATCH($C16,Global!$B$6:$B$36,0),FALSE),IF(AND(HLOOKUP(MID(AP$3,FIND(".",AP$3)+1,FIND(".",AP$3,FIND(".",AP$3)+1)-FIND(".",AP$3)-1),Gällivare!$B$6:$J$36,MATCH($C16,Gällivare!$B$6:$B$36,0),FALSE)="No Impact",HLOOKUP(LEFT(AP$3,4),Global!$B$6:$J$36,MATCH($C16,Global!$B$6:$B$36,0),FALSE)="No Impact"),HLOOKUP(RIGHT(AP$3,LEN(AP$3)-FIND(".",AP$3,FIND(".",AP$3)+1)),Gällivare!$B$6:$J$36,MATCH($C16,Gällivare!$B$6:$B$36,0),FALSE),"Global: "&amp;HLOOKUP(LEFT(AP$3,4),Global!$B$6:$J$36,MATCH($C16,Global!$B$6:$B$36,0),FALSE)&amp;CHAR(10)&amp;"Local Trend: "&amp;HLOOKUP(MID(AP$3,FIND(".",AP$3)+1,FIND(".",AP$3,FIND(".",AP$3)+1)-FIND(".",AP$3)-1),Gällivare!$B$6:$J$36,MATCH($C16,Gällivare!$B$6:$B$36,0),FALSE)&amp;CHAR(10)&amp;"Local Target: "&amp;HLOOKUP(RIGHT(AP$3,LEN(AP$3)-FIND(".",AP$3,FIND(".",AP$3)+1)),Gällivare!$B$6:$J$36,MATCH($C16,Gällivare!$B$6:$B$36,0),FALSE)))</f>
        <v>Medium</v>
      </c>
      <c r="AQ16" s="177" t="str">
        <f>IF(AND(HLOOKUP(MID(AQ$3,FIND(".",AQ$3)+1,FIND(".",AQ$3,FIND(".",AQ$3)+1)-FIND(".",AQ$3)-1),Gällivare!$B$6:$J$36,MATCH($C16,Gällivare!$B$6:$B$36,0),FALSE)="No Impact",HLOOKUP(RIGHT(AQ$3,LEN(AQ$3)-FIND(".",AQ$3,FIND(".",AQ$3)+1)),Gällivare!$B$6:$J$36,MATCH($C16,Gällivare!$B$6:$B$36,0),FALSE)="No Impact"),HLOOKUP(LEFT(AQ$3,4),Global!$B$6:$J$36,MATCH($C16,Global!$B$6:$B$36,0),FALSE),IF(AND(HLOOKUP(MID(AQ$3,FIND(".",AQ$3)+1,FIND(".",AQ$3,FIND(".",AQ$3)+1)-FIND(".",AQ$3)-1),Gällivare!$B$6:$J$36,MATCH($C16,Gällivare!$B$6:$B$36,0),FALSE)="No Impact",HLOOKUP(LEFT(AQ$3,4),Global!$B$6:$J$36,MATCH($C16,Global!$B$6:$B$36,0),FALSE)="No Impact"),HLOOKUP(RIGHT(AQ$3,LEN(AQ$3)-FIND(".",AQ$3,FIND(".",AQ$3)+1)),Gällivare!$B$6:$J$36,MATCH($C16,Gällivare!$B$6:$B$36,0),FALSE),"Global: "&amp;HLOOKUP(LEFT(AQ$3,4),Global!$B$6:$J$36,MATCH($C16,Global!$B$6:$B$36,0),FALSE)&amp;CHAR(10)&amp;"Local Trend: "&amp;HLOOKUP(MID(AQ$3,FIND(".",AQ$3)+1,FIND(".",AQ$3,FIND(".",AQ$3)+1)-FIND(".",AQ$3)-1),Gällivare!$B$6:$J$36,MATCH($C16,Gällivare!$B$6:$B$36,0),FALSE)&amp;CHAR(10)&amp;"Local Target: "&amp;HLOOKUP(RIGHT(AQ$3,LEN(AQ$3)-FIND(".",AQ$3,FIND(".",AQ$3)+1)),Gällivare!$B$6:$J$36,MATCH($C16,Gällivare!$B$6:$B$36,0),FALSE)))</f>
        <v>Medium</v>
      </c>
      <c r="AR16" s="177" t="str">
        <f>IF(AND(HLOOKUP(MID(AR$3,FIND(".",AR$3)+1,FIND(".",AR$3,FIND(".",AR$3)+1)-FIND(".",AR$3)-1),Gällivare!$B$6:$J$36,MATCH($C16,Gällivare!$B$6:$B$36,0),FALSE)="No Impact",HLOOKUP(RIGHT(AR$3,LEN(AR$3)-FIND(".",AR$3,FIND(".",AR$3)+1)),Gällivare!$B$6:$J$36,MATCH($C16,Gällivare!$B$6:$B$36,0),FALSE)="No Impact"),HLOOKUP(LEFT(AR$3,4),Global!$B$6:$J$36,MATCH($C16,Global!$B$6:$B$36,0),FALSE),IF(AND(HLOOKUP(MID(AR$3,FIND(".",AR$3)+1,FIND(".",AR$3,FIND(".",AR$3)+1)-FIND(".",AR$3)-1),Gällivare!$B$6:$J$36,MATCH($C16,Gällivare!$B$6:$B$36,0),FALSE)="No Impact",HLOOKUP(LEFT(AR$3,4),Global!$B$6:$J$36,MATCH($C16,Global!$B$6:$B$36,0),FALSE)="No Impact"),HLOOKUP(RIGHT(AR$3,LEN(AR$3)-FIND(".",AR$3,FIND(".",AR$3)+1)),Gällivare!$B$6:$J$36,MATCH($C16,Gällivare!$B$6:$B$36,0),FALSE),"Global: "&amp;HLOOKUP(LEFT(AR$3,4),Global!$B$6:$J$36,MATCH($C16,Global!$B$6:$B$36,0),FALSE)&amp;CHAR(10)&amp;"Local Trend: "&amp;HLOOKUP(MID(AR$3,FIND(".",AR$3)+1,FIND(".",AR$3,FIND(".",AR$3)+1)-FIND(".",AR$3)-1),Gällivare!$B$6:$J$36,MATCH($C16,Gällivare!$B$6:$B$36,0),FALSE)&amp;CHAR(10)&amp;"Local Target: "&amp;HLOOKUP(RIGHT(AR$3,LEN(AR$3)-FIND(".",AR$3,FIND(".",AR$3)+1)),Gällivare!$B$6:$J$36,MATCH($C16,Gällivare!$B$6:$B$36,0),FALSE)))</f>
        <v>Medium</v>
      </c>
      <c r="AS16" s="177" t="str">
        <f>IF(AND(HLOOKUP(MID(AS$3,FIND(".",AS$3)+1,FIND(".",AS$3,FIND(".",AS$3)+1)-FIND(".",AS$3)-1),Gällivare!$B$6:$J$36,MATCH($C16,Gällivare!$B$6:$B$36,0),FALSE)="No Impact",HLOOKUP(RIGHT(AS$3,LEN(AS$3)-FIND(".",AS$3,FIND(".",AS$3)+1)),Gällivare!$B$6:$J$36,MATCH($C16,Gällivare!$B$6:$B$36,0),FALSE)="No Impact"),HLOOKUP(LEFT(AS$3,4),Global!$B$6:$J$36,MATCH($C16,Global!$B$6:$B$36,0),FALSE),IF(AND(HLOOKUP(MID(AS$3,FIND(".",AS$3)+1,FIND(".",AS$3,FIND(".",AS$3)+1)-FIND(".",AS$3)-1),Gällivare!$B$6:$J$36,MATCH($C16,Gällivare!$B$6:$B$36,0),FALSE)="No Impact",HLOOKUP(LEFT(AS$3,4),Global!$B$6:$J$36,MATCH($C16,Global!$B$6:$B$36,0),FALSE)="No Impact"),HLOOKUP(RIGHT(AS$3,LEN(AS$3)-FIND(".",AS$3,FIND(".",AS$3)+1)),Gällivare!$B$6:$J$36,MATCH($C16,Gällivare!$B$6:$B$36,0),FALSE),"Global: "&amp;HLOOKUP(LEFT(AS$3,4),Global!$B$6:$J$36,MATCH($C16,Global!$B$6:$B$36,0),FALSE)&amp;CHAR(10)&amp;"Local Trend: "&amp;HLOOKUP(MID(AS$3,FIND(".",AS$3)+1,FIND(".",AS$3,FIND(".",AS$3)+1)-FIND(".",AS$3)-1),Gällivare!$B$6:$J$36,MATCH($C16,Gällivare!$B$6:$B$36,0),FALSE)&amp;CHAR(10)&amp;"Local Target: "&amp;HLOOKUP(RIGHT(AS$3,LEN(AS$3)-FIND(".",AS$3,FIND(".",AS$3)+1)),Gällivare!$B$6:$J$36,MATCH($C16,Gällivare!$B$6:$B$36,0),FALSE)))</f>
        <v>Medium</v>
      </c>
      <c r="AT16" s="177" t="str">
        <f>IF(AND(HLOOKUP(MID(AT$3,FIND(".",AT$3)+1,FIND(".",AT$3,FIND(".",AT$3)+1)-FIND(".",AT$3)-1),Gällivare!$B$6:$J$36,MATCH($C16,Gällivare!$B$6:$B$36,0),FALSE)="No Impact",HLOOKUP(RIGHT(AT$3,LEN(AT$3)-FIND(".",AT$3,FIND(".",AT$3)+1)),Gällivare!$B$6:$J$36,MATCH($C16,Gällivare!$B$6:$B$36,0),FALSE)="No Impact"),HLOOKUP(LEFT(AT$3,4),Global!$B$6:$J$36,MATCH($C16,Global!$B$6:$B$36,0),FALSE),IF(AND(HLOOKUP(MID(AT$3,FIND(".",AT$3)+1,FIND(".",AT$3,FIND(".",AT$3)+1)-FIND(".",AT$3)-1),Gällivare!$B$6:$J$36,MATCH($C16,Gällivare!$B$6:$B$36,0),FALSE)="No Impact",HLOOKUP(LEFT(AT$3,4),Global!$B$6:$J$36,MATCH($C16,Global!$B$6:$B$36,0),FALSE)="No Impact"),HLOOKUP(RIGHT(AT$3,LEN(AT$3)-FIND(".",AT$3,FIND(".",AT$3)+1)),Gällivare!$B$6:$J$36,MATCH($C16,Gällivare!$B$6:$B$36,0),FALSE),"Global: "&amp;HLOOKUP(LEFT(AT$3,4),Global!$B$6:$J$36,MATCH($C16,Global!$B$6:$B$36,0),FALSE)&amp;CHAR(10)&amp;"Local Trend: "&amp;HLOOKUP(MID(AT$3,FIND(".",AT$3)+1,FIND(".",AT$3,FIND(".",AT$3)+1)-FIND(".",AT$3)-1),Gällivare!$B$6:$J$36,MATCH($C16,Gällivare!$B$6:$B$36,0),FALSE)&amp;CHAR(10)&amp;"Local Target: "&amp;HLOOKUP(RIGHT(AT$3,LEN(AT$3)-FIND(".",AT$3,FIND(".",AT$3)+1)),Gällivare!$B$6:$J$36,MATCH($C16,Gällivare!$B$6:$B$36,0),FALSE)))</f>
        <v>Medium</v>
      </c>
      <c r="AU16" s="177" t="str">
        <f>IF(AND(HLOOKUP(MID(AU$3,FIND(".",AU$3)+1,FIND(".",AU$3,FIND(".",AU$3)+1)-FIND(".",AU$3)-1),Gällivare!$B$6:$J$36,MATCH($C16,Gällivare!$B$6:$B$36,0),FALSE)="No Impact",HLOOKUP(RIGHT(AU$3,LEN(AU$3)-FIND(".",AU$3,FIND(".",AU$3)+1)),Gällivare!$B$6:$J$36,MATCH($C16,Gällivare!$B$6:$B$36,0),FALSE)="No Impact"),HLOOKUP(LEFT(AU$3,4),Global!$B$6:$J$36,MATCH($C16,Global!$B$6:$B$36,0),FALSE),IF(AND(HLOOKUP(MID(AU$3,FIND(".",AU$3)+1,FIND(".",AU$3,FIND(".",AU$3)+1)-FIND(".",AU$3)-1),Gällivare!$B$6:$J$36,MATCH($C16,Gällivare!$B$6:$B$36,0),FALSE)="No Impact",HLOOKUP(LEFT(AU$3,4),Global!$B$6:$J$36,MATCH($C16,Global!$B$6:$B$36,0),FALSE)="No Impact"),HLOOKUP(RIGHT(AU$3,LEN(AU$3)-FIND(".",AU$3,FIND(".",AU$3)+1)),Gällivare!$B$6:$J$36,MATCH($C16,Gällivare!$B$6:$B$36,0),FALSE),"Global: "&amp;HLOOKUP(LEFT(AU$3,4),Global!$B$6:$J$36,MATCH($C16,Global!$B$6:$B$36,0),FALSE)&amp;CHAR(10)&amp;"Local Trend: "&amp;HLOOKUP(MID(AU$3,FIND(".",AU$3)+1,FIND(".",AU$3,FIND(".",AU$3)+1)-FIND(".",AU$3)-1),Gällivare!$B$6:$J$36,MATCH($C16,Gällivare!$B$6:$B$36,0),FALSE)&amp;CHAR(10)&amp;"Local Target: "&amp;HLOOKUP(RIGHT(AU$3,LEN(AU$3)-FIND(".",AU$3,FIND(".",AU$3)+1)),Gällivare!$B$6:$J$36,MATCH($C16,Gällivare!$B$6:$B$36,0),FALSE)))</f>
        <v>Medium</v>
      </c>
      <c r="AV16" s="177" t="str">
        <f>IF(AND(HLOOKUP(MID(AV$3,FIND(".",AV$3)+1,FIND(".",AV$3,FIND(".",AV$3)+1)-FIND(".",AV$3)-1),Gällivare!$B$6:$J$36,MATCH($C16,Gällivare!$B$6:$B$36,0),FALSE)="No Impact",HLOOKUP(RIGHT(AV$3,LEN(AV$3)-FIND(".",AV$3,FIND(".",AV$3)+1)),Gällivare!$B$6:$J$36,MATCH($C16,Gällivare!$B$6:$B$36,0),FALSE)="No Impact"),HLOOKUP(LEFT(AV$3,4),Global!$B$6:$J$36,MATCH($C16,Global!$B$6:$B$36,0),FALSE),IF(AND(HLOOKUP(MID(AV$3,FIND(".",AV$3)+1,FIND(".",AV$3,FIND(".",AV$3)+1)-FIND(".",AV$3)-1),Gällivare!$B$6:$J$36,MATCH($C16,Gällivare!$B$6:$B$36,0),FALSE)="No Impact",HLOOKUP(LEFT(AV$3,4),Global!$B$6:$J$36,MATCH($C16,Global!$B$6:$B$36,0),FALSE)="No Impact"),HLOOKUP(RIGHT(AV$3,LEN(AV$3)-FIND(".",AV$3,FIND(".",AV$3)+1)),Gällivare!$B$6:$J$36,MATCH($C16,Gällivare!$B$6:$B$36,0),FALSE),"Global: "&amp;HLOOKUP(LEFT(AV$3,4),Global!$B$6:$J$36,MATCH($C16,Global!$B$6:$B$36,0),FALSE)&amp;CHAR(10)&amp;"Local Trend: "&amp;HLOOKUP(MID(AV$3,FIND(".",AV$3)+1,FIND(".",AV$3,FIND(".",AV$3)+1)-FIND(".",AV$3)-1),Gällivare!$B$6:$J$36,MATCH($C16,Gällivare!$B$6:$B$36,0),FALSE)&amp;CHAR(10)&amp;"Local Target: "&amp;HLOOKUP(RIGHT(AV$3,LEN(AV$3)-FIND(".",AV$3,FIND(".",AV$3)+1)),Gällivare!$B$6:$J$36,MATCH($C16,Gällivare!$B$6:$B$36,0),FALSE)))</f>
        <v>Medium</v>
      </c>
      <c r="AW16" s="177" t="str">
        <f>IF(AND(HLOOKUP(MID(AW$3,FIND(".",AW$3)+1,FIND(".",AW$3,FIND(".",AW$3)+1)-FIND(".",AW$3)-1),Gällivare!$B$6:$J$36,MATCH($C16,Gällivare!$B$6:$B$36,0),FALSE)="No Impact",HLOOKUP(RIGHT(AW$3,LEN(AW$3)-FIND(".",AW$3,FIND(".",AW$3)+1)),Gällivare!$B$6:$J$36,MATCH($C16,Gällivare!$B$6:$B$36,0),FALSE)="No Impact"),HLOOKUP(LEFT(AW$3,4),Global!$B$6:$J$36,MATCH($C16,Global!$B$6:$B$36,0),FALSE),IF(AND(HLOOKUP(MID(AW$3,FIND(".",AW$3)+1,FIND(".",AW$3,FIND(".",AW$3)+1)-FIND(".",AW$3)-1),Gällivare!$B$6:$J$36,MATCH($C16,Gällivare!$B$6:$B$36,0),FALSE)="No Impact",HLOOKUP(LEFT(AW$3,4),Global!$B$6:$J$36,MATCH($C16,Global!$B$6:$B$36,0),FALSE)="No Impact"),HLOOKUP(RIGHT(AW$3,LEN(AW$3)-FIND(".",AW$3,FIND(".",AW$3)+1)),Gällivare!$B$6:$J$36,MATCH($C16,Gällivare!$B$6:$B$36,0),FALSE),"Global: "&amp;HLOOKUP(LEFT(AW$3,4),Global!$B$6:$J$36,MATCH($C16,Global!$B$6:$B$36,0),FALSE)&amp;CHAR(10)&amp;"Local Trend: "&amp;HLOOKUP(MID(AW$3,FIND(".",AW$3)+1,FIND(".",AW$3,FIND(".",AW$3)+1)-FIND(".",AW$3)-1),Gällivare!$B$6:$J$36,MATCH($C16,Gällivare!$B$6:$B$36,0),FALSE)&amp;CHAR(10)&amp;"Local Target: "&amp;HLOOKUP(RIGHT(AW$3,LEN(AW$3)-FIND(".",AW$3,FIND(".",AW$3)+1)),Gällivare!$B$6:$J$36,MATCH($C16,Gällivare!$B$6:$B$36,0),FALSE)))</f>
        <v>Medium</v>
      </c>
      <c r="AX16" s="177" t="str">
        <f>IF(AND(HLOOKUP(MID(AX$3,FIND(".",AX$3)+1,FIND(".",AX$3,FIND(".",AX$3)+1)-FIND(".",AX$3)-1),Gällivare!$B$6:$J$36,MATCH($C16,Gällivare!$B$6:$B$36,0),FALSE)="No Impact",HLOOKUP(RIGHT(AX$3,LEN(AX$3)-FIND(".",AX$3,FIND(".",AX$3)+1)),Gällivare!$B$6:$J$36,MATCH($C16,Gällivare!$B$6:$B$36,0),FALSE)="No Impact"),HLOOKUP(LEFT(AX$3,4),Global!$B$6:$J$36,MATCH($C16,Global!$B$6:$B$36,0),FALSE),IF(AND(HLOOKUP(MID(AX$3,FIND(".",AX$3)+1,FIND(".",AX$3,FIND(".",AX$3)+1)-FIND(".",AX$3)-1),Gällivare!$B$6:$J$36,MATCH($C16,Gällivare!$B$6:$B$36,0),FALSE)="No Impact",HLOOKUP(LEFT(AX$3,4),Global!$B$6:$J$36,MATCH($C16,Global!$B$6:$B$36,0),FALSE)="No Impact"),HLOOKUP(RIGHT(AX$3,LEN(AX$3)-FIND(".",AX$3,FIND(".",AX$3)+1)),Gällivare!$B$6:$J$36,MATCH($C16,Gällivare!$B$6:$B$36,0),FALSE),"Global: "&amp;HLOOKUP(LEFT(AX$3,4),Global!$B$6:$J$36,MATCH($C16,Global!$B$6:$B$36,0),FALSE)&amp;CHAR(10)&amp;"Local Trend: "&amp;HLOOKUP(MID(AX$3,FIND(".",AX$3)+1,FIND(".",AX$3,FIND(".",AX$3)+1)-FIND(".",AX$3)-1),Gällivare!$B$6:$J$36,MATCH($C16,Gällivare!$B$6:$B$36,0),FALSE)&amp;CHAR(10)&amp;"Local Target: "&amp;HLOOKUP(RIGHT(AX$3,LEN(AX$3)-FIND(".",AX$3,FIND(".",AX$3)+1)),Gällivare!$B$6:$J$36,MATCH($C16,Gällivare!$B$6:$B$36,0),FALSE)))</f>
        <v>Medium</v>
      </c>
      <c r="AY16" s="177" t="str">
        <f>IF(AND(HLOOKUP(MID(AY$3,FIND(".",AY$3)+1,FIND(".",AY$3,FIND(".",AY$3)+1)-FIND(".",AY$3)-1),Gällivare!$B$6:$J$36,MATCH($C16,Gällivare!$B$6:$B$36,0),FALSE)="No Impact",HLOOKUP(RIGHT(AY$3,LEN(AY$3)-FIND(".",AY$3,FIND(".",AY$3)+1)),Gällivare!$B$6:$J$36,MATCH($C16,Gällivare!$B$6:$B$36,0),FALSE)="No Impact"),HLOOKUP(LEFT(AY$3,4),Global!$B$6:$J$36,MATCH($C16,Global!$B$6:$B$36,0),FALSE),IF(AND(HLOOKUP(MID(AY$3,FIND(".",AY$3)+1,FIND(".",AY$3,FIND(".",AY$3)+1)-FIND(".",AY$3)-1),Gällivare!$B$6:$J$36,MATCH($C16,Gällivare!$B$6:$B$36,0),FALSE)="No Impact",HLOOKUP(LEFT(AY$3,4),Global!$B$6:$J$36,MATCH($C16,Global!$B$6:$B$36,0),FALSE)="No Impact"),HLOOKUP(RIGHT(AY$3,LEN(AY$3)-FIND(".",AY$3,FIND(".",AY$3)+1)),Gällivare!$B$6:$J$36,MATCH($C16,Gällivare!$B$6:$B$36,0),FALSE),"Global: "&amp;HLOOKUP(LEFT(AY$3,4),Global!$B$6:$J$36,MATCH($C16,Global!$B$6:$B$36,0),FALSE)&amp;CHAR(10)&amp;"Local Trend: "&amp;HLOOKUP(MID(AY$3,FIND(".",AY$3)+1,FIND(".",AY$3,FIND(".",AY$3)+1)-FIND(".",AY$3)-1),Gällivare!$B$6:$J$36,MATCH($C16,Gällivare!$B$6:$B$36,0),FALSE)&amp;CHAR(10)&amp;"Local Target: "&amp;HLOOKUP(RIGHT(AY$3,LEN(AY$3)-FIND(".",AY$3,FIND(".",AY$3)+1)),Gällivare!$B$6:$J$36,MATCH($C16,Gällivare!$B$6:$B$36,0),FALSE)))</f>
        <v>Low</v>
      </c>
      <c r="AZ16" s="177" t="str">
        <f>IF(AND(HLOOKUP(MID(AZ$3,FIND(".",AZ$3)+1,FIND(".",AZ$3,FIND(".",AZ$3)+1)-FIND(".",AZ$3)-1),Gällivare!$B$6:$J$36,MATCH($C16,Gällivare!$B$6:$B$36,0),FALSE)="No Impact",HLOOKUP(RIGHT(AZ$3,LEN(AZ$3)-FIND(".",AZ$3,FIND(".",AZ$3)+1)),Gällivare!$B$6:$J$36,MATCH($C16,Gällivare!$B$6:$B$36,0),FALSE)="No Impact"),HLOOKUP(LEFT(AZ$3,4),Global!$B$6:$J$36,MATCH($C16,Global!$B$6:$B$36,0),FALSE),IF(AND(HLOOKUP(MID(AZ$3,FIND(".",AZ$3)+1,FIND(".",AZ$3,FIND(".",AZ$3)+1)-FIND(".",AZ$3)-1),Gällivare!$B$6:$J$36,MATCH($C16,Gällivare!$B$6:$B$36,0),FALSE)="No Impact",HLOOKUP(LEFT(AZ$3,4),Global!$B$6:$J$36,MATCH($C16,Global!$B$6:$B$36,0),FALSE)="No Impact"),HLOOKUP(RIGHT(AZ$3,LEN(AZ$3)-FIND(".",AZ$3,FIND(".",AZ$3)+1)),Gällivare!$B$6:$J$36,MATCH($C16,Gällivare!$B$6:$B$36,0),FALSE),"Global: "&amp;HLOOKUP(LEFT(AZ$3,4),Global!$B$6:$J$36,MATCH($C16,Global!$B$6:$B$36,0),FALSE)&amp;CHAR(10)&amp;"Local Trend: "&amp;HLOOKUP(MID(AZ$3,FIND(".",AZ$3)+1,FIND(".",AZ$3,FIND(".",AZ$3)+1)-FIND(".",AZ$3)-1),Gällivare!$B$6:$J$36,MATCH($C16,Gällivare!$B$6:$B$36,0),FALSE)&amp;CHAR(10)&amp;"Local Target: "&amp;HLOOKUP(RIGHT(AZ$3,LEN(AZ$3)-FIND(".",AZ$3,FIND(".",AZ$3)+1)),Gällivare!$B$6:$J$36,MATCH($C16,Gällivare!$B$6:$B$36,0),FALSE)))</f>
        <v>Low</v>
      </c>
      <c r="BA16" s="177" t="str">
        <f>IF(AND(HLOOKUP(MID(BA$3,FIND(".",BA$3)+1,FIND(".",BA$3,FIND(".",BA$3)+1)-FIND(".",BA$3)-1),Gällivare!$B$6:$J$36,MATCH($C16,Gällivare!$B$6:$B$36,0),FALSE)="No Impact",HLOOKUP(RIGHT(BA$3,LEN(BA$3)-FIND(".",BA$3,FIND(".",BA$3)+1)),Gällivare!$B$6:$J$36,MATCH($C16,Gällivare!$B$6:$B$36,0),FALSE)="No Impact"),HLOOKUP(LEFT(BA$3,4),Global!$B$6:$J$36,MATCH($C16,Global!$B$6:$B$36,0),FALSE),IF(AND(HLOOKUP(MID(BA$3,FIND(".",BA$3)+1,FIND(".",BA$3,FIND(".",BA$3)+1)-FIND(".",BA$3)-1),Gällivare!$B$6:$J$36,MATCH($C16,Gällivare!$B$6:$B$36,0),FALSE)="No Impact",HLOOKUP(LEFT(BA$3,4),Global!$B$6:$J$36,MATCH($C16,Global!$B$6:$B$36,0),FALSE)="No Impact"),HLOOKUP(RIGHT(BA$3,LEN(BA$3)-FIND(".",BA$3,FIND(".",BA$3)+1)),Gällivare!$B$6:$J$36,MATCH($C16,Gällivare!$B$6:$B$36,0),FALSE),"Global: "&amp;HLOOKUP(LEFT(BA$3,4),Global!$B$6:$J$36,MATCH($C16,Global!$B$6:$B$36,0),FALSE)&amp;CHAR(10)&amp;"Local Trend: "&amp;HLOOKUP(MID(BA$3,FIND(".",BA$3)+1,FIND(".",BA$3,FIND(".",BA$3)+1)-FIND(".",BA$3)-1),Gällivare!$B$6:$J$36,MATCH($C16,Gällivare!$B$6:$B$36,0),FALSE)&amp;CHAR(10)&amp;"Local Target: "&amp;HLOOKUP(RIGHT(BA$3,LEN(BA$3)-FIND(".",BA$3,FIND(".",BA$3)+1)),Gällivare!$B$6:$J$36,MATCH($C16,Gällivare!$B$6:$B$36,0),FALSE)))</f>
        <v>Low</v>
      </c>
      <c r="BB16" s="177" t="str">
        <f>IF(AND(HLOOKUP(MID(BB$3,FIND(".",BB$3)+1,FIND(".",BB$3,FIND(".",BB$3)+1)-FIND(".",BB$3)-1),Gällivare!$B$6:$J$36,MATCH($C16,Gällivare!$B$6:$B$36,0),FALSE)="No Impact",HLOOKUP(RIGHT(BB$3,LEN(BB$3)-FIND(".",BB$3,FIND(".",BB$3)+1)),Gällivare!$B$6:$J$36,MATCH($C16,Gällivare!$B$6:$B$36,0),FALSE)="No Impact"),HLOOKUP(LEFT(BB$3,4),Global!$B$6:$J$36,MATCH($C16,Global!$B$6:$B$36,0),FALSE),IF(AND(HLOOKUP(MID(BB$3,FIND(".",BB$3)+1,FIND(".",BB$3,FIND(".",BB$3)+1)-FIND(".",BB$3)-1),Gällivare!$B$6:$J$36,MATCH($C16,Gällivare!$B$6:$B$36,0),FALSE)="No Impact",HLOOKUP(LEFT(BB$3,4),Global!$B$6:$J$36,MATCH($C16,Global!$B$6:$B$36,0),FALSE)="No Impact"),HLOOKUP(RIGHT(BB$3,LEN(BB$3)-FIND(".",BB$3,FIND(".",BB$3)+1)),Gällivare!$B$6:$J$36,MATCH($C16,Gällivare!$B$6:$B$36,0),FALSE),"Global: "&amp;HLOOKUP(LEFT(BB$3,4),Global!$B$6:$J$36,MATCH($C16,Global!$B$6:$B$36,0),FALSE)&amp;CHAR(10)&amp;"Local Trend: "&amp;HLOOKUP(MID(BB$3,FIND(".",BB$3)+1,FIND(".",BB$3,FIND(".",BB$3)+1)-FIND(".",BB$3)-1),Gällivare!$B$6:$J$36,MATCH($C16,Gällivare!$B$6:$B$36,0),FALSE)&amp;CHAR(10)&amp;"Local Target: "&amp;HLOOKUP(RIGHT(BB$3,LEN(BB$3)-FIND(".",BB$3,FIND(".",BB$3)+1)),Gällivare!$B$6:$J$36,MATCH($C16,Gällivare!$B$6:$B$36,0),FALSE)))</f>
        <v>Low</v>
      </c>
      <c r="BC16" s="177" t="str">
        <f>IF(AND(HLOOKUP(MID(BC$3,FIND(".",BC$3)+1,FIND(".",BC$3,FIND(".",BC$3)+1)-FIND(".",BC$3)-1),Gällivare!$B$6:$J$36,MATCH($C16,Gällivare!$B$6:$B$36,0),FALSE)="No Impact",HLOOKUP(RIGHT(BC$3,LEN(BC$3)-FIND(".",BC$3,FIND(".",BC$3)+1)),Gällivare!$B$6:$J$36,MATCH($C16,Gällivare!$B$6:$B$36,0),FALSE)="No Impact"),HLOOKUP(LEFT(BC$3,4),Global!$B$6:$J$36,MATCH($C16,Global!$B$6:$B$36,0),FALSE),IF(AND(HLOOKUP(MID(BC$3,FIND(".",BC$3)+1,FIND(".",BC$3,FIND(".",BC$3)+1)-FIND(".",BC$3)-1),Gällivare!$B$6:$J$36,MATCH($C16,Gällivare!$B$6:$B$36,0),FALSE)="No Impact",HLOOKUP(LEFT(BC$3,4),Global!$B$6:$J$36,MATCH($C16,Global!$B$6:$B$36,0),FALSE)="No Impact"),HLOOKUP(RIGHT(BC$3,LEN(BC$3)-FIND(".",BC$3,FIND(".",BC$3)+1)),Gällivare!$B$6:$J$36,MATCH($C16,Gällivare!$B$6:$B$36,0),FALSE),"Global: "&amp;HLOOKUP(LEFT(BC$3,4),Global!$B$6:$J$36,MATCH($C16,Global!$B$6:$B$36,0),FALSE)&amp;CHAR(10)&amp;"Local Trend: "&amp;HLOOKUP(MID(BC$3,FIND(".",BC$3)+1,FIND(".",BC$3,FIND(".",BC$3)+1)-FIND(".",BC$3)-1),Gällivare!$B$6:$J$36,MATCH($C16,Gällivare!$B$6:$B$36,0),FALSE)&amp;CHAR(10)&amp;"Local Target: "&amp;HLOOKUP(RIGHT(BC$3,LEN(BC$3)-FIND(".",BC$3,FIND(".",BC$3)+1)),Gällivare!$B$6:$J$36,MATCH($C16,Gällivare!$B$6:$B$36,0),FALSE)))</f>
        <v>Low</v>
      </c>
      <c r="BD16" s="177" t="str">
        <f>IF(AND(HLOOKUP(MID(BD$3,FIND(".",BD$3)+1,FIND(".",BD$3,FIND(".",BD$3)+1)-FIND(".",BD$3)-1),Gällivare!$B$6:$J$36,MATCH($C16,Gällivare!$B$6:$B$36,0),FALSE)="No Impact",HLOOKUP(RIGHT(BD$3,LEN(BD$3)-FIND(".",BD$3,FIND(".",BD$3)+1)),Gällivare!$B$6:$J$36,MATCH($C16,Gällivare!$B$6:$B$36,0),FALSE)="No Impact"),HLOOKUP(LEFT(BD$3,4),Global!$B$6:$J$36,MATCH($C16,Global!$B$6:$B$36,0),FALSE),IF(AND(HLOOKUP(MID(BD$3,FIND(".",BD$3)+1,FIND(".",BD$3,FIND(".",BD$3)+1)-FIND(".",BD$3)-1),Gällivare!$B$6:$J$36,MATCH($C16,Gällivare!$B$6:$B$36,0),FALSE)="No Impact",HLOOKUP(LEFT(BD$3,4),Global!$B$6:$J$36,MATCH($C16,Global!$B$6:$B$36,0),FALSE)="No Impact"),HLOOKUP(RIGHT(BD$3,LEN(BD$3)-FIND(".",BD$3,FIND(".",BD$3)+1)),Gällivare!$B$6:$J$36,MATCH($C16,Gällivare!$B$6:$B$36,0),FALSE),"Global: "&amp;HLOOKUP(LEFT(BD$3,4),Global!$B$6:$J$36,MATCH($C16,Global!$B$6:$B$36,0),FALSE)&amp;CHAR(10)&amp;"Local Trend: "&amp;HLOOKUP(MID(BD$3,FIND(".",BD$3)+1,FIND(".",BD$3,FIND(".",BD$3)+1)-FIND(".",BD$3)-1),Gällivare!$B$6:$J$36,MATCH($C16,Gällivare!$B$6:$B$36,0),FALSE)&amp;CHAR(10)&amp;"Local Target: "&amp;HLOOKUP(RIGHT(BD$3,LEN(BD$3)-FIND(".",BD$3,FIND(".",BD$3)+1)),Gällivare!$B$6:$J$36,MATCH($C16,Gällivare!$B$6:$B$36,0),FALSE)))</f>
        <v>Low</v>
      </c>
      <c r="BE16" s="177" t="str">
        <f>IF(AND(HLOOKUP(MID(BE$3,FIND(".",BE$3)+1,FIND(".",BE$3,FIND(".",BE$3)+1)-FIND(".",BE$3)-1),Gällivare!$B$6:$J$36,MATCH($C16,Gällivare!$B$6:$B$36,0),FALSE)="No Impact",HLOOKUP(RIGHT(BE$3,LEN(BE$3)-FIND(".",BE$3,FIND(".",BE$3)+1)),Gällivare!$B$6:$J$36,MATCH($C16,Gällivare!$B$6:$B$36,0),FALSE)="No Impact"),HLOOKUP(LEFT(BE$3,4),Global!$B$6:$J$36,MATCH($C16,Global!$B$6:$B$36,0),FALSE),IF(AND(HLOOKUP(MID(BE$3,FIND(".",BE$3)+1,FIND(".",BE$3,FIND(".",BE$3)+1)-FIND(".",BE$3)-1),Gällivare!$B$6:$J$36,MATCH($C16,Gällivare!$B$6:$B$36,0),FALSE)="No Impact",HLOOKUP(LEFT(BE$3,4),Global!$B$6:$J$36,MATCH($C16,Global!$B$6:$B$36,0),FALSE)="No Impact"),HLOOKUP(RIGHT(BE$3,LEN(BE$3)-FIND(".",BE$3,FIND(".",BE$3)+1)),Gällivare!$B$6:$J$36,MATCH($C16,Gällivare!$B$6:$B$36,0),FALSE),"Global: "&amp;HLOOKUP(LEFT(BE$3,4),Global!$B$6:$J$36,MATCH($C16,Global!$B$6:$B$36,0),FALSE)&amp;CHAR(10)&amp;"Local Trend: "&amp;HLOOKUP(MID(BE$3,FIND(".",BE$3)+1,FIND(".",BE$3,FIND(".",BE$3)+1)-FIND(".",BE$3)-1),Gällivare!$B$6:$J$36,MATCH($C16,Gällivare!$B$6:$B$36,0),FALSE)&amp;CHAR(10)&amp;"Local Target: "&amp;HLOOKUP(RIGHT(BE$3,LEN(BE$3)-FIND(".",BE$3,FIND(".",BE$3)+1)),Gällivare!$B$6:$J$36,MATCH($C16,Gällivare!$B$6:$B$36,0),FALSE)))</f>
        <v>High</v>
      </c>
      <c r="BF16" s="177" t="str">
        <f>IF(AND(HLOOKUP(MID(BF$3,FIND(".",BF$3)+1,FIND(".",BF$3,FIND(".",BF$3)+1)-FIND(".",BF$3)-1),Gällivare!$B$6:$J$36,MATCH($C16,Gällivare!$B$6:$B$36,0),FALSE)="No Impact",HLOOKUP(RIGHT(BF$3,LEN(BF$3)-FIND(".",BF$3,FIND(".",BF$3)+1)),Gällivare!$B$6:$J$36,MATCH($C16,Gällivare!$B$6:$B$36,0),FALSE)="No Impact"),HLOOKUP(LEFT(BF$3,4),Global!$B$6:$J$36,MATCH($C16,Global!$B$6:$B$36,0),FALSE),IF(AND(HLOOKUP(MID(BF$3,FIND(".",BF$3)+1,FIND(".",BF$3,FIND(".",BF$3)+1)-FIND(".",BF$3)-1),Gällivare!$B$6:$J$36,MATCH($C16,Gällivare!$B$6:$B$36,0),FALSE)="No Impact",HLOOKUP(LEFT(BF$3,4),Global!$B$6:$J$36,MATCH($C16,Global!$B$6:$B$36,0),FALSE)="No Impact"),HLOOKUP(RIGHT(BF$3,LEN(BF$3)-FIND(".",BF$3,FIND(".",BF$3)+1)),Gällivare!$B$6:$J$36,MATCH($C16,Gällivare!$B$6:$B$36,0),FALSE),"Global: "&amp;HLOOKUP(LEFT(BF$3,4),Global!$B$6:$J$36,MATCH($C16,Global!$B$6:$B$36,0),FALSE)&amp;CHAR(10)&amp;"Local Trend: "&amp;HLOOKUP(MID(BF$3,FIND(".",BF$3)+1,FIND(".",BF$3,FIND(".",BF$3)+1)-FIND(".",BF$3)-1),Gällivare!$B$6:$J$36,MATCH($C16,Gällivare!$B$6:$B$36,0),FALSE)&amp;CHAR(10)&amp;"Local Target: "&amp;HLOOKUP(RIGHT(BF$3,LEN(BF$3)-FIND(".",BF$3,FIND(".",BF$3)+1)),Gällivare!$B$6:$J$36,MATCH($C16,Gällivare!$B$6:$B$36,0),FALSE)))</f>
        <v>High</v>
      </c>
      <c r="BG16" s="177" t="str">
        <f>IF(AND(HLOOKUP(MID(BG$3,FIND(".",BG$3)+1,FIND(".",BG$3,FIND(".",BG$3)+1)-FIND(".",BG$3)-1),Gällivare!$B$6:$J$36,MATCH($C16,Gällivare!$B$6:$B$36,0),FALSE)="No Impact",HLOOKUP(RIGHT(BG$3,LEN(BG$3)-FIND(".",BG$3,FIND(".",BG$3)+1)),Gällivare!$B$6:$J$36,MATCH($C16,Gällivare!$B$6:$B$36,0),FALSE)="No Impact"),HLOOKUP(LEFT(BG$3,4),Global!$B$6:$J$36,MATCH($C16,Global!$B$6:$B$36,0),FALSE),IF(AND(HLOOKUP(MID(BG$3,FIND(".",BG$3)+1,FIND(".",BG$3,FIND(".",BG$3)+1)-FIND(".",BG$3)-1),Gällivare!$B$6:$J$36,MATCH($C16,Gällivare!$B$6:$B$36,0),FALSE)="No Impact",HLOOKUP(LEFT(BG$3,4),Global!$B$6:$J$36,MATCH($C16,Global!$B$6:$B$36,0),FALSE)="No Impact"),HLOOKUP(RIGHT(BG$3,LEN(BG$3)-FIND(".",BG$3,FIND(".",BG$3)+1)),Gällivare!$B$6:$J$36,MATCH($C16,Gällivare!$B$6:$B$36,0),FALSE),"Global: "&amp;HLOOKUP(LEFT(BG$3,4),Global!$B$6:$J$36,MATCH($C16,Global!$B$6:$B$36,0),FALSE)&amp;CHAR(10)&amp;"Local Trend: "&amp;HLOOKUP(MID(BG$3,FIND(".",BG$3)+1,FIND(".",BG$3,FIND(".",BG$3)+1)-FIND(".",BG$3)-1),Gällivare!$B$6:$J$36,MATCH($C16,Gällivare!$B$6:$B$36,0),FALSE)&amp;CHAR(10)&amp;"Local Target: "&amp;HLOOKUP(RIGHT(BG$3,LEN(BG$3)-FIND(".",BG$3,FIND(".",BG$3)+1)),Gällivare!$B$6:$J$36,MATCH($C16,Gällivare!$B$6:$B$36,0),FALSE)))</f>
        <v>High</v>
      </c>
      <c r="BH16" s="177" t="str">
        <f>IF(AND(HLOOKUP(MID(BH$3,FIND(".",BH$3)+1,FIND(".",BH$3,FIND(".",BH$3)+1)-FIND(".",BH$3)-1),Gällivare!$B$6:$J$36,MATCH($C16,Gällivare!$B$6:$B$36,0),FALSE)="No Impact",HLOOKUP(RIGHT(BH$3,LEN(BH$3)-FIND(".",BH$3,FIND(".",BH$3)+1)),Gällivare!$B$6:$J$36,MATCH($C16,Gällivare!$B$6:$B$36,0),FALSE)="No Impact"),HLOOKUP(LEFT(BH$3,4),Global!$B$6:$J$36,MATCH($C16,Global!$B$6:$B$36,0),FALSE),IF(AND(HLOOKUP(MID(BH$3,FIND(".",BH$3)+1,FIND(".",BH$3,FIND(".",BH$3)+1)-FIND(".",BH$3)-1),Gällivare!$B$6:$J$36,MATCH($C16,Gällivare!$B$6:$B$36,0),FALSE)="No Impact",HLOOKUP(LEFT(BH$3,4),Global!$B$6:$J$36,MATCH($C16,Global!$B$6:$B$36,0),FALSE)="No Impact"),HLOOKUP(RIGHT(BH$3,LEN(BH$3)-FIND(".",BH$3,FIND(".",BH$3)+1)),Gällivare!$B$6:$J$36,MATCH($C16,Gällivare!$B$6:$B$36,0),FALSE),"Global: "&amp;HLOOKUP(LEFT(BH$3,4),Global!$B$6:$J$36,MATCH($C16,Global!$B$6:$B$36,0),FALSE)&amp;CHAR(10)&amp;"Local Trend: "&amp;HLOOKUP(MID(BH$3,FIND(".",BH$3)+1,FIND(".",BH$3,FIND(".",BH$3)+1)-FIND(".",BH$3)-1),Gällivare!$B$6:$J$36,MATCH($C16,Gällivare!$B$6:$B$36,0),FALSE)&amp;CHAR(10)&amp;"Local Target: "&amp;HLOOKUP(RIGHT(BH$3,LEN(BH$3)-FIND(".",BH$3,FIND(".",BH$3)+1)),Gällivare!$B$6:$J$36,MATCH($C16,Gällivare!$B$6:$B$36,0),FALSE)))</f>
        <v>High</v>
      </c>
      <c r="BI16" s="177" t="str">
        <f>IF(AND(HLOOKUP(MID(BI$3,FIND(".",BI$3)+1,FIND(".",BI$3,FIND(".",BI$3)+1)-FIND(".",BI$3)-1),Gällivare!$B$6:$J$36,MATCH($C16,Gällivare!$B$6:$B$36,0),FALSE)="No Impact",HLOOKUP(RIGHT(BI$3,LEN(BI$3)-FIND(".",BI$3,FIND(".",BI$3)+1)),Gällivare!$B$6:$J$36,MATCH($C16,Gällivare!$B$6:$B$36,0),FALSE)="No Impact"),HLOOKUP(LEFT(BI$3,4),Global!$B$6:$J$36,MATCH($C16,Global!$B$6:$B$36,0),FALSE),IF(AND(HLOOKUP(MID(BI$3,FIND(".",BI$3)+1,FIND(".",BI$3,FIND(".",BI$3)+1)-FIND(".",BI$3)-1),Gällivare!$B$6:$J$36,MATCH($C16,Gällivare!$B$6:$B$36,0),FALSE)="No Impact",HLOOKUP(LEFT(BI$3,4),Global!$B$6:$J$36,MATCH($C16,Global!$B$6:$B$36,0),FALSE)="No Impact"),HLOOKUP(RIGHT(BI$3,LEN(BI$3)-FIND(".",BI$3,FIND(".",BI$3)+1)),Gällivare!$B$6:$J$36,MATCH($C16,Gällivare!$B$6:$B$36,0),FALSE),"Global: "&amp;HLOOKUP(LEFT(BI$3,4),Global!$B$6:$J$36,MATCH($C16,Global!$B$6:$B$36,0),FALSE)&amp;CHAR(10)&amp;"Local Trend: "&amp;HLOOKUP(MID(BI$3,FIND(".",BI$3)+1,FIND(".",BI$3,FIND(".",BI$3)+1)-FIND(".",BI$3)-1),Gällivare!$B$6:$J$36,MATCH($C16,Gällivare!$B$6:$B$36,0),FALSE)&amp;CHAR(10)&amp;"Local Target: "&amp;HLOOKUP(RIGHT(BI$3,LEN(BI$3)-FIND(".",BI$3,FIND(".",BI$3)+1)),Gällivare!$B$6:$J$36,MATCH($C16,Gällivare!$B$6:$B$36,0),FALSE)))</f>
        <v>High</v>
      </c>
      <c r="BJ16" s="177" t="str">
        <f>IF(AND(HLOOKUP(MID(BJ$3,FIND(".",BJ$3)+1,FIND(".",BJ$3,FIND(".",BJ$3)+1)-FIND(".",BJ$3)-1),Gällivare!$B$6:$J$36,MATCH($C16,Gällivare!$B$6:$B$36,0),FALSE)="No Impact",HLOOKUP(RIGHT(BJ$3,LEN(BJ$3)-FIND(".",BJ$3,FIND(".",BJ$3)+1)),Gällivare!$B$6:$J$36,MATCH($C16,Gällivare!$B$6:$B$36,0),FALSE)="No Impact"),HLOOKUP(LEFT(BJ$3,4),Global!$B$6:$J$36,MATCH($C16,Global!$B$6:$B$36,0),FALSE),IF(AND(HLOOKUP(MID(BJ$3,FIND(".",BJ$3)+1,FIND(".",BJ$3,FIND(".",BJ$3)+1)-FIND(".",BJ$3)-1),Gällivare!$B$6:$J$36,MATCH($C16,Gällivare!$B$6:$B$36,0),FALSE)="No Impact",HLOOKUP(LEFT(BJ$3,4),Global!$B$6:$J$36,MATCH($C16,Global!$B$6:$B$36,0),FALSE)="No Impact"),HLOOKUP(RIGHT(BJ$3,LEN(BJ$3)-FIND(".",BJ$3,FIND(".",BJ$3)+1)),Gällivare!$B$6:$J$36,MATCH($C16,Gällivare!$B$6:$B$36,0),FALSE),"Global: "&amp;HLOOKUP(LEFT(BJ$3,4),Global!$B$6:$J$36,MATCH($C16,Global!$B$6:$B$36,0),FALSE)&amp;CHAR(10)&amp;"Local Trend: "&amp;HLOOKUP(MID(BJ$3,FIND(".",BJ$3)+1,FIND(".",BJ$3,FIND(".",BJ$3)+1)-FIND(".",BJ$3)-1),Gällivare!$B$6:$J$36,MATCH($C16,Gällivare!$B$6:$B$36,0),FALSE)&amp;CHAR(10)&amp;"Local Target: "&amp;HLOOKUP(RIGHT(BJ$3,LEN(BJ$3)-FIND(".",BJ$3,FIND(".",BJ$3)+1)),Gällivare!$B$6:$J$36,MATCH($C16,Gällivare!$B$6:$B$36,0),FALSE)))</f>
        <v>High</v>
      </c>
      <c r="BK16" s="177" t="str">
        <f>IF(AND(HLOOKUP(MID(BK$3,FIND(".",BK$3)+1,FIND(".",BK$3,FIND(".",BK$3)+1)-FIND(".",BK$3)-1),Gällivare!$B$6:$J$36,MATCH($C16,Gällivare!$B$6:$B$36,0),FALSE)="No Impact",HLOOKUP(RIGHT(BK$3,LEN(BK$3)-FIND(".",BK$3,FIND(".",BK$3)+1)),Gällivare!$B$6:$J$36,MATCH($C16,Gällivare!$B$6:$B$36,0),FALSE)="No Impact"),HLOOKUP(LEFT(BK$3,4),Global!$B$6:$J$36,MATCH($C16,Global!$B$6:$B$36,0),FALSE),IF(AND(HLOOKUP(MID(BK$3,FIND(".",BK$3)+1,FIND(".",BK$3,FIND(".",BK$3)+1)-FIND(".",BK$3)-1),Gällivare!$B$6:$J$36,MATCH($C16,Gällivare!$B$6:$B$36,0),FALSE)="No Impact",HLOOKUP(LEFT(BK$3,4),Global!$B$6:$J$36,MATCH($C16,Global!$B$6:$B$36,0),FALSE)="No Impact"),HLOOKUP(RIGHT(BK$3,LEN(BK$3)-FIND(".",BK$3,FIND(".",BK$3)+1)),Gällivare!$B$6:$J$36,MATCH($C16,Gällivare!$B$6:$B$36,0),FALSE),"Global: "&amp;HLOOKUP(LEFT(BK$3,4),Global!$B$6:$J$36,MATCH($C16,Global!$B$6:$B$36,0),FALSE)&amp;CHAR(10)&amp;"Local Trend: "&amp;HLOOKUP(MID(BK$3,FIND(".",BK$3)+1,FIND(".",BK$3,FIND(".",BK$3)+1)-FIND(".",BK$3)-1),Gällivare!$B$6:$J$36,MATCH($C16,Gällivare!$B$6:$B$36,0),FALSE)&amp;CHAR(10)&amp;"Local Target: "&amp;HLOOKUP(RIGHT(BK$3,LEN(BK$3)-FIND(".",BK$3,FIND(".",BK$3)+1)),Gällivare!$B$6:$J$36,MATCH($C16,Gällivare!$B$6:$B$36,0),FALSE)))</f>
        <v>High</v>
      </c>
      <c r="BL16" s="177" t="str">
        <f>IF(AND(HLOOKUP(MID(BL$3,FIND(".",BL$3)+1,FIND(".",BL$3,FIND(".",BL$3)+1)-FIND(".",BL$3)-1),Gällivare!$B$6:$J$36,MATCH($C16,Gällivare!$B$6:$B$36,0),FALSE)="No Impact",HLOOKUP(RIGHT(BL$3,LEN(BL$3)-FIND(".",BL$3,FIND(".",BL$3)+1)),Gällivare!$B$6:$J$36,MATCH($C16,Gällivare!$B$6:$B$36,0),FALSE)="No Impact"),HLOOKUP(LEFT(BL$3,4),Global!$B$6:$J$36,MATCH($C16,Global!$B$6:$B$36,0),FALSE),IF(AND(HLOOKUP(MID(BL$3,FIND(".",BL$3)+1,FIND(".",BL$3,FIND(".",BL$3)+1)-FIND(".",BL$3)-1),Gällivare!$B$6:$J$36,MATCH($C16,Gällivare!$B$6:$B$36,0),FALSE)="No Impact",HLOOKUP(LEFT(BL$3,4),Global!$B$6:$J$36,MATCH($C16,Global!$B$6:$B$36,0),FALSE)="No Impact"),HLOOKUP(RIGHT(BL$3,LEN(BL$3)-FIND(".",BL$3,FIND(".",BL$3)+1)),Gällivare!$B$6:$J$36,MATCH($C16,Gällivare!$B$6:$B$36,0),FALSE),"Global: "&amp;HLOOKUP(LEFT(BL$3,4),Global!$B$6:$J$36,MATCH($C16,Global!$B$6:$B$36,0),FALSE)&amp;CHAR(10)&amp;"Local Trend: "&amp;HLOOKUP(MID(BL$3,FIND(".",BL$3)+1,FIND(".",BL$3,FIND(".",BL$3)+1)-FIND(".",BL$3)-1),Gällivare!$B$6:$J$36,MATCH($C16,Gällivare!$B$6:$B$36,0),FALSE)&amp;CHAR(10)&amp;"Local Target: "&amp;HLOOKUP(RIGHT(BL$3,LEN(BL$3)-FIND(".",BL$3,FIND(".",BL$3)+1)),Gällivare!$B$6:$J$36,MATCH($C16,Gällivare!$B$6:$B$36,0),FALSE)))</f>
        <v>High</v>
      </c>
      <c r="BM16" s="177" t="str">
        <f>IF(AND(HLOOKUP(MID(BM$3,FIND(".",BM$3)+1,FIND(".",BM$3,FIND(".",BM$3)+1)-FIND(".",BM$3)-1),Gällivare!$B$6:$J$36,MATCH($C16,Gällivare!$B$6:$B$36,0),FALSE)="No Impact",HLOOKUP(RIGHT(BM$3,LEN(BM$3)-FIND(".",BM$3,FIND(".",BM$3)+1)),Gällivare!$B$6:$J$36,MATCH($C16,Gällivare!$B$6:$B$36,0),FALSE)="No Impact"),HLOOKUP(LEFT(BM$3,4),Global!$B$6:$J$36,MATCH($C16,Global!$B$6:$B$36,0),FALSE),IF(AND(HLOOKUP(MID(BM$3,FIND(".",BM$3)+1,FIND(".",BM$3,FIND(".",BM$3)+1)-FIND(".",BM$3)-1),Gällivare!$B$6:$J$36,MATCH($C16,Gällivare!$B$6:$B$36,0),FALSE)="No Impact",HLOOKUP(LEFT(BM$3,4),Global!$B$6:$J$36,MATCH($C16,Global!$B$6:$B$36,0),FALSE)="No Impact"),HLOOKUP(RIGHT(BM$3,LEN(BM$3)-FIND(".",BM$3,FIND(".",BM$3)+1)),Gällivare!$B$6:$J$36,MATCH($C16,Gällivare!$B$6:$B$36,0),FALSE),"Global: "&amp;HLOOKUP(LEFT(BM$3,4),Global!$B$6:$J$36,MATCH($C16,Global!$B$6:$B$36,0),FALSE)&amp;CHAR(10)&amp;"Local Trend: "&amp;HLOOKUP(MID(BM$3,FIND(".",BM$3)+1,FIND(".",BM$3,FIND(".",BM$3)+1)-FIND(".",BM$3)-1),Gällivare!$B$6:$J$36,MATCH($C16,Gällivare!$B$6:$B$36,0),FALSE)&amp;CHAR(10)&amp;"Local Target: "&amp;HLOOKUP(RIGHT(BM$3,LEN(BM$3)-FIND(".",BM$3,FIND(".",BM$3)+1)),Gällivare!$B$6:$J$36,MATCH($C16,Gällivare!$B$6:$B$36,0),FALSE)))</f>
        <v>High</v>
      </c>
      <c r="BN16" s="177" t="str">
        <f>IF(AND(HLOOKUP(MID(BN$3,FIND(".",BN$3)+1,FIND(".",BN$3,FIND(".",BN$3)+1)-FIND(".",BN$3)-1),Gällivare!$B$6:$J$36,MATCH($C16,Gällivare!$B$6:$B$36,0),FALSE)="No Impact",HLOOKUP(RIGHT(BN$3,LEN(BN$3)-FIND(".",BN$3,FIND(".",BN$3)+1)),Gällivare!$B$6:$J$36,MATCH($C16,Gällivare!$B$6:$B$36,0),FALSE)="No Impact"),HLOOKUP(LEFT(BN$3,4),Global!$B$6:$J$36,MATCH($C16,Global!$B$6:$B$36,0),FALSE),IF(AND(HLOOKUP(MID(BN$3,FIND(".",BN$3)+1,FIND(".",BN$3,FIND(".",BN$3)+1)-FIND(".",BN$3)-1),Gällivare!$B$6:$J$36,MATCH($C16,Gällivare!$B$6:$B$36,0),FALSE)="No Impact",HLOOKUP(LEFT(BN$3,4),Global!$B$6:$J$36,MATCH($C16,Global!$B$6:$B$36,0),FALSE)="No Impact"),HLOOKUP(RIGHT(BN$3,LEN(BN$3)-FIND(".",BN$3,FIND(".",BN$3)+1)),Gällivare!$B$6:$J$36,MATCH($C16,Gällivare!$B$6:$B$36,0),FALSE),"Global: "&amp;HLOOKUP(LEFT(BN$3,4),Global!$B$6:$J$36,MATCH($C16,Global!$B$6:$B$36,0),FALSE)&amp;CHAR(10)&amp;"Local Trend: "&amp;HLOOKUP(MID(BN$3,FIND(".",BN$3)+1,FIND(".",BN$3,FIND(".",BN$3)+1)-FIND(".",BN$3)-1),Gällivare!$B$6:$J$36,MATCH($C16,Gällivare!$B$6:$B$36,0),FALSE)&amp;CHAR(10)&amp;"Local Target: "&amp;HLOOKUP(RIGHT(BN$3,LEN(BN$3)-FIND(".",BN$3,FIND(".",BN$3)+1)),Gällivare!$B$6:$J$36,MATCH($C16,Gällivare!$B$6:$B$36,0),FALSE)))</f>
        <v>High</v>
      </c>
      <c r="BO16" s="177" t="str">
        <f>IF(AND(HLOOKUP(MID(BO$3,FIND(".",BO$3)+1,FIND(".",BO$3,FIND(".",BO$3)+1)-FIND(".",BO$3)-1),Gällivare!$B$6:$J$36,MATCH($C16,Gällivare!$B$6:$B$36,0),FALSE)="No Impact",HLOOKUP(RIGHT(BO$3,LEN(BO$3)-FIND(".",BO$3,FIND(".",BO$3)+1)),Gällivare!$B$6:$J$36,MATCH($C16,Gällivare!$B$6:$B$36,0),FALSE)="No Impact"),HLOOKUP(LEFT(BO$3,4),Global!$B$6:$J$36,MATCH($C16,Global!$B$6:$B$36,0),FALSE),IF(AND(HLOOKUP(MID(BO$3,FIND(".",BO$3)+1,FIND(".",BO$3,FIND(".",BO$3)+1)-FIND(".",BO$3)-1),Gällivare!$B$6:$J$36,MATCH($C16,Gällivare!$B$6:$B$36,0),FALSE)="No Impact",HLOOKUP(LEFT(BO$3,4),Global!$B$6:$J$36,MATCH($C16,Global!$B$6:$B$36,0),FALSE)="No Impact"),HLOOKUP(RIGHT(BO$3,LEN(BO$3)-FIND(".",BO$3,FIND(".",BO$3)+1)),Gällivare!$B$6:$J$36,MATCH($C16,Gällivare!$B$6:$B$36,0),FALSE),"Global: "&amp;HLOOKUP(LEFT(BO$3,4),Global!$B$6:$J$36,MATCH($C16,Global!$B$6:$B$36,0),FALSE)&amp;CHAR(10)&amp;"Local Trend: "&amp;HLOOKUP(MID(BO$3,FIND(".",BO$3)+1,FIND(".",BO$3,FIND(".",BO$3)+1)-FIND(".",BO$3)-1),Gällivare!$B$6:$J$36,MATCH($C16,Gällivare!$B$6:$B$36,0),FALSE)&amp;CHAR(10)&amp;"Local Target: "&amp;HLOOKUP(RIGHT(BO$3,LEN(BO$3)-FIND(".",BO$3,FIND(".",BO$3)+1)),Gällivare!$B$6:$J$36,MATCH($C16,Gällivare!$B$6:$B$36,0),FALSE)))</f>
        <v>High</v>
      </c>
      <c r="BP16" s="177" t="str">
        <f>IF(AND(HLOOKUP(MID(BP$3,FIND(".",BP$3)+1,FIND(".",BP$3,FIND(".",BP$3)+1)-FIND(".",BP$3)-1),Gällivare!$B$6:$J$36,MATCH($C16,Gällivare!$B$6:$B$36,0),FALSE)="No Impact",HLOOKUP(RIGHT(BP$3,LEN(BP$3)-FIND(".",BP$3,FIND(".",BP$3)+1)),Gällivare!$B$6:$J$36,MATCH($C16,Gällivare!$B$6:$B$36,0),FALSE)="No Impact"),HLOOKUP(LEFT(BP$3,4),Global!$B$6:$J$36,MATCH($C16,Global!$B$6:$B$36,0),FALSE),IF(AND(HLOOKUP(MID(BP$3,FIND(".",BP$3)+1,FIND(".",BP$3,FIND(".",BP$3)+1)-FIND(".",BP$3)-1),Gällivare!$B$6:$J$36,MATCH($C16,Gällivare!$B$6:$B$36,0),FALSE)="No Impact",HLOOKUP(LEFT(BP$3,4),Global!$B$6:$J$36,MATCH($C16,Global!$B$6:$B$36,0),FALSE)="No Impact"),HLOOKUP(RIGHT(BP$3,LEN(BP$3)-FIND(".",BP$3,FIND(".",BP$3)+1)),Gällivare!$B$6:$J$36,MATCH($C16,Gällivare!$B$6:$B$36,0),FALSE),"Global: "&amp;HLOOKUP(LEFT(BP$3,4),Global!$B$6:$J$36,MATCH($C16,Global!$B$6:$B$36,0),FALSE)&amp;CHAR(10)&amp;"Local Trend: "&amp;HLOOKUP(MID(BP$3,FIND(".",BP$3)+1,FIND(".",BP$3,FIND(".",BP$3)+1)-FIND(".",BP$3)-1),Gällivare!$B$6:$J$36,MATCH($C16,Gällivare!$B$6:$B$36,0),FALSE)&amp;CHAR(10)&amp;"Local Target: "&amp;HLOOKUP(RIGHT(BP$3,LEN(BP$3)-FIND(".",BP$3,FIND(".",BP$3)+1)),Gällivare!$B$6:$J$36,MATCH($C16,Gällivare!$B$6:$B$36,0),FALSE)))</f>
        <v>High</v>
      </c>
      <c r="BT16" s="178"/>
      <c r="BU16" s="178"/>
      <c r="BV16" s="178"/>
    </row>
    <row r="17" spans="2:74" ht="28.8" x14ac:dyDescent="0.3">
      <c r="B17" s="246"/>
      <c r="C17" s="148" t="s">
        <v>129</v>
      </c>
      <c r="D17" s="247"/>
      <c r="E17" s="175" t="s">
        <v>188</v>
      </c>
      <c r="F17" s="176" t="s">
        <v>165</v>
      </c>
      <c r="G17" s="176"/>
      <c r="H17" s="175" t="str">
        <f t="shared" si="1"/>
        <v>Medium</v>
      </c>
      <c r="I17" s="175" t="str">
        <f t="shared" si="1"/>
        <v>Medium</v>
      </c>
      <c r="J17" s="175" t="str">
        <f t="shared" si="1"/>
        <v>Medium</v>
      </c>
      <c r="K17" s="175" t="str">
        <f t="shared" si="1"/>
        <v>Medium</v>
      </c>
      <c r="L17" s="175" t="str">
        <f t="shared" si="1"/>
        <v>Medium</v>
      </c>
      <c r="M17" s="175" t="str">
        <f t="shared" si="1"/>
        <v>Medium</v>
      </c>
      <c r="N17" s="175" t="str">
        <f t="shared" si="1"/>
        <v>Medium</v>
      </c>
      <c r="O17" s="175" t="str">
        <f t="shared" si="1"/>
        <v>Medium</v>
      </c>
      <c r="P17" s="175" t="str">
        <f t="shared" si="1"/>
        <v>Medium</v>
      </c>
      <c r="Q17" s="175" t="str">
        <f t="shared" si="1"/>
        <v>Medium</v>
      </c>
      <c r="R17" s="175" t="str">
        <f t="shared" si="1"/>
        <v>Medium</v>
      </c>
      <c r="S17" s="175" t="str">
        <f t="shared" si="1"/>
        <v>Medium</v>
      </c>
      <c r="T17" s="175" t="str">
        <f t="shared" si="1"/>
        <v>Low</v>
      </c>
      <c r="U17" s="175" t="str">
        <f t="shared" si="1"/>
        <v>Low</v>
      </c>
      <c r="V17" s="175" t="str">
        <f t="shared" si="1"/>
        <v>Low</v>
      </c>
      <c r="W17" s="175" t="str">
        <f t="shared" si="1"/>
        <v>Low</v>
      </c>
      <c r="X17" s="175" t="str">
        <f t="shared" si="5"/>
        <v>Low</v>
      </c>
      <c r="Y17" s="175" t="str">
        <f t="shared" si="5"/>
        <v>Low</v>
      </c>
      <c r="Z17" s="175" t="str">
        <f t="shared" si="5"/>
        <v>High</v>
      </c>
      <c r="AA17" s="175" t="str">
        <f t="shared" si="5"/>
        <v>High</v>
      </c>
      <c r="AB17" s="175" t="str">
        <f t="shared" si="5"/>
        <v>High</v>
      </c>
      <c r="AC17" s="175" t="str">
        <f t="shared" si="5"/>
        <v>High</v>
      </c>
      <c r="AD17" s="175" t="str">
        <f t="shared" si="5"/>
        <v>High</v>
      </c>
      <c r="AE17" s="175" t="str">
        <f t="shared" si="5"/>
        <v>High</v>
      </c>
      <c r="AF17" s="175" t="str">
        <f t="shared" si="4"/>
        <v>High</v>
      </c>
      <c r="AG17" s="175" t="str">
        <f t="shared" si="4"/>
        <v>High</v>
      </c>
      <c r="AH17" s="175" t="str">
        <f t="shared" si="4"/>
        <v>High</v>
      </c>
      <c r="AI17" s="175" t="str">
        <f t="shared" si="4"/>
        <v>High</v>
      </c>
      <c r="AJ17" s="175" t="str">
        <f t="shared" si="4"/>
        <v>High</v>
      </c>
      <c r="AK17" s="175" t="str">
        <f t="shared" si="4"/>
        <v>High</v>
      </c>
      <c r="AL17" s="176"/>
      <c r="AM17" s="177" t="str">
        <f>IF(AND(HLOOKUP(MID(AM$3,FIND(".",AM$3)+1,FIND(".",AM$3,FIND(".",AM$3)+1)-FIND(".",AM$3)-1),Gällivare!$B$6:$J$36,MATCH($C17,Gällivare!$B$6:$B$36,0),FALSE)="No Impact",HLOOKUP(RIGHT(AM$3,LEN(AM$3)-FIND(".",AM$3,FIND(".",AM$3)+1)),Gällivare!$B$6:$J$36,MATCH($C17,Gällivare!$B$6:$B$36,0),FALSE)="No Impact"),HLOOKUP(LEFT(AM$3,4),Global!$B$6:$J$36,MATCH($C17,Global!$B$6:$B$36,0),FALSE),IF(AND(HLOOKUP(MID(AM$3,FIND(".",AM$3)+1,FIND(".",AM$3,FIND(".",AM$3)+1)-FIND(".",AM$3)-1),Gällivare!$B$6:$J$36,MATCH($C17,Gällivare!$B$6:$B$36,0),FALSE)="No Impact",HLOOKUP(LEFT(AM$3,4),Global!$B$6:$J$36,MATCH($C17,Global!$B$6:$B$36,0),FALSE)="No Impact"),HLOOKUP(RIGHT(AM$3,LEN(AM$3)-FIND(".",AM$3,FIND(".",AM$3)+1)),Gällivare!$B$6:$J$36,MATCH($C17,Gällivare!$B$6:$B$36,0),FALSE),"Global: "&amp;HLOOKUP(LEFT(AM$3,4),Global!$B$6:$J$36,MATCH($C17,Global!$B$6:$B$36,0),FALSE)&amp;CHAR(10)&amp;"Local Trend: "&amp;HLOOKUP(MID(AM$3,FIND(".",AM$3)+1,FIND(".",AM$3,FIND(".",AM$3)+1)-FIND(".",AM$3)-1),Gällivare!$B$6:$J$36,MATCH($C17,Gällivare!$B$6:$B$36,0),FALSE)&amp;CHAR(10)&amp;"Local Target: "&amp;HLOOKUP(RIGHT(AM$3,LEN(AM$3)-FIND(".",AM$3,FIND(".",AM$3)+1)),Gällivare!$B$6:$J$36,MATCH($C17,Gällivare!$B$6:$B$36,0),FALSE)))</f>
        <v>Medium</v>
      </c>
      <c r="AN17" s="177" t="str">
        <f>IF(AND(HLOOKUP(MID(AN$3,FIND(".",AN$3)+1,FIND(".",AN$3,FIND(".",AN$3)+1)-FIND(".",AN$3)-1),Gällivare!$B$6:$J$36,MATCH($C17,Gällivare!$B$6:$B$36,0),FALSE)="No Impact",HLOOKUP(RIGHT(AN$3,LEN(AN$3)-FIND(".",AN$3,FIND(".",AN$3)+1)),Gällivare!$B$6:$J$36,MATCH($C17,Gällivare!$B$6:$B$36,0),FALSE)="No Impact"),HLOOKUP(LEFT(AN$3,4),Global!$B$6:$J$36,MATCH($C17,Global!$B$6:$B$36,0),FALSE),IF(AND(HLOOKUP(MID(AN$3,FIND(".",AN$3)+1,FIND(".",AN$3,FIND(".",AN$3)+1)-FIND(".",AN$3)-1),Gällivare!$B$6:$J$36,MATCH($C17,Gällivare!$B$6:$B$36,0),FALSE)="No Impact",HLOOKUP(LEFT(AN$3,4),Global!$B$6:$J$36,MATCH($C17,Global!$B$6:$B$36,0),FALSE)="No Impact"),HLOOKUP(RIGHT(AN$3,LEN(AN$3)-FIND(".",AN$3,FIND(".",AN$3)+1)),Gällivare!$B$6:$J$36,MATCH($C17,Gällivare!$B$6:$B$36,0),FALSE),"Global: "&amp;HLOOKUP(LEFT(AN$3,4),Global!$B$6:$J$36,MATCH($C17,Global!$B$6:$B$36,0),FALSE)&amp;CHAR(10)&amp;"Local Trend: "&amp;HLOOKUP(MID(AN$3,FIND(".",AN$3)+1,FIND(".",AN$3,FIND(".",AN$3)+1)-FIND(".",AN$3)-1),Gällivare!$B$6:$J$36,MATCH($C17,Gällivare!$B$6:$B$36,0),FALSE)&amp;CHAR(10)&amp;"Local Target: "&amp;HLOOKUP(RIGHT(AN$3,LEN(AN$3)-FIND(".",AN$3,FIND(".",AN$3)+1)),Gällivare!$B$6:$J$36,MATCH($C17,Gällivare!$B$6:$B$36,0),FALSE)))</f>
        <v>Medium</v>
      </c>
      <c r="AO17" s="177" t="str">
        <f>IF(AND(HLOOKUP(MID(AO$3,FIND(".",AO$3)+1,FIND(".",AO$3,FIND(".",AO$3)+1)-FIND(".",AO$3)-1),Gällivare!$B$6:$J$36,MATCH($C17,Gällivare!$B$6:$B$36,0),FALSE)="No Impact",HLOOKUP(RIGHT(AO$3,LEN(AO$3)-FIND(".",AO$3,FIND(".",AO$3)+1)),Gällivare!$B$6:$J$36,MATCH($C17,Gällivare!$B$6:$B$36,0),FALSE)="No Impact"),HLOOKUP(LEFT(AO$3,4),Global!$B$6:$J$36,MATCH($C17,Global!$B$6:$B$36,0),FALSE),IF(AND(HLOOKUP(MID(AO$3,FIND(".",AO$3)+1,FIND(".",AO$3,FIND(".",AO$3)+1)-FIND(".",AO$3)-1),Gällivare!$B$6:$J$36,MATCH($C17,Gällivare!$B$6:$B$36,0),FALSE)="No Impact",HLOOKUP(LEFT(AO$3,4),Global!$B$6:$J$36,MATCH($C17,Global!$B$6:$B$36,0),FALSE)="No Impact"),HLOOKUP(RIGHT(AO$3,LEN(AO$3)-FIND(".",AO$3,FIND(".",AO$3)+1)),Gällivare!$B$6:$J$36,MATCH($C17,Gällivare!$B$6:$B$36,0),FALSE),"Global: "&amp;HLOOKUP(LEFT(AO$3,4),Global!$B$6:$J$36,MATCH($C17,Global!$B$6:$B$36,0),FALSE)&amp;CHAR(10)&amp;"Local Trend: "&amp;HLOOKUP(MID(AO$3,FIND(".",AO$3)+1,FIND(".",AO$3,FIND(".",AO$3)+1)-FIND(".",AO$3)-1),Gällivare!$B$6:$J$36,MATCH($C17,Gällivare!$B$6:$B$36,0),FALSE)&amp;CHAR(10)&amp;"Local Target: "&amp;HLOOKUP(RIGHT(AO$3,LEN(AO$3)-FIND(".",AO$3,FIND(".",AO$3)+1)),Gällivare!$B$6:$J$36,MATCH($C17,Gällivare!$B$6:$B$36,0),FALSE)))</f>
        <v>Medium</v>
      </c>
      <c r="AP17" s="177" t="str">
        <f>IF(AND(HLOOKUP(MID(AP$3,FIND(".",AP$3)+1,FIND(".",AP$3,FIND(".",AP$3)+1)-FIND(".",AP$3)-1),Gällivare!$B$6:$J$36,MATCH($C17,Gällivare!$B$6:$B$36,0),FALSE)="No Impact",HLOOKUP(RIGHT(AP$3,LEN(AP$3)-FIND(".",AP$3,FIND(".",AP$3)+1)),Gällivare!$B$6:$J$36,MATCH($C17,Gällivare!$B$6:$B$36,0),FALSE)="No Impact"),HLOOKUP(LEFT(AP$3,4),Global!$B$6:$J$36,MATCH($C17,Global!$B$6:$B$36,0),FALSE),IF(AND(HLOOKUP(MID(AP$3,FIND(".",AP$3)+1,FIND(".",AP$3,FIND(".",AP$3)+1)-FIND(".",AP$3)-1),Gällivare!$B$6:$J$36,MATCH($C17,Gällivare!$B$6:$B$36,0),FALSE)="No Impact",HLOOKUP(LEFT(AP$3,4),Global!$B$6:$J$36,MATCH($C17,Global!$B$6:$B$36,0),FALSE)="No Impact"),HLOOKUP(RIGHT(AP$3,LEN(AP$3)-FIND(".",AP$3,FIND(".",AP$3)+1)),Gällivare!$B$6:$J$36,MATCH($C17,Gällivare!$B$6:$B$36,0),FALSE),"Global: "&amp;HLOOKUP(LEFT(AP$3,4),Global!$B$6:$J$36,MATCH($C17,Global!$B$6:$B$36,0),FALSE)&amp;CHAR(10)&amp;"Local Trend: "&amp;HLOOKUP(MID(AP$3,FIND(".",AP$3)+1,FIND(".",AP$3,FIND(".",AP$3)+1)-FIND(".",AP$3)-1),Gällivare!$B$6:$J$36,MATCH($C17,Gällivare!$B$6:$B$36,0),FALSE)&amp;CHAR(10)&amp;"Local Target: "&amp;HLOOKUP(RIGHT(AP$3,LEN(AP$3)-FIND(".",AP$3,FIND(".",AP$3)+1)),Gällivare!$B$6:$J$36,MATCH($C17,Gällivare!$B$6:$B$36,0),FALSE)))</f>
        <v>Medium</v>
      </c>
      <c r="AQ17" s="177" t="str">
        <f>IF(AND(HLOOKUP(MID(AQ$3,FIND(".",AQ$3)+1,FIND(".",AQ$3,FIND(".",AQ$3)+1)-FIND(".",AQ$3)-1),Gällivare!$B$6:$J$36,MATCH($C17,Gällivare!$B$6:$B$36,0),FALSE)="No Impact",HLOOKUP(RIGHT(AQ$3,LEN(AQ$3)-FIND(".",AQ$3,FIND(".",AQ$3)+1)),Gällivare!$B$6:$J$36,MATCH($C17,Gällivare!$B$6:$B$36,0),FALSE)="No Impact"),HLOOKUP(LEFT(AQ$3,4),Global!$B$6:$J$36,MATCH($C17,Global!$B$6:$B$36,0),FALSE),IF(AND(HLOOKUP(MID(AQ$3,FIND(".",AQ$3)+1,FIND(".",AQ$3,FIND(".",AQ$3)+1)-FIND(".",AQ$3)-1),Gällivare!$B$6:$J$36,MATCH($C17,Gällivare!$B$6:$B$36,0),FALSE)="No Impact",HLOOKUP(LEFT(AQ$3,4),Global!$B$6:$J$36,MATCH($C17,Global!$B$6:$B$36,0),FALSE)="No Impact"),HLOOKUP(RIGHT(AQ$3,LEN(AQ$3)-FIND(".",AQ$3,FIND(".",AQ$3)+1)),Gällivare!$B$6:$J$36,MATCH($C17,Gällivare!$B$6:$B$36,0),FALSE),"Global: "&amp;HLOOKUP(LEFT(AQ$3,4),Global!$B$6:$J$36,MATCH($C17,Global!$B$6:$B$36,0),FALSE)&amp;CHAR(10)&amp;"Local Trend: "&amp;HLOOKUP(MID(AQ$3,FIND(".",AQ$3)+1,FIND(".",AQ$3,FIND(".",AQ$3)+1)-FIND(".",AQ$3)-1),Gällivare!$B$6:$J$36,MATCH($C17,Gällivare!$B$6:$B$36,0),FALSE)&amp;CHAR(10)&amp;"Local Target: "&amp;HLOOKUP(RIGHT(AQ$3,LEN(AQ$3)-FIND(".",AQ$3,FIND(".",AQ$3)+1)),Gällivare!$B$6:$J$36,MATCH($C17,Gällivare!$B$6:$B$36,0),FALSE)))</f>
        <v>Medium</v>
      </c>
      <c r="AR17" s="177" t="str">
        <f>IF(AND(HLOOKUP(MID(AR$3,FIND(".",AR$3)+1,FIND(".",AR$3,FIND(".",AR$3)+1)-FIND(".",AR$3)-1),Gällivare!$B$6:$J$36,MATCH($C17,Gällivare!$B$6:$B$36,0),FALSE)="No Impact",HLOOKUP(RIGHT(AR$3,LEN(AR$3)-FIND(".",AR$3,FIND(".",AR$3)+1)),Gällivare!$B$6:$J$36,MATCH($C17,Gällivare!$B$6:$B$36,0),FALSE)="No Impact"),HLOOKUP(LEFT(AR$3,4),Global!$B$6:$J$36,MATCH($C17,Global!$B$6:$B$36,0),FALSE),IF(AND(HLOOKUP(MID(AR$3,FIND(".",AR$3)+1,FIND(".",AR$3,FIND(".",AR$3)+1)-FIND(".",AR$3)-1),Gällivare!$B$6:$J$36,MATCH($C17,Gällivare!$B$6:$B$36,0),FALSE)="No Impact",HLOOKUP(LEFT(AR$3,4),Global!$B$6:$J$36,MATCH($C17,Global!$B$6:$B$36,0),FALSE)="No Impact"),HLOOKUP(RIGHT(AR$3,LEN(AR$3)-FIND(".",AR$3,FIND(".",AR$3)+1)),Gällivare!$B$6:$J$36,MATCH($C17,Gällivare!$B$6:$B$36,0),FALSE),"Global: "&amp;HLOOKUP(LEFT(AR$3,4),Global!$B$6:$J$36,MATCH($C17,Global!$B$6:$B$36,0),FALSE)&amp;CHAR(10)&amp;"Local Trend: "&amp;HLOOKUP(MID(AR$3,FIND(".",AR$3)+1,FIND(".",AR$3,FIND(".",AR$3)+1)-FIND(".",AR$3)-1),Gällivare!$B$6:$J$36,MATCH($C17,Gällivare!$B$6:$B$36,0),FALSE)&amp;CHAR(10)&amp;"Local Target: "&amp;HLOOKUP(RIGHT(AR$3,LEN(AR$3)-FIND(".",AR$3,FIND(".",AR$3)+1)),Gällivare!$B$6:$J$36,MATCH($C17,Gällivare!$B$6:$B$36,0),FALSE)))</f>
        <v>Medium</v>
      </c>
      <c r="AS17" s="177" t="str">
        <f>IF(AND(HLOOKUP(MID(AS$3,FIND(".",AS$3)+1,FIND(".",AS$3,FIND(".",AS$3)+1)-FIND(".",AS$3)-1),Gällivare!$B$6:$J$36,MATCH($C17,Gällivare!$B$6:$B$36,0),FALSE)="No Impact",HLOOKUP(RIGHT(AS$3,LEN(AS$3)-FIND(".",AS$3,FIND(".",AS$3)+1)),Gällivare!$B$6:$J$36,MATCH($C17,Gällivare!$B$6:$B$36,0),FALSE)="No Impact"),HLOOKUP(LEFT(AS$3,4),Global!$B$6:$J$36,MATCH($C17,Global!$B$6:$B$36,0),FALSE),IF(AND(HLOOKUP(MID(AS$3,FIND(".",AS$3)+1,FIND(".",AS$3,FIND(".",AS$3)+1)-FIND(".",AS$3)-1),Gällivare!$B$6:$J$36,MATCH($C17,Gällivare!$B$6:$B$36,0),FALSE)="No Impact",HLOOKUP(LEFT(AS$3,4),Global!$B$6:$J$36,MATCH($C17,Global!$B$6:$B$36,0),FALSE)="No Impact"),HLOOKUP(RIGHT(AS$3,LEN(AS$3)-FIND(".",AS$3,FIND(".",AS$3)+1)),Gällivare!$B$6:$J$36,MATCH($C17,Gällivare!$B$6:$B$36,0),FALSE),"Global: "&amp;HLOOKUP(LEFT(AS$3,4),Global!$B$6:$J$36,MATCH($C17,Global!$B$6:$B$36,0),FALSE)&amp;CHAR(10)&amp;"Local Trend: "&amp;HLOOKUP(MID(AS$3,FIND(".",AS$3)+1,FIND(".",AS$3,FIND(".",AS$3)+1)-FIND(".",AS$3)-1),Gällivare!$B$6:$J$36,MATCH($C17,Gällivare!$B$6:$B$36,0),FALSE)&amp;CHAR(10)&amp;"Local Target: "&amp;HLOOKUP(RIGHT(AS$3,LEN(AS$3)-FIND(".",AS$3,FIND(".",AS$3)+1)),Gällivare!$B$6:$J$36,MATCH($C17,Gällivare!$B$6:$B$36,0),FALSE)))</f>
        <v>Medium</v>
      </c>
      <c r="AT17" s="177" t="str">
        <f>IF(AND(HLOOKUP(MID(AT$3,FIND(".",AT$3)+1,FIND(".",AT$3,FIND(".",AT$3)+1)-FIND(".",AT$3)-1),Gällivare!$B$6:$J$36,MATCH($C17,Gällivare!$B$6:$B$36,0),FALSE)="No Impact",HLOOKUP(RIGHT(AT$3,LEN(AT$3)-FIND(".",AT$3,FIND(".",AT$3)+1)),Gällivare!$B$6:$J$36,MATCH($C17,Gällivare!$B$6:$B$36,0),FALSE)="No Impact"),HLOOKUP(LEFT(AT$3,4),Global!$B$6:$J$36,MATCH($C17,Global!$B$6:$B$36,0),FALSE),IF(AND(HLOOKUP(MID(AT$3,FIND(".",AT$3)+1,FIND(".",AT$3,FIND(".",AT$3)+1)-FIND(".",AT$3)-1),Gällivare!$B$6:$J$36,MATCH($C17,Gällivare!$B$6:$B$36,0),FALSE)="No Impact",HLOOKUP(LEFT(AT$3,4),Global!$B$6:$J$36,MATCH($C17,Global!$B$6:$B$36,0),FALSE)="No Impact"),HLOOKUP(RIGHT(AT$3,LEN(AT$3)-FIND(".",AT$3,FIND(".",AT$3)+1)),Gällivare!$B$6:$J$36,MATCH($C17,Gällivare!$B$6:$B$36,0),FALSE),"Global: "&amp;HLOOKUP(LEFT(AT$3,4),Global!$B$6:$J$36,MATCH($C17,Global!$B$6:$B$36,0),FALSE)&amp;CHAR(10)&amp;"Local Trend: "&amp;HLOOKUP(MID(AT$3,FIND(".",AT$3)+1,FIND(".",AT$3,FIND(".",AT$3)+1)-FIND(".",AT$3)-1),Gällivare!$B$6:$J$36,MATCH($C17,Gällivare!$B$6:$B$36,0),FALSE)&amp;CHAR(10)&amp;"Local Target: "&amp;HLOOKUP(RIGHT(AT$3,LEN(AT$3)-FIND(".",AT$3,FIND(".",AT$3)+1)),Gällivare!$B$6:$J$36,MATCH($C17,Gällivare!$B$6:$B$36,0),FALSE)))</f>
        <v>Medium</v>
      </c>
      <c r="AU17" s="177" t="str">
        <f>IF(AND(HLOOKUP(MID(AU$3,FIND(".",AU$3)+1,FIND(".",AU$3,FIND(".",AU$3)+1)-FIND(".",AU$3)-1),Gällivare!$B$6:$J$36,MATCH($C17,Gällivare!$B$6:$B$36,0),FALSE)="No Impact",HLOOKUP(RIGHT(AU$3,LEN(AU$3)-FIND(".",AU$3,FIND(".",AU$3)+1)),Gällivare!$B$6:$J$36,MATCH($C17,Gällivare!$B$6:$B$36,0),FALSE)="No Impact"),HLOOKUP(LEFT(AU$3,4),Global!$B$6:$J$36,MATCH($C17,Global!$B$6:$B$36,0),FALSE),IF(AND(HLOOKUP(MID(AU$3,FIND(".",AU$3)+1,FIND(".",AU$3,FIND(".",AU$3)+1)-FIND(".",AU$3)-1),Gällivare!$B$6:$J$36,MATCH($C17,Gällivare!$B$6:$B$36,0),FALSE)="No Impact",HLOOKUP(LEFT(AU$3,4),Global!$B$6:$J$36,MATCH($C17,Global!$B$6:$B$36,0),FALSE)="No Impact"),HLOOKUP(RIGHT(AU$3,LEN(AU$3)-FIND(".",AU$3,FIND(".",AU$3)+1)),Gällivare!$B$6:$J$36,MATCH($C17,Gällivare!$B$6:$B$36,0),FALSE),"Global: "&amp;HLOOKUP(LEFT(AU$3,4),Global!$B$6:$J$36,MATCH($C17,Global!$B$6:$B$36,0),FALSE)&amp;CHAR(10)&amp;"Local Trend: "&amp;HLOOKUP(MID(AU$3,FIND(".",AU$3)+1,FIND(".",AU$3,FIND(".",AU$3)+1)-FIND(".",AU$3)-1),Gällivare!$B$6:$J$36,MATCH($C17,Gällivare!$B$6:$B$36,0),FALSE)&amp;CHAR(10)&amp;"Local Target: "&amp;HLOOKUP(RIGHT(AU$3,LEN(AU$3)-FIND(".",AU$3,FIND(".",AU$3)+1)),Gällivare!$B$6:$J$36,MATCH($C17,Gällivare!$B$6:$B$36,0),FALSE)))</f>
        <v>Medium</v>
      </c>
      <c r="AV17" s="177" t="str">
        <f>IF(AND(HLOOKUP(MID(AV$3,FIND(".",AV$3)+1,FIND(".",AV$3,FIND(".",AV$3)+1)-FIND(".",AV$3)-1),Gällivare!$B$6:$J$36,MATCH($C17,Gällivare!$B$6:$B$36,0),FALSE)="No Impact",HLOOKUP(RIGHT(AV$3,LEN(AV$3)-FIND(".",AV$3,FIND(".",AV$3)+1)),Gällivare!$B$6:$J$36,MATCH($C17,Gällivare!$B$6:$B$36,0),FALSE)="No Impact"),HLOOKUP(LEFT(AV$3,4),Global!$B$6:$J$36,MATCH($C17,Global!$B$6:$B$36,0),FALSE),IF(AND(HLOOKUP(MID(AV$3,FIND(".",AV$3)+1,FIND(".",AV$3,FIND(".",AV$3)+1)-FIND(".",AV$3)-1),Gällivare!$B$6:$J$36,MATCH($C17,Gällivare!$B$6:$B$36,0),FALSE)="No Impact",HLOOKUP(LEFT(AV$3,4),Global!$B$6:$J$36,MATCH($C17,Global!$B$6:$B$36,0),FALSE)="No Impact"),HLOOKUP(RIGHT(AV$3,LEN(AV$3)-FIND(".",AV$3,FIND(".",AV$3)+1)),Gällivare!$B$6:$J$36,MATCH($C17,Gällivare!$B$6:$B$36,0),FALSE),"Global: "&amp;HLOOKUP(LEFT(AV$3,4),Global!$B$6:$J$36,MATCH($C17,Global!$B$6:$B$36,0),FALSE)&amp;CHAR(10)&amp;"Local Trend: "&amp;HLOOKUP(MID(AV$3,FIND(".",AV$3)+1,FIND(".",AV$3,FIND(".",AV$3)+1)-FIND(".",AV$3)-1),Gällivare!$B$6:$J$36,MATCH($C17,Gällivare!$B$6:$B$36,0),FALSE)&amp;CHAR(10)&amp;"Local Target: "&amp;HLOOKUP(RIGHT(AV$3,LEN(AV$3)-FIND(".",AV$3,FIND(".",AV$3)+1)),Gällivare!$B$6:$J$36,MATCH($C17,Gällivare!$B$6:$B$36,0),FALSE)))</f>
        <v>Medium</v>
      </c>
      <c r="AW17" s="177" t="str">
        <f>IF(AND(HLOOKUP(MID(AW$3,FIND(".",AW$3)+1,FIND(".",AW$3,FIND(".",AW$3)+1)-FIND(".",AW$3)-1),Gällivare!$B$6:$J$36,MATCH($C17,Gällivare!$B$6:$B$36,0),FALSE)="No Impact",HLOOKUP(RIGHT(AW$3,LEN(AW$3)-FIND(".",AW$3,FIND(".",AW$3)+1)),Gällivare!$B$6:$J$36,MATCH($C17,Gällivare!$B$6:$B$36,0),FALSE)="No Impact"),HLOOKUP(LEFT(AW$3,4),Global!$B$6:$J$36,MATCH($C17,Global!$B$6:$B$36,0),FALSE),IF(AND(HLOOKUP(MID(AW$3,FIND(".",AW$3)+1,FIND(".",AW$3,FIND(".",AW$3)+1)-FIND(".",AW$3)-1),Gällivare!$B$6:$J$36,MATCH($C17,Gällivare!$B$6:$B$36,0),FALSE)="No Impact",HLOOKUP(LEFT(AW$3,4),Global!$B$6:$J$36,MATCH($C17,Global!$B$6:$B$36,0),FALSE)="No Impact"),HLOOKUP(RIGHT(AW$3,LEN(AW$3)-FIND(".",AW$3,FIND(".",AW$3)+1)),Gällivare!$B$6:$J$36,MATCH($C17,Gällivare!$B$6:$B$36,0),FALSE),"Global: "&amp;HLOOKUP(LEFT(AW$3,4),Global!$B$6:$J$36,MATCH($C17,Global!$B$6:$B$36,0),FALSE)&amp;CHAR(10)&amp;"Local Trend: "&amp;HLOOKUP(MID(AW$3,FIND(".",AW$3)+1,FIND(".",AW$3,FIND(".",AW$3)+1)-FIND(".",AW$3)-1),Gällivare!$B$6:$J$36,MATCH($C17,Gällivare!$B$6:$B$36,0),FALSE)&amp;CHAR(10)&amp;"Local Target: "&amp;HLOOKUP(RIGHT(AW$3,LEN(AW$3)-FIND(".",AW$3,FIND(".",AW$3)+1)),Gällivare!$B$6:$J$36,MATCH($C17,Gällivare!$B$6:$B$36,0),FALSE)))</f>
        <v>Medium</v>
      </c>
      <c r="AX17" s="177" t="str">
        <f>IF(AND(HLOOKUP(MID(AX$3,FIND(".",AX$3)+1,FIND(".",AX$3,FIND(".",AX$3)+1)-FIND(".",AX$3)-1),Gällivare!$B$6:$J$36,MATCH($C17,Gällivare!$B$6:$B$36,0),FALSE)="No Impact",HLOOKUP(RIGHT(AX$3,LEN(AX$3)-FIND(".",AX$3,FIND(".",AX$3)+1)),Gällivare!$B$6:$J$36,MATCH($C17,Gällivare!$B$6:$B$36,0),FALSE)="No Impact"),HLOOKUP(LEFT(AX$3,4),Global!$B$6:$J$36,MATCH($C17,Global!$B$6:$B$36,0),FALSE),IF(AND(HLOOKUP(MID(AX$3,FIND(".",AX$3)+1,FIND(".",AX$3,FIND(".",AX$3)+1)-FIND(".",AX$3)-1),Gällivare!$B$6:$J$36,MATCH($C17,Gällivare!$B$6:$B$36,0),FALSE)="No Impact",HLOOKUP(LEFT(AX$3,4),Global!$B$6:$J$36,MATCH($C17,Global!$B$6:$B$36,0),FALSE)="No Impact"),HLOOKUP(RIGHT(AX$3,LEN(AX$3)-FIND(".",AX$3,FIND(".",AX$3)+1)),Gällivare!$B$6:$J$36,MATCH($C17,Gällivare!$B$6:$B$36,0),FALSE),"Global: "&amp;HLOOKUP(LEFT(AX$3,4),Global!$B$6:$J$36,MATCH($C17,Global!$B$6:$B$36,0),FALSE)&amp;CHAR(10)&amp;"Local Trend: "&amp;HLOOKUP(MID(AX$3,FIND(".",AX$3)+1,FIND(".",AX$3,FIND(".",AX$3)+1)-FIND(".",AX$3)-1),Gällivare!$B$6:$J$36,MATCH($C17,Gällivare!$B$6:$B$36,0),FALSE)&amp;CHAR(10)&amp;"Local Target: "&amp;HLOOKUP(RIGHT(AX$3,LEN(AX$3)-FIND(".",AX$3,FIND(".",AX$3)+1)),Gällivare!$B$6:$J$36,MATCH($C17,Gällivare!$B$6:$B$36,0),FALSE)))</f>
        <v>Medium</v>
      </c>
      <c r="AY17" s="177" t="str">
        <f>IF(AND(HLOOKUP(MID(AY$3,FIND(".",AY$3)+1,FIND(".",AY$3,FIND(".",AY$3)+1)-FIND(".",AY$3)-1),Gällivare!$B$6:$J$36,MATCH($C17,Gällivare!$B$6:$B$36,0),FALSE)="No Impact",HLOOKUP(RIGHT(AY$3,LEN(AY$3)-FIND(".",AY$3,FIND(".",AY$3)+1)),Gällivare!$B$6:$J$36,MATCH($C17,Gällivare!$B$6:$B$36,0),FALSE)="No Impact"),HLOOKUP(LEFT(AY$3,4),Global!$B$6:$J$36,MATCH($C17,Global!$B$6:$B$36,0),FALSE),IF(AND(HLOOKUP(MID(AY$3,FIND(".",AY$3)+1,FIND(".",AY$3,FIND(".",AY$3)+1)-FIND(".",AY$3)-1),Gällivare!$B$6:$J$36,MATCH($C17,Gällivare!$B$6:$B$36,0),FALSE)="No Impact",HLOOKUP(LEFT(AY$3,4),Global!$B$6:$J$36,MATCH($C17,Global!$B$6:$B$36,0),FALSE)="No Impact"),HLOOKUP(RIGHT(AY$3,LEN(AY$3)-FIND(".",AY$3,FIND(".",AY$3)+1)),Gällivare!$B$6:$J$36,MATCH($C17,Gällivare!$B$6:$B$36,0),FALSE),"Global: "&amp;HLOOKUP(LEFT(AY$3,4),Global!$B$6:$J$36,MATCH($C17,Global!$B$6:$B$36,0),FALSE)&amp;CHAR(10)&amp;"Local Trend: "&amp;HLOOKUP(MID(AY$3,FIND(".",AY$3)+1,FIND(".",AY$3,FIND(".",AY$3)+1)-FIND(".",AY$3)-1),Gällivare!$B$6:$J$36,MATCH($C17,Gällivare!$B$6:$B$36,0),FALSE)&amp;CHAR(10)&amp;"Local Target: "&amp;HLOOKUP(RIGHT(AY$3,LEN(AY$3)-FIND(".",AY$3,FIND(".",AY$3)+1)),Gällivare!$B$6:$J$36,MATCH($C17,Gällivare!$B$6:$B$36,0),FALSE)))</f>
        <v>Low</v>
      </c>
      <c r="AZ17" s="177" t="str">
        <f>IF(AND(HLOOKUP(MID(AZ$3,FIND(".",AZ$3)+1,FIND(".",AZ$3,FIND(".",AZ$3)+1)-FIND(".",AZ$3)-1),Gällivare!$B$6:$J$36,MATCH($C17,Gällivare!$B$6:$B$36,0),FALSE)="No Impact",HLOOKUP(RIGHT(AZ$3,LEN(AZ$3)-FIND(".",AZ$3,FIND(".",AZ$3)+1)),Gällivare!$B$6:$J$36,MATCH($C17,Gällivare!$B$6:$B$36,0),FALSE)="No Impact"),HLOOKUP(LEFT(AZ$3,4),Global!$B$6:$J$36,MATCH($C17,Global!$B$6:$B$36,0),FALSE),IF(AND(HLOOKUP(MID(AZ$3,FIND(".",AZ$3)+1,FIND(".",AZ$3,FIND(".",AZ$3)+1)-FIND(".",AZ$3)-1),Gällivare!$B$6:$J$36,MATCH($C17,Gällivare!$B$6:$B$36,0),FALSE)="No Impact",HLOOKUP(LEFT(AZ$3,4),Global!$B$6:$J$36,MATCH($C17,Global!$B$6:$B$36,0),FALSE)="No Impact"),HLOOKUP(RIGHT(AZ$3,LEN(AZ$3)-FIND(".",AZ$3,FIND(".",AZ$3)+1)),Gällivare!$B$6:$J$36,MATCH($C17,Gällivare!$B$6:$B$36,0),FALSE),"Global: "&amp;HLOOKUP(LEFT(AZ$3,4),Global!$B$6:$J$36,MATCH($C17,Global!$B$6:$B$36,0),FALSE)&amp;CHAR(10)&amp;"Local Trend: "&amp;HLOOKUP(MID(AZ$3,FIND(".",AZ$3)+1,FIND(".",AZ$3,FIND(".",AZ$3)+1)-FIND(".",AZ$3)-1),Gällivare!$B$6:$J$36,MATCH($C17,Gällivare!$B$6:$B$36,0),FALSE)&amp;CHAR(10)&amp;"Local Target: "&amp;HLOOKUP(RIGHT(AZ$3,LEN(AZ$3)-FIND(".",AZ$3,FIND(".",AZ$3)+1)),Gällivare!$B$6:$J$36,MATCH($C17,Gällivare!$B$6:$B$36,0),FALSE)))</f>
        <v>Low</v>
      </c>
      <c r="BA17" s="177" t="str">
        <f>IF(AND(HLOOKUP(MID(BA$3,FIND(".",BA$3)+1,FIND(".",BA$3,FIND(".",BA$3)+1)-FIND(".",BA$3)-1),Gällivare!$B$6:$J$36,MATCH($C17,Gällivare!$B$6:$B$36,0),FALSE)="No Impact",HLOOKUP(RIGHT(BA$3,LEN(BA$3)-FIND(".",BA$3,FIND(".",BA$3)+1)),Gällivare!$B$6:$J$36,MATCH($C17,Gällivare!$B$6:$B$36,0),FALSE)="No Impact"),HLOOKUP(LEFT(BA$3,4),Global!$B$6:$J$36,MATCH($C17,Global!$B$6:$B$36,0),FALSE),IF(AND(HLOOKUP(MID(BA$3,FIND(".",BA$3)+1,FIND(".",BA$3,FIND(".",BA$3)+1)-FIND(".",BA$3)-1),Gällivare!$B$6:$J$36,MATCH($C17,Gällivare!$B$6:$B$36,0),FALSE)="No Impact",HLOOKUP(LEFT(BA$3,4),Global!$B$6:$J$36,MATCH($C17,Global!$B$6:$B$36,0),FALSE)="No Impact"),HLOOKUP(RIGHT(BA$3,LEN(BA$3)-FIND(".",BA$3,FIND(".",BA$3)+1)),Gällivare!$B$6:$J$36,MATCH($C17,Gällivare!$B$6:$B$36,0),FALSE),"Global: "&amp;HLOOKUP(LEFT(BA$3,4),Global!$B$6:$J$36,MATCH($C17,Global!$B$6:$B$36,0),FALSE)&amp;CHAR(10)&amp;"Local Trend: "&amp;HLOOKUP(MID(BA$3,FIND(".",BA$3)+1,FIND(".",BA$3,FIND(".",BA$3)+1)-FIND(".",BA$3)-1),Gällivare!$B$6:$J$36,MATCH($C17,Gällivare!$B$6:$B$36,0),FALSE)&amp;CHAR(10)&amp;"Local Target: "&amp;HLOOKUP(RIGHT(BA$3,LEN(BA$3)-FIND(".",BA$3,FIND(".",BA$3)+1)),Gällivare!$B$6:$J$36,MATCH($C17,Gällivare!$B$6:$B$36,0),FALSE)))</f>
        <v>Low</v>
      </c>
      <c r="BB17" s="177" t="str">
        <f>IF(AND(HLOOKUP(MID(BB$3,FIND(".",BB$3)+1,FIND(".",BB$3,FIND(".",BB$3)+1)-FIND(".",BB$3)-1),Gällivare!$B$6:$J$36,MATCH($C17,Gällivare!$B$6:$B$36,0),FALSE)="No Impact",HLOOKUP(RIGHT(BB$3,LEN(BB$3)-FIND(".",BB$3,FIND(".",BB$3)+1)),Gällivare!$B$6:$J$36,MATCH($C17,Gällivare!$B$6:$B$36,0),FALSE)="No Impact"),HLOOKUP(LEFT(BB$3,4),Global!$B$6:$J$36,MATCH($C17,Global!$B$6:$B$36,0),FALSE),IF(AND(HLOOKUP(MID(BB$3,FIND(".",BB$3)+1,FIND(".",BB$3,FIND(".",BB$3)+1)-FIND(".",BB$3)-1),Gällivare!$B$6:$J$36,MATCH($C17,Gällivare!$B$6:$B$36,0),FALSE)="No Impact",HLOOKUP(LEFT(BB$3,4),Global!$B$6:$J$36,MATCH($C17,Global!$B$6:$B$36,0),FALSE)="No Impact"),HLOOKUP(RIGHT(BB$3,LEN(BB$3)-FIND(".",BB$3,FIND(".",BB$3)+1)),Gällivare!$B$6:$J$36,MATCH($C17,Gällivare!$B$6:$B$36,0),FALSE),"Global: "&amp;HLOOKUP(LEFT(BB$3,4),Global!$B$6:$J$36,MATCH($C17,Global!$B$6:$B$36,0),FALSE)&amp;CHAR(10)&amp;"Local Trend: "&amp;HLOOKUP(MID(BB$3,FIND(".",BB$3)+1,FIND(".",BB$3,FIND(".",BB$3)+1)-FIND(".",BB$3)-1),Gällivare!$B$6:$J$36,MATCH($C17,Gällivare!$B$6:$B$36,0),FALSE)&amp;CHAR(10)&amp;"Local Target: "&amp;HLOOKUP(RIGHT(BB$3,LEN(BB$3)-FIND(".",BB$3,FIND(".",BB$3)+1)),Gällivare!$B$6:$J$36,MATCH($C17,Gällivare!$B$6:$B$36,0),FALSE)))</f>
        <v>Low</v>
      </c>
      <c r="BC17" s="177" t="str">
        <f>IF(AND(HLOOKUP(MID(BC$3,FIND(".",BC$3)+1,FIND(".",BC$3,FIND(".",BC$3)+1)-FIND(".",BC$3)-1),Gällivare!$B$6:$J$36,MATCH($C17,Gällivare!$B$6:$B$36,0),FALSE)="No Impact",HLOOKUP(RIGHT(BC$3,LEN(BC$3)-FIND(".",BC$3,FIND(".",BC$3)+1)),Gällivare!$B$6:$J$36,MATCH($C17,Gällivare!$B$6:$B$36,0),FALSE)="No Impact"),HLOOKUP(LEFT(BC$3,4),Global!$B$6:$J$36,MATCH($C17,Global!$B$6:$B$36,0),FALSE),IF(AND(HLOOKUP(MID(BC$3,FIND(".",BC$3)+1,FIND(".",BC$3,FIND(".",BC$3)+1)-FIND(".",BC$3)-1),Gällivare!$B$6:$J$36,MATCH($C17,Gällivare!$B$6:$B$36,0),FALSE)="No Impact",HLOOKUP(LEFT(BC$3,4),Global!$B$6:$J$36,MATCH($C17,Global!$B$6:$B$36,0),FALSE)="No Impact"),HLOOKUP(RIGHT(BC$3,LEN(BC$3)-FIND(".",BC$3,FIND(".",BC$3)+1)),Gällivare!$B$6:$J$36,MATCH($C17,Gällivare!$B$6:$B$36,0),FALSE),"Global: "&amp;HLOOKUP(LEFT(BC$3,4),Global!$B$6:$J$36,MATCH($C17,Global!$B$6:$B$36,0),FALSE)&amp;CHAR(10)&amp;"Local Trend: "&amp;HLOOKUP(MID(BC$3,FIND(".",BC$3)+1,FIND(".",BC$3,FIND(".",BC$3)+1)-FIND(".",BC$3)-1),Gällivare!$B$6:$J$36,MATCH($C17,Gällivare!$B$6:$B$36,0),FALSE)&amp;CHAR(10)&amp;"Local Target: "&amp;HLOOKUP(RIGHT(BC$3,LEN(BC$3)-FIND(".",BC$3,FIND(".",BC$3)+1)),Gällivare!$B$6:$J$36,MATCH($C17,Gällivare!$B$6:$B$36,0),FALSE)))</f>
        <v>Low</v>
      </c>
      <c r="BD17" s="177" t="str">
        <f>IF(AND(HLOOKUP(MID(BD$3,FIND(".",BD$3)+1,FIND(".",BD$3,FIND(".",BD$3)+1)-FIND(".",BD$3)-1),Gällivare!$B$6:$J$36,MATCH($C17,Gällivare!$B$6:$B$36,0),FALSE)="No Impact",HLOOKUP(RIGHT(BD$3,LEN(BD$3)-FIND(".",BD$3,FIND(".",BD$3)+1)),Gällivare!$B$6:$J$36,MATCH($C17,Gällivare!$B$6:$B$36,0),FALSE)="No Impact"),HLOOKUP(LEFT(BD$3,4),Global!$B$6:$J$36,MATCH($C17,Global!$B$6:$B$36,0),FALSE),IF(AND(HLOOKUP(MID(BD$3,FIND(".",BD$3)+1,FIND(".",BD$3,FIND(".",BD$3)+1)-FIND(".",BD$3)-1),Gällivare!$B$6:$J$36,MATCH($C17,Gällivare!$B$6:$B$36,0),FALSE)="No Impact",HLOOKUP(LEFT(BD$3,4),Global!$B$6:$J$36,MATCH($C17,Global!$B$6:$B$36,0),FALSE)="No Impact"),HLOOKUP(RIGHT(BD$3,LEN(BD$3)-FIND(".",BD$3,FIND(".",BD$3)+1)),Gällivare!$B$6:$J$36,MATCH($C17,Gällivare!$B$6:$B$36,0),FALSE),"Global: "&amp;HLOOKUP(LEFT(BD$3,4),Global!$B$6:$J$36,MATCH($C17,Global!$B$6:$B$36,0),FALSE)&amp;CHAR(10)&amp;"Local Trend: "&amp;HLOOKUP(MID(BD$3,FIND(".",BD$3)+1,FIND(".",BD$3,FIND(".",BD$3)+1)-FIND(".",BD$3)-1),Gällivare!$B$6:$J$36,MATCH($C17,Gällivare!$B$6:$B$36,0),FALSE)&amp;CHAR(10)&amp;"Local Target: "&amp;HLOOKUP(RIGHT(BD$3,LEN(BD$3)-FIND(".",BD$3,FIND(".",BD$3)+1)),Gällivare!$B$6:$J$36,MATCH($C17,Gällivare!$B$6:$B$36,0),FALSE)))</f>
        <v>Low</v>
      </c>
      <c r="BE17" s="177" t="str">
        <f>IF(AND(HLOOKUP(MID(BE$3,FIND(".",BE$3)+1,FIND(".",BE$3,FIND(".",BE$3)+1)-FIND(".",BE$3)-1),Gällivare!$B$6:$J$36,MATCH($C17,Gällivare!$B$6:$B$36,0),FALSE)="No Impact",HLOOKUP(RIGHT(BE$3,LEN(BE$3)-FIND(".",BE$3,FIND(".",BE$3)+1)),Gällivare!$B$6:$J$36,MATCH($C17,Gällivare!$B$6:$B$36,0),FALSE)="No Impact"),HLOOKUP(LEFT(BE$3,4),Global!$B$6:$J$36,MATCH($C17,Global!$B$6:$B$36,0),FALSE),IF(AND(HLOOKUP(MID(BE$3,FIND(".",BE$3)+1,FIND(".",BE$3,FIND(".",BE$3)+1)-FIND(".",BE$3)-1),Gällivare!$B$6:$J$36,MATCH($C17,Gällivare!$B$6:$B$36,0),FALSE)="No Impact",HLOOKUP(LEFT(BE$3,4),Global!$B$6:$J$36,MATCH($C17,Global!$B$6:$B$36,0),FALSE)="No Impact"),HLOOKUP(RIGHT(BE$3,LEN(BE$3)-FIND(".",BE$3,FIND(".",BE$3)+1)),Gällivare!$B$6:$J$36,MATCH($C17,Gällivare!$B$6:$B$36,0),FALSE),"Global: "&amp;HLOOKUP(LEFT(BE$3,4),Global!$B$6:$J$36,MATCH($C17,Global!$B$6:$B$36,0),FALSE)&amp;CHAR(10)&amp;"Local Trend: "&amp;HLOOKUP(MID(BE$3,FIND(".",BE$3)+1,FIND(".",BE$3,FIND(".",BE$3)+1)-FIND(".",BE$3)-1),Gällivare!$B$6:$J$36,MATCH($C17,Gällivare!$B$6:$B$36,0),FALSE)&amp;CHAR(10)&amp;"Local Target: "&amp;HLOOKUP(RIGHT(BE$3,LEN(BE$3)-FIND(".",BE$3,FIND(".",BE$3)+1)),Gällivare!$B$6:$J$36,MATCH($C17,Gällivare!$B$6:$B$36,0),FALSE)))</f>
        <v>High</v>
      </c>
      <c r="BF17" s="177" t="str">
        <f>IF(AND(HLOOKUP(MID(BF$3,FIND(".",BF$3)+1,FIND(".",BF$3,FIND(".",BF$3)+1)-FIND(".",BF$3)-1),Gällivare!$B$6:$J$36,MATCH($C17,Gällivare!$B$6:$B$36,0),FALSE)="No Impact",HLOOKUP(RIGHT(BF$3,LEN(BF$3)-FIND(".",BF$3,FIND(".",BF$3)+1)),Gällivare!$B$6:$J$36,MATCH($C17,Gällivare!$B$6:$B$36,0),FALSE)="No Impact"),HLOOKUP(LEFT(BF$3,4),Global!$B$6:$J$36,MATCH($C17,Global!$B$6:$B$36,0),FALSE),IF(AND(HLOOKUP(MID(BF$3,FIND(".",BF$3)+1,FIND(".",BF$3,FIND(".",BF$3)+1)-FIND(".",BF$3)-1),Gällivare!$B$6:$J$36,MATCH($C17,Gällivare!$B$6:$B$36,0),FALSE)="No Impact",HLOOKUP(LEFT(BF$3,4),Global!$B$6:$J$36,MATCH($C17,Global!$B$6:$B$36,0),FALSE)="No Impact"),HLOOKUP(RIGHT(BF$3,LEN(BF$3)-FIND(".",BF$3,FIND(".",BF$3)+1)),Gällivare!$B$6:$J$36,MATCH($C17,Gällivare!$B$6:$B$36,0),FALSE),"Global: "&amp;HLOOKUP(LEFT(BF$3,4),Global!$B$6:$J$36,MATCH($C17,Global!$B$6:$B$36,0),FALSE)&amp;CHAR(10)&amp;"Local Trend: "&amp;HLOOKUP(MID(BF$3,FIND(".",BF$3)+1,FIND(".",BF$3,FIND(".",BF$3)+1)-FIND(".",BF$3)-1),Gällivare!$B$6:$J$36,MATCH($C17,Gällivare!$B$6:$B$36,0),FALSE)&amp;CHAR(10)&amp;"Local Target: "&amp;HLOOKUP(RIGHT(BF$3,LEN(BF$3)-FIND(".",BF$3,FIND(".",BF$3)+1)),Gällivare!$B$6:$J$36,MATCH($C17,Gällivare!$B$6:$B$36,0),FALSE)))</f>
        <v>High</v>
      </c>
      <c r="BG17" s="177" t="str">
        <f>IF(AND(HLOOKUP(MID(BG$3,FIND(".",BG$3)+1,FIND(".",BG$3,FIND(".",BG$3)+1)-FIND(".",BG$3)-1),Gällivare!$B$6:$J$36,MATCH($C17,Gällivare!$B$6:$B$36,0),FALSE)="No Impact",HLOOKUP(RIGHT(BG$3,LEN(BG$3)-FIND(".",BG$3,FIND(".",BG$3)+1)),Gällivare!$B$6:$J$36,MATCH($C17,Gällivare!$B$6:$B$36,0),FALSE)="No Impact"),HLOOKUP(LEFT(BG$3,4),Global!$B$6:$J$36,MATCH($C17,Global!$B$6:$B$36,0),FALSE),IF(AND(HLOOKUP(MID(BG$3,FIND(".",BG$3)+1,FIND(".",BG$3,FIND(".",BG$3)+1)-FIND(".",BG$3)-1),Gällivare!$B$6:$J$36,MATCH($C17,Gällivare!$B$6:$B$36,0),FALSE)="No Impact",HLOOKUP(LEFT(BG$3,4),Global!$B$6:$J$36,MATCH($C17,Global!$B$6:$B$36,0),FALSE)="No Impact"),HLOOKUP(RIGHT(BG$3,LEN(BG$3)-FIND(".",BG$3,FIND(".",BG$3)+1)),Gällivare!$B$6:$J$36,MATCH($C17,Gällivare!$B$6:$B$36,0),FALSE),"Global: "&amp;HLOOKUP(LEFT(BG$3,4),Global!$B$6:$J$36,MATCH($C17,Global!$B$6:$B$36,0),FALSE)&amp;CHAR(10)&amp;"Local Trend: "&amp;HLOOKUP(MID(BG$3,FIND(".",BG$3)+1,FIND(".",BG$3,FIND(".",BG$3)+1)-FIND(".",BG$3)-1),Gällivare!$B$6:$J$36,MATCH($C17,Gällivare!$B$6:$B$36,0),FALSE)&amp;CHAR(10)&amp;"Local Target: "&amp;HLOOKUP(RIGHT(BG$3,LEN(BG$3)-FIND(".",BG$3,FIND(".",BG$3)+1)),Gällivare!$B$6:$J$36,MATCH($C17,Gällivare!$B$6:$B$36,0),FALSE)))</f>
        <v>High</v>
      </c>
      <c r="BH17" s="177" t="str">
        <f>IF(AND(HLOOKUP(MID(BH$3,FIND(".",BH$3)+1,FIND(".",BH$3,FIND(".",BH$3)+1)-FIND(".",BH$3)-1),Gällivare!$B$6:$J$36,MATCH($C17,Gällivare!$B$6:$B$36,0),FALSE)="No Impact",HLOOKUP(RIGHT(BH$3,LEN(BH$3)-FIND(".",BH$3,FIND(".",BH$3)+1)),Gällivare!$B$6:$J$36,MATCH($C17,Gällivare!$B$6:$B$36,0),FALSE)="No Impact"),HLOOKUP(LEFT(BH$3,4),Global!$B$6:$J$36,MATCH($C17,Global!$B$6:$B$36,0),FALSE),IF(AND(HLOOKUP(MID(BH$3,FIND(".",BH$3)+1,FIND(".",BH$3,FIND(".",BH$3)+1)-FIND(".",BH$3)-1),Gällivare!$B$6:$J$36,MATCH($C17,Gällivare!$B$6:$B$36,0),FALSE)="No Impact",HLOOKUP(LEFT(BH$3,4),Global!$B$6:$J$36,MATCH($C17,Global!$B$6:$B$36,0),FALSE)="No Impact"),HLOOKUP(RIGHT(BH$3,LEN(BH$3)-FIND(".",BH$3,FIND(".",BH$3)+1)),Gällivare!$B$6:$J$36,MATCH($C17,Gällivare!$B$6:$B$36,0),FALSE),"Global: "&amp;HLOOKUP(LEFT(BH$3,4),Global!$B$6:$J$36,MATCH($C17,Global!$B$6:$B$36,0),FALSE)&amp;CHAR(10)&amp;"Local Trend: "&amp;HLOOKUP(MID(BH$3,FIND(".",BH$3)+1,FIND(".",BH$3,FIND(".",BH$3)+1)-FIND(".",BH$3)-1),Gällivare!$B$6:$J$36,MATCH($C17,Gällivare!$B$6:$B$36,0),FALSE)&amp;CHAR(10)&amp;"Local Target: "&amp;HLOOKUP(RIGHT(BH$3,LEN(BH$3)-FIND(".",BH$3,FIND(".",BH$3)+1)),Gällivare!$B$6:$J$36,MATCH($C17,Gällivare!$B$6:$B$36,0),FALSE)))</f>
        <v>High</v>
      </c>
      <c r="BI17" s="177" t="str">
        <f>IF(AND(HLOOKUP(MID(BI$3,FIND(".",BI$3)+1,FIND(".",BI$3,FIND(".",BI$3)+1)-FIND(".",BI$3)-1),Gällivare!$B$6:$J$36,MATCH($C17,Gällivare!$B$6:$B$36,0),FALSE)="No Impact",HLOOKUP(RIGHT(BI$3,LEN(BI$3)-FIND(".",BI$3,FIND(".",BI$3)+1)),Gällivare!$B$6:$J$36,MATCH($C17,Gällivare!$B$6:$B$36,0),FALSE)="No Impact"),HLOOKUP(LEFT(BI$3,4),Global!$B$6:$J$36,MATCH($C17,Global!$B$6:$B$36,0),FALSE),IF(AND(HLOOKUP(MID(BI$3,FIND(".",BI$3)+1,FIND(".",BI$3,FIND(".",BI$3)+1)-FIND(".",BI$3)-1),Gällivare!$B$6:$J$36,MATCH($C17,Gällivare!$B$6:$B$36,0),FALSE)="No Impact",HLOOKUP(LEFT(BI$3,4),Global!$B$6:$J$36,MATCH($C17,Global!$B$6:$B$36,0),FALSE)="No Impact"),HLOOKUP(RIGHT(BI$3,LEN(BI$3)-FIND(".",BI$3,FIND(".",BI$3)+1)),Gällivare!$B$6:$J$36,MATCH($C17,Gällivare!$B$6:$B$36,0),FALSE),"Global: "&amp;HLOOKUP(LEFT(BI$3,4),Global!$B$6:$J$36,MATCH($C17,Global!$B$6:$B$36,0),FALSE)&amp;CHAR(10)&amp;"Local Trend: "&amp;HLOOKUP(MID(BI$3,FIND(".",BI$3)+1,FIND(".",BI$3,FIND(".",BI$3)+1)-FIND(".",BI$3)-1),Gällivare!$B$6:$J$36,MATCH($C17,Gällivare!$B$6:$B$36,0),FALSE)&amp;CHAR(10)&amp;"Local Target: "&amp;HLOOKUP(RIGHT(BI$3,LEN(BI$3)-FIND(".",BI$3,FIND(".",BI$3)+1)),Gällivare!$B$6:$J$36,MATCH($C17,Gällivare!$B$6:$B$36,0),FALSE)))</f>
        <v>High</v>
      </c>
      <c r="BJ17" s="177" t="str">
        <f>IF(AND(HLOOKUP(MID(BJ$3,FIND(".",BJ$3)+1,FIND(".",BJ$3,FIND(".",BJ$3)+1)-FIND(".",BJ$3)-1),Gällivare!$B$6:$J$36,MATCH($C17,Gällivare!$B$6:$B$36,0),FALSE)="No Impact",HLOOKUP(RIGHT(BJ$3,LEN(BJ$3)-FIND(".",BJ$3,FIND(".",BJ$3)+1)),Gällivare!$B$6:$J$36,MATCH($C17,Gällivare!$B$6:$B$36,0),FALSE)="No Impact"),HLOOKUP(LEFT(BJ$3,4),Global!$B$6:$J$36,MATCH($C17,Global!$B$6:$B$36,0),FALSE),IF(AND(HLOOKUP(MID(BJ$3,FIND(".",BJ$3)+1,FIND(".",BJ$3,FIND(".",BJ$3)+1)-FIND(".",BJ$3)-1),Gällivare!$B$6:$J$36,MATCH($C17,Gällivare!$B$6:$B$36,0),FALSE)="No Impact",HLOOKUP(LEFT(BJ$3,4),Global!$B$6:$J$36,MATCH($C17,Global!$B$6:$B$36,0),FALSE)="No Impact"),HLOOKUP(RIGHT(BJ$3,LEN(BJ$3)-FIND(".",BJ$3,FIND(".",BJ$3)+1)),Gällivare!$B$6:$J$36,MATCH($C17,Gällivare!$B$6:$B$36,0),FALSE),"Global: "&amp;HLOOKUP(LEFT(BJ$3,4),Global!$B$6:$J$36,MATCH($C17,Global!$B$6:$B$36,0),FALSE)&amp;CHAR(10)&amp;"Local Trend: "&amp;HLOOKUP(MID(BJ$3,FIND(".",BJ$3)+1,FIND(".",BJ$3,FIND(".",BJ$3)+1)-FIND(".",BJ$3)-1),Gällivare!$B$6:$J$36,MATCH($C17,Gällivare!$B$6:$B$36,0),FALSE)&amp;CHAR(10)&amp;"Local Target: "&amp;HLOOKUP(RIGHT(BJ$3,LEN(BJ$3)-FIND(".",BJ$3,FIND(".",BJ$3)+1)),Gällivare!$B$6:$J$36,MATCH($C17,Gällivare!$B$6:$B$36,0),FALSE)))</f>
        <v>High</v>
      </c>
      <c r="BK17" s="177" t="str">
        <f>IF(AND(HLOOKUP(MID(BK$3,FIND(".",BK$3)+1,FIND(".",BK$3,FIND(".",BK$3)+1)-FIND(".",BK$3)-1),Gällivare!$B$6:$J$36,MATCH($C17,Gällivare!$B$6:$B$36,0),FALSE)="No Impact",HLOOKUP(RIGHT(BK$3,LEN(BK$3)-FIND(".",BK$3,FIND(".",BK$3)+1)),Gällivare!$B$6:$J$36,MATCH($C17,Gällivare!$B$6:$B$36,0),FALSE)="No Impact"),HLOOKUP(LEFT(BK$3,4),Global!$B$6:$J$36,MATCH($C17,Global!$B$6:$B$36,0),FALSE),IF(AND(HLOOKUP(MID(BK$3,FIND(".",BK$3)+1,FIND(".",BK$3,FIND(".",BK$3)+1)-FIND(".",BK$3)-1),Gällivare!$B$6:$J$36,MATCH($C17,Gällivare!$B$6:$B$36,0),FALSE)="No Impact",HLOOKUP(LEFT(BK$3,4),Global!$B$6:$J$36,MATCH($C17,Global!$B$6:$B$36,0),FALSE)="No Impact"),HLOOKUP(RIGHT(BK$3,LEN(BK$3)-FIND(".",BK$3,FIND(".",BK$3)+1)),Gällivare!$B$6:$J$36,MATCH($C17,Gällivare!$B$6:$B$36,0),FALSE),"Global: "&amp;HLOOKUP(LEFT(BK$3,4),Global!$B$6:$J$36,MATCH($C17,Global!$B$6:$B$36,0),FALSE)&amp;CHAR(10)&amp;"Local Trend: "&amp;HLOOKUP(MID(BK$3,FIND(".",BK$3)+1,FIND(".",BK$3,FIND(".",BK$3)+1)-FIND(".",BK$3)-1),Gällivare!$B$6:$J$36,MATCH($C17,Gällivare!$B$6:$B$36,0),FALSE)&amp;CHAR(10)&amp;"Local Target: "&amp;HLOOKUP(RIGHT(BK$3,LEN(BK$3)-FIND(".",BK$3,FIND(".",BK$3)+1)),Gällivare!$B$6:$J$36,MATCH($C17,Gällivare!$B$6:$B$36,0),FALSE)))</f>
        <v>High</v>
      </c>
      <c r="BL17" s="177" t="str">
        <f>IF(AND(HLOOKUP(MID(BL$3,FIND(".",BL$3)+1,FIND(".",BL$3,FIND(".",BL$3)+1)-FIND(".",BL$3)-1),Gällivare!$B$6:$J$36,MATCH($C17,Gällivare!$B$6:$B$36,0),FALSE)="No Impact",HLOOKUP(RIGHT(BL$3,LEN(BL$3)-FIND(".",BL$3,FIND(".",BL$3)+1)),Gällivare!$B$6:$J$36,MATCH($C17,Gällivare!$B$6:$B$36,0),FALSE)="No Impact"),HLOOKUP(LEFT(BL$3,4),Global!$B$6:$J$36,MATCH($C17,Global!$B$6:$B$36,0),FALSE),IF(AND(HLOOKUP(MID(BL$3,FIND(".",BL$3)+1,FIND(".",BL$3,FIND(".",BL$3)+1)-FIND(".",BL$3)-1),Gällivare!$B$6:$J$36,MATCH($C17,Gällivare!$B$6:$B$36,0),FALSE)="No Impact",HLOOKUP(LEFT(BL$3,4),Global!$B$6:$J$36,MATCH($C17,Global!$B$6:$B$36,0),FALSE)="No Impact"),HLOOKUP(RIGHT(BL$3,LEN(BL$3)-FIND(".",BL$3,FIND(".",BL$3)+1)),Gällivare!$B$6:$J$36,MATCH($C17,Gällivare!$B$6:$B$36,0),FALSE),"Global: "&amp;HLOOKUP(LEFT(BL$3,4),Global!$B$6:$J$36,MATCH($C17,Global!$B$6:$B$36,0),FALSE)&amp;CHAR(10)&amp;"Local Trend: "&amp;HLOOKUP(MID(BL$3,FIND(".",BL$3)+1,FIND(".",BL$3,FIND(".",BL$3)+1)-FIND(".",BL$3)-1),Gällivare!$B$6:$J$36,MATCH($C17,Gällivare!$B$6:$B$36,0),FALSE)&amp;CHAR(10)&amp;"Local Target: "&amp;HLOOKUP(RIGHT(BL$3,LEN(BL$3)-FIND(".",BL$3,FIND(".",BL$3)+1)),Gällivare!$B$6:$J$36,MATCH($C17,Gällivare!$B$6:$B$36,0),FALSE)))</f>
        <v>High</v>
      </c>
      <c r="BM17" s="177" t="str">
        <f>IF(AND(HLOOKUP(MID(BM$3,FIND(".",BM$3)+1,FIND(".",BM$3,FIND(".",BM$3)+1)-FIND(".",BM$3)-1),Gällivare!$B$6:$J$36,MATCH($C17,Gällivare!$B$6:$B$36,0),FALSE)="No Impact",HLOOKUP(RIGHT(BM$3,LEN(BM$3)-FIND(".",BM$3,FIND(".",BM$3)+1)),Gällivare!$B$6:$J$36,MATCH($C17,Gällivare!$B$6:$B$36,0),FALSE)="No Impact"),HLOOKUP(LEFT(BM$3,4),Global!$B$6:$J$36,MATCH($C17,Global!$B$6:$B$36,0),FALSE),IF(AND(HLOOKUP(MID(BM$3,FIND(".",BM$3)+1,FIND(".",BM$3,FIND(".",BM$3)+1)-FIND(".",BM$3)-1),Gällivare!$B$6:$J$36,MATCH($C17,Gällivare!$B$6:$B$36,0),FALSE)="No Impact",HLOOKUP(LEFT(BM$3,4),Global!$B$6:$J$36,MATCH($C17,Global!$B$6:$B$36,0),FALSE)="No Impact"),HLOOKUP(RIGHT(BM$3,LEN(BM$3)-FIND(".",BM$3,FIND(".",BM$3)+1)),Gällivare!$B$6:$J$36,MATCH($C17,Gällivare!$B$6:$B$36,0),FALSE),"Global: "&amp;HLOOKUP(LEFT(BM$3,4),Global!$B$6:$J$36,MATCH($C17,Global!$B$6:$B$36,0),FALSE)&amp;CHAR(10)&amp;"Local Trend: "&amp;HLOOKUP(MID(BM$3,FIND(".",BM$3)+1,FIND(".",BM$3,FIND(".",BM$3)+1)-FIND(".",BM$3)-1),Gällivare!$B$6:$J$36,MATCH($C17,Gällivare!$B$6:$B$36,0),FALSE)&amp;CHAR(10)&amp;"Local Target: "&amp;HLOOKUP(RIGHT(BM$3,LEN(BM$3)-FIND(".",BM$3,FIND(".",BM$3)+1)),Gällivare!$B$6:$J$36,MATCH($C17,Gällivare!$B$6:$B$36,0),FALSE)))</f>
        <v>High</v>
      </c>
      <c r="BN17" s="177" t="str">
        <f>IF(AND(HLOOKUP(MID(BN$3,FIND(".",BN$3)+1,FIND(".",BN$3,FIND(".",BN$3)+1)-FIND(".",BN$3)-1),Gällivare!$B$6:$J$36,MATCH($C17,Gällivare!$B$6:$B$36,0),FALSE)="No Impact",HLOOKUP(RIGHT(BN$3,LEN(BN$3)-FIND(".",BN$3,FIND(".",BN$3)+1)),Gällivare!$B$6:$J$36,MATCH($C17,Gällivare!$B$6:$B$36,0),FALSE)="No Impact"),HLOOKUP(LEFT(BN$3,4),Global!$B$6:$J$36,MATCH($C17,Global!$B$6:$B$36,0),FALSE),IF(AND(HLOOKUP(MID(BN$3,FIND(".",BN$3)+1,FIND(".",BN$3,FIND(".",BN$3)+1)-FIND(".",BN$3)-1),Gällivare!$B$6:$J$36,MATCH($C17,Gällivare!$B$6:$B$36,0),FALSE)="No Impact",HLOOKUP(LEFT(BN$3,4),Global!$B$6:$J$36,MATCH($C17,Global!$B$6:$B$36,0),FALSE)="No Impact"),HLOOKUP(RIGHT(BN$3,LEN(BN$3)-FIND(".",BN$3,FIND(".",BN$3)+1)),Gällivare!$B$6:$J$36,MATCH($C17,Gällivare!$B$6:$B$36,0),FALSE),"Global: "&amp;HLOOKUP(LEFT(BN$3,4),Global!$B$6:$J$36,MATCH($C17,Global!$B$6:$B$36,0),FALSE)&amp;CHAR(10)&amp;"Local Trend: "&amp;HLOOKUP(MID(BN$3,FIND(".",BN$3)+1,FIND(".",BN$3,FIND(".",BN$3)+1)-FIND(".",BN$3)-1),Gällivare!$B$6:$J$36,MATCH($C17,Gällivare!$B$6:$B$36,0),FALSE)&amp;CHAR(10)&amp;"Local Target: "&amp;HLOOKUP(RIGHT(BN$3,LEN(BN$3)-FIND(".",BN$3,FIND(".",BN$3)+1)),Gällivare!$B$6:$J$36,MATCH($C17,Gällivare!$B$6:$B$36,0),FALSE)))</f>
        <v>High</v>
      </c>
      <c r="BO17" s="177" t="str">
        <f>IF(AND(HLOOKUP(MID(BO$3,FIND(".",BO$3)+1,FIND(".",BO$3,FIND(".",BO$3)+1)-FIND(".",BO$3)-1),Gällivare!$B$6:$J$36,MATCH($C17,Gällivare!$B$6:$B$36,0),FALSE)="No Impact",HLOOKUP(RIGHT(BO$3,LEN(BO$3)-FIND(".",BO$3,FIND(".",BO$3)+1)),Gällivare!$B$6:$J$36,MATCH($C17,Gällivare!$B$6:$B$36,0),FALSE)="No Impact"),HLOOKUP(LEFT(BO$3,4),Global!$B$6:$J$36,MATCH($C17,Global!$B$6:$B$36,0),FALSE),IF(AND(HLOOKUP(MID(BO$3,FIND(".",BO$3)+1,FIND(".",BO$3,FIND(".",BO$3)+1)-FIND(".",BO$3)-1),Gällivare!$B$6:$J$36,MATCH($C17,Gällivare!$B$6:$B$36,0),FALSE)="No Impact",HLOOKUP(LEFT(BO$3,4),Global!$B$6:$J$36,MATCH($C17,Global!$B$6:$B$36,0),FALSE)="No Impact"),HLOOKUP(RIGHT(BO$3,LEN(BO$3)-FIND(".",BO$3,FIND(".",BO$3)+1)),Gällivare!$B$6:$J$36,MATCH($C17,Gällivare!$B$6:$B$36,0),FALSE),"Global: "&amp;HLOOKUP(LEFT(BO$3,4),Global!$B$6:$J$36,MATCH($C17,Global!$B$6:$B$36,0),FALSE)&amp;CHAR(10)&amp;"Local Trend: "&amp;HLOOKUP(MID(BO$3,FIND(".",BO$3)+1,FIND(".",BO$3,FIND(".",BO$3)+1)-FIND(".",BO$3)-1),Gällivare!$B$6:$J$36,MATCH($C17,Gällivare!$B$6:$B$36,0),FALSE)&amp;CHAR(10)&amp;"Local Target: "&amp;HLOOKUP(RIGHT(BO$3,LEN(BO$3)-FIND(".",BO$3,FIND(".",BO$3)+1)),Gällivare!$B$6:$J$36,MATCH($C17,Gällivare!$B$6:$B$36,0),FALSE)))</f>
        <v>High</v>
      </c>
      <c r="BP17" s="177" t="str">
        <f>IF(AND(HLOOKUP(MID(BP$3,FIND(".",BP$3)+1,FIND(".",BP$3,FIND(".",BP$3)+1)-FIND(".",BP$3)-1),Gällivare!$B$6:$J$36,MATCH($C17,Gällivare!$B$6:$B$36,0),FALSE)="No Impact",HLOOKUP(RIGHT(BP$3,LEN(BP$3)-FIND(".",BP$3,FIND(".",BP$3)+1)),Gällivare!$B$6:$J$36,MATCH($C17,Gällivare!$B$6:$B$36,0),FALSE)="No Impact"),HLOOKUP(LEFT(BP$3,4),Global!$B$6:$J$36,MATCH($C17,Global!$B$6:$B$36,0),FALSE),IF(AND(HLOOKUP(MID(BP$3,FIND(".",BP$3)+1,FIND(".",BP$3,FIND(".",BP$3)+1)-FIND(".",BP$3)-1),Gällivare!$B$6:$J$36,MATCH($C17,Gällivare!$B$6:$B$36,0),FALSE)="No Impact",HLOOKUP(LEFT(BP$3,4),Global!$B$6:$J$36,MATCH($C17,Global!$B$6:$B$36,0),FALSE)="No Impact"),HLOOKUP(RIGHT(BP$3,LEN(BP$3)-FIND(".",BP$3,FIND(".",BP$3)+1)),Gällivare!$B$6:$J$36,MATCH($C17,Gällivare!$B$6:$B$36,0),FALSE),"Global: "&amp;HLOOKUP(LEFT(BP$3,4),Global!$B$6:$J$36,MATCH($C17,Global!$B$6:$B$36,0),FALSE)&amp;CHAR(10)&amp;"Local Trend: "&amp;HLOOKUP(MID(BP$3,FIND(".",BP$3)+1,FIND(".",BP$3,FIND(".",BP$3)+1)-FIND(".",BP$3)-1),Gällivare!$B$6:$J$36,MATCH($C17,Gällivare!$B$6:$B$36,0),FALSE)&amp;CHAR(10)&amp;"Local Target: "&amp;HLOOKUP(RIGHT(BP$3,LEN(BP$3)-FIND(".",BP$3,FIND(".",BP$3)+1)),Gällivare!$B$6:$J$36,MATCH($C17,Gällivare!$B$6:$B$36,0),FALSE)))</f>
        <v>High</v>
      </c>
      <c r="BT17" s="178"/>
      <c r="BU17" s="178"/>
      <c r="BV17" s="178"/>
    </row>
    <row r="18" spans="2:74" ht="28.8" x14ac:dyDescent="0.3">
      <c r="B18" s="246"/>
      <c r="C18" s="148" t="s">
        <v>131</v>
      </c>
      <c r="D18" s="247"/>
      <c r="E18" s="175" t="s">
        <v>189</v>
      </c>
      <c r="F18" s="176" t="s">
        <v>165</v>
      </c>
      <c r="G18" s="176"/>
      <c r="H18" s="175" t="str">
        <f t="shared" si="1"/>
        <v>High</v>
      </c>
      <c r="I18" s="175" t="str">
        <f t="shared" si="1"/>
        <v>High</v>
      </c>
      <c r="J18" s="175" t="str">
        <f t="shared" si="1"/>
        <v>High</v>
      </c>
      <c r="K18" s="175" t="str">
        <f t="shared" si="1"/>
        <v>High</v>
      </c>
      <c r="L18" s="175" t="str">
        <f t="shared" si="1"/>
        <v>High</v>
      </c>
      <c r="M18" s="175" t="str">
        <f t="shared" si="1"/>
        <v>High</v>
      </c>
      <c r="N18" s="175" t="str">
        <f t="shared" si="1"/>
        <v>Medium</v>
      </c>
      <c r="O18" s="175" t="str">
        <f t="shared" si="1"/>
        <v>Medium</v>
      </c>
      <c r="P18" s="175" t="str">
        <f t="shared" si="1"/>
        <v>Medium</v>
      </c>
      <c r="Q18" s="175" t="str">
        <f t="shared" si="1"/>
        <v>Medium</v>
      </c>
      <c r="R18" s="175" t="str">
        <f t="shared" si="1"/>
        <v>Medium</v>
      </c>
      <c r="S18" s="175" t="str">
        <f t="shared" si="1"/>
        <v>Medium</v>
      </c>
      <c r="T18" s="175" t="str">
        <f t="shared" si="1"/>
        <v>Low</v>
      </c>
      <c r="U18" s="175" t="str">
        <f t="shared" si="1"/>
        <v>Low</v>
      </c>
      <c r="V18" s="175" t="str">
        <f t="shared" si="1"/>
        <v>Low</v>
      </c>
      <c r="W18" s="175" t="str">
        <f t="shared" si="1"/>
        <v>Low</v>
      </c>
      <c r="X18" s="175" t="str">
        <f t="shared" si="5"/>
        <v>Low</v>
      </c>
      <c r="Y18" s="175" t="str">
        <f t="shared" si="5"/>
        <v>Low</v>
      </c>
      <c r="Z18" s="175" t="str">
        <f t="shared" si="5"/>
        <v>HIgh</v>
      </c>
      <c r="AA18" s="175" t="str">
        <f t="shared" si="5"/>
        <v>HIgh</v>
      </c>
      <c r="AB18" s="175" t="str">
        <f t="shared" si="5"/>
        <v>HIgh</v>
      </c>
      <c r="AC18" s="175" t="str">
        <f t="shared" si="5"/>
        <v>HIgh</v>
      </c>
      <c r="AD18" s="175" t="str">
        <f t="shared" si="5"/>
        <v>HIgh</v>
      </c>
      <c r="AE18" s="175" t="str">
        <f t="shared" si="5"/>
        <v>HIgh</v>
      </c>
      <c r="AF18" s="175" t="str">
        <f t="shared" si="4"/>
        <v>Low</v>
      </c>
      <c r="AG18" s="175" t="str">
        <f t="shared" si="4"/>
        <v>Low</v>
      </c>
      <c r="AH18" s="175" t="str">
        <f t="shared" si="4"/>
        <v>Low</v>
      </c>
      <c r="AI18" s="175" t="str">
        <f t="shared" si="4"/>
        <v>Low</v>
      </c>
      <c r="AJ18" s="175" t="str">
        <f t="shared" si="4"/>
        <v>Low</v>
      </c>
      <c r="AK18" s="175" t="str">
        <f t="shared" si="4"/>
        <v>Low</v>
      </c>
      <c r="AL18" s="176"/>
      <c r="AM18" s="177" t="str">
        <f>IF(AND(HLOOKUP(MID(AM$3,FIND(".",AM$3)+1,FIND(".",AM$3,FIND(".",AM$3)+1)-FIND(".",AM$3)-1),Gällivare!$B$6:$J$36,MATCH($C18,Gällivare!$B$6:$B$36,0),FALSE)="No Impact",HLOOKUP(RIGHT(AM$3,LEN(AM$3)-FIND(".",AM$3,FIND(".",AM$3)+1)),Gällivare!$B$6:$J$36,MATCH($C18,Gällivare!$B$6:$B$36,0),FALSE)="No Impact"),HLOOKUP(LEFT(AM$3,4),Global!$B$6:$J$36,MATCH($C18,Global!$B$6:$B$36,0),FALSE),IF(AND(HLOOKUP(MID(AM$3,FIND(".",AM$3)+1,FIND(".",AM$3,FIND(".",AM$3)+1)-FIND(".",AM$3)-1),Gällivare!$B$6:$J$36,MATCH($C18,Gällivare!$B$6:$B$36,0),FALSE)="No Impact",HLOOKUP(LEFT(AM$3,4),Global!$B$6:$J$36,MATCH($C18,Global!$B$6:$B$36,0),FALSE)="No Impact"),HLOOKUP(RIGHT(AM$3,LEN(AM$3)-FIND(".",AM$3,FIND(".",AM$3)+1)),Gällivare!$B$6:$J$36,MATCH($C18,Gällivare!$B$6:$B$36,0),FALSE),"Global: "&amp;HLOOKUP(LEFT(AM$3,4),Global!$B$6:$J$36,MATCH($C18,Global!$B$6:$B$36,0),FALSE)&amp;CHAR(10)&amp;"Local Trend: "&amp;HLOOKUP(MID(AM$3,FIND(".",AM$3)+1,FIND(".",AM$3,FIND(".",AM$3)+1)-FIND(".",AM$3)-1),Gällivare!$B$6:$J$36,MATCH($C18,Gällivare!$B$6:$B$36,0),FALSE)&amp;CHAR(10)&amp;"Local Target: "&amp;HLOOKUP(RIGHT(AM$3,LEN(AM$3)-FIND(".",AM$3,FIND(".",AM$3)+1)),Gällivare!$B$6:$J$36,MATCH($C18,Gällivare!$B$6:$B$36,0),FALSE)))</f>
        <v>High</v>
      </c>
      <c r="AN18" s="177" t="str">
        <f>IF(AND(HLOOKUP(MID(AN$3,FIND(".",AN$3)+1,FIND(".",AN$3,FIND(".",AN$3)+1)-FIND(".",AN$3)-1),Gällivare!$B$6:$J$36,MATCH($C18,Gällivare!$B$6:$B$36,0),FALSE)="No Impact",HLOOKUP(RIGHT(AN$3,LEN(AN$3)-FIND(".",AN$3,FIND(".",AN$3)+1)),Gällivare!$B$6:$J$36,MATCH($C18,Gällivare!$B$6:$B$36,0),FALSE)="No Impact"),HLOOKUP(LEFT(AN$3,4),Global!$B$6:$J$36,MATCH($C18,Global!$B$6:$B$36,0),FALSE),IF(AND(HLOOKUP(MID(AN$3,FIND(".",AN$3)+1,FIND(".",AN$3,FIND(".",AN$3)+1)-FIND(".",AN$3)-1),Gällivare!$B$6:$J$36,MATCH($C18,Gällivare!$B$6:$B$36,0),FALSE)="No Impact",HLOOKUP(LEFT(AN$3,4),Global!$B$6:$J$36,MATCH($C18,Global!$B$6:$B$36,0),FALSE)="No Impact"),HLOOKUP(RIGHT(AN$3,LEN(AN$3)-FIND(".",AN$3,FIND(".",AN$3)+1)),Gällivare!$B$6:$J$36,MATCH($C18,Gällivare!$B$6:$B$36,0),FALSE),"Global: "&amp;HLOOKUP(LEFT(AN$3,4),Global!$B$6:$J$36,MATCH($C18,Global!$B$6:$B$36,0),FALSE)&amp;CHAR(10)&amp;"Local Trend: "&amp;HLOOKUP(MID(AN$3,FIND(".",AN$3)+1,FIND(".",AN$3,FIND(".",AN$3)+1)-FIND(".",AN$3)-1),Gällivare!$B$6:$J$36,MATCH($C18,Gällivare!$B$6:$B$36,0),FALSE)&amp;CHAR(10)&amp;"Local Target: "&amp;HLOOKUP(RIGHT(AN$3,LEN(AN$3)-FIND(".",AN$3,FIND(".",AN$3)+1)),Gällivare!$B$6:$J$36,MATCH($C18,Gällivare!$B$6:$B$36,0),FALSE)))</f>
        <v>High</v>
      </c>
      <c r="AO18" s="177" t="str">
        <f>IF(AND(HLOOKUP(MID(AO$3,FIND(".",AO$3)+1,FIND(".",AO$3,FIND(".",AO$3)+1)-FIND(".",AO$3)-1),Gällivare!$B$6:$J$36,MATCH($C18,Gällivare!$B$6:$B$36,0),FALSE)="No Impact",HLOOKUP(RIGHT(AO$3,LEN(AO$3)-FIND(".",AO$3,FIND(".",AO$3)+1)),Gällivare!$B$6:$J$36,MATCH($C18,Gällivare!$B$6:$B$36,0),FALSE)="No Impact"),HLOOKUP(LEFT(AO$3,4),Global!$B$6:$J$36,MATCH($C18,Global!$B$6:$B$36,0),FALSE),IF(AND(HLOOKUP(MID(AO$3,FIND(".",AO$3)+1,FIND(".",AO$3,FIND(".",AO$3)+1)-FIND(".",AO$3)-1),Gällivare!$B$6:$J$36,MATCH($C18,Gällivare!$B$6:$B$36,0),FALSE)="No Impact",HLOOKUP(LEFT(AO$3,4),Global!$B$6:$J$36,MATCH($C18,Global!$B$6:$B$36,0),FALSE)="No Impact"),HLOOKUP(RIGHT(AO$3,LEN(AO$3)-FIND(".",AO$3,FIND(".",AO$3)+1)),Gällivare!$B$6:$J$36,MATCH($C18,Gällivare!$B$6:$B$36,0),FALSE),"Global: "&amp;HLOOKUP(LEFT(AO$3,4),Global!$B$6:$J$36,MATCH($C18,Global!$B$6:$B$36,0),FALSE)&amp;CHAR(10)&amp;"Local Trend: "&amp;HLOOKUP(MID(AO$3,FIND(".",AO$3)+1,FIND(".",AO$3,FIND(".",AO$3)+1)-FIND(".",AO$3)-1),Gällivare!$B$6:$J$36,MATCH($C18,Gällivare!$B$6:$B$36,0),FALSE)&amp;CHAR(10)&amp;"Local Target: "&amp;HLOOKUP(RIGHT(AO$3,LEN(AO$3)-FIND(".",AO$3,FIND(".",AO$3)+1)),Gällivare!$B$6:$J$36,MATCH($C18,Gällivare!$B$6:$B$36,0),FALSE)))</f>
        <v>High</v>
      </c>
      <c r="AP18" s="177" t="str">
        <f>IF(AND(HLOOKUP(MID(AP$3,FIND(".",AP$3)+1,FIND(".",AP$3,FIND(".",AP$3)+1)-FIND(".",AP$3)-1),Gällivare!$B$6:$J$36,MATCH($C18,Gällivare!$B$6:$B$36,0),FALSE)="No Impact",HLOOKUP(RIGHT(AP$3,LEN(AP$3)-FIND(".",AP$3,FIND(".",AP$3)+1)),Gällivare!$B$6:$J$36,MATCH($C18,Gällivare!$B$6:$B$36,0),FALSE)="No Impact"),HLOOKUP(LEFT(AP$3,4),Global!$B$6:$J$36,MATCH($C18,Global!$B$6:$B$36,0),FALSE),IF(AND(HLOOKUP(MID(AP$3,FIND(".",AP$3)+1,FIND(".",AP$3,FIND(".",AP$3)+1)-FIND(".",AP$3)-1),Gällivare!$B$6:$J$36,MATCH($C18,Gällivare!$B$6:$B$36,0),FALSE)="No Impact",HLOOKUP(LEFT(AP$3,4),Global!$B$6:$J$36,MATCH($C18,Global!$B$6:$B$36,0),FALSE)="No Impact"),HLOOKUP(RIGHT(AP$3,LEN(AP$3)-FIND(".",AP$3,FIND(".",AP$3)+1)),Gällivare!$B$6:$J$36,MATCH($C18,Gällivare!$B$6:$B$36,0),FALSE),"Global: "&amp;HLOOKUP(LEFT(AP$3,4),Global!$B$6:$J$36,MATCH($C18,Global!$B$6:$B$36,0),FALSE)&amp;CHAR(10)&amp;"Local Trend: "&amp;HLOOKUP(MID(AP$3,FIND(".",AP$3)+1,FIND(".",AP$3,FIND(".",AP$3)+1)-FIND(".",AP$3)-1),Gällivare!$B$6:$J$36,MATCH($C18,Gällivare!$B$6:$B$36,0),FALSE)&amp;CHAR(10)&amp;"Local Target: "&amp;HLOOKUP(RIGHT(AP$3,LEN(AP$3)-FIND(".",AP$3,FIND(".",AP$3)+1)),Gällivare!$B$6:$J$36,MATCH($C18,Gällivare!$B$6:$B$36,0),FALSE)))</f>
        <v>High</v>
      </c>
      <c r="AQ18" s="177" t="str">
        <f>IF(AND(HLOOKUP(MID(AQ$3,FIND(".",AQ$3)+1,FIND(".",AQ$3,FIND(".",AQ$3)+1)-FIND(".",AQ$3)-1),Gällivare!$B$6:$J$36,MATCH($C18,Gällivare!$B$6:$B$36,0),FALSE)="No Impact",HLOOKUP(RIGHT(AQ$3,LEN(AQ$3)-FIND(".",AQ$3,FIND(".",AQ$3)+1)),Gällivare!$B$6:$J$36,MATCH($C18,Gällivare!$B$6:$B$36,0),FALSE)="No Impact"),HLOOKUP(LEFT(AQ$3,4),Global!$B$6:$J$36,MATCH($C18,Global!$B$6:$B$36,0),FALSE),IF(AND(HLOOKUP(MID(AQ$3,FIND(".",AQ$3)+1,FIND(".",AQ$3,FIND(".",AQ$3)+1)-FIND(".",AQ$3)-1),Gällivare!$B$6:$J$36,MATCH($C18,Gällivare!$B$6:$B$36,0),FALSE)="No Impact",HLOOKUP(LEFT(AQ$3,4),Global!$B$6:$J$36,MATCH($C18,Global!$B$6:$B$36,0),FALSE)="No Impact"),HLOOKUP(RIGHT(AQ$3,LEN(AQ$3)-FIND(".",AQ$3,FIND(".",AQ$3)+1)),Gällivare!$B$6:$J$36,MATCH($C18,Gällivare!$B$6:$B$36,0),FALSE),"Global: "&amp;HLOOKUP(LEFT(AQ$3,4),Global!$B$6:$J$36,MATCH($C18,Global!$B$6:$B$36,0),FALSE)&amp;CHAR(10)&amp;"Local Trend: "&amp;HLOOKUP(MID(AQ$3,FIND(".",AQ$3)+1,FIND(".",AQ$3,FIND(".",AQ$3)+1)-FIND(".",AQ$3)-1),Gällivare!$B$6:$J$36,MATCH($C18,Gällivare!$B$6:$B$36,0),FALSE)&amp;CHAR(10)&amp;"Local Target: "&amp;HLOOKUP(RIGHT(AQ$3,LEN(AQ$3)-FIND(".",AQ$3,FIND(".",AQ$3)+1)),Gällivare!$B$6:$J$36,MATCH($C18,Gällivare!$B$6:$B$36,0),FALSE)))</f>
        <v>High</v>
      </c>
      <c r="AR18" s="177" t="str">
        <f>IF(AND(HLOOKUP(MID(AR$3,FIND(".",AR$3)+1,FIND(".",AR$3,FIND(".",AR$3)+1)-FIND(".",AR$3)-1),Gällivare!$B$6:$J$36,MATCH($C18,Gällivare!$B$6:$B$36,0),FALSE)="No Impact",HLOOKUP(RIGHT(AR$3,LEN(AR$3)-FIND(".",AR$3,FIND(".",AR$3)+1)),Gällivare!$B$6:$J$36,MATCH($C18,Gällivare!$B$6:$B$36,0),FALSE)="No Impact"),HLOOKUP(LEFT(AR$3,4),Global!$B$6:$J$36,MATCH($C18,Global!$B$6:$B$36,0),FALSE),IF(AND(HLOOKUP(MID(AR$3,FIND(".",AR$3)+1,FIND(".",AR$3,FIND(".",AR$3)+1)-FIND(".",AR$3)-1),Gällivare!$B$6:$J$36,MATCH($C18,Gällivare!$B$6:$B$36,0),FALSE)="No Impact",HLOOKUP(LEFT(AR$3,4),Global!$B$6:$J$36,MATCH($C18,Global!$B$6:$B$36,0),FALSE)="No Impact"),HLOOKUP(RIGHT(AR$3,LEN(AR$3)-FIND(".",AR$3,FIND(".",AR$3)+1)),Gällivare!$B$6:$J$36,MATCH($C18,Gällivare!$B$6:$B$36,0),FALSE),"Global: "&amp;HLOOKUP(LEFT(AR$3,4),Global!$B$6:$J$36,MATCH($C18,Global!$B$6:$B$36,0),FALSE)&amp;CHAR(10)&amp;"Local Trend: "&amp;HLOOKUP(MID(AR$3,FIND(".",AR$3)+1,FIND(".",AR$3,FIND(".",AR$3)+1)-FIND(".",AR$3)-1),Gällivare!$B$6:$J$36,MATCH($C18,Gällivare!$B$6:$B$36,0),FALSE)&amp;CHAR(10)&amp;"Local Target: "&amp;HLOOKUP(RIGHT(AR$3,LEN(AR$3)-FIND(".",AR$3,FIND(".",AR$3)+1)),Gällivare!$B$6:$J$36,MATCH($C18,Gällivare!$B$6:$B$36,0),FALSE)))</f>
        <v>High</v>
      </c>
      <c r="AS18" s="177" t="str">
        <f>IF(AND(HLOOKUP(MID(AS$3,FIND(".",AS$3)+1,FIND(".",AS$3,FIND(".",AS$3)+1)-FIND(".",AS$3)-1),Gällivare!$B$6:$J$36,MATCH($C18,Gällivare!$B$6:$B$36,0),FALSE)="No Impact",HLOOKUP(RIGHT(AS$3,LEN(AS$3)-FIND(".",AS$3,FIND(".",AS$3)+1)),Gällivare!$B$6:$J$36,MATCH($C18,Gällivare!$B$6:$B$36,0),FALSE)="No Impact"),HLOOKUP(LEFT(AS$3,4),Global!$B$6:$J$36,MATCH($C18,Global!$B$6:$B$36,0),FALSE),IF(AND(HLOOKUP(MID(AS$3,FIND(".",AS$3)+1,FIND(".",AS$3,FIND(".",AS$3)+1)-FIND(".",AS$3)-1),Gällivare!$B$6:$J$36,MATCH($C18,Gällivare!$B$6:$B$36,0),FALSE)="No Impact",HLOOKUP(LEFT(AS$3,4),Global!$B$6:$J$36,MATCH($C18,Global!$B$6:$B$36,0),FALSE)="No Impact"),HLOOKUP(RIGHT(AS$3,LEN(AS$3)-FIND(".",AS$3,FIND(".",AS$3)+1)),Gällivare!$B$6:$J$36,MATCH($C18,Gällivare!$B$6:$B$36,0),FALSE),"Global: "&amp;HLOOKUP(LEFT(AS$3,4),Global!$B$6:$J$36,MATCH($C18,Global!$B$6:$B$36,0),FALSE)&amp;CHAR(10)&amp;"Local Trend: "&amp;HLOOKUP(MID(AS$3,FIND(".",AS$3)+1,FIND(".",AS$3,FIND(".",AS$3)+1)-FIND(".",AS$3)-1),Gällivare!$B$6:$J$36,MATCH($C18,Gällivare!$B$6:$B$36,0),FALSE)&amp;CHAR(10)&amp;"Local Target: "&amp;HLOOKUP(RIGHT(AS$3,LEN(AS$3)-FIND(".",AS$3,FIND(".",AS$3)+1)),Gällivare!$B$6:$J$36,MATCH($C18,Gällivare!$B$6:$B$36,0),FALSE)))</f>
        <v>Medium</v>
      </c>
      <c r="AT18" s="177" t="str">
        <f>IF(AND(HLOOKUP(MID(AT$3,FIND(".",AT$3)+1,FIND(".",AT$3,FIND(".",AT$3)+1)-FIND(".",AT$3)-1),Gällivare!$B$6:$J$36,MATCH($C18,Gällivare!$B$6:$B$36,0),FALSE)="No Impact",HLOOKUP(RIGHT(AT$3,LEN(AT$3)-FIND(".",AT$3,FIND(".",AT$3)+1)),Gällivare!$B$6:$J$36,MATCH($C18,Gällivare!$B$6:$B$36,0),FALSE)="No Impact"),HLOOKUP(LEFT(AT$3,4),Global!$B$6:$J$36,MATCH($C18,Global!$B$6:$B$36,0),FALSE),IF(AND(HLOOKUP(MID(AT$3,FIND(".",AT$3)+1,FIND(".",AT$3,FIND(".",AT$3)+1)-FIND(".",AT$3)-1),Gällivare!$B$6:$J$36,MATCH($C18,Gällivare!$B$6:$B$36,0),FALSE)="No Impact",HLOOKUP(LEFT(AT$3,4),Global!$B$6:$J$36,MATCH($C18,Global!$B$6:$B$36,0),FALSE)="No Impact"),HLOOKUP(RIGHT(AT$3,LEN(AT$3)-FIND(".",AT$3,FIND(".",AT$3)+1)),Gällivare!$B$6:$J$36,MATCH($C18,Gällivare!$B$6:$B$36,0),FALSE),"Global: "&amp;HLOOKUP(LEFT(AT$3,4),Global!$B$6:$J$36,MATCH($C18,Global!$B$6:$B$36,0),FALSE)&amp;CHAR(10)&amp;"Local Trend: "&amp;HLOOKUP(MID(AT$3,FIND(".",AT$3)+1,FIND(".",AT$3,FIND(".",AT$3)+1)-FIND(".",AT$3)-1),Gällivare!$B$6:$J$36,MATCH($C18,Gällivare!$B$6:$B$36,0),FALSE)&amp;CHAR(10)&amp;"Local Target: "&amp;HLOOKUP(RIGHT(AT$3,LEN(AT$3)-FIND(".",AT$3,FIND(".",AT$3)+1)),Gällivare!$B$6:$J$36,MATCH($C18,Gällivare!$B$6:$B$36,0),FALSE)))</f>
        <v>Medium</v>
      </c>
      <c r="AU18" s="177" t="str">
        <f>IF(AND(HLOOKUP(MID(AU$3,FIND(".",AU$3)+1,FIND(".",AU$3,FIND(".",AU$3)+1)-FIND(".",AU$3)-1),Gällivare!$B$6:$J$36,MATCH($C18,Gällivare!$B$6:$B$36,0),FALSE)="No Impact",HLOOKUP(RIGHT(AU$3,LEN(AU$3)-FIND(".",AU$3,FIND(".",AU$3)+1)),Gällivare!$B$6:$J$36,MATCH($C18,Gällivare!$B$6:$B$36,0),FALSE)="No Impact"),HLOOKUP(LEFT(AU$3,4),Global!$B$6:$J$36,MATCH($C18,Global!$B$6:$B$36,0),FALSE),IF(AND(HLOOKUP(MID(AU$3,FIND(".",AU$3)+1,FIND(".",AU$3,FIND(".",AU$3)+1)-FIND(".",AU$3)-1),Gällivare!$B$6:$J$36,MATCH($C18,Gällivare!$B$6:$B$36,0),FALSE)="No Impact",HLOOKUP(LEFT(AU$3,4),Global!$B$6:$J$36,MATCH($C18,Global!$B$6:$B$36,0),FALSE)="No Impact"),HLOOKUP(RIGHT(AU$3,LEN(AU$3)-FIND(".",AU$3,FIND(".",AU$3)+1)),Gällivare!$B$6:$J$36,MATCH($C18,Gällivare!$B$6:$B$36,0),FALSE),"Global: "&amp;HLOOKUP(LEFT(AU$3,4),Global!$B$6:$J$36,MATCH($C18,Global!$B$6:$B$36,0),FALSE)&amp;CHAR(10)&amp;"Local Trend: "&amp;HLOOKUP(MID(AU$3,FIND(".",AU$3)+1,FIND(".",AU$3,FIND(".",AU$3)+1)-FIND(".",AU$3)-1),Gällivare!$B$6:$J$36,MATCH($C18,Gällivare!$B$6:$B$36,0),FALSE)&amp;CHAR(10)&amp;"Local Target: "&amp;HLOOKUP(RIGHT(AU$3,LEN(AU$3)-FIND(".",AU$3,FIND(".",AU$3)+1)),Gällivare!$B$6:$J$36,MATCH($C18,Gällivare!$B$6:$B$36,0),FALSE)))</f>
        <v>Medium</v>
      </c>
      <c r="AV18" s="177" t="str">
        <f>IF(AND(HLOOKUP(MID(AV$3,FIND(".",AV$3)+1,FIND(".",AV$3,FIND(".",AV$3)+1)-FIND(".",AV$3)-1),Gällivare!$B$6:$J$36,MATCH($C18,Gällivare!$B$6:$B$36,0),FALSE)="No Impact",HLOOKUP(RIGHT(AV$3,LEN(AV$3)-FIND(".",AV$3,FIND(".",AV$3)+1)),Gällivare!$B$6:$J$36,MATCH($C18,Gällivare!$B$6:$B$36,0),FALSE)="No Impact"),HLOOKUP(LEFT(AV$3,4),Global!$B$6:$J$36,MATCH($C18,Global!$B$6:$B$36,0),FALSE),IF(AND(HLOOKUP(MID(AV$3,FIND(".",AV$3)+1,FIND(".",AV$3,FIND(".",AV$3)+1)-FIND(".",AV$3)-1),Gällivare!$B$6:$J$36,MATCH($C18,Gällivare!$B$6:$B$36,0),FALSE)="No Impact",HLOOKUP(LEFT(AV$3,4),Global!$B$6:$J$36,MATCH($C18,Global!$B$6:$B$36,0),FALSE)="No Impact"),HLOOKUP(RIGHT(AV$3,LEN(AV$3)-FIND(".",AV$3,FIND(".",AV$3)+1)),Gällivare!$B$6:$J$36,MATCH($C18,Gällivare!$B$6:$B$36,0),FALSE),"Global: "&amp;HLOOKUP(LEFT(AV$3,4),Global!$B$6:$J$36,MATCH($C18,Global!$B$6:$B$36,0),FALSE)&amp;CHAR(10)&amp;"Local Trend: "&amp;HLOOKUP(MID(AV$3,FIND(".",AV$3)+1,FIND(".",AV$3,FIND(".",AV$3)+1)-FIND(".",AV$3)-1),Gällivare!$B$6:$J$36,MATCH($C18,Gällivare!$B$6:$B$36,0),FALSE)&amp;CHAR(10)&amp;"Local Target: "&amp;HLOOKUP(RIGHT(AV$3,LEN(AV$3)-FIND(".",AV$3,FIND(".",AV$3)+1)),Gällivare!$B$6:$J$36,MATCH($C18,Gällivare!$B$6:$B$36,0),FALSE)))</f>
        <v>Medium</v>
      </c>
      <c r="AW18" s="177" t="str">
        <f>IF(AND(HLOOKUP(MID(AW$3,FIND(".",AW$3)+1,FIND(".",AW$3,FIND(".",AW$3)+1)-FIND(".",AW$3)-1),Gällivare!$B$6:$J$36,MATCH($C18,Gällivare!$B$6:$B$36,0),FALSE)="No Impact",HLOOKUP(RIGHT(AW$3,LEN(AW$3)-FIND(".",AW$3,FIND(".",AW$3)+1)),Gällivare!$B$6:$J$36,MATCH($C18,Gällivare!$B$6:$B$36,0),FALSE)="No Impact"),HLOOKUP(LEFT(AW$3,4),Global!$B$6:$J$36,MATCH($C18,Global!$B$6:$B$36,0),FALSE),IF(AND(HLOOKUP(MID(AW$3,FIND(".",AW$3)+1,FIND(".",AW$3,FIND(".",AW$3)+1)-FIND(".",AW$3)-1),Gällivare!$B$6:$J$36,MATCH($C18,Gällivare!$B$6:$B$36,0),FALSE)="No Impact",HLOOKUP(LEFT(AW$3,4),Global!$B$6:$J$36,MATCH($C18,Global!$B$6:$B$36,0),FALSE)="No Impact"),HLOOKUP(RIGHT(AW$3,LEN(AW$3)-FIND(".",AW$3,FIND(".",AW$3)+1)),Gällivare!$B$6:$J$36,MATCH($C18,Gällivare!$B$6:$B$36,0),FALSE),"Global: "&amp;HLOOKUP(LEFT(AW$3,4),Global!$B$6:$J$36,MATCH($C18,Global!$B$6:$B$36,0),FALSE)&amp;CHAR(10)&amp;"Local Trend: "&amp;HLOOKUP(MID(AW$3,FIND(".",AW$3)+1,FIND(".",AW$3,FIND(".",AW$3)+1)-FIND(".",AW$3)-1),Gällivare!$B$6:$J$36,MATCH($C18,Gällivare!$B$6:$B$36,0),FALSE)&amp;CHAR(10)&amp;"Local Target: "&amp;HLOOKUP(RIGHT(AW$3,LEN(AW$3)-FIND(".",AW$3,FIND(".",AW$3)+1)),Gällivare!$B$6:$J$36,MATCH($C18,Gällivare!$B$6:$B$36,0),FALSE)))</f>
        <v>Medium</v>
      </c>
      <c r="AX18" s="177" t="str">
        <f>IF(AND(HLOOKUP(MID(AX$3,FIND(".",AX$3)+1,FIND(".",AX$3,FIND(".",AX$3)+1)-FIND(".",AX$3)-1),Gällivare!$B$6:$J$36,MATCH($C18,Gällivare!$B$6:$B$36,0),FALSE)="No Impact",HLOOKUP(RIGHT(AX$3,LEN(AX$3)-FIND(".",AX$3,FIND(".",AX$3)+1)),Gällivare!$B$6:$J$36,MATCH($C18,Gällivare!$B$6:$B$36,0),FALSE)="No Impact"),HLOOKUP(LEFT(AX$3,4),Global!$B$6:$J$36,MATCH($C18,Global!$B$6:$B$36,0),FALSE),IF(AND(HLOOKUP(MID(AX$3,FIND(".",AX$3)+1,FIND(".",AX$3,FIND(".",AX$3)+1)-FIND(".",AX$3)-1),Gällivare!$B$6:$J$36,MATCH($C18,Gällivare!$B$6:$B$36,0),FALSE)="No Impact",HLOOKUP(LEFT(AX$3,4),Global!$B$6:$J$36,MATCH($C18,Global!$B$6:$B$36,0),FALSE)="No Impact"),HLOOKUP(RIGHT(AX$3,LEN(AX$3)-FIND(".",AX$3,FIND(".",AX$3)+1)),Gällivare!$B$6:$J$36,MATCH($C18,Gällivare!$B$6:$B$36,0),FALSE),"Global: "&amp;HLOOKUP(LEFT(AX$3,4),Global!$B$6:$J$36,MATCH($C18,Global!$B$6:$B$36,0),FALSE)&amp;CHAR(10)&amp;"Local Trend: "&amp;HLOOKUP(MID(AX$3,FIND(".",AX$3)+1,FIND(".",AX$3,FIND(".",AX$3)+1)-FIND(".",AX$3)-1),Gällivare!$B$6:$J$36,MATCH($C18,Gällivare!$B$6:$B$36,0),FALSE)&amp;CHAR(10)&amp;"Local Target: "&amp;HLOOKUP(RIGHT(AX$3,LEN(AX$3)-FIND(".",AX$3,FIND(".",AX$3)+1)),Gällivare!$B$6:$J$36,MATCH($C18,Gällivare!$B$6:$B$36,0),FALSE)))</f>
        <v>Medium</v>
      </c>
      <c r="AY18" s="177" t="str">
        <f>IF(AND(HLOOKUP(MID(AY$3,FIND(".",AY$3)+1,FIND(".",AY$3,FIND(".",AY$3)+1)-FIND(".",AY$3)-1),Gällivare!$B$6:$J$36,MATCH($C18,Gällivare!$B$6:$B$36,0),FALSE)="No Impact",HLOOKUP(RIGHT(AY$3,LEN(AY$3)-FIND(".",AY$3,FIND(".",AY$3)+1)),Gällivare!$B$6:$J$36,MATCH($C18,Gällivare!$B$6:$B$36,0),FALSE)="No Impact"),HLOOKUP(LEFT(AY$3,4),Global!$B$6:$J$36,MATCH($C18,Global!$B$6:$B$36,0),FALSE),IF(AND(HLOOKUP(MID(AY$3,FIND(".",AY$3)+1,FIND(".",AY$3,FIND(".",AY$3)+1)-FIND(".",AY$3)-1),Gällivare!$B$6:$J$36,MATCH($C18,Gällivare!$B$6:$B$36,0),FALSE)="No Impact",HLOOKUP(LEFT(AY$3,4),Global!$B$6:$J$36,MATCH($C18,Global!$B$6:$B$36,0),FALSE)="No Impact"),HLOOKUP(RIGHT(AY$3,LEN(AY$3)-FIND(".",AY$3,FIND(".",AY$3)+1)),Gällivare!$B$6:$J$36,MATCH($C18,Gällivare!$B$6:$B$36,0),FALSE),"Global: "&amp;HLOOKUP(LEFT(AY$3,4),Global!$B$6:$J$36,MATCH($C18,Global!$B$6:$B$36,0),FALSE)&amp;CHAR(10)&amp;"Local Trend: "&amp;HLOOKUP(MID(AY$3,FIND(".",AY$3)+1,FIND(".",AY$3,FIND(".",AY$3)+1)-FIND(".",AY$3)-1),Gällivare!$B$6:$J$36,MATCH($C18,Gällivare!$B$6:$B$36,0),FALSE)&amp;CHAR(10)&amp;"Local Target: "&amp;HLOOKUP(RIGHT(AY$3,LEN(AY$3)-FIND(".",AY$3,FIND(".",AY$3)+1)),Gällivare!$B$6:$J$36,MATCH($C18,Gällivare!$B$6:$B$36,0),FALSE)))</f>
        <v>Low</v>
      </c>
      <c r="AZ18" s="177" t="str">
        <f>IF(AND(HLOOKUP(MID(AZ$3,FIND(".",AZ$3)+1,FIND(".",AZ$3,FIND(".",AZ$3)+1)-FIND(".",AZ$3)-1),Gällivare!$B$6:$J$36,MATCH($C18,Gällivare!$B$6:$B$36,0),FALSE)="No Impact",HLOOKUP(RIGHT(AZ$3,LEN(AZ$3)-FIND(".",AZ$3,FIND(".",AZ$3)+1)),Gällivare!$B$6:$J$36,MATCH($C18,Gällivare!$B$6:$B$36,0),FALSE)="No Impact"),HLOOKUP(LEFT(AZ$3,4),Global!$B$6:$J$36,MATCH($C18,Global!$B$6:$B$36,0),FALSE),IF(AND(HLOOKUP(MID(AZ$3,FIND(".",AZ$3)+1,FIND(".",AZ$3,FIND(".",AZ$3)+1)-FIND(".",AZ$3)-1),Gällivare!$B$6:$J$36,MATCH($C18,Gällivare!$B$6:$B$36,0),FALSE)="No Impact",HLOOKUP(LEFT(AZ$3,4),Global!$B$6:$J$36,MATCH($C18,Global!$B$6:$B$36,0),FALSE)="No Impact"),HLOOKUP(RIGHT(AZ$3,LEN(AZ$3)-FIND(".",AZ$3,FIND(".",AZ$3)+1)),Gällivare!$B$6:$J$36,MATCH($C18,Gällivare!$B$6:$B$36,0),FALSE),"Global: "&amp;HLOOKUP(LEFT(AZ$3,4),Global!$B$6:$J$36,MATCH($C18,Global!$B$6:$B$36,0),FALSE)&amp;CHAR(10)&amp;"Local Trend: "&amp;HLOOKUP(MID(AZ$3,FIND(".",AZ$3)+1,FIND(".",AZ$3,FIND(".",AZ$3)+1)-FIND(".",AZ$3)-1),Gällivare!$B$6:$J$36,MATCH($C18,Gällivare!$B$6:$B$36,0),FALSE)&amp;CHAR(10)&amp;"Local Target: "&amp;HLOOKUP(RIGHT(AZ$3,LEN(AZ$3)-FIND(".",AZ$3,FIND(".",AZ$3)+1)),Gällivare!$B$6:$J$36,MATCH($C18,Gällivare!$B$6:$B$36,0),FALSE)))</f>
        <v>Low</v>
      </c>
      <c r="BA18" s="177" t="str">
        <f>IF(AND(HLOOKUP(MID(BA$3,FIND(".",BA$3)+1,FIND(".",BA$3,FIND(".",BA$3)+1)-FIND(".",BA$3)-1),Gällivare!$B$6:$J$36,MATCH($C18,Gällivare!$B$6:$B$36,0),FALSE)="No Impact",HLOOKUP(RIGHT(BA$3,LEN(BA$3)-FIND(".",BA$3,FIND(".",BA$3)+1)),Gällivare!$B$6:$J$36,MATCH($C18,Gällivare!$B$6:$B$36,0),FALSE)="No Impact"),HLOOKUP(LEFT(BA$3,4),Global!$B$6:$J$36,MATCH($C18,Global!$B$6:$B$36,0),FALSE),IF(AND(HLOOKUP(MID(BA$3,FIND(".",BA$3)+1,FIND(".",BA$3,FIND(".",BA$3)+1)-FIND(".",BA$3)-1),Gällivare!$B$6:$J$36,MATCH($C18,Gällivare!$B$6:$B$36,0),FALSE)="No Impact",HLOOKUP(LEFT(BA$3,4),Global!$B$6:$J$36,MATCH($C18,Global!$B$6:$B$36,0),FALSE)="No Impact"),HLOOKUP(RIGHT(BA$3,LEN(BA$3)-FIND(".",BA$3,FIND(".",BA$3)+1)),Gällivare!$B$6:$J$36,MATCH($C18,Gällivare!$B$6:$B$36,0),FALSE),"Global: "&amp;HLOOKUP(LEFT(BA$3,4),Global!$B$6:$J$36,MATCH($C18,Global!$B$6:$B$36,0),FALSE)&amp;CHAR(10)&amp;"Local Trend: "&amp;HLOOKUP(MID(BA$3,FIND(".",BA$3)+1,FIND(".",BA$3,FIND(".",BA$3)+1)-FIND(".",BA$3)-1),Gällivare!$B$6:$J$36,MATCH($C18,Gällivare!$B$6:$B$36,0),FALSE)&amp;CHAR(10)&amp;"Local Target: "&amp;HLOOKUP(RIGHT(BA$3,LEN(BA$3)-FIND(".",BA$3,FIND(".",BA$3)+1)),Gällivare!$B$6:$J$36,MATCH($C18,Gällivare!$B$6:$B$36,0),FALSE)))</f>
        <v>Low</v>
      </c>
      <c r="BB18" s="177" t="str">
        <f>IF(AND(HLOOKUP(MID(BB$3,FIND(".",BB$3)+1,FIND(".",BB$3,FIND(".",BB$3)+1)-FIND(".",BB$3)-1),Gällivare!$B$6:$J$36,MATCH($C18,Gällivare!$B$6:$B$36,0),FALSE)="No Impact",HLOOKUP(RIGHT(BB$3,LEN(BB$3)-FIND(".",BB$3,FIND(".",BB$3)+1)),Gällivare!$B$6:$J$36,MATCH($C18,Gällivare!$B$6:$B$36,0),FALSE)="No Impact"),HLOOKUP(LEFT(BB$3,4),Global!$B$6:$J$36,MATCH($C18,Global!$B$6:$B$36,0),FALSE),IF(AND(HLOOKUP(MID(BB$3,FIND(".",BB$3)+1,FIND(".",BB$3,FIND(".",BB$3)+1)-FIND(".",BB$3)-1),Gällivare!$B$6:$J$36,MATCH($C18,Gällivare!$B$6:$B$36,0),FALSE)="No Impact",HLOOKUP(LEFT(BB$3,4),Global!$B$6:$J$36,MATCH($C18,Global!$B$6:$B$36,0),FALSE)="No Impact"),HLOOKUP(RIGHT(BB$3,LEN(BB$3)-FIND(".",BB$3,FIND(".",BB$3)+1)),Gällivare!$B$6:$J$36,MATCH($C18,Gällivare!$B$6:$B$36,0),FALSE),"Global: "&amp;HLOOKUP(LEFT(BB$3,4),Global!$B$6:$J$36,MATCH($C18,Global!$B$6:$B$36,0),FALSE)&amp;CHAR(10)&amp;"Local Trend: "&amp;HLOOKUP(MID(BB$3,FIND(".",BB$3)+1,FIND(".",BB$3,FIND(".",BB$3)+1)-FIND(".",BB$3)-1),Gällivare!$B$6:$J$36,MATCH($C18,Gällivare!$B$6:$B$36,0),FALSE)&amp;CHAR(10)&amp;"Local Target: "&amp;HLOOKUP(RIGHT(BB$3,LEN(BB$3)-FIND(".",BB$3,FIND(".",BB$3)+1)),Gällivare!$B$6:$J$36,MATCH($C18,Gällivare!$B$6:$B$36,0),FALSE)))</f>
        <v>Low</v>
      </c>
      <c r="BC18" s="177" t="str">
        <f>IF(AND(HLOOKUP(MID(BC$3,FIND(".",BC$3)+1,FIND(".",BC$3,FIND(".",BC$3)+1)-FIND(".",BC$3)-1),Gällivare!$B$6:$J$36,MATCH($C18,Gällivare!$B$6:$B$36,0),FALSE)="No Impact",HLOOKUP(RIGHT(BC$3,LEN(BC$3)-FIND(".",BC$3,FIND(".",BC$3)+1)),Gällivare!$B$6:$J$36,MATCH($C18,Gällivare!$B$6:$B$36,0),FALSE)="No Impact"),HLOOKUP(LEFT(BC$3,4),Global!$B$6:$J$36,MATCH($C18,Global!$B$6:$B$36,0),FALSE),IF(AND(HLOOKUP(MID(BC$3,FIND(".",BC$3)+1,FIND(".",BC$3,FIND(".",BC$3)+1)-FIND(".",BC$3)-1),Gällivare!$B$6:$J$36,MATCH($C18,Gällivare!$B$6:$B$36,0),FALSE)="No Impact",HLOOKUP(LEFT(BC$3,4),Global!$B$6:$J$36,MATCH($C18,Global!$B$6:$B$36,0),FALSE)="No Impact"),HLOOKUP(RIGHT(BC$3,LEN(BC$3)-FIND(".",BC$3,FIND(".",BC$3)+1)),Gällivare!$B$6:$J$36,MATCH($C18,Gällivare!$B$6:$B$36,0),FALSE),"Global: "&amp;HLOOKUP(LEFT(BC$3,4),Global!$B$6:$J$36,MATCH($C18,Global!$B$6:$B$36,0),FALSE)&amp;CHAR(10)&amp;"Local Trend: "&amp;HLOOKUP(MID(BC$3,FIND(".",BC$3)+1,FIND(".",BC$3,FIND(".",BC$3)+1)-FIND(".",BC$3)-1),Gällivare!$B$6:$J$36,MATCH($C18,Gällivare!$B$6:$B$36,0),FALSE)&amp;CHAR(10)&amp;"Local Target: "&amp;HLOOKUP(RIGHT(BC$3,LEN(BC$3)-FIND(".",BC$3,FIND(".",BC$3)+1)),Gällivare!$B$6:$J$36,MATCH($C18,Gällivare!$B$6:$B$36,0),FALSE)))</f>
        <v>Low</v>
      </c>
      <c r="BD18" s="177" t="str">
        <f>IF(AND(HLOOKUP(MID(BD$3,FIND(".",BD$3)+1,FIND(".",BD$3,FIND(".",BD$3)+1)-FIND(".",BD$3)-1),Gällivare!$B$6:$J$36,MATCH($C18,Gällivare!$B$6:$B$36,0),FALSE)="No Impact",HLOOKUP(RIGHT(BD$3,LEN(BD$3)-FIND(".",BD$3,FIND(".",BD$3)+1)),Gällivare!$B$6:$J$36,MATCH($C18,Gällivare!$B$6:$B$36,0),FALSE)="No Impact"),HLOOKUP(LEFT(BD$3,4),Global!$B$6:$J$36,MATCH($C18,Global!$B$6:$B$36,0),FALSE),IF(AND(HLOOKUP(MID(BD$3,FIND(".",BD$3)+1,FIND(".",BD$3,FIND(".",BD$3)+1)-FIND(".",BD$3)-1),Gällivare!$B$6:$J$36,MATCH($C18,Gällivare!$B$6:$B$36,0),FALSE)="No Impact",HLOOKUP(LEFT(BD$3,4),Global!$B$6:$J$36,MATCH($C18,Global!$B$6:$B$36,0),FALSE)="No Impact"),HLOOKUP(RIGHT(BD$3,LEN(BD$3)-FIND(".",BD$3,FIND(".",BD$3)+1)),Gällivare!$B$6:$J$36,MATCH($C18,Gällivare!$B$6:$B$36,0),FALSE),"Global: "&amp;HLOOKUP(LEFT(BD$3,4),Global!$B$6:$J$36,MATCH($C18,Global!$B$6:$B$36,0),FALSE)&amp;CHAR(10)&amp;"Local Trend: "&amp;HLOOKUP(MID(BD$3,FIND(".",BD$3)+1,FIND(".",BD$3,FIND(".",BD$3)+1)-FIND(".",BD$3)-1),Gällivare!$B$6:$J$36,MATCH($C18,Gällivare!$B$6:$B$36,0),FALSE)&amp;CHAR(10)&amp;"Local Target: "&amp;HLOOKUP(RIGHT(BD$3,LEN(BD$3)-FIND(".",BD$3,FIND(".",BD$3)+1)),Gällivare!$B$6:$J$36,MATCH($C18,Gällivare!$B$6:$B$36,0),FALSE)))</f>
        <v>Low</v>
      </c>
      <c r="BE18" s="177" t="str">
        <f>IF(AND(HLOOKUP(MID(BE$3,FIND(".",BE$3)+1,FIND(".",BE$3,FIND(".",BE$3)+1)-FIND(".",BE$3)-1),Gällivare!$B$6:$J$36,MATCH($C18,Gällivare!$B$6:$B$36,0),FALSE)="No Impact",HLOOKUP(RIGHT(BE$3,LEN(BE$3)-FIND(".",BE$3,FIND(".",BE$3)+1)),Gällivare!$B$6:$J$36,MATCH($C18,Gällivare!$B$6:$B$36,0),FALSE)="No Impact"),HLOOKUP(LEFT(BE$3,4),Global!$B$6:$J$36,MATCH($C18,Global!$B$6:$B$36,0),FALSE),IF(AND(HLOOKUP(MID(BE$3,FIND(".",BE$3)+1,FIND(".",BE$3,FIND(".",BE$3)+1)-FIND(".",BE$3)-1),Gällivare!$B$6:$J$36,MATCH($C18,Gällivare!$B$6:$B$36,0),FALSE)="No Impact",HLOOKUP(LEFT(BE$3,4),Global!$B$6:$J$36,MATCH($C18,Global!$B$6:$B$36,0),FALSE)="No Impact"),HLOOKUP(RIGHT(BE$3,LEN(BE$3)-FIND(".",BE$3,FIND(".",BE$3)+1)),Gällivare!$B$6:$J$36,MATCH($C18,Gällivare!$B$6:$B$36,0),FALSE),"Global: "&amp;HLOOKUP(LEFT(BE$3,4),Global!$B$6:$J$36,MATCH($C18,Global!$B$6:$B$36,0),FALSE)&amp;CHAR(10)&amp;"Local Trend: "&amp;HLOOKUP(MID(BE$3,FIND(".",BE$3)+1,FIND(".",BE$3,FIND(".",BE$3)+1)-FIND(".",BE$3)-1),Gällivare!$B$6:$J$36,MATCH($C18,Gällivare!$B$6:$B$36,0),FALSE)&amp;CHAR(10)&amp;"Local Target: "&amp;HLOOKUP(RIGHT(BE$3,LEN(BE$3)-FIND(".",BE$3,FIND(".",BE$3)+1)),Gällivare!$B$6:$J$36,MATCH($C18,Gällivare!$B$6:$B$36,0),FALSE)))</f>
        <v>HIgh</v>
      </c>
      <c r="BF18" s="177" t="str">
        <f>IF(AND(HLOOKUP(MID(BF$3,FIND(".",BF$3)+1,FIND(".",BF$3,FIND(".",BF$3)+1)-FIND(".",BF$3)-1),Gällivare!$B$6:$J$36,MATCH($C18,Gällivare!$B$6:$B$36,0),FALSE)="No Impact",HLOOKUP(RIGHT(BF$3,LEN(BF$3)-FIND(".",BF$3,FIND(".",BF$3)+1)),Gällivare!$B$6:$J$36,MATCH($C18,Gällivare!$B$6:$B$36,0),FALSE)="No Impact"),HLOOKUP(LEFT(BF$3,4),Global!$B$6:$J$36,MATCH($C18,Global!$B$6:$B$36,0),FALSE),IF(AND(HLOOKUP(MID(BF$3,FIND(".",BF$3)+1,FIND(".",BF$3,FIND(".",BF$3)+1)-FIND(".",BF$3)-1),Gällivare!$B$6:$J$36,MATCH($C18,Gällivare!$B$6:$B$36,0),FALSE)="No Impact",HLOOKUP(LEFT(BF$3,4),Global!$B$6:$J$36,MATCH($C18,Global!$B$6:$B$36,0),FALSE)="No Impact"),HLOOKUP(RIGHT(BF$3,LEN(BF$3)-FIND(".",BF$3,FIND(".",BF$3)+1)),Gällivare!$B$6:$J$36,MATCH($C18,Gällivare!$B$6:$B$36,0),FALSE),"Global: "&amp;HLOOKUP(LEFT(BF$3,4),Global!$B$6:$J$36,MATCH($C18,Global!$B$6:$B$36,0),FALSE)&amp;CHAR(10)&amp;"Local Trend: "&amp;HLOOKUP(MID(BF$3,FIND(".",BF$3)+1,FIND(".",BF$3,FIND(".",BF$3)+1)-FIND(".",BF$3)-1),Gällivare!$B$6:$J$36,MATCH($C18,Gällivare!$B$6:$B$36,0),FALSE)&amp;CHAR(10)&amp;"Local Target: "&amp;HLOOKUP(RIGHT(BF$3,LEN(BF$3)-FIND(".",BF$3,FIND(".",BF$3)+1)),Gällivare!$B$6:$J$36,MATCH($C18,Gällivare!$B$6:$B$36,0),FALSE)))</f>
        <v>HIgh</v>
      </c>
      <c r="BG18" s="177" t="str">
        <f>IF(AND(HLOOKUP(MID(BG$3,FIND(".",BG$3)+1,FIND(".",BG$3,FIND(".",BG$3)+1)-FIND(".",BG$3)-1),Gällivare!$B$6:$J$36,MATCH($C18,Gällivare!$B$6:$B$36,0),FALSE)="No Impact",HLOOKUP(RIGHT(BG$3,LEN(BG$3)-FIND(".",BG$3,FIND(".",BG$3)+1)),Gällivare!$B$6:$J$36,MATCH($C18,Gällivare!$B$6:$B$36,0),FALSE)="No Impact"),HLOOKUP(LEFT(BG$3,4),Global!$B$6:$J$36,MATCH($C18,Global!$B$6:$B$36,0),FALSE),IF(AND(HLOOKUP(MID(BG$3,FIND(".",BG$3)+1,FIND(".",BG$3,FIND(".",BG$3)+1)-FIND(".",BG$3)-1),Gällivare!$B$6:$J$36,MATCH($C18,Gällivare!$B$6:$B$36,0),FALSE)="No Impact",HLOOKUP(LEFT(BG$3,4),Global!$B$6:$J$36,MATCH($C18,Global!$B$6:$B$36,0),FALSE)="No Impact"),HLOOKUP(RIGHT(BG$3,LEN(BG$3)-FIND(".",BG$3,FIND(".",BG$3)+1)),Gällivare!$B$6:$J$36,MATCH($C18,Gällivare!$B$6:$B$36,0),FALSE),"Global: "&amp;HLOOKUP(LEFT(BG$3,4),Global!$B$6:$J$36,MATCH($C18,Global!$B$6:$B$36,0),FALSE)&amp;CHAR(10)&amp;"Local Trend: "&amp;HLOOKUP(MID(BG$3,FIND(".",BG$3)+1,FIND(".",BG$3,FIND(".",BG$3)+1)-FIND(".",BG$3)-1),Gällivare!$B$6:$J$36,MATCH($C18,Gällivare!$B$6:$B$36,0),FALSE)&amp;CHAR(10)&amp;"Local Target: "&amp;HLOOKUP(RIGHT(BG$3,LEN(BG$3)-FIND(".",BG$3,FIND(".",BG$3)+1)),Gällivare!$B$6:$J$36,MATCH($C18,Gällivare!$B$6:$B$36,0),FALSE)))</f>
        <v>HIgh</v>
      </c>
      <c r="BH18" s="177" t="str">
        <f>IF(AND(HLOOKUP(MID(BH$3,FIND(".",BH$3)+1,FIND(".",BH$3,FIND(".",BH$3)+1)-FIND(".",BH$3)-1),Gällivare!$B$6:$J$36,MATCH($C18,Gällivare!$B$6:$B$36,0),FALSE)="No Impact",HLOOKUP(RIGHT(BH$3,LEN(BH$3)-FIND(".",BH$3,FIND(".",BH$3)+1)),Gällivare!$B$6:$J$36,MATCH($C18,Gällivare!$B$6:$B$36,0),FALSE)="No Impact"),HLOOKUP(LEFT(BH$3,4),Global!$B$6:$J$36,MATCH($C18,Global!$B$6:$B$36,0),FALSE),IF(AND(HLOOKUP(MID(BH$3,FIND(".",BH$3)+1,FIND(".",BH$3,FIND(".",BH$3)+1)-FIND(".",BH$3)-1),Gällivare!$B$6:$J$36,MATCH($C18,Gällivare!$B$6:$B$36,0),FALSE)="No Impact",HLOOKUP(LEFT(BH$3,4),Global!$B$6:$J$36,MATCH($C18,Global!$B$6:$B$36,0),FALSE)="No Impact"),HLOOKUP(RIGHT(BH$3,LEN(BH$3)-FIND(".",BH$3,FIND(".",BH$3)+1)),Gällivare!$B$6:$J$36,MATCH($C18,Gällivare!$B$6:$B$36,0),FALSE),"Global: "&amp;HLOOKUP(LEFT(BH$3,4),Global!$B$6:$J$36,MATCH($C18,Global!$B$6:$B$36,0),FALSE)&amp;CHAR(10)&amp;"Local Trend: "&amp;HLOOKUP(MID(BH$3,FIND(".",BH$3)+1,FIND(".",BH$3,FIND(".",BH$3)+1)-FIND(".",BH$3)-1),Gällivare!$B$6:$J$36,MATCH($C18,Gällivare!$B$6:$B$36,0),FALSE)&amp;CHAR(10)&amp;"Local Target: "&amp;HLOOKUP(RIGHT(BH$3,LEN(BH$3)-FIND(".",BH$3,FIND(".",BH$3)+1)),Gällivare!$B$6:$J$36,MATCH($C18,Gällivare!$B$6:$B$36,0),FALSE)))</f>
        <v>HIgh</v>
      </c>
      <c r="BI18" s="177" t="str">
        <f>IF(AND(HLOOKUP(MID(BI$3,FIND(".",BI$3)+1,FIND(".",BI$3,FIND(".",BI$3)+1)-FIND(".",BI$3)-1),Gällivare!$B$6:$J$36,MATCH($C18,Gällivare!$B$6:$B$36,0),FALSE)="No Impact",HLOOKUP(RIGHT(BI$3,LEN(BI$3)-FIND(".",BI$3,FIND(".",BI$3)+1)),Gällivare!$B$6:$J$36,MATCH($C18,Gällivare!$B$6:$B$36,0),FALSE)="No Impact"),HLOOKUP(LEFT(BI$3,4),Global!$B$6:$J$36,MATCH($C18,Global!$B$6:$B$36,0),FALSE),IF(AND(HLOOKUP(MID(BI$3,FIND(".",BI$3)+1,FIND(".",BI$3,FIND(".",BI$3)+1)-FIND(".",BI$3)-1),Gällivare!$B$6:$J$36,MATCH($C18,Gällivare!$B$6:$B$36,0),FALSE)="No Impact",HLOOKUP(LEFT(BI$3,4),Global!$B$6:$J$36,MATCH($C18,Global!$B$6:$B$36,0),FALSE)="No Impact"),HLOOKUP(RIGHT(BI$3,LEN(BI$3)-FIND(".",BI$3,FIND(".",BI$3)+1)),Gällivare!$B$6:$J$36,MATCH($C18,Gällivare!$B$6:$B$36,0),FALSE),"Global: "&amp;HLOOKUP(LEFT(BI$3,4),Global!$B$6:$J$36,MATCH($C18,Global!$B$6:$B$36,0),FALSE)&amp;CHAR(10)&amp;"Local Trend: "&amp;HLOOKUP(MID(BI$3,FIND(".",BI$3)+1,FIND(".",BI$3,FIND(".",BI$3)+1)-FIND(".",BI$3)-1),Gällivare!$B$6:$J$36,MATCH($C18,Gällivare!$B$6:$B$36,0),FALSE)&amp;CHAR(10)&amp;"Local Target: "&amp;HLOOKUP(RIGHT(BI$3,LEN(BI$3)-FIND(".",BI$3,FIND(".",BI$3)+1)),Gällivare!$B$6:$J$36,MATCH($C18,Gällivare!$B$6:$B$36,0),FALSE)))</f>
        <v>HIgh</v>
      </c>
      <c r="BJ18" s="177" t="str">
        <f>IF(AND(HLOOKUP(MID(BJ$3,FIND(".",BJ$3)+1,FIND(".",BJ$3,FIND(".",BJ$3)+1)-FIND(".",BJ$3)-1),Gällivare!$B$6:$J$36,MATCH($C18,Gällivare!$B$6:$B$36,0),FALSE)="No Impact",HLOOKUP(RIGHT(BJ$3,LEN(BJ$3)-FIND(".",BJ$3,FIND(".",BJ$3)+1)),Gällivare!$B$6:$J$36,MATCH($C18,Gällivare!$B$6:$B$36,0),FALSE)="No Impact"),HLOOKUP(LEFT(BJ$3,4),Global!$B$6:$J$36,MATCH($C18,Global!$B$6:$B$36,0),FALSE),IF(AND(HLOOKUP(MID(BJ$3,FIND(".",BJ$3)+1,FIND(".",BJ$3,FIND(".",BJ$3)+1)-FIND(".",BJ$3)-1),Gällivare!$B$6:$J$36,MATCH($C18,Gällivare!$B$6:$B$36,0),FALSE)="No Impact",HLOOKUP(LEFT(BJ$3,4),Global!$B$6:$J$36,MATCH($C18,Global!$B$6:$B$36,0),FALSE)="No Impact"),HLOOKUP(RIGHT(BJ$3,LEN(BJ$3)-FIND(".",BJ$3,FIND(".",BJ$3)+1)),Gällivare!$B$6:$J$36,MATCH($C18,Gällivare!$B$6:$B$36,0),FALSE),"Global: "&amp;HLOOKUP(LEFT(BJ$3,4),Global!$B$6:$J$36,MATCH($C18,Global!$B$6:$B$36,0),FALSE)&amp;CHAR(10)&amp;"Local Trend: "&amp;HLOOKUP(MID(BJ$3,FIND(".",BJ$3)+1,FIND(".",BJ$3,FIND(".",BJ$3)+1)-FIND(".",BJ$3)-1),Gällivare!$B$6:$J$36,MATCH($C18,Gällivare!$B$6:$B$36,0),FALSE)&amp;CHAR(10)&amp;"Local Target: "&amp;HLOOKUP(RIGHT(BJ$3,LEN(BJ$3)-FIND(".",BJ$3,FIND(".",BJ$3)+1)),Gällivare!$B$6:$J$36,MATCH($C18,Gällivare!$B$6:$B$36,0),FALSE)))</f>
        <v>HIgh</v>
      </c>
      <c r="BK18" s="177" t="str">
        <f>IF(AND(HLOOKUP(MID(BK$3,FIND(".",BK$3)+1,FIND(".",BK$3,FIND(".",BK$3)+1)-FIND(".",BK$3)-1),Gällivare!$B$6:$J$36,MATCH($C18,Gällivare!$B$6:$B$36,0),FALSE)="No Impact",HLOOKUP(RIGHT(BK$3,LEN(BK$3)-FIND(".",BK$3,FIND(".",BK$3)+1)),Gällivare!$B$6:$J$36,MATCH($C18,Gällivare!$B$6:$B$36,0),FALSE)="No Impact"),HLOOKUP(LEFT(BK$3,4),Global!$B$6:$J$36,MATCH($C18,Global!$B$6:$B$36,0),FALSE),IF(AND(HLOOKUP(MID(BK$3,FIND(".",BK$3)+1,FIND(".",BK$3,FIND(".",BK$3)+1)-FIND(".",BK$3)-1),Gällivare!$B$6:$J$36,MATCH($C18,Gällivare!$B$6:$B$36,0),FALSE)="No Impact",HLOOKUP(LEFT(BK$3,4),Global!$B$6:$J$36,MATCH($C18,Global!$B$6:$B$36,0),FALSE)="No Impact"),HLOOKUP(RIGHT(BK$3,LEN(BK$3)-FIND(".",BK$3,FIND(".",BK$3)+1)),Gällivare!$B$6:$J$36,MATCH($C18,Gällivare!$B$6:$B$36,0),FALSE),"Global: "&amp;HLOOKUP(LEFT(BK$3,4),Global!$B$6:$J$36,MATCH($C18,Global!$B$6:$B$36,0),FALSE)&amp;CHAR(10)&amp;"Local Trend: "&amp;HLOOKUP(MID(BK$3,FIND(".",BK$3)+1,FIND(".",BK$3,FIND(".",BK$3)+1)-FIND(".",BK$3)-1),Gällivare!$B$6:$J$36,MATCH($C18,Gällivare!$B$6:$B$36,0),FALSE)&amp;CHAR(10)&amp;"Local Target: "&amp;HLOOKUP(RIGHT(BK$3,LEN(BK$3)-FIND(".",BK$3,FIND(".",BK$3)+1)),Gällivare!$B$6:$J$36,MATCH($C18,Gällivare!$B$6:$B$36,0),FALSE)))</f>
        <v>Low</v>
      </c>
      <c r="BL18" s="177" t="str">
        <f>IF(AND(HLOOKUP(MID(BL$3,FIND(".",BL$3)+1,FIND(".",BL$3,FIND(".",BL$3)+1)-FIND(".",BL$3)-1),Gällivare!$B$6:$J$36,MATCH($C18,Gällivare!$B$6:$B$36,0),FALSE)="No Impact",HLOOKUP(RIGHT(BL$3,LEN(BL$3)-FIND(".",BL$3,FIND(".",BL$3)+1)),Gällivare!$B$6:$J$36,MATCH($C18,Gällivare!$B$6:$B$36,0),FALSE)="No Impact"),HLOOKUP(LEFT(BL$3,4),Global!$B$6:$J$36,MATCH($C18,Global!$B$6:$B$36,0),FALSE),IF(AND(HLOOKUP(MID(BL$3,FIND(".",BL$3)+1,FIND(".",BL$3,FIND(".",BL$3)+1)-FIND(".",BL$3)-1),Gällivare!$B$6:$J$36,MATCH($C18,Gällivare!$B$6:$B$36,0),FALSE)="No Impact",HLOOKUP(LEFT(BL$3,4),Global!$B$6:$J$36,MATCH($C18,Global!$B$6:$B$36,0),FALSE)="No Impact"),HLOOKUP(RIGHT(BL$3,LEN(BL$3)-FIND(".",BL$3,FIND(".",BL$3)+1)),Gällivare!$B$6:$J$36,MATCH($C18,Gällivare!$B$6:$B$36,0),FALSE),"Global: "&amp;HLOOKUP(LEFT(BL$3,4),Global!$B$6:$J$36,MATCH($C18,Global!$B$6:$B$36,0),FALSE)&amp;CHAR(10)&amp;"Local Trend: "&amp;HLOOKUP(MID(BL$3,FIND(".",BL$3)+1,FIND(".",BL$3,FIND(".",BL$3)+1)-FIND(".",BL$3)-1),Gällivare!$B$6:$J$36,MATCH($C18,Gällivare!$B$6:$B$36,0),FALSE)&amp;CHAR(10)&amp;"Local Target: "&amp;HLOOKUP(RIGHT(BL$3,LEN(BL$3)-FIND(".",BL$3,FIND(".",BL$3)+1)),Gällivare!$B$6:$J$36,MATCH($C18,Gällivare!$B$6:$B$36,0),FALSE)))</f>
        <v>Low</v>
      </c>
      <c r="BM18" s="177" t="str">
        <f>IF(AND(HLOOKUP(MID(BM$3,FIND(".",BM$3)+1,FIND(".",BM$3,FIND(".",BM$3)+1)-FIND(".",BM$3)-1),Gällivare!$B$6:$J$36,MATCH($C18,Gällivare!$B$6:$B$36,0),FALSE)="No Impact",HLOOKUP(RIGHT(BM$3,LEN(BM$3)-FIND(".",BM$3,FIND(".",BM$3)+1)),Gällivare!$B$6:$J$36,MATCH($C18,Gällivare!$B$6:$B$36,0),FALSE)="No Impact"),HLOOKUP(LEFT(BM$3,4),Global!$B$6:$J$36,MATCH($C18,Global!$B$6:$B$36,0),FALSE),IF(AND(HLOOKUP(MID(BM$3,FIND(".",BM$3)+1,FIND(".",BM$3,FIND(".",BM$3)+1)-FIND(".",BM$3)-1),Gällivare!$B$6:$J$36,MATCH($C18,Gällivare!$B$6:$B$36,0),FALSE)="No Impact",HLOOKUP(LEFT(BM$3,4),Global!$B$6:$J$36,MATCH($C18,Global!$B$6:$B$36,0),FALSE)="No Impact"),HLOOKUP(RIGHT(BM$3,LEN(BM$3)-FIND(".",BM$3,FIND(".",BM$3)+1)),Gällivare!$B$6:$J$36,MATCH($C18,Gällivare!$B$6:$B$36,0),FALSE),"Global: "&amp;HLOOKUP(LEFT(BM$3,4),Global!$B$6:$J$36,MATCH($C18,Global!$B$6:$B$36,0),FALSE)&amp;CHAR(10)&amp;"Local Trend: "&amp;HLOOKUP(MID(BM$3,FIND(".",BM$3)+1,FIND(".",BM$3,FIND(".",BM$3)+1)-FIND(".",BM$3)-1),Gällivare!$B$6:$J$36,MATCH($C18,Gällivare!$B$6:$B$36,0),FALSE)&amp;CHAR(10)&amp;"Local Target: "&amp;HLOOKUP(RIGHT(BM$3,LEN(BM$3)-FIND(".",BM$3,FIND(".",BM$3)+1)),Gällivare!$B$6:$J$36,MATCH($C18,Gällivare!$B$6:$B$36,0),FALSE)))</f>
        <v>Low</v>
      </c>
      <c r="BN18" s="177" t="str">
        <f>IF(AND(HLOOKUP(MID(BN$3,FIND(".",BN$3)+1,FIND(".",BN$3,FIND(".",BN$3)+1)-FIND(".",BN$3)-1),Gällivare!$B$6:$J$36,MATCH($C18,Gällivare!$B$6:$B$36,0),FALSE)="No Impact",HLOOKUP(RIGHT(BN$3,LEN(BN$3)-FIND(".",BN$3,FIND(".",BN$3)+1)),Gällivare!$B$6:$J$36,MATCH($C18,Gällivare!$B$6:$B$36,0),FALSE)="No Impact"),HLOOKUP(LEFT(BN$3,4),Global!$B$6:$J$36,MATCH($C18,Global!$B$6:$B$36,0),FALSE),IF(AND(HLOOKUP(MID(BN$3,FIND(".",BN$3)+1,FIND(".",BN$3,FIND(".",BN$3)+1)-FIND(".",BN$3)-1),Gällivare!$B$6:$J$36,MATCH($C18,Gällivare!$B$6:$B$36,0),FALSE)="No Impact",HLOOKUP(LEFT(BN$3,4),Global!$B$6:$J$36,MATCH($C18,Global!$B$6:$B$36,0),FALSE)="No Impact"),HLOOKUP(RIGHT(BN$3,LEN(BN$3)-FIND(".",BN$3,FIND(".",BN$3)+1)),Gällivare!$B$6:$J$36,MATCH($C18,Gällivare!$B$6:$B$36,0),FALSE),"Global: "&amp;HLOOKUP(LEFT(BN$3,4),Global!$B$6:$J$36,MATCH($C18,Global!$B$6:$B$36,0),FALSE)&amp;CHAR(10)&amp;"Local Trend: "&amp;HLOOKUP(MID(BN$3,FIND(".",BN$3)+1,FIND(".",BN$3,FIND(".",BN$3)+1)-FIND(".",BN$3)-1),Gällivare!$B$6:$J$36,MATCH($C18,Gällivare!$B$6:$B$36,0),FALSE)&amp;CHAR(10)&amp;"Local Target: "&amp;HLOOKUP(RIGHT(BN$3,LEN(BN$3)-FIND(".",BN$3,FIND(".",BN$3)+1)),Gällivare!$B$6:$J$36,MATCH($C18,Gällivare!$B$6:$B$36,0),FALSE)))</f>
        <v>Low</v>
      </c>
      <c r="BO18" s="177" t="str">
        <f>IF(AND(HLOOKUP(MID(BO$3,FIND(".",BO$3)+1,FIND(".",BO$3,FIND(".",BO$3)+1)-FIND(".",BO$3)-1),Gällivare!$B$6:$J$36,MATCH($C18,Gällivare!$B$6:$B$36,0),FALSE)="No Impact",HLOOKUP(RIGHT(BO$3,LEN(BO$3)-FIND(".",BO$3,FIND(".",BO$3)+1)),Gällivare!$B$6:$J$36,MATCH($C18,Gällivare!$B$6:$B$36,0),FALSE)="No Impact"),HLOOKUP(LEFT(BO$3,4),Global!$B$6:$J$36,MATCH($C18,Global!$B$6:$B$36,0),FALSE),IF(AND(HLOOKUP(MID(BO$3,FIND(".",BO$3)+1,FIND(".",BO$3,FIND(".",BO$3)+1)-FIND(".",BO$3)-1),Gällivare!$B$6:$J$36,MATCH($C18,Gällivare!$B$6:$B$36,0),FALSE)="No Impact",HLOOKUP(LEFT(BO$3,4),Global!$B$6:$J$36,MATCH($C18,Global!$B$6:$B$36,0),FALSE)="No Impact"),HLOOKUP(RIGHT(BO$3,LEN(BO$3)-FIND(".",BO$3,FIND(".",BO$3)+1)),Gällivare!$B$6:$J$36,MATCH($C18,Gällivare!$B$6:$B$36,0),FALSE),"Global: "&amp;HLOOKUP(LEFT(BO$3,4),Global!$B$6:$J$36,MATCH($C18,Global!$B$6:$B$36,0),FALSE)&amp;CHAR(10)&amp;"Local Trend: "&amp;HLOOKUP(MID(BO$3,FIND(".",BO$3)+1,FIND(".",BO$3,FIND(".",BO$3)+1)-FIND(".",BO$3)-1),Gällivare!$B$6:$J$36,MATCH($C18,Gällivare!$B$6:$B$36,0),FALSE)&amp;CHAR(10)&amp;"Local Target: "&amp;HLOOKUP(RIGHT(BO$3,LEN(BO$3)-FIND(".",BO$3,FIND(".",BO$3)+1)),Gällivare!$B$6:$J$36,MATCH($C18,Gällivare!$B$6:$B$36,0),FALSE)))</f>
        <v>Low</v>
      </c>
      <c r="BP18" s="177" t="str">
        <f>IF(AND(HLOOKUP(MID(BP$3,FIND(".",BP$3)+1,FIND(".",BP$3,FIND(".",BP$3)+1)-FIND(".",BP$3)-1),Gällivare!$B$6:$J$36,MATCH($C18,Gällivare!$B$6:$B$36,0),FALSE)="No Impact",HLOOKUP(RIGHT(BP$3,LEN(BP$3)-FIND(".",BP$3,FIND(".",BP$3)+1)),Gällivare!$B$6:$J$36,MATCH($C18,Gällivare!$B$6:$B$36,0),FALSE)="No Impact"),HLOOKUP(LEFT(BP$3,4),Global!$B$6:$J$36,MATCH($C18,Global!$B$6:$B$36,0),FALSE),IF(AND(HLOOKUP(MID(BP$3,FIND(".",BP$3)+1,FIND(".",BP$3,FIND(".",BP$3)+1)-FIND(".",BP$3)-1),Gällivare!$B$6:$J$36,MATCH($C18,Gällivare!$B$6:$B$36,0),FALSE)="No Impact",HLOOKUP(LEFT(BP$3,4),Global!$B$6:$J$36,MATCH($C18,Global!$B$6:$B$36,0),FALSE)="No Impact"),HLOOKUP(RIGHT(BP$3,LEN(BP$3)-FIND(".",BP$3,FIND(".",BP$3)+1)),Gällivare!$B$6:$J$36,MATCH($C18,Gällivare!$B$6:$B$36,0),FALSE),"Global: "&amp;HLOOKUP(LEFT(BP$3,4),Global!$B$6:$J$36,MATCH($C18,Global!$B$6:$B$36,0),FALSE)&amp;CHAR(10)&amp;"Local Trend: "&amp;HLOOKUP(MID(BP$3,FIND(".",BP$3)+1,FIND(".",BP$3,FIND(".",BP$3)+1)-FIND(".",BP$3)-1),Gällivare!$B$6:$J$36,MATCH($C18,Gällivare!$B$6:$B$36,0),FALSE)&amp;CHAR(10)&amp;"Local Target: "&amp;HLOOKUP(RIGHT(BP$3,LEN(BP$3)-FIND(".",BP$3,FIND(".",BP$3)+1)),Gällivare!$B$6:$J$36,MATCH($C18,Gällivare!$B$6:$B$36,0),FALSE)))</f>
        <v>Low</v>
      </c>
    </row>
    <row r="19" spans="2:74" ht="43.2" customHeight="1" x14ac:dyDescent="0.3">
      <c r="B19" s="246"/>
      <c r="C19" s="148" t="s">
        <v>132</v>
      </c>
      <c r="D19" s="247"/>
      <c r="E19" s="175" t="s">
        <v>191</v>
      </c>
      <c r="F19" s="176" t="s">
        <v>165</v>
      </c>
      <c r="G19" s="176"/>
      <c r="H19" s="175" t="str">
        <f t="shared" si="1"/>
        <v>High</v>
      </c>
      <c r="I19" s="175" t="str">
        <f t="shared" si="1"/>
        <v>High</v>
      </c>
      <c r="J19" s="175" t="str">
        <f t="shared" si="1"/>
        <v>High</v>
      </c>
      <c r="K19" s="175" t="str">
        <f t="shared" si="1"/>
        <v>High</v>
      </c>
      <c r="L19" s="175" t="str">
        <f t="shared" si="1"/>
        <v>High</v>
      </c>
      <c r="M19" s="175" t="str">
        <f t="shared" si="1"/>
        <v>High</v>
      </c>
      <c r="N19" s="175" t="str">
        <f t="shared" si="1"/>
        <v>Medium</v>
      </c>
      <c r="O19" s="175" t="str">
        <f t="shared" si="1"/>
        <v>Medium</v>
      </c>
      <c r="P19" s="175" t="str">
        <f t="shared" si="1"/>
        <v>Medium</v>
      </c>
      <c r="Q19" s="175" t="str">
        <f t="shared" si="1"/>
        <v>Medium</v>
      </c>
      <c r="R19" s="175" t="str">
        <f t="shared" si="1"/>
        <v>Medium</v>
      </c>
      <c r="S19" s="175" t="str">
        <f t="shared" si="1"/>
        <v>Medium</v>
      </c>
      <c r="T19" s="175" t="str">
        <f t="shared" si="1"/>
        <v>Low</v>
      </c>
      <c r="U19" s="175" t="str">
        <f t="shared" si="1"/>
        <v>Low</v>
      </c>
      <c r="V19" s="175" t="str">
        <f t="shared" si="1"/>
        <v>Low</v>
      </c>
      <c r="W19" s="175" t="str">
        <f t="shared" si="1"/>
        <v>Low</v>
      </c>
      <c r="X19" s="175" t="str">
        <f t="shared" si="5"/>
        <v>Low</v>
      </c>
      <c r="Y19" s="175" t="str">
        <f t="shared" si="5"/>
        <v>Low</v>
      </c>
      <c r="Z19" s="175" t="str">
        <f t="shared" si="5"/>
        <v>HIgh</v>
      </c>
      <c r="AA19" s="175" t="str">
        <f t="shared" si="5"/>
        <v>HIgh</v>
      </c>
      <c r="AB19" s="175" t="str">
        <f t="shared" si="5"/>
        <v>HIgh</v>
      </c>
      <c r="AC19" s="175" t="str">
        <f t="shared" si="5"/>
        <v>HIgh</v>
      </c>
      <c r="AD19" s="175" t="str">
        <f t="shared" si="5"/>
        <v>HIgh</v>
      </c>
      <c r="AE19" s="175" t="str">
        <f t="shared" si="5"/>
        <v>HIgh</v>
      </c>
      <c r="AF19" s="175" t="str">
        <f t="shared" si="4"/>
        <v>Low</v>
      </c>
      <c r="AG19" s="175" t="str">
        <f t="shared" si="4"/>
        <v>Low</v>
      </c>
      <c r="AH19" s="175" t="str">
        <f t="shared" si="4"/>
        <v>Low</v>
      </c>
      <c r="AI19" s="175" t="str">
        <f t="shared" si="4"/>
        <v>Low</v>
      </c>
      <c r="AJ19" s="175" t="str">
        <f t="shared" si="4"/>
        <v>Low</v>
      </c>
      <c r="AK19" s="175" t="str">
        <f t="shared" si="4"/>
        <v>Low</v>
      </c>
      <c r="AL19" s="176"/>
      <c r="AM19" s="177" t="str">
        <f>IF(AND(HLOOKUP(MID(AM$3,FIND(".",AM$3)+1,FIND(".",AM$3,FIND(".",AM$3)+1)-FIND(".",AM$3)-1),Gällivare!$B$6:$J$36,MATCH($C19,Gällivare!$B$6:$B$36,0),FALSE)="No Impact",HLOOKUP(RIGHT(AM$3,LEN(AM$3)-FIND(".",AM$3,FIND(".",AM$3)+1)),Gällivare!$B$6:$J$36,MATCH($C19,Gällivare!$B$6:$B$36,0),FALSE)="No Impact"),HLOOKUP(LEFT(AM$3,4),Global!$B$6:$J$36,MATCH($C19,Global!$B$6:$B$36,0),FALSE),IF(AND(HLOOKUP(MID(AM$3,FIND(".",AM$3)+1,FIND(".",AM$3,FIND(".",AM$3)+1)-FIND(".",AM$3)-1),Gällivare!$B$6:$J$36,MATCH($C19,Gällivare!$B$6:$B$36,0),FALSE)="No Impact",HLOOKUP(LEFT(AM$3,4),Global!$B$6:$J$36,MATCH($C19,Global!$B$6:$B$36,0),FALSE)="No Impact"),HLOOKUP(RIGHT(AM$3,LEN(AM$3)-FIND(".",AM$3,FIND(".",AM$3)+1)),Gällivare!$B$6:$J$36,MATCH($C19,Gällivare!$B$6:$B$36,0),FALSE),"Global: "&amp;HLOOKUP(LEFT(AM$3,4),Global!$B$6:$J$36,MATCH($C19,Global!$B$6:$B$36,0),FALSE)&amp;CHAR(10)&amp;"Local Trend: "&amp;HLOOKUP(MID(AM$3,FIND(".",AM$3)+1,FIND(".",AM$3,FIND(".",AM$3)+1)-FIND(".",AM$3)-1),Gällivare!$B$6:$J$36,MATCH($C19,Gällivare!$B$6:$B$36,0),FALSE)&amp;CHAR(10)&amp;"Local Target: "&amp;HLOOKUP(RIGHT(AM$3,LEN(AM$3)-FIND(".",AM$3,FIND(".",AM$3)+1)),Gällivare!$B$6:$J$36,MATCH($C19,Gällivare!$B$6:$B$36,0),FALSE)))</f>
        <v>High</v>
      </c>
      <c r="AN19" s="177" t="str">
        <f>IF(AND(HLOOKUP(MID(AN$3,FIND(".",AN$3)+1,FIND(".",AN$3,FIND(".",AN$3)+1)-FIND(".",AN$3)-1),Gällivare!$B$6:$J$36,MATCH($C19,Gällivare!$B$6:$B$36,0),FALSE)="No Impact",HLOOKUP(RIGHT(AN$3,LEN(AN$3)-FIND(".",AN$3,FIND(".",AN$3)+1)),Gällivare!$B$6:$J$36,MATCH($C19,Gällivare!$B$6:$B$36,0),FALSE)="No Impact"),HLOOKUP(LEFT(AN$3,4),Global!$B$6:$J$36,MATCH($C19,Global!$B$6:$B$36,0),FALSE),IF(AND(HLOOKUP(MID(AN$3,FIND(".",AN$3)+1,FIND(".",AN$3,FIND(".",AN$3)+1)-FIND(".",AN$3)-1),Gällivare!$B$6:$J$36,MATCH($C19,Gällivare!$B$6:$B$36,0),FALSE)="No Impact",HLOOKUP(LEFT(AN$3,4),Global!$B$6:$J$36,MATCH($C19,Global!$B$6:$B$36,0),FALSE)="No Impact"),HLOOKUP(RIGHT(AN$3,LEN(AN$3)-FIND(".",AN$3,FIND(".",AN$3)+1)),Gällivare!$B$6:$J$36,MATCH($C19,Gällivare!$B$6:$B$36,0),FALSE),"Global: "&amp;HLOOKUP(LEFT(AN$3,4),Global!$B$6:$J$36,MATCH($C19,Global!$B$6:$B$36,0),FALSE)&amp;CHAR(10)&amp;"Local Trend: "&amp;HLOOKUP(MID(AN$3,FIND(".",AN$3)+1,FIND(".",AN$3,FIND(".",AN$3)+1)-FIND(".",AN$3)-1),Gällivare!$B$6:$J$36,MATCH($C19,Gällivare!$B$6:$B$36,0),FALSE)&amp;CHAR(10)&amp;"Local Target: "&amp;HLOOKUP(RIGHT(AN$3,LEN(AN$3)-FIND(".",AN$3,FIND(".",AN$3)+1)),Gällivare!$B$6:$J$36,MATCH($C19,Gällivare!$B$6:$B$36,0),FALSE)))</f>
        <v>High</v>
      </c>
      <c r="AO19" s="177" t="str">
        <f>IF(AND(HLOOKUP(MID(AO$3,FIND(".",AO$3)+1,FIND(".",AO$3,FIND(".",AO$3)+1)-FIND(".",AO$3)-1),Gällivare!$B$6:$J$36,MATCH($C19,Gällivare!$B$6:$B$36,0),FALSE)="No Impact",HLOOKUP(RIGHT(AO$3,LEN(AO$3)-FIND(".",AO$3,FIND(".",AO$3)+1)),Gällivare!$B$6:$J$36,MATCH($C19,Gällivare!$B$6:$B$36,0),FALSE)="No Impact"),HLOOKUP(LEFT(AO$3,4),Global!$B$6:$J$36,MATCH($C19,Global!$B$6:$B$36,0),FALSE),IF(AND(HLOOKUP(MID(AO$3,FIND(".",AO$3)+1,FIND(".",AO$3,FIND(".",AO$3)+1)-FIND(".",AO$3)-1),Gällivare!$B$6:$J$36,MATCH($C19,Gällivare!$B$6:$B$36,0),FALSE)="No Impact",HLOOKUP(LEFT(AO$3,4),Global!$B$6:$J$36,MATCH($C19,Global!$B$6:$B$36,0),FALSE)="No Impact"),HLOOKUP(RIGHT(AO$3,LEN(AO$3)-FIND(".",AO$3,FIND(".",AO$3)+1)),Gällivare!$B$6:$J$36,MATCH($C19,Gällivare!$B$6:$B$36,0),FALSE),"Global: "&amp;HLOOKUP(LEFT(AO$3,4),Global!$B$6:$J$36,MATCH($C19,Global!$B$6:$B$36,0),FALSE)&amp;CHAR(10)&amp;"Local Trend: "&amp;HLOOKUP(MID(AO$3,FIND(".",AO$3)+1,FIND(".",AO$3,FIND(".",AO$3)+1)-FIND(".",AO$3)-1),Gällivare!$B$6:$J$36,MATCH($C19,Gällivare!$B$6:$B$36,0),FALSE)&amp;CHAR(10)&amp;"Local Target: "&amp;HLOOKUP(RIGHT(AO$3,LEN(AO$3)-FIND(".",AO$3,FIND(".",AO$3)+1)),Gällivare!$B$6:$J$36,MATCH($C19,Gällivare!$B$6:$B$36,0),FALSE)))</f>
        <v>High</v>
      </c>
      <c r="AP19" s="177" t="str">
        <f>IF(AND(HLOOKUP(MID(AP$3,FIND(".",AP$3)+1,FIND(".",AP$3,FIND(".",AP$3)+1)-FIND(".",AP$3)-1),Gällivare!$B$6:$J$36,MATCH($C19,Gällivare!$B$6:$B$36,0),FALSE)="No Impact",HLOOKUP(RIGHT(AP$3,LEN(AP$3)-FIND(".",AP$3,FIND(".",AP$3)+1)),Gällivare!$B$6:$J$36,MATCH($C19,Gällivare!$B$6:$B$36,0),FALSE)="No Impact"),HLOOKUP(LEFT(AP$3,4),Global!$B$6:$J$36,MATCH($C19,Global!$B$6:$B$36,0),FALSE),IF(AND(HLOOKUP(MID(AP$3,FIND(".",AP$3)+1,FIND(".",AP$3,FIND(".",AP$3)+1)-FIND(".",AP$3)-1),Gällivare!$B$6:$J$36,MATCH($C19,Gällivare!$B$6:$B$36,0),FALSE)="No Impact",HLOOKUP(LEFT(AP$3,4),Global!$B$6:$J$36,MATCH($C19,Global!$B$6:$B$36,0),FALSE)="No Impact"),HLOOKUP(RIGHT(AP$3,LEN(AP$3)-FIND(".",AP$3,FIND(".",AP$3)+1)),Gällivare!$B$6:$J$36,MATCH($C19,Gällivare!$B$6:$B$36,0),FALSE),"Global: "&amp;HLOOKUP(LEFT(AP$3,4),Global!$B$6:$J$36,MATCH($C19,Global!$B$6:$B$36,0),FALSE)&amp;CHAR(10)&amp;"Local Trend: "&amp;HLOOKUP(MID(AP$3,FIND(".",AP$3)+1,FIND(".",AP$3,FIND(".",AP$3)+1)-FIND(".",AP$3)-1),Gällivare!$B$6:$J$36,MATCH($C19,Gällivare!$B$6:$B$36,0),FALSE)&amp;CHAR(10)&amp;"Local Target: "&amp;HLOOKUP(RIGHT(AP$3,LEN(AP$3)-FIND(".",AP$3,FIND(".",AP$3)+1)),Gällivare!$B$6:$J$36,MATCH($C19,Gällivare!$B$6:$B$36,0),FALSE)))</f>
        <v>High</v>
      </c>
      <c r="AQ19" s="177" t="str">
        <f>IF(AND(HLOOKUP(MID(AQ$3,FIND(".",AQ$3)+1,FIND(".",AQ$3,FIND(".",AQ$3)+1)-FIND(".",AQ$3)-1),Gällivare!$B$6:$J$36,MATCH($C19,Gällivare!$B$6:$B$36,0),FALSE)="No Impact",HLOOKUP(RIGHT(AQ$3,LEN(AQ$3)-FIND(".",AQ$3,FIND(".",AQ$3)+1)),Gällivare!$B$6:$J$36,MATCH($C19,Gällivare!$B$6:$B$36,0),FALSE)="No Impact"),HLOOKUP(LEFT(AQ$3,4),Global!$B$6:$J$36,MATCH($C19,Global!$B$6:$B$36,0),FALSE),IF(AND(HLOOKUP(MID(AQ$3,FIND(".",AQ$3)+1,FIND(".",AQ$3,FIND(".",AQ$3)+1)-FIND(".",AQ$3)-1),Gällivare!$B$6:$J$36,MATCH($C19,Gällivare!$B$6:$B$36,0),FALSE)="No Impact",HLOOKUP(LEFT(AQ$3,4),Global!$B$6:$J$36,MATCH($C19,Global!$B$6:$B$36,0),FALSE)="No Impact"),HLOOKUP(RIGHT(AQ$3,LEN(AQ$3)-FIND(".",AQ$3,FIND(".",AQ$3)+1)),Gällivare!$B$6:$J$36,MATCH($C19,Gällivare!$B$6:$B$36,0),FALSE),"Global: "&amp;HLOOKUP(LEFT(AQ$3,4),Global!$B$6:$J$36,MATCH($C19,Global!$B$6:$B$36,0),FALSE)&amp;CHAR(10)&amp;"Local Trend: "&amp;HLOOKUP(MID(AQ$3,FIND(".",AQ$3)+1,FIND(".",AQ$3,FIND(".",AQ$3)+1)-FIND(".",AQ$3)-1),Gällivare!$B$6:$J$36,MATCH($C19,Gällivare!$B$6:$B$36,0),FALSE)&amp;CHAR(10)&amp;"Local Target: "&amp;HLOOKUP(RIGHT(AQ$3,LEN(AQ$3)-FIND(".",AQ$3,FIND(".",AQ$3)+1)),Gällivare!$B$6:$J$36,MATCH($C19,Gällivare!$B$6:$B$36,0),FALSE)))</f>
        <v>High</v>
      </c>
      <c r="AR19" s="177" t="str">
        <f>IF(AND(HLOOKUP(MID(AR$3,FIND(".",AR$3)+1,FIND(".",AR$3,FIND(".",AR$3)+1)-FIND(".",AR$3)-1),Gällivare!$B$6:$J$36,MATCH($C19,Gällivare!$B$6:$B$36,0),FALSE)="No Impact",HLOOKUP(RIGHT(AR$3,LEN(AR$3)-FIND(".",AR$3,FIND(".",AR$3)+1)),Gällivare!$B$6:$J$36,MATCH($C19,Gällivare!$B$6:$B$36,0),FALSE)="No Impact"),HLOOKUP(LEFT(AR$3,4),Global!$B$6:$J$36,MATCH($C19,Global!$B$6:$B$36,0),FALSE),IF(AND(HLOOKUP(MID(AR$3,FIND(".",AR$3)+1,FIND(".",AR$3,FIND(".",AR$3)+1)-FIND(".",AR$3)-1),Gällivare!$B$6:$J$36,MATCH($C19,Gällivare!$B$6:$B$36,0),FALSE)="No Impact",HLOOKUP(LEFT(AR$3,4),Global!$B$6:$J$36,MATCH($C19,Global!$B$6:$B$36,0),FALSE)="No Impact"),HLOOKUP(RIGHT(AR$3,LEN(AR$3)-FIND(".",AR$3,FIND(".",AR$3)+1)),Gällivare!$B$6:$J$36,MATCH($C19,Gällivare!$B$6:$B$36,0),FALSE),"Global: "&amp;HLOOKUP(LEFT(AR$3,4),Global!$B$6:$J$36,MATCH($C19,Global!$B$6:$B$36,0),FALSE)&amp;CHAR(10)&amp;"Local Trend: "&amp;HLOOKUP(MID(AR$3,FIND(".",AR$3)+1,FIND(".",AR$3,FIND(".",AR$3)+1)-FIND(".",AR$3)-1),Gällivare!$B$6:$J$36,MATCH($C19,Gällivare!$B$6:$B$36,0),FALSE)&amp;CHAR(10)&amp;"Local Target: "&amp;HLOOKUP(RIGHT(AR$3,LEN(AR$3)-FIND(".",AR$3,FIND(".",AR$3)+1)),Gällivare!$B$6:$J$36,MATCH($C19,Gällivare!$B$6:$B$36,0),FALSE)))</f>
        <v>High</v>
      </c>
      <c r="AS19" s="177" t="str">
        <f>IF(AND(HLOOKUP(MID(AS$3,FIND(".",AS$3)+1,FIND(".",AS$3,FIND(".",AS$3)+1)-FIND(".",AS$3)-1),Gällivare!$B$6:$J$36,MATCH($C19,Gällivare!$B$6:$B$36,0),FALSE)="No Impact",HLOOKUP(RIGHT(AS$3,LEN(AS$3)-FIND(".",AS$3,FIND(".",AS$3)+1)),Gällivare!$B$6:$J$36,MATCH($C19,Gällivare!$B$6:$B$36,0),FALSE)="No Impact"),HLOOKUP(LEFT(AS$3,4),Global!$B$6:$J$36,MATCH($C19,Global!$B$6:$B$36,0),FALSE),IF(AND(HLOOKUP(MID(AS$3,FIND(".",AS$3)+1,FIND(".",AS$3,FIND(".",AS$3)+1)-FIND(".",AS$3)-1),Gällivare!$B$6:$J$36,MATCH($C19,Gällivare!$B$6:$B$36,0),FALSE)="No Impact",HLOOKUP(LEFT(AS$3,4),Global!$B$6:$J$36,MATCH($C19,Global!$B$6:$B$36,0),FALSE)="No Impact"),HLOOKUP(RIGHT(AS$3,LEN(AS$3)-FIND(".",AS$3,FIND(".",AS$3)+1)),Gällivare!$B$6:$J$36,MATCH($C19,Gällivare!$B$6:$B$36,0),FALSE),"Global: "&amp;HLOOKUP(LEFT(AS$3,4),Global!$B$6:$J$36,MATCH($C19,Global!$B$6:$B$36,0),FALSE)&amp;CHAR(10)&amp;"Local Trend: "&amp;HLOOKUP(MID(AS$3,FIND(".",AS$3)+1,FIND(".",AS$3,FIND(".",AS$3)+1)-FIND(".",AS$3)-1),Gällivare!$B$6:$J$36,MATCH($C19,Gällivare!$B$6:$B$36,0),FALSE)&amp;CHAR(10)&amp;"Local Target: "&amp;HLOOKUP(RIGHT(AS$3,LEN(AS$3)-FIND(".",AS$3,FIND(".",AS$3)+1)),Gällivare!$B$6:$J$36,MATCH($C19,Gällivare!$B$6:$B$36,0),FALSE)))</f>
        <v>Medium</v>
      </c>
      <c r="AT19" s="177" t="str">
        <f>IF(AND(HLOOKUP(MID(AT$3,FIND(".",AT$3)+1,FIND(".",AT$3,FIND(".",AT$3)+1)-FIND(".",AT$3)-1),Gällivare!$B$6:$J$36,MATCH($C19,Gällivare!$B$6:$B$36,0),FALSE)="No Impact",HLOOKUP(RIGHT(AT$3,LEN(AT$3)-FIND(".",AT$3,FIND(".",AT$3)+1)),Gällivare!$B$6:$J$36,MATCH($C19,Gällivare!$B$6:$B$36,0),FALSE)="No Impact"),HLOOKUP(LEFT(AT$3,4),Global!$B$6:$J$36,MATCH($C19,Global!$B$6:$B$36,0),FALSE),IF(AND(HLOOKUP(MID(AT$3,FIND(".",AT$3)+1,FIND(".",AT$3,FIND(".",AT$3)+1)-FIND(".",AT$3)-1),Gällivare!$B$6:$J$36,MATCH($C19,Gällivare!$B$6:$B$36,0),FALSE)="No Impact",HLOOKUP(LEFT(AT$3,4),Global!$B$6:$J$36,MATCH($C19,Global!$B$6:$B$36,0),FALSE)="No Impact"),HLOOKUP(RIGHT(AT$3,LEN(AT$3)-FIND(".",AT$3,FIND(".",AT$3)+1)),Gällivare!$B$6:$J$36,MATCH($C19,Gällivare!$B$6:$B$36,0),FALSE),"Global: "&amp;HLOOKUP(LEFT(AT$3,4),Global!$B$6:$J$36,MATCH($C19,Global!$B$6:$B$36,0),FALSE)&amp;CHAR(10)&amp;"Local Trend: "&amp;HLOOKUP(MID(AT$3,FIND(".",AT$3)+1,FIND(".",AT$3,FIND(".",AT$3)+1)-FIND(".",AT$3)-1),Gällivare!$B$6:$J$36,MATCH($C19,Gällivare!$B$6:$B$36,0),FALSE)&amp;CHAR(10)&amp;"Local Target: "&amp;HLOOKUP(RIGHT(AT$3,LEN(AT$3)-FIND(".",AT$3,FIND(".",AT$3)+1)),Gällivare!$B$6:$J$36,MATCH($C19,Gällivare!$B$6:$B$36,0),FALSE)))</f>
        <v>Medium</v>
      </c>
      <c r="AU19" s="177" t="str">
        <f>IF(AND(HLOOKUP(MID(AU$3,FIND(".",AU$3)+1,FIND(".",AU$3,FIND(".",AU$3)+1)-FIND(".",AU$3)-1),Gällivare!$B$6:$J$36,MATCH($C19,Gällivare!$B$6:$B$36,0),FALSE)="No Impact",HLOOKUP(RIGHT(AU$3,LEN(AU$3)-FIND(".",AU$3,FIND(".",AU$3)+1)),Gällivare!$B$6:$J$36,MATCH($C19,Gällivare!$B$6:$B$36,0),FALSE)="No Impact"),HLOOKUP(LEFT(AU$3,4),Global!$B$6:$J$36,MATCH($C19,Global!$B$6:$B$36,0),FALSE),IF(AND(HLOOKUP(MID(AU$3,FIND(".",AU$3)+1,FIND(".",AU$3,FIND(".",AU$3)+1)-FIND(".",AU$3)-1),Gällivare!$B$6:$J$36,MATCH($C19,Gällivare!$B$6:$B$36,0),FALSE)="No Impact",HLOOKUP(LEFT(AU$3,4),Global!$B$6:$J$36,MATCH($C19,Global!$B$6:$B$36,0),FALSE)="No Impact"),HLOOKUP(RIGHT(AU$3,LEN(AU$3)-FIND(".",AU$3,FIND(".",AU$3)+1)),Gällivare!$B$6:$J$36,MATCH($C19,Gällivare!$B$6:$B$36,0),FALSE),"Global: "&amp;HLOOKUP(LEFT(AU$3,4),Global!$B$6:$J$36,MATCH($C19,Global!$B$6:$B$36,0),FALSE)&amp;CHAR(10)&amp;"Local Trend: "&amp;HLOOKUP(MID(AU$3,FIND(".",AU$3)+1,FIND(".",AU$3,FIND(".",AU$3)+1)-FIND(".",AU$3)-1),Gällivare!$B$6:$J$36,MATCH($C19,Gällivare!$B$6:$B$36,0),FALSE)&amp;CHAR(10)&amp;"Local Target: "&amp;HLOOKUP(RIGHT(AU$3,LEN(AU$3)-FIND(".",AU$3,FIND(".",AU$3)+1)),Gällivare!$B$6:$J$36,MATCH($C19,Gällivare!$B$6:$B$36,0),FALSE)))</f>
        <v>Medium</v>
      </c>
      <c r="AV19" s="177" t="str">
        <f>IF(AND(HLOOKUP(MID(AV$3,FIND(".",AV$3)+1,FIND(".",AV$3,FIND(".",AV$3)+1)-FIND(".",AV$3)-1),Gällivare!$B$6:$J$36,MATCH($C19,Gällivare!$B$6:$B$36,0),FALSE)="No Impact",HLOOKUP(RIGHT(AV$3,LEN(AV$3)-FIND(".",AV$3,FIND(".",AV$3)+1)),Gällivare!$B$6:$J$36,MATCH($C19,Gällivare!$B$6:$B$36,0),FALSE)="No Impact"),HLOOKUP(LEFT(AV$3,4),Global!$B$6:$J$36,MATCH($C19,Global!$B$6:$B$36,0),FALSE),IF(AND(HLOOKUP(MID(AV$3,FIND(".",AV$3)+1,FIND(".",AV$3,FIND(".",AV$3)+1)-FIND(".",AV$3)-1),Gällivare!$B$6:$J$36,MATCH($C19,Gällivare!$B$6:$B$36,0),FALSE)="No Impact",HLOOKUP(LEFT(AV$3,4),Global!$B$6:$J$36,MATCH($C19,Global!$B$6:$B$36,0),FALSE)="No Impact"),HLOOKUP(RIGHT(AV$3,LEN(AV$3)-FIND(".",AV$3,FIND(".",AV$3)+1)),Gällivare!$B$6:$J$36,MATCH($C19,Gällivare!$B$6:$B$36,0),FALSE),"Global: "&amp;HLOOKUP(LEFT(AV$3,4),Global!$B$6:$J$36,MATCH($C19,Global!$B$6:$B$36,0),FALSE)&amp;CHAR(10)&amp;"Local Trend: "&amp;HLOOKUP(MID(AV$3,FIND(".",AV$3)+1,FIND(".",AV$3,FIND(".",AV$3)+1)-FIND(".",AV$3)-1),Gällivare!$B$6:$J$36,MATCH($C19,Gällivare!$B$6:$B$36,0),FALSE)&amp;CHAR(10)&amp;"Local Target: "&amp;HLOOKUP(RIGHT(AV$3,LEN(AV$3)-FIND(".",AV$3,FIND(".",AV$3)+1)),Gällivare!$B$6:$J$36,MATCH($C19,Gällivare!$B$6:$B$36,0),FALSE)))</f>
        <v>Medium</v>
      </c>
      <c r="AW19" s="177" t="str">
        <f>IF(AND(HLOOKUP(MID(AW$3,FIND(".",AW$3)+1,FIND(".",AW$3,FIND(".",AW$3)+1)-FIND(".",AW$3)-1),Gällivare!$B$6:$J$36,MATCH($C19,Gällivare!$B$6:$B$36,0),FALSE)="No Impact",HLOOKUP(RIGHT(AW$3,LEN(AW$3)-FIND(".",AW$3,FIND(".",AW$3)+1)),Gällivare!$B$6:$J$36,MATCH($C19,Gällivare!$B$6:$B$36,0),FALSE)="No Impact"),HLOOKUP(LEFT(AW$3,4),Global!$B$6:$J$36,MATCH($C19,Global!$B$6:$B$36,0),FALSE),IF(AND(HLOOKUP(MID(AW$3,FIND(".",AW$3)+1,FIND(".",AW$3,FIND(".",AW$3)+1)-FIND(".",AW$3)-1),Gällivare!$B$6:$J$36,MATCH($C19,Gällivare!$B$6:$B$36,0),FALSE)="No Impact",HLOOKUP(LEFT(AW$3,4),Global!$B$6:$J$36,MATCH($C19,Global!$B$6:$B$36,0),FALSE)="No Impact"),HLOOKUP(RIGHT(AW$3,LEN(AW$3)-FIND(".",AW$3,FIND(".",AW$3)+1)),Gällivare!$B$6:$J$36,MATCH($C19,Gällivare!$B$6:$B$36,0),FALSE),"Global: "&amp;HLOOKUP(LEFT(AW$3,4),Global!$B$6:$J$36,MATCH($C19,Global!$B$6:$B$36,0),FALSE)&amp;CHAR(10)&amp;"Local Trend: "&amp;HLOOKUP(MID(AW$3,FIND(".",AW$3)+1,FIND(".",AW$3,FIND(".",AW$3)+1)-FIND(".",AW$3)-1),Gällivare!$B$6:$J$36,MATCH($C19,Gällivare!$B$6:$B$36,0),FALSE)&amp;CHAR(10)&amp;"Local Target: "&amp;HLOOKUP(RIGHT(AW$3,LEN(AW$3)-FIND(".",AW$3,FIND(".",AW$3)+1)),Gällivare!$B$6:$J$36,MATCH($C19,Gällivare!$B$6:$B$36,0),FALSE)))</f>
        <v>Medium</v>
      </c>
      <c r="AX19" s="177" t="str">
        <f>IF(AND(HLOOKUP(MID(AX$3,FIND(".",AX$3)+1,FIND(".",AX$3,FIND(".",AX$3)+1)-FIND(".",AX$3)-1),Gällivare!$B$6:$J$36,MATCH($C19,Gällivare!$B$6:$B$36,0),FALSE)="No Impact",HLOOKUP(RIGHT(AX$3,LEN(AX$3)-FIND(".",AX$3,FIND(".",AX$3)+1)),Gällivare!$B$6:$J$36,MATCH($C19,Gällivare!$B$6:$B$36,0),FALSE)="No Impact"),HLOOKUP(LEFT(AX$3,4),Global!$B$6:$J$36,MATCH($C19,Global!$B$6:$B$36,0),FALSE),IF(AND(HLOOKUP(MID(AX$3,FIND(".",AX$3)+1,FIND(".",AX$3,FIND(".",AX$3)+1)-FIND(".",AX$3)-1),Gällivare!$B$6:$J$36,MATCH($C19,Gällivare!$B$6:$B$36,0),FALSE)="No Impact",HLOOKUP(LEFT(AX$3,4),Global!$B$6:$J$36,MATCH($C19,Global!$B$6:$B$36,0),FALSE)="No Impact"),HLOOKUP(RIGHT(AX$3,LEN(AX$3)-FIND(".",AX$3,FIND(".",AX$3)+1)),Gällivare!$B$6:$J$36,MATCH($C19,Gällivare!$B$6:$B$36,0),FALSE),"Global: "&amp;HLOOKUP(LEFT(AX$3,4),Global!$B$6:$J$36,MATCH($C19,Global!$B$6:$B$36,0),FALSE)&amp;CHAR(10)&amp;"Local Trend: "&amp;HLOOKUP(MID(AX$3,FIND(".",AX$3)+1,FIND(".",AX$3,FIND(".",AX$3)+1)-FIND(".",AX$3)-1),Gällivare!$B$6:$J$36,MATCH($C19,Gällivare!$B$6:$B$36,0),FALSE)&amp;CHAR(10)&amp;"Local Target: "&amp;HLOOKUP(RIGHT(AX$3,LEN(AX$3)-FIND(".",AX$3,FIND(".",AX$3)+1)),Gällivare!$B$6:$J$36,MATCH($C19,Gällivare!$B$6:$B$36,0),FALSE)))</f>
        <v>Medium</v>
      </c>
      <c r="AY19" s="177" t="str">
        <f>IF(AND(HLOOKUP(MID(AY$3,FIND(".",AY$3)+1,FIND(".",AY$3,FIND(".",AY$3)+1)-FIND(".",AY$3)-1),Gällivare!$B$6:$J$36,MATCH($C19,Gällivare!$B$6:$B$36,0),FALSE)="No Impact",HLOOKUP(RIGHT(AY$3,LEN(AY$3)-FIND(".",AY$3,FIND(".",AY$3)+1)),Gällivare!$B$6:$J$36,MATCH($C19,Gällivare!$B$6:$B$36,0),FALSE)="No Impact"),HLOOKUP(LEFT(AY$3,4),Global!$B$6:$J$36,MATCH($C19,Global!$B$6:$B$36,0),FALSE),IF(AND(HLOOKUP(MID(AY$3,FIND(".",AY$3)+1,FIND(".",AY$3,FIND(".",AY$3)+1)-FIND(".",AY$3)-1),Gällivare!$B$6:$J$36,MATCH($C19,Gällivare!$B$6:$B$36,0),FALSE)="No Impact",HLOOKUP(LEFT(AY$3,4),Global!$B$6:$J$36,MATCH($C19,Global!$B$6:$B$36,0),FALSE)="No Impact"),HLOOKUP(RIGHT(AY$3,LEN(AY$3)-FIND(".",AY$3,FIND(".",AY$3)+1)),Gällivare!$B$6:$J$36,MATCH($C19,Gällivare!$B$6:$B$36,0),FALSE),"Global: "&amp;HLOOKUP(LEFT(AY$3,4),Global!$B$6:$J$36,MATCH($C19,Global!$B$6:$B$36,0),FALSE)&amp;CHAR(10)&amp;"Local Trend: "&amp;HLOOKUP(MID(AY$3,FIND(".",AY$3)+1,FIND(".",AY$3,FIND(".",AY$3)+1)-FIND(".",AY$3)-1),Gällivare!$B$6:$J$36,MATCH($C19,Gällivare!$B$6:$B$36,0),FALSE)&amp;CHAR(10)&amp;"Local Target: "&amp;HLOOKUP(RIGHT(AY$3,LEN(AY$3)-FIND(".",AY$3,FIND(".",AY$3)+1)),Gällivare!$B$6:$J$36,MATCH($C19,Gällivare!$B$6:$B$36,0),FALSE)))</f>
        <v>Low</v>
      </c>
      <c r="AZ19" s="177" t="str">
        <f>IF(AND(HLOOKUP(MID(AZ$3,FIND(".",AZ$3)+1,FIND(".",AZ$3,FIND(".",AZ$3)+1)-FIND(".",AZ$3)-1),Gällivare!$B$6:$J$36,MATCH($C19,Gällivare!$B$6:$B$36,0),FALSE)="No Impact",HLOOKUP(RIGHT(AZ$3,LEN(AZ$3)-FIND(".",AZ$3,FIND(".",AZ$3)+1)),Gällivare!$B$6:$J$36,MATCH($C19,Gällivare!$B$6:$B$36,0),FALSE)="No Impact"),HLOOKUP(LEFT(AZ$3,4),Global!$B$6:$J$36,MATCH($C19,Global!$B$6:$B$36,0),FALSE),IF(AND(HLOOKUP(MID(AZ$3,FIND(".",AZ$3)+1,FIND(".",AZ$3,FIND(".",AZ$3)+1)-FIND(".",AZ$3)-1),Gällivare!$B$6:$J$36,MATCH($C19,Gällivare!$B$6:$B$36,0),FALSE)="No Impact",HLOOKUP(LEFT(AZ$3,4),Global!$B$6:$J$36,MATCH($C19,Global!$B$6:$B$36,0),FALSE)="No Impact"),HLOOKUP(RIGHT(AZ$3,LEN(AZ$3)-FIND(".",AZ$3,FIND(".",AZ$3)+1)),Gällivare!$B$6:$J$36,MATCH($C19,Gällivare!$B$6:$B$36,0),FALSE),"Global: "&amp;HLOOKUP(LEFT(AZ$3,4),Global!$B$6:$J$36,MATCH($C19,Global!$B$6:$B$36,0),FALSE)&amp;CHAR(10)&amp;"Local Trend: "&amp;HLOOKUP(MID(AZ$3,FIND(".",AZ$3)+1,FIND(".",AZ$3,FIND(".",AZ$3)+1)-FIND(".",AZ$3)-1),Gällivare!$B$6:$J$36,MATCH($C19,Gällivare!$B$6:$B$36,0),FALSE)&amp;CHAR(10)&amp;"Local Target: "&amp;HLOOKUP(RIGHT(AZ$3,LEN(AZ$3)-FIND(".",AZ$3,FIND(".",AZ$3)+1)),Gällivare!$B$6:$J$36,MATCH($C19,Gällivare!$B$6:$B$36,0),FALSE)))</f>
        <v>Low</v>
      </c>
      <c r="BA19" s="177" t="str">
        <f>IF(AND(HLOOKUP(MID(BA$3,FIND(".",BA$3)+1,FIND(".",BA$3,FIND(".",BA$3)+1)-FIND(".",BA$3)-1),Gällivare!$B$6:$J$36,MATCH($C19,Gällivare!$B$6:$B$36,0),FALSE)="No Impact",HLOOKUP(RIGHT(BA$3,LEN(BA$3)-FIND(".",BA$3,FIND(".",BA$3)+1)),Gällivare!$B$6:$J$36,MATCH($C19,Gällivare!$B$6:$B$36,0),FALSE)="No Impact"),HLOOKUP(LEFT(BA$3,4),Global!$B$6:$J$36,MATCH($C19,Global!$B$6:$B$36,0),FALSE),IF(AND(HLOOKUP(MID(BA$3,FIND(".",BA$3)+1,FIND(".",BA$3,FIND(".",BA$3)+1)-FIND(".",BA$3)-1),Gällivare!$B$6:$J$36,MATCH($C19,Gällivare!$B$6:$B$36,0),FALSE)="No Impact",HLOOKUP(LEFT(BA$3,4),Global!$B$6:$J$36,MATCH($C19,Global!$B$6:$B$36,0),FALSE)="No Impact"),HLOOKUP(RIGHT(BA$3,LEN(BA$3)-FIND(".",BA$3,FIND(".",BA$3)+1)),Gällivare!$B$6:$J$36,MATCH($C19,Gällivare!$B$6:$B$36,0),FALSE),"Global: "&amp;HLOOKUP(LEFT(BA$3,4),Global!$B$6:$J$36,MATCH($C19,Global!$B$6:$B$36,0),FALSE)&amp;CHAR(10)&amp;"Local Trend: "&amp;HLOOKUP(MID(BA$3,FIND(".",BA$3)+1,FIND(".",BA$3,FIND(".",BA$3)+1)-FIND(".",BA$3)-1),Gällivare!$B$6:$J$36,MATCH($C19,Gällivare!$B$6:$B$36,0),FALSE)&amp;CHAR(10)&amp;"Local Target: "&amp;HLOOKUP(RIGHT(BA$3,LEN(BA$3)-FIND(".",BA$3,FIND(".",BA$3)+1)),Gällivare!$B$6:$J$36,MATCH($C19,Gällivare!$B$6:$B$36,0),FALSE)))</f>
        <v>Low</v>
      </c>
      <c r="BB19" s="177" t="str">
        <f>IF(AND(HLOOKUP(MID(BB$3,FIND(".",BB$3)+1,FIND(".",BB$3,FIND(".",BB$3)+1)-FIND(".",BB$3)-1),Gällivare!$B$6:$J$36,MATCH($C19,Gällivare!$B$6:$B$36,0),FALSE)="No Impact",HLOOKUP(RIGHT(BB$3,LEN(BB$3)-FIND(".",BB$3,FIND(".",BB$3)+1)),Gällivare!$B$6:$J$36,MATCH($C19,Gällivare!$B$6:$B$36,0),FALSE)="No Impact"),HLOOKUP(LEFT(BB$3,4),Global!$B$6:$J$36,MATCH($C19,Global!$B$6:$B$36,0),FALSE),IF(AND(HLOOKUP(MID(BB$3,FIND(".",BB$3)+1,FIND(".",BB$3,FIND(".",BB$3)+1)-FIND(".",BB$3)-1),Gällivare!$B$6:$J$36,MATCH($C19,Gällivare!$B$6:$B$36,0),FALSE)="No Impact",HLOOKUP(LEFT(BB$3,4),Global!$B$6:$J$36,MATCH($C19,Global!$B$6:$B$36,0),FALSE)="No Impact"),HLOOKUP(RIGHT(BB$3,LEN(BB$3)-FIND(".",BB$3,FIND(".",BB$3)+1)),Gällivare!$B$6:$J$36,MATCH($C19,Gällivare!$B$6:$B$36,0),FALSE),"Global: "&amp;HLOOKUP(LEFT(BB$3,4),Global!$B$6:$J$36,MATCH($C19,Global!$B$6:$B$36,0),FALSE)&amp;CHAR(10)&amp;"Local Trend: "&amp;HLOOKUP(MID(BB$3,FIND(".",BB$3)+1,FIND(".",BB$3,FIND(".",BB$3)+1)-FIND(".",BB$3)-1),Gällivare!$B$6:$J$36,MATCH($C19,Gällivare!$B$6:$B$36,0),FALSE)&amp;CHAR(10)&amp;"Local Target: "&amp;HLOOKUP(RIGHT(BB$3,LEN(BB$3)-FIND(".",BB$3,FIND(".",BB$3)+1)),Gällivare!$B$6:$J$36,MATCH($C19,Gällivare!$B$6:$B$36,0),FALSE)))</f>
        <v>Low</v>
      </c>
      <c r="BC19" s="177" t="str">
        <f>IF(AND(HLOOKUP(MID(BC$3,FIND(".",BC$3)+1,FIND(".",BC$3,FIND(".",BC$3)+1)-FIND(".",BC$3)-1),Gällivare!$B$6:$J$36,MATCH($C19,Gällivare!$B$6:$B$36,0),FALSE)="No Impact",HLOOKUP(RIGHT(BC$3,LEN(BC$3)-FIND(".",BC$3,FIND(".",BC$3)+1)),Gällivare!$B$6:$J$36,MATCH($C19,Gällivare!$B$6:$B$36,0),FALSE)="No Impact"),HLOOKUP(LEFT(BC$3,4),Global!$B$6:$J$36,MATCH($C19,Global!$B$6:$B$36,0),FALSE),IF(AND(HLOOKUP(MID(BC$3,FIND(".",BC$3)+1,FIND(".",BC$3,FIND(".",BC$3)+1)-FIND(".",BC$3)-1),Gällivare!$B$6:$J$36,MATCH($C19,Gällivare!$B$6:$B$36,0),FALSE)="No Impact",HLOOKUP(LEFT(BC$3,4),Global!$B$6:$J$36,MATCH($C19,Global!$B$6:$B$36,0),FALSE)="No Impact"),HLOOKUP(RIGHT(BC$3,LEN(BC$3)-FIND(".",BC$3,FIND(".",BC$3)+1)),Gällivare!$B$6:$J$36,MATCH($C19,Gällivare!$B$6:$B$36,0),FALSE),"Global: "&amp;HLOOKUP(LEFT(BC$3,4),Global!$B$6:$J$36,MATCH($C19,Global!$B$6:$B$36,0),FALSE)&amp;CHAR(10)&amp;"Local Trend: "&amp;HLOOKUP(MID(BC$3,FIND(".",BC$3)+1,FIND(".",BC$3,FIND(".",BC$3)+1)-FIND(".",BC$3)-1),Gällivare!$B$6:$J$36,MATCH($C19,Gällivare!$B$6:$B$36,0),FALSE)&amp;CHAR(10)&amp;"Local Target: "&amp;HLOOKUP(RIGHT(BC$3,LEN(BC$3)-FIND(".",BC$3,FIND(".",BC$3)+1)),Gällivare!$B$6:$J$36,MATCH($C19,Gällivare!$B$6:$B$36,0),FALSE)))</f>
        <v>Low</v>
      </c>
      <c r="BD19" s="177" t="str">
        <f>IF(AND(HLOOKUP(MID(BD$3,FIND(".",BD$3)+1,FIND(".",BD$3,FIND(".",BD$3)+1)-FIND(".",BD$3)-1),Gällivare!$B$6:$J$36,MATCH($C19,Gällivare!$B$6:$B$36,0),FALSE)="No Impact",HLOOKUP(RIGHT(BD$3,LEN(BD$3)-FIND(".",BD$3,FIND(".",BD$3)+1)),Gällivare!$B$6:$J$36,MATCH($C19,Gällivare!$B$6:$B$36,0),FALSE)="No Impact"),HLOOKUP(LEFT(BD$3,4),Global!$B$6:$J$36,MATCH($C19,Global!$B$6:$B$36,0),FALSE),IF(AND(HLOOKUP(MID(BD$3,FIND(".",BD$3)+1,FIND(".",BD$3,FIND(".",BD$3)+1)-FIND(".",BD$3)-1),Gällivare!$B$6:$J$36,MATCH($C19,Gällivare!$B$6:$B$36,0),FALSE)="No Impact",HLOOKUP(LEFT(BD$3,4),Global!$B$6:$J$36,MATCH($C19,Global!$B$6:$B$36,0),FALSE)="No Impact"),HLOOKUP(RIGHT(BD$3,LEN(BD$3)-FIND(".",BD$3,FIND(".",BD$3)+1)),Gällivare!$B$6:$J$36,MATCH($C19,Gällivare!$B$6:$B$36,0),FALSE),"Global: "&amp;HLOOKUP(LEFT(BD$3,4),Global!$B$6:$J$36,MATCH($C19,Global!$B$6:$B$36,0),FALSE)&amp;CHAR(10)&amp;"Local Trend: "&amp;HLOOKUP(MID(BD$3,FIND(".",BD$3)+1,FIND(".",BD$3,FIND(".",BD$3)+1)-FIND(".",BD$3)-1),Gällivare!$B$6:$J$36,MATCH($C19,Gällivare!$B$6:$B$36,0),FALSE)&amp;CHAR(10)&amp;"Local Target: "&amp;HLOOKUP(RIGHT(BD$3,LEN(BD$3)-FIND(".",BD$3,FIND(".",BD$3)+1)),Gällivare!$B$6:$J$36,MATCH($C19,Gällivare!$B$6:$B$36,0),FALSE)))</f>
        <v>Low</v>
      </c>
      <c r="BE19" s="177" t="str">
        <f>IF(AND(HLOOKUP(MID(BE$3,FIND(".",BE$3)+1,FIND(".",BE$3,FIND(".",BE$3)+1)-FIND(".",BE$3)-1),Gällivare!$B$6:$J$36,MATCH($C19,Gällivare!$B$6:$B$36,0),FALSE)="No Impact",HLOOKUP(RIGHT(BE$3,LEN(BE$3)-FIND(".",BE$3,FIND(".",BE$3)+1)),Gällivare!$B$6:$J$36,MATCH($C19,Gällivare!$B$6:$B$36,0),FALSE)="No Impact"),HLOOKUP(LEFT(BE$3,4),Global!$B$6:$J$36,MATCH($C19,Global!$B$6:$B$36,0),FALSE),IF(AND(HLOOKUP(MID(BE$3,FIND(".",BE$3)+1,FIND(".",BE$3,FIND(".",BE$3)+1)-FIND(".",BE$3)-1),Gällivare!$B$6:$J$36,MATCH($C19,Gällivare!$B$6:$B$36,0),FALSE)="No Impact",HLOOKUP(LEFT(BE$3,4),Global!$B$6:$J$36,MATCH($C19,Global!$B$6:$B$36,0),FALSE)="No Impact"),HLOOKUP(RIGHT(BE$3,LEN(BE$3)-FIND(".",BE$3,FIND(".",BE$3)+1)),Gällivare!$B$6:$J$36,MATCH($C19,Gällivare!$B$6:$B$36,0),FALSE),"Global: "&amp;HLOOKUP(LEFT(BE$3,4),Global!$B$6:$J$36,MATCH($C19,Global!$B$6:$B$36,0),FALSE)&amp;CHAR(10)&amp;"Local Trend: "&amp;HLOOKUP(MID(BE$3,FIND(".",BE$3)+1,FIND(".",BE$3,FIND(".",BE$3)+1)-FIND(".",BE$3)-1),Gällivare!$B$6:$J$36,MATCH($C19,Gällivare!$B$6:$B$36,0),FALSE)&amp;CHAR(10)&amp;"Local Target: "&amp;HLOOKUP(RIGHT(BE$3,LEN(BE$3)-FIND(".",BE$3,FIND(".",BE$3)+1)),Gällivare!$B$6:$J$36,MATCH($C19,Gällivare!$B$6:$B$36,0),FALSE)))</f>
        <v>HIgh</v>
      </c>
      <c r="BF19" s="177" t="str">
        <f>IF(AND(HLOOKUP(MID(BF$3,FIND(".",BF$3)+1,FIND(".",BF$3,FIND(".",BF$3)+1)-FIND(".",BF$3)-1),Gällivare!$B$6:$J$36,MATCH($C19,Gällivare!$B$6:$B$36,0),FALSE)="No Impact",HLOOKUP(RIGHT(BF$3,LEN(BF$3)-FIND(".",BF$3,FIND(".",BF$3)+1)),Gällivare!$B$6:$J$36,MATCH($C19,Gällivare!$B$6:$B$36,0),FALSE)="No Impact"),HLOOKUP(LEFT(BF$3,4),Global!$B$6:$J$36,MATCH($C19,Global!$B$6:$B$36,0),FALSE),IF(AND(HLOOKUP(MID(BF$3,FIND(".",BF$3)+1,FIND(".",BF$3,FIND(".",BF$3)+1)-FIND(".",BF$3)-1),Gällivare!$B$6:$J$36,MATCH($C19,Gällivare!$B$6:$B$36,0),FALSE)="No Impact",HLOOKUP(LEFT(BF$3,4),Global!$B$6:$J$36,MATCH($C19,Global!$B$6:$B$36,0),FALSE)="No Impact"),HLOOKUP(RIGHT(BF$3,LEN(BF$3)-FIND(".",BF$3,FIND(".",BF$3)+1)),Gällivare!$B$6:$J$36,MATCH($C19,Gällivare!$B$6:$B$36,0),FALSE),"Global: "&amp;HLOOKUP(LEFT(BF$3,4),Global!$B$6:$J$36,MATCH($C19,Global!$B$6:$B$36,0),FALSE)&amp;CHAR(10)&amp;"Local Trend: "&amp;HLOOKUP(MID(BF$3,FIND(".",BF$3)+1,FIND(".",BF$3,FIND(".",BF$3)+1)-FIND(".",BF$3)-1),Gällivare!$B$6:$J$36,MATCH($C19,Gällivare!$B$6:$B$36,0),FALSE)&amp;CHAR(10)&amp;"Local Target: "&amp;HLOOKUP(RIGHT(BF$3,LEN(BF$3)-FIND(".",BF$3,FIND(".",BF$3)+1)),Gällivare!$B$6:$J$36,MATCH($C19,Gällivare!$B$6:$B$36,0),FALSE)))</f>
        <v>HIgh</v>
      </c>
      <c r="BG19" s="177" t="str">
        <f>IF(AND(HLOOKUP(MID(BG$3,FIND(".",BG$3)+1,FIND(".",BG$3,FIND(".",BG$3)+1)-FIND(".",BG$3)-1),Gällivare!$B$6:$J$36,MATCH($C19,Gällivare!$B$6:$B$36,0),FALSE)="No Impact",HLOOKUP(RIGHT(BG$3,LEN(BG$3)-FIND(".",BG$3,FIND(".",BG$3)+1)),Gällivare!$B$6:$J$36,MATCH($C19,Gällivare!$B$6:$B$36,0),FALSE)="No Impact"),HLOOKUP(LEFT(BG$3,4),Global!$B$6:$J$36,MATCH($C19,Global!$B$6:$B$36,0),FALSE),IF(AND(HLOOKUP(MID(BG$3,FIND(".",BG$3)+1,FIND(".",BG$3,FIND(".",BG$3)+1)-FIND(".",BG$3)-1),Gällivare!$B$6:$J$36,MATCH($C19,Gällivare!$B$6:$B$36,0),FALSE)="No Impact",HLOOKUP(LEFT(BG$3,4),Global!$B$6:$J$36,MATCH($C19,Global!$B$6:$B$36,0),FALSE)="No Impact"),HLOOKUP(RIGHT(BG$3,LEN(BG$3)-FIND(".",BG$3,FIND(".",BG$3)+1)),Gällivare!$B$6:$J$36,MATCH($C19,Gällivare!$B$6:$B$36,0),FALSE),"Global: "&amp;HLOOKUP(LEFT(BG$3,4),Global!$B$6:$J$36,MATCH($C19,Global!$B$6:$B$36,0),FALSE)&amp;CHAR(10)&amp;"Local Trend: "&amp;HLOOKUP(MID(BG$3,FIND(".",BG$3)+1,FIND(".",BG$3,FIND(".",BG$3)+1)-FIND(".",BG$3)-1),Gällivare!$B$6:$J$36,MATCH($C19,Gällivare!$B$6:$B$36,0),FALSE)&amp;CHAR(10)&amp;"Local Target: "&amp;HLOOKUP(RIGHT(BG$3,LEN(BG$3)-FIND(".",BG$3,FIND(".",BG$3)+1)),Gällivare!$B$6:$J$36,MATCH($C19,Gällivare!$B$6:$B$36,0),FALSE)))</f>
        <v>HIgh</v>
      </c>
      <c r="BH19" s="177" t="str">
        <f>IF(AND(HLOOKUP(MID(BH$3,FIND(".",BH$3)+1,FIND(".",BH$3,FIND(".",BH$3)+1)-FIND(".",BH$3)-1),Gällivare!$B$6:$J$36,MATCH($C19,Gällivare!$B$6:$B$36,0),FALSE)="No Impact",HLOOKUP(RIGHT(BH$3,LEN(BH$3)-FIND(".",BH$3,FIND(".",BH$3)+1)),Gällivare!$B$6:$J$36,MATCH($C19,Gällivare!$B$6:$B$36,0),FALSE)="No Impact"),HLOOKUP(LEFT(BH$3,4),Global!$B$6:$J$36,MATCH($C19,Global!$B$6:$B$36,0),FALSE),IF(AND(HLOOKUP(MID(BH$3,FIND(".",BH$3)+1,FIND(".",BH$3,FIND(".",BH$3)+1)-FIND(".",BH$3)-1),Gällivare!$B$6:$J$36,MATCH($C19,Gällivare!$B$6:$B$36,0),FALSE)="No Impact",HLOOKUP(LEFT(BH$3,4),Global!$B$6:$J$36,MATCH($C19,Global!$B$6:$B$36,0),FALSE)="No Impact"),HLOOKUP(RIGHT(BH$3,LEN(BH$3)-FIND(".",BH$3,FIND(".",BH$3)+1)),Gällivare!$B$6:$J$36,MATCH($C19,Gällivare!$B$6:$B$36,0),FALSE),"Global: "&amp;HLOOKUP(LEFT(BH$3,4),Global!$B$6:$J$36,MATCH($C19,Global!$B$6:$B$36,0),FALSE)&amp;CHAR(10)&amp;"Local Trend: "&amp;HLOOKUP(MID(BH$3,FIND(".",BH$3)+1,FIND(".",BH$3,FIND(".",BH$3)+1)-FIND(".",BH$3)-1),Gällivare!$B$6:$J$36,MATCH($C19,Gällivare!$B$6:$B$36,0),FALSE)&amp;CHAR(10)&amp;"Local Target: "&amp;HLOOKUP(RIGHT(BH$3,LEN(BH$3)-FIND(".",BH$3,FIND(".",BH$3)+1)),Gällivare!$B$6:$J$36,MATCH($C19,Gällivare!$B$6:$B$36,0),FALSE)))</f>
        <v>HIgh</v>
      </c>
      <c r="BI19" s="177" t="str">
        <f>IF(AND(HLOOKUP(MID(BI$3,FIND(".",BI$3)+1,FIND(".",BI$3,FIND(".",BI$3)+1)-FIND(".",BI$3)-1),Gällivare!$B$6:$J$36,MATCH($C19,Gällivare!$B$6:$B$36,0),FALSE)="No Impact",HLOOKUP(RIGHT(BI$3,LEN(BI$3)-FIND(".",BI$3,FIND(".",BI$3)+1)),Gällivare!$B$6:$J$36,MATCH($C19,Gällivare!$B$6:$B$36,0),FALSE)="No Impact"),HLOOKUP(LEFT(BI$3,4),Global!$B$6:$J$36,MATCH($C19,Global!$B$6:$B$36,0),FALSE),IF(AND(HLOOKUP(MID(BI$3,FIND(".",BI$3)+1,FIND(".",BI$3,FIND(".",BI$3)+1)-FIND(".",BI$3)-1),Gällivare!$B$6:$J$36,MATCH($C19,Gällivare!$B$6:$B$36,0),FALSE)="No Impact",HLOOKUP(LEFT(BI$3,4),Global!$B$6:$J$36,MATCH($C19,Global!$B$6:$B$36,0),FALSE)="No Impact"),HLOOKUP(RIGHT(BI$3,LEN(BI$3)-FIND(".",BI$3,FIND(".",BI$3)+1)),Gällivare!$B$6:$J$36,MATCH($C19,Gällivare!$B$6:$B$36,0),FALSE),"Global: "&amp;HLOOKUP(LEFT(BI$3,4),Global!$B$6:$J$36,MATCH($C19,Global!$B$6:$B$36,0),FALSE)&amp;CHAR(10)&amp;"Local Trend: "&amp;HLOOKUP(MID(BI$3,FIND(".",BI$3)+1,FIND(".",BI$3,FIND(".",BI$3)+1)-FIND(".",BI$3)-1),Gällivare!$B$6:$J$36,MATCH($C19,Gällivare!$B$6:$B$36,0),FALSE)&amp;CHAR(10)&amp;"Local Target: "&amp;HLOOKUP(RIGHT(BI$3,LEN(BI$3)-FIND(".",BI$3,FIND(".",BI$3)+1)),Gällivare!$B$6:$J$36,MATCH($C19,Gällivare!$B$6:$B$36,0),FALSE)))</f>
        <v>HIgh</v>
      </c>
      <c r="BJ19" s="177" t="str">
        <f>IF(AND(HLOOKUP(MID(BJ$3,FIND(".",BJ$3)+1,FIND(".",BJ$3,FIND(".",BJ$3)+1)-FIND(".",BJ$3)-1),Gällivare!$B$6:$J$36,MATCH($C19,Gällivare!$B$6:$B$36,0),FALSE)="No Impact",HLOOKUP(RIGHT(BJ$3,LEN(BJ$3)-FIND(".",BJ$3,FIND(".",BJ$3)+1)),Gällivare!$B$6:$J$36,MATCH($C19,Gällivare!$B$6:$B$36,0),FALSE)="No Impact"),HLOOKUP(LEFT(BJ$3,4),Global!$B$6:$J$36,MATCH($C19,Global!$B$6:$B$36,0),FALSE),IF(AND(HLOOKUP(MID(BJ$3,FIND(".",BJ$3)+1,FIND(".",BJ$3,FIND(".",BJ$3)+1)-FIND(".",BJ$3)-1),Gällivare!$B$6:$J$36,MATCH($C19,Gällivare!$B$6:$B$36,0),FALSE)="No Impact",HLOOKUP(LEFT(BJ$3,4),Global!$B$6:$J$36,MATCH($C19,Global!$B$6:$B$36,0),FALSE)="No Impact"),HLOOKUP(RIGHT(BJ$3,LEN(BJ$3)-FIND(".",BJ$3,FIND(".",BJ$3)+1)),Gällivare!$B$6:$J$36,MATCH($C19,Gällivare!$B$6:$B$36,0),FALSE),"Global: "&amp;HLOOKUP(LEFT(BJ$3,4),Global!$B$6:$J$36,MATCH($C19,Global!$B$6:$B$36,0),FALSE)&amp;CHAR(10)&amp;"Local Trend: "&amp;HLOOKUP(MID(BJ$3,FIND(".",BJ$3)+1,FIND(".",BJ$3,FIND(".",BJ$3)+1)-FIND(".",BJ$3)-1),Gällivare!$B$6:$J$36,MATCH($C19,Gällivare!$B$6:$B$36,0),FALSE)&amp;CHAR(10)&amp;"Local Target: "&amp;HLOOKUP(RIGHT(BJ$3,LEN(BJ$3)-FIND(".",BJ$3,FIND(".",BJ$3)+1)),Gällivare!$B$6:$J$36,MATCH($C19,Gällivare!$B$6:$B$36,0),FALSE)))</f>
        <v>HIgh</v>
      </c>
      <c r="BK19" s="177" t="str">
        <f>IF(AND(HLOOKUP(MID(BK$3,FIND(".",BK$3)+1,FIND(".",BK$3,FIND(".",BK$3)+1)-FIND(".",BK$3)-1),Gällivare!$B$6:$J$36,MATCH($C19,Gällivare!$B$6:$B$36,0),FALSE)="No Impact",HLOOKUP(RIGHT(BK$3,LEN(BK$3)-FIND(".",BK$3,FIND(".",BK$3)+1)),Gällivare!$B$6:$J$36,MATCH($C19,Gällivare!$B$6:$B$36,0),FALSE)="No Impact"),HLOOKUP(LEFT(BK$3,4),Global!$B$6:$J$36,MATCH($C19,Global!$B$6:$B$36,0),FALSE),IF(AND(HLOOKUP(MID(BK$3,FIND(".",BK$3)+1,FIND(".",BK$3,FIND(".",BK$3)+1)-FIND(".",BK$3)-1),Gällivare!$B$6:$J$36,MATCH($C19,Gällivare!$B$6:$B$36,0),FALSE)="No Impact",HLOOKUP(LEFT(BK$3,4),Global!$B$6:$J$36,MATCH($C19,Global!$B$6:$B$36,0),FALSE)="No Impact"),HLOOKUP(RIGHT(BK$3,LEN(BK$3)-FIND(".",BK$3,FIND(".",BK$3)+1)),Gällivare!$B$6:$J$36,MATCH($C19,Gällivare!$B$6:$B$36,0),FALSE),"Global: "&amp;HLOOKUP(LEFT(BK$3,4),Global!$B$6:$J$36,MATCH($C19,Global!$B$6:$B$36,0),FALSE)&amp;CHAR(10)&amp;"Local Trend: "&amp;HLOOKUP(MID(BK$3,FIND(".",BK$3)+1,FIND(".",BK$3,FIND(".",BK$3)+1)-FIND(".",BK$3)-1),Gällivare!$B$6:$J$36,MATCH($C19,Gällivare!$B$6:$B$36,0),FALSE)&amp;CHAR(10)&amp;"Local Target: "&amp;HLOOKUP(RIGHT(BK$3,LEN(BK$3)-FIND(".",BK$3,FIND(".",BK$3)+1)),Gällivare!$B$6:$J$36,MATCH($C19,Gällivare!$B$6:$B$36,0),FALSE)))</f>
        <v>Low</v>
      </c>
      <c r="BL19" s="177" t="str">
        <f>IF(AND(HLOOKUP(MID(BL$3,FIND(".",BL$3)+1,FIND(".",BL$3,FIND(".",BL$3)+1)-FIND(".",BL$3)-1),Gällivare!$B$6:$J$36,MATCH($C19,Gällivare!$B$6:$B$36,0),FALSE)="No Impact",HLOOKUP(RIGHT(BL$3,LEN(BL$3)-FIND(".",BL$3,FIND(".",BL$3)+1)),Gällivare!$B$6:$J$36,MATCH($C19,Gällivare!$B$6:$B$36,0),FALSE)="No Impact"),HLOOKUP(LEFT(BL$3,4),Global!$B$6:$J$36,MATCH($C19,Global!$B$6:$B$36,0),FALSE),IF(AND(HLOOKUP(MID(BL$3,FIND(".",BL$3)+1,FIND(".",BL$3,FIND(".",BL$3)+1)-FIND(".",BL$3)-1),Gällivare!$B$6:$J$36,MATCH($C19,Gällivare!$B$6:$B$36,0),FALSE)="No Impact",HLOOKUP(LEFT(BL$3,4),Global!$B$6:$J$36,MATCH($C19,Global!$B$6:$B$36,0),FALSE)="No Impact"),HLOOKUP(RIGHT(BL$3,LEN(BL$3)-FIND(".",BL$3,FIND(".",BL$3)+1)),Gällivare!$B$6:$J$36,MATCH($C19,Gällivare!$B$6:$B$36,0),FALSE),"Global: "&amp;HLOOKUP(LEFT(BL$3,4),Global!$B$6:$J$36,MATCH($C19,Global!$B$6:$B$36,0),FALSE)&amp;CHAR(10)&amp;"Local Trend: "&amp;HLOOKUP(MID(BL$3,FIND(".",BL$3)+1,FIND(".",BL$3,FIND(".",BL$3)+1)-FIND(".",BL$3)-1),Gällivare!$B$6:$J$36,MATCH($C19,Gällivare!$B$6:$B$36,0),FALSE)&amp;CHAR(10)&amp;"Local Target: "&amp;HLOOKUP(RIGHT(BL$3,LEN(BL$3)-FIND(".",BL$3,FIND(".",BL$3)+1)),Gällivare!$B$6:$J$36,MATCH($C19,Gällivare!$B$6:$B$36,0),FALSE)))</f>
        <v>Low</v>
      </c>
      <c r="BM19" s="177" t="str">
        <f>IF(AND(HLOOKUP(MID(BM$3,FIND(".",BM$3)+1,FIND(".",BM$3,FIND(".",BM$3)+1)-FIND(".",BM$3)-1),Gällivare!$B$6:$J$36,MATCH($C19,Gällivare!$B$6:$B$36,0),FALSE)="No Impact",HLOOKUP(RIGHT(BM$3,LEN(BM$3)-FIND(".",BM$3,FIND(".",BM$3)+1)),Gällivare!$B$6:$J$36,MATCH($C19,Gällivare!$B$6:$B$36,0),FALSE)="No Impact"),HLOOKUP(LEFT(BM$3,4),Global!$B$6:$J$36,MATCH($C19,Global!$B$6:$B$36,0),FALSE),IF(AND(HLOOKUP(MID(BM$3,FIND(".",BM$3)+1,FIND(".",BM$3,FIND(".",BM$3)+1)-FIND(".",BM$3)-1),Gällivare!$B$6:$J$36,MATCH($C19,Gällivare!$B$6:$B$36,0),FALSE)="No Impact",HLOOKUP(LEFT(BM$3,4),Global!$B$6:$J$36,MATCH($C19,Global!$B$6:$B$36,0),FALSE)="No Impact"),HLOOKUP(RIGHT(BM$3,LEN(BM$3)-FIND(".",BM$3,FIND(".",BM$3)+1)),Gällivare!$B$6:$J$36,MATCH($C19,Gällivare!$B$6:$B$36,0),FALSE),"Global: "&amp;HLOOKUP(LEFT(BM$3,4),Global!$B$6:$J$36,MATCH($C19,Global!$B$6:$B$36,0),FALSE)&amp;CHAR(10)&amp;"Local Trend: "&amp;HLOOKUP(MID(BM$3,FIND(".",BM$3)+1,FIND(".",BM$3,FIND(".",BM$3)+1)-FIND(".",BM$3)-1),Gällivare!$B$6:$J$36,MATCH($C19,Gällivare!$B$6:$B$36,0),FALSE)&amp;CHAR(10)&amp;"Local Target: "&amp;HLOOKUP(RIGHT(BM$3,LEN(BM$3)-FIND(".",BM$3,FIND(".",BM$3)+1)),Gällivare!$B$6:$J$36,MATCH($C19,Gällivare!$B$6:$B$36,0),FALSE)))</f>
        <v>Low</v>
      </c>
      <c r="BN19" s="177" t="str">
        <f>IF(AND(HLOOKUP(MID(BN$3,FIND(".",BN$3)+1,FIND(".",BN$3,FIND(".",BN$3)+1)-FIND(".",BN$3)-1),Gällivare!$B$6:$J$36,MATCH($C19,Gällivare!$B$6:$B$36,0),FALSE)="No Impact",HLOOKUP(RIGHT(BN$3,LEN(BN$3)-FIND(".",BN$3,FIND(".",BN$3)+1)),Gällivare!$B$6:$J$36,MATCH($C19,Gällivare!$B$6:$B$36,0),FALSE)="No Impact"),HLOOKUP(LEFT(BN$3,4),Global!$B$6:$J$36,MATCH($C19,Global!$B$6:$B$36,0),FALSE),IF(AND(HLOOKUP(MID(BN$3,FIND(".",BN$3)+1,FIND(".",BN$3,FIND(".",BN$3)+1)-FIND(".",BN$3)-1),Gällivare!$B$6:$J$36,MATCH($C19,Gällivare!$B$6:$B$36,0),FALSE)="No Impact",HLOOKUP(LEFT(BN$3,4),Global!$B$6:$J$36,MATCH($C19,Global!$B$6:$B$36,0),FALSE)="No Impact"),HLOOKUP(RIGHT(BN$3,LEN(BN$3)-FIND(".",BN$3,FIND(".",BN$3)+1)),Gällivare!$B$6:$J$36,MATCH($C19,Gällivare!$B$6:$B$36,0),FALSE),"Global: "&amp;HLOOKUP(LEFT(BN$3,4),Global!$B$6:$J$36,MATCH($C19,Global!$B$6:$B$36,0),FALSE)&amp;CHAR(10)&amp;"Local Trend: "&amp;HLOOKUP(MID(BN$3,FIND(".",BN$3)+1,FIND(".",BN$3,FIND(".",BN$3)+1)-FIND(".",BN$3)-1),Gällivare!$B$6:$J$36,MATCH($C19,Gällivare!$B$6:$B$36,0),FALSE)&amp;CHAR(10)&amp;"Local Target: "&amp;HLOOKUP(RIGHT(BN$3,LEN(BN$3)-FIND(".",BN$3,FIND(".",BN$3)+1)),Gällivare!$B$6:$J$36,MATCH($C19,Gällivare!$B$6:$B$36,0),FALSE)))</f>
        <v>Low</v>
      </c>
      <c r="BO19" s="177" t="str">
        <f>IF(AND(HLOOKUP(MID(BO$3,FIND(".",BO$3)+1,FIND(".",BO$3,FIND(".",BO$3)+1)-FIND(".",BO$3)-1),Gällivare!$B$6:$J$36,MATCH($C19,Gällivare!$B$6:$B$36,0),FALSE)="No Impact",HLOOKUP(RIGHT(BO$3,LEN(BO$3)-FIND(".",BO$3,FIND(".",BO$3)+1)),Gällivare!$B$6:$J$36,MATCH($C19,Gällivare!$B$6:$B$36,0),FALSE)="No Impact"),HLOOKUP(LEFT(BO$3,4),Global!$B$6:$J$36,MATCH($C19,Global!$B$6:$B$36,0),FALSE),IF(AND(HLOOKUP(MID(BO$3,FIND(".",BO$3)+1,FIND(".",BO$3,FIND(".",BO$3)+1)-FIND(".",BO$3)-1),Gällivare!$B$6:$J$36,MATCH($C19,Gällivare!$B$6:$B$36,0),FALSE)="No Impact",HLOOKUP(LEFT(BO$3,4),Global!$B$6:$J$36,MATCH($C19,Global!$B$6:$B$36,0),FALSE)="No Impact"),HLOOKUP(RIGHT(BO$3,LEN(BO$3)-FIND(".",BO$3,FIND(".",BO$3)+1)),Gällivare!$B$6:$J$36,MATCH($C19,Gällivare!$B$6:$B$36,0),FALSE),"Global: "&amp;HLOOKUP(LEFT(BO$3,4),Global!$B$6:$J$36,MATCH($C19,Global!$B$6:$B$36,0),FALSE)&amp;CHAR(10)&amp;"Local Trend: "&amp;HLOOKUP(MID(BO$3,FIND(".",BO$3)+1,FIND(".",BO$3,FIND(".",BO$3)+1)-FIND(".",BO$3)-1),Gällivare!$B$6:$J$36,MATCH($C19,Gällivare!$B$6:$B$36,0),FALSE)&amp;CHAR(10)&amp;"Local Target: "&amp;HLOOKUP(RIGHT(BO$3,LEN(BO$3)-FIND(".",BO$3,FIND(".",BO$3)+1)),Gällivare!$B$6:$J$36,MATCH($C19,Gällivare!$B$6:$B$36,0),FALSE)))</f>
        <v>Low</v>
      </c>
      <c r="BP19" s="177" t="str">
        <f>IF(AND(HLOOKUP(MID(BP$3,FIND(".",BP$3)+1,FIND(".",BP$3,FIND(".",BP$3)+1)-FIND(".",BP$3)-1),Gällivare!$B$6:$J$36,MATCH($C19,Gällivare!$B$6:$B$36,0),FALSE)="No Impact",HLOOKUP(RIGHT(BP$3,LEN(BP$3)-FIND(".",BP$3,FIND(".",BP$3)+1)),Gällivare!$B$6:$J$36,MATCH($C19,Gällivare!$B$6:$B$36,0),FALSE)="No Impact"),HLOOKUP(LEFT(BP$3,4),Global!$B$6:$J$36,MATCH($C19,Global!$B$6:$B$36,0),FALSE),IF(AND(HLOOKUP(MID(BP$3,FIND(".",BP$3)+1,FIND(".",BP$3,FIND(".",BP$3)+1)-FIND(".",BP$3)-1),Gällivare!$B$6:$J$36,MATCH($C19,Gällivare!$B$6:$B$36,0),FALSE)="No Impact",HLOOKUP(LEFT(BP$3,4),Global!$B$6:$J$36,MATCH($C19,Global!$B$6:$B$36,0),FALSE)="No Impact"),HLOOKUP(RIGHT(BP$3,LEN(BP$3)-FIND(".",BP$3,FIND(".",BP$3)+1)),Gällivare!$B$6:$J$36,MATCH($C19,Gällivare!$B$6:$B$36,0),FALSE),"Global: "&amp;HLOOKUP(LEFT(BP$3,4),Global!$B$6:$J$36,MATCH($C19,Global!$B$6:$B$36,0),FALSE)&amp;CHAR(10)&amp;"Local Trend: "&amp;HLOOKUP(MID(BP$3,FIND(".",BP$3)+1,FIND(".",BP$3,FIND(".",BP$3)+1)-FIND(".",BP$3)-1),Gällivare!$B$6:$J$36,MATCH($C19,Gällivare!$B$6:$B$36,0),FALSE)&amp;CHAR(10)&amp;"Local Target: "&amp;HLOOKUP(RIGHT(BP$3,LEN(BP$3)-FIND(".",BP$3,FIND(".",BP$3)+1)),Gällivare!$B$6:$J$36,MATCH($C19,Gällivare!$B$6:$B$36,0),FALSE)))</f>
        <v>Low</v>
      </c>
      <c r="BT19" s="178"/>
      <c r="BU19" s="181"/>
      <c r="BV19" s="181"/>
    </row>
    <row r="20" spans="2:74" ht="43.2" customHeight="1" x14ac:dyDescent="0.3">
      <c r="B20" s="246"/>
      <c r="C20" s="148" t="s">
        <v>133</v>
      </c>
      <c r="D20" s="247"/>
      <c r="E20" s="175" t="s">
        <v>192</v>
      </c>
      <c r="F20" s="176" t="s">
        <v>165</v>
      </c>
      <c r="G20" s="176"/>
      <c r="H20" s="175" t="str">
        <f t="shared" si="1"/>
        <v>High</v>
      </c>
      <c r="I20" s="175" t="str">
        <f t="shared" si="1"/>
        <v>High</v>
      </c>
      <c r="J20" s="175" t="str">
        <f t="shared" si="1"/>
        <v>High</v>
      </c>
      <c r="K20" s="175" t="str">
        <f t="shared" si="1"/>
        <v>High</v>
      </c>
      <c r="L20" s="175" t="str">
        <f t="shared" si="1"/>
        <v>High</v>
      </c>
      <c r="M20" s="175" t="str">
        <f t="shared" si="1"/>
        <v>High</v>
      </c>
      <c r="N20" s="175" t="str">
        <f t="shared" si="1"/>
        <v>Medium</v>
      </c>
      <c r="O20" s="175" t="str">
        <f t="shared" si="1"/>
        <v>Medium</v>
      </c>
      <c r="P20" s="175" t="str">
        <f t="shared" si="1"/>
        <v>Medium</v>
      </c>
      <c r="Q20" s="175" t="str">
        <f t="shared" si="1"/>
        <v>Medium</v>
      </c>
      <c r="R20" s="175" t="str">
        <f t="shared" si="1"/>
        <v>Medium</v>
      </c>
      <c r="S20" s="175" t="str">
        <f t="shared" si="1"/>
        <v>Medium</v>
      </c>
      <c r="T20" s="175" t="str">
        <f t="shared" si="1"/>
        <v>Low</v>
      </c>
      <c r="U20" s="175" t="str">
        <f t="shared" si="1"/>
        <v>Low</v>
      </c>
      <c r="V20" s="175" t="str">
        <f t="shared" si="1"/>
        <v>Low</v>
      </c>
      <c r="W20" s="175" t="str">
        <f t="shared" si="1"/>
        <v>Low</v>
      </c>
      <c r="X20" s="175" t="str">
        <f t="shared" si="5"/>
        <v>Low</v>
      </c>
      <c r="Y20" s="175" t="str">
        <f t="shared" si="5"/>
        <v>Low</v>
      </c>
      <c r="Z20" s="175" t="str">
        <f t="shared" si="5"/>
        <v>HIgh</v>
      </c>
      <c r="AA20" s="175" t="str">
        <f t="shared" si="5"/>
        <v>HIgh</v>
      </c>
      <c r="AB20" s="175" t="str">
        <f t="shared" si="5"/>
        <v>HIgh</v>
      </c>
      <c r="AC20" s="175" t="str">
        <f t="shared" si="5"/>
        <v>HIgh</v>
      </c>
      <c r="AD20" s="175" t="str">
        <f t="shared" si="5"/>
        <v>HIgh</v>
      </c>
      <c r="AE20" s="175" t="str">
        <f t="shared" si="5"/>
        <v>HIgh</v>
      </c>
      <c r="AF20" s="175" t="str">
        <f t="shared" si="4"/>
        <v>Low</v>
      </c>
      <c r="AG20" s="175" t="str">
        <f t="shared" si="4"/>
        <v>Low</v>
      </c>
      <c r="AH20" s="175" t="str">
        <f t="shared" si="4"/>
        <v>Low</v>
      </c>
      <c r="AI20" s="175" t="str">
        <f t="shared" si="4"/>
        <v>Low</v>
      </c>
      <c r="AJ20" s="175" t="str">
        <f t="shared" si="4"/>
        <v>Low</v>
      </c>
      <c r="AK20" s="175" t="str">
        <f t="shared" si="4"/>
        <v>Low</v>
      </c>
      <c r="AL20" s="176"/>
      <c r="AM20" s="177" t="str">
        <f>IF(AND(HLOOKUP(MID(AM$3,FIND(".",AM$3)+1,FIND(".",AM$3,FIND(".",AM$3)+1)-FIND(".",AM$3)-1),Gällivare!$B$6:$J$36,MATCH($C20,Gällivare!$B$6:$B$36,0),FALSE)="No Impact",HLOOKUP(RIGHT(AM$3,LEN(AM$3)-FIND(".",AM$3,FIND(".",AM$3)+1)),Gällivare!$B$6:$J$36,MATCH($C20,Gällivare!$B$6:$B$36,0),FALSE)="No Impact"),HLOOKUP(LEFT(AM$3,4),Global!$B$6:$J$36,MATCH($C20,Global!$B$6:$B$36,0),FALSE),IF(AND(HLOOKUP(MID(AM$3,FIND(".",AM$3)+1,FIND(".",AM$3,FIND(".",AM$3)+1)-FIND(".",AM$3)-1),Gällivare!$B$6:$J$36,MATCH($C20,Gällivare!$B$6:$B$36,0),FALSE)="No Impact",HLOOKUP(LEFT(AM$3,4),Global!$B$6:$J$36,MATCH($C20,Global!$B$6:$B$36,0),FALSE)="No Impact"),HLOOKUP(RIGHT(AM$3,LEN(AM$3)-FIND(".",AM$3,FIND(".",AM$3)+1)),Gällivare!$B$6:$J$36,MATCH($C20,Gällivare!$B$6:$B$36,0),FALSE),"Global: "&amp;HLOOKUP(LEFT(AM$3,4),Global!$B$6:$J$36,MATCH($C20,Global!$B$6:$B$36,0),FALSE)&amp;CHAR(10)&amp;"Local Trend: "&amp;HLOOKUP(MID(AM$3,FIND(".",AM$3)+1,FIND(".",AM$3,FIND(".",AM$3)+1)-FIND(".",AM$3)-1),Gällivare!$B$6:$J$36,MATCH($C20,Gällivare!$B$6:$B$36,0),FALSE)&amp;CHAR(10)&amp;"Local Target: "&amp;HLOOKUP(RIGHT(AM$3,LEN(AM$3)-FIND(".",AM$3,FIND(".",AM$3)+1)),Gällivare!$B$6:$J$36,MATCH($C20,Gällivare!$B$6:$B$36,0),FALSE)))</f>
        <v>High</v>
      </c>
      <c r="AN20" s="177" t="str">
        <f>IF(AND(HLOOKUP(MID(AN$3,FIND(".",AN$3)+1,FIND(".",AN$3,FIND(".",AN$3)+1)-FIND(".",AN$3)-1),Gällivare!$B$6:$J$36,MATCH($C20,Gällivare!$B$6:$B$36,0),FALSE)="No Impact",HLOOKUP(RIGHT(AN$3,LEN(AN$3)-FIND(".",AN$3,FIND(".",AN$3)+1)),Gällivare!$B$6:$J$36,MATCH($C20,Gällivare!$B$6:$B$36,0),FALSE)="No Impact"),HLOOKUP(LEFT(AN$3,4),Global!$B$6:$J$36,MATCH($C20,Global!$B$6:$B$36,0),FALSE),IF(AND(HLOOKUP(MID(AN$3,FIND(".",AN$3)+1,FIND(".",AN$3,FIND(".",AN$3)+1)-FIND(".",AN$3)-1),Gällivare!$B$6:$J$36,MATCH($C20,Gällivare!$B$6:$B$36,0),FALSE)="No Impact",HLOOKUP(LEFT(AN$3,4),Global!$B$6:$J$36,MATCH($C20,Global!$B$6:$B$36,0),FALSE)="No Impact"),HLOOKUP(RIGHT(AN$3,LEN(AN$3)-FIND(".",AN$3,FIND(".",AN$3)+1)),Gällivare!$B$6:$J$36,MATCH($C20,Gällivare!$B$6:$B$36,0),FALSE),"Global: "&amp;HLOOKUP(LEFT(AN$3,4),Global!$B$6:$J$36,MATCH($C20,Global!$B$6:$B$36,0),FALSE)&amp;CHAR(10)&amp;"Local Trend: "&amp;HLOOKUP(MID(AN$3,FIND(".",AN$3)+1,FIND(".",AN$3,FIND(".",AN$3)+1)-FIND(".",AN$3)-1),Gällivare!$B$6:$J$36,MATCH($C20,Gällivare!$B$6:$B$36,0),FALSE)&amp;CHAR(10)&amp;"Local Target: "&amp;HLOOKUP(RIGHT(AN$3,LEN(AN$3)-FIND(".",AN$3,FIND(".",AN$3)+1)),Gällivare!$B$6:$J$36,MATCH($C20,Gällivare!$B$6:$B$36,0),FALSE)))</f>
        <v>High</v>
      </c>
      <c r="AO20" s="177" t="str">
        <f>IF(AND(HLOOKUP(MID(AO$3,FIND(".",AO$3)+1,FIND(".",AO$3,FIND(".",AO$3)+1)-FIND(".",AO$3)-1),Gällivare!$B$6:$J$36,MATCH($C20,Gällivare!$B$6:$B$36,0),FALSE)="No Impact",HLOOKUP(RIGHT(AO$3,LEN(AO$3)-FIND(".",AO$3,FIND(".",AO$3)+1)),Gällivare!$B$6:$J$36,MATCH($C20,Gällivare!$B$6:$B$36,0),FALSE)="No Impact"),HLOOKUP(LEFT(AO$3,4),Global!$B$6:$J$36,MATCH($C20,Global!$B$6:$B$36,0),FALSE),IF(AND(HLOOKUP(MID(AO$3,FIND(".",AO$3)+1,FIND(".",AO$3,FIND(".",AO$3)+1)-FIND(".",AO$3)-1),Gällivare!$B$6:$J$36,MATCH($C20,Gällivare!$B$6:$B$36,0),FALSE)="No Impact",HLOOKUP(LEFT(AO$3,4),Global!$B$6:$J$36,MATCH($C20,Global!$B$6:$B$36,0),FALSE)="No Impact"),HLOOKUP(RIGHT(AO$3,LEN(AO$3)-FIND(".",AO$3,FIND(".",AO$3)+1)),Gällivare!$B$6:$J$36,MATCH($C20,Gällivare!$B$6:$B$36,0),FALSE),"Global: "&amp;HLOOKUP(LEFT(AO$3,4),Global!$B$6:$J$36,MATCH($C20,Global!$B$6:$B$36,0),FALSE)&amp;CHAR(10)&amp;"Local Trend: "&amp;HLOOKUP(MID(AO$3,FIND(".",AO$3)+1,FIND(".",AO$3,FIND(".",AO$3)+1)-FIND(".",AO$3)-1),Gällivare!$B$6:$J$36,MATCH($C20,Gällivare!$B$6:$B$36,0),FALSE)&amp;CHAR(10)&amp;"Local Target: "&amp;HLOOKUP(RIGHT(AO$3,LEN(AO$3)-FIND(".",AO$3,FIND(".",AO$3)+1)),Gällivare!$B$6:$J$36,MATCH($C20,Gällivare!$B$6:$B$36,0),FALSE)))</f>
        <v>High</v>
      </c>
      <c r="AP20" s="177" t="str">
        <f>IF(AND(HLOOKUP(MID(AP$3,FIND(".",AP$3)+1,FIND(".",AP$3,FIND(".",AP$3)+1)-FIND(".",AP$3)-1),Gällivare!$B$6:$J$36,MATCH($C20,Gällivare!$B$6:$B$36,0),FALSE)="No Impact",HLOOKUP(RIGHT(AP$3,LEN(AP$3)-FIND(".",AP$3,FIND(".",AP$3)+1)),Gällivare!$B$6:$J$36,MATCH($C20,Gällivare!$B$6:$B$36,0),FALSE)="No Impact"),HLOOKUP(LEFT(AP$3,4),Global!$B$6:$J$36,MATCH($C20,Global!$B$6:$B$36,0),FALSE),IF(AND(HLOOKUP(MID(AP$3,FIND(".",AP$3)+1,FIND(".",AP$3,FIND(".",AP$3)+1)-FIND(".",AP$3)-1),Gällivare!$B$6:$J$36,MATCH($C20,Gällivare!$B$6:$B$36,0),FALSE)="No Impact",HLOOKUP(LEFT(AP$3,4),Global!$B$6:$J$36,MATCH($C20,Global!$B$6:$B$36,0),FALSE)="No Impact"),HLOOKUP(RIGHT(AP$3,LEN(AP$3)-FIND(".",AP$3,FIND(".",AP$3)+1)),Gällivare!$B$6:$J$36,MATCH($C20,Gällivare!$B$6:$B$36,0),FALSE),"Global: "&amp;HLOOKUP(LEFT(AP$3,4),Global!$B$6:$J$36,MATCH($C20,Global!$B$6:$B$36,0),FALSE)&amp;CHAR(10)&amp;"Local Trend: "&amp;HLOOKUP(MID(AP$3,FIND(".",AP$3)+1,FIND(".",AP$3,FIND(".",AP$3)+1)-FIND(".",AP$3)-1),Gällivare!$B$6:$J$36,MATCH($C20,Gällivare!$B$6:$B$36,0),FALSE)&amp;CHAR(10)&amp;"Local Target: "&amp;HLOOKUP(RIGHT(AP$3,LEN(AP$3)-FIND(".",AP$3,FIND(".",AP$3)+1)),Gällivare!$B$6:$J$36,MATCH($C20,Gällivare!$B$6:$B$36,0),FALSE)))</f>
        <v>High</v>
      </c>
      <c r="AQ20" s="177" t="str">
        <f>IF(AND(HLOOKUP(MID(AQ$3,FIND(".",AQ$3)+1,FIND(".",AQ$3,FIND(".",AQ$3)+1)-FIND(".",AQ$3)-1),Gällivare!$B$6:$J$36,MATCH($C20,Gällivare!$B$6:$B$36,0),FALSE)="No Impact",HLOOKUP(RIGHT(AQ$3,LEN(AQ$3)-FIND(".",AQ$3,FIND(".",AQ$3)+1)),Gällivare!$B$6:$J$36,MATCH($C20,Gällivare!$B$6:$B$36,0),FALSE)="No Impact"),HLOOKUP(LEFT(AQ$3,4),Global!$B$6:$J$36,MATCH($C20,Global!$B$6:$B$36,0),FALSE),IF(AND(HLOOKUP(MID(AQ$3,FIND(".",AQ$3)+1,FIND(".",AQ$3,FIND(".",AQ$3)+1)-FIND(".",AQ$3)-1),Gällivare!$B$6:$J$36,MATCH($C20,Gällivare!$B$6:$B$36,0),FALSE)="No Impact",HLOOKUP(LEFT(AQ$3,4),Global!$B$6:$J$36,MATCH($C20,Global!$B$6:$B$36,0),FALSE)="No Impact"),HLOOKUP(RIGHT(AQ$3,LEN(AQ$3)-FIND(".",AQ$3,FIND(".",AQ$3)+1)),Gällivare!$B$6:$J$36,MATCH($C20,Gällivare!$B$6:$B$36,0),FALSE),"Global: "&amp;HLOOKUP(LEFT(AQ$3,4),Global!$B$6:$J$36,MATCH($C20,Global!$B$6:$B$36,0),FALSE)&amp;CHAR(10)&amp;"Local Trend: "&amp;HLOOKUP(MID(AQ$3,FIND(".",AQ$3)+1,FIND(".",AQ$3,FIND(".",AQ$3)+1)-FIND(".",AQ$3)-1),Gällivare!$B$6:$J$36,MATCH($C20,Gällivare!$B$6:$B$36,0),FALSE)&amp;CHAR(10)&amp;"Local Target: "&amp;HLOOKUP(RIGHT(AQ$3,LEN(AQ$3)-FIND(".",AQ$3,FIND(".",AQ$3)+1)),Gällivare!$B$6:$J$36,MATCH($C20,Gällivare!$B$6:$B$36,0),FALSE)))</f>
        <v>High</v>
      </c>
      <c r="AR20" s="177" t="str">
        <f>IF(AND(HLOOKUP(MID(AR$3,FIND(".",AR$3)+1,FIND(".",AR$3,FIND(".",AR$3)+1)-FIND(".",AR$3)-1),Gällivare!$B$6:$J$36,MATCH($C20,Gällivare!$B$6:$B$36,0),FALSE)="No Impact",HLOOKUP(RIGHT(AR$3,LEN(AR$3)-FIND(".",AR$3,FIND(".",AR$3)+1)),Gällivare!$B$6:$J$36,MATCH($C20,Gällivare!$B$6:$B$36,0),FALSE)="No Impact"),HLOOKUP(LEFT(AR$3,4),Global!$B$6:$J$36,MATCH($C20,Global!$B$6:$B$36,0),FALSE),IF(AND(HLOOKUP(MID(AR$3,FIND(".",AR$3)+1,FIND(".",AR$3,FIND(".",AR$3)+1)-FIND(".",AR$3)-1),Gällivare!$B$6:$J$36,MATCH($C20,Gällivare!$B$6:$B$36,0),FALSE)="No Impact",HLOOKUP(LEFT(AR$3,4),Global!$B$6:$J$36,MATCH($C20,Global!$B$6:$B$36,0),FALSE)="No Impact"),HLOOKUP(RIGHT(AR$3,LEN(AR$3)-FIND(".",AR$3,FIND(".",AR$3)+1)),Gällivare!$B$6:$J$36,MATCH($C20,Gällivare!$B$6:$B$36,0),FALSE),"Global: "&amp;HLOOKUP(LEFT(AR$3,4),Global!$B$6:$J$36,MATCH($C20,Global!$B$6:$B$36,0),FALSE)&amp;CHAR(10)&amp;"Local Trend: "&amp;HLOOKUP(MID(AR$3,FIND(".",AR$3)+1,FIND(".",AR$3,FIND(".",AR$3)+1)-FIND(".",AR$3)-1),Gällivare!$B$6:$J$36,MATCH($C20,Gällivare!$B$6:$B$36,0),FALSE)&amp;CHAR(10)&amp;"Local Target: "&amp;HLOOKUP(RIGHT(AR$3,LEN(AR$3)-FIND(".",AR$3,FIND(".",AR$3)+1)),Gällivare!$B$6:$J$36,MATCH($C20,Gällivare!$B$6:$B$36,0),FALSE)))</f>
        <v>High</v>
      </c>
      <c r="AS20" s="177" t="str">
        <f>IF(AND(HLOOKUP(MID(AS$3,FIND(".",AS$3)+1,FIND(".",AS$3,FIND(".",AS$3)+1)-FIND(".",AS$3)-1),Gällivare!$B$6:$J$36,MATCH($C20,Gällivare!$B$6:$B$36,0),FALSE)="No Impact",HLOOKUP(RIGHT(AS$3,LEN(AS$3)-FIND(".",AS$3,FIND(".",AS$3)+1)),Gällivare!$B$6:$J$36,MATCH($C20,Gällivare!$B$6:$B$36,0),FALSE)="No Impact"),HLOOKUP(LEFT(AS$3,4),Global!$B$6:$J$36,MATCH($C20,Global!$B$6:$B$36,0),FALSE),IF(AND(HLOOKUP(MID(AS$3,FIND(".",AS$3)+1,FIND(".",AS$3,FIND(".",AS$3)+1)-FIND(".",AS$3)-1),Gällivare!$B$6:$J$36,MATCH($C20,Gällivare!$B$6:$B$36,0),FALSE)="No Impact",HLOOKUP(LEFT(AS$3,4),Global!$B$6:$J$36,MATCH($C20,Global!$B$6:$B$36,0),FALSE)="No Impact"),HLOOKUP(RIGHT(AS$3,LEN(AS$3)-FIND(".",AS$3,FIND(".",AS$3)+1)),Gällivare!$B$6:$J$36,MATCH($C20,Gällivare!$B$6:$B$36,0),FALSE),"Global: "&amp;HLOOKUP(LEFT(AS$3,4),Global!$B$6:$J$36,MATCH($C20,Global!$B$6:$B$36,0),FALSE)&amp;CHAR(10)&amp;"Local Trend: "&amp;HLOOKUP(MID(AS$3,FIND(".",AS$3)+1,FIND(".",AS$3,FIND(".",AS$3)+1)-FIND(".",AS$3)-1),Gällivare!$B$6:$J$36,MATCH($C20,Gällivare!$B$6:$B$36,0),FALSE)&amp;CHAR(10)&amp;"Local Target: "&amp;HLOOKUP(RIGHT(AS$3,LEN(AS$3)-FIND(".",AS$3,FIND(".",AS$3)+1)),Gällivare!$B$6:$J$36,MATCH($C20,Gällivare!$B$6:$B$36,0),FALSE)))</f>
        <v>Medium</v>
      </c>
      <c r="AT20" s="177" t="str">
        <f>IF(AND(HLOOKUP(MID(AT$3,FIND(".",AT$3)+1,FIND(".",AT$3,FIND(".",AT$3)+1)-FIND(".",AT$3)-1),Gällivare!$B$6:$J$36,MATCH($C20,Gällivare!$B$6:$B$36,0),FALSE)="No Impact",HLOOKUP(RIGHT(AT$3,LEN(AT$3)-FIND(".",AT$3,FIND(".",AT$3)+1)),Gällivare!$B$6:$J$36,MATCH($C20,Gällivare!$B$6:$B$36,0),FALSE)="No Impact"),HLOOKUP(LEFT(AT$3,4),Global!$B$6:$J$36,MATCH($C20,Global!$B$6:$B$36,0),FALSE),IF(AND(HLOOKUP(MID(AT$3,FIND(".",AT$3)+1,FIND(".",AT$3,FIND(".",AT$3)+1)-FIND(".",AT$3)-1),Gällivare!$B$6:$J$36,MATCH($C20,Gällivare!$B$6:$B$36,0),FALSE)="No Impact",HLOOKUP(LEFT(AT$3,4),Global!$B$6:$J$36,MATCH($C20,Global!$B$6:$B$36,0),FALSE)="No Impact"),HLOOKUP(RIGHT(AT$3,LEN(AT$3)-FIND(".",AT$3,FIND(".",AT$3)+1)),Gällivare!$B$6:$J$36,MATCH($C20,Gällivare!$B$6:$B$36,0),FALSE),"Global: "&amp;HLOOKUP(LEFT(AT$3,4),Global!$B$6:$J$36,MATCH($C20,Global!$B$6:$B$36,0),FALSE)&amp;CHAR(10)&amp;"Local Trend: "&amp;HLOOKUP(MID(AT$3,FIND(".",AT$3)+1,FIND(".",AT$3,FIND(".",AT$3)+1)-FIND(".",AT$3)-1),Gällivare!$B$6:$J$36,MATCH($C20,Gällivare!$B$6:$B$36,0),FALSE)&amp;CHAR(10)&amp;"Local Target: "&amp;HLOOKUP(RIGHT(AT$3,LEN(AT$3)-FIND(".",AT$3,FIND(".",AT$3)+1)),Gällivare!$B$6:$J$36,MATCH($C20,Gällivare!$B$6:$B$36,0),FALSE)))</f>
        <v>Medium</v>
      </c>
      <c r="AU20" s="177" t="str">
        <f>IF(AND(HLOOKUP(MID(AU$3,FIND(".",AU$3)+1,FIND(".",AU$3,FIND(".",AU$3)+1)-FIND(".",AU$3)-1),Gällivare!$B$6:$J$36,MATCH($C20,Gällivare!$B$6:$B$36,0),FALSE)="No Impact",HLOOKUP(RIGHT(AU$3,LEN(AU$3)-FIND(".",AU$3,FIND(".",AU$3)+1)),Gällivare!$B$6:$J$36,MATCH($C20,Gällivare!$B$6:$B$36,0),FALSE)="No Impact"),HLOOKUP(LEFT(AU$3,4),Global!$B$6:$J$36,MATCH($C20,Global!$B$6:$B$36,0),FALSE),IF(AND(HLOOKUP(MID(AU$3,FIND(".",AU$3)+1,FIND(".",AU$3,FIND(".",AU$3)+1)-FIND(".",AU$3)-1),Gällivare!$B$6:$J$36,MATCH($C20,Gällivare!$B$6:$B$36,0),FALSE)="No Impact",HLOOKUP(LEFT(AU$3,4),Global!$B$6:$J$36,MATCH($C20,Global!$B$6:$B$36,0),FALSE)="No Impact"),HLOOKUP(RIGHT(AU$3,LEN(AU$3)-FIND(".",AU$3,FIND(".",AU$3)+1)),Gällivare!$B$6:$J$36,MATCH($C20,Gällivare!$B$6:$B$36,0),FALSE),"Global: "&amp;HLOOKUP(LEFT(AU$3,4),Global!$B$6:$J$36,MATCH($C20,Global!$B$6:$B$36,0),FALSE)&amp;CHAR(10)&amp;"Local Trend: "&amp;HLOOKUP(MID(AU$3,FIND(".",AU$3)+1,FIND(".",AU$3,FIND(".",AU$3)+1)-FIND(".",AU$3)-1),Gällivare!$B$6:$J$36,MATCH($C20,Gällivare!$B$6:$B$36,0),FALSE)&amp;CHAR(10)&amp;"Local Target: "&amp;HLOOKUP(RIGHT(AU$3,LEN(AU$3)-FIND(".",AU$3,FIND(".",AU$3)+1)),Gällivare!$B$6:$J$36,MATCH($C20,Gällivare!$B$6:$B$36,0),FALSE)))</f>
        <v>Medium</v>
      </c>
      <c r="AV20" s="177" t="str">
        <f>IF(AND(HLOOKUP(MID(AV$3,FIND(".",AV$3)+1,FIND(".",AV$3,FIND(".",AV$3)+1)-FIND(".",AV$3)-1),Gällivare!$B$6:$J$36,MATCH($C20,Gällivare!$B$6:$B$36,0),FALSE)="No Impact",HLOOKUP(RIGHT(AV$3,LEN(AV$3)-FIND(".",AV$3,FIND(".",AV$3)+1)),Gällivare!$B$6:$J$36,MATCH($C20,Gällivare!$B$6:$B$36,0),FALSE)="No Impact"),HLOOKUP(LEFT(AV$3,4),Global!$B$6:$J$36,MATCH($C20,Global!$B$6:$B$36,0),FALSE),IF(AND(HLOOKUP(MID(AV$3,FIND(".",AV$3)+1,FIND(".",AV$3,FIND(".",AV$3)+1)-FIND(".",AV$3)-1),Gällivare!$B$6:$J$36,MATCH($C20,Gällivare!$B$6:$B$36,0),FALSE)="No Impact",HLOOKUP(LEFT(AV$3,4),Global!$B$6:$J$36,MATCH($C20,Global!$B$6:$B$36,0),FALSE)="No Impact"),HLOOKUP(RIGHT(AV$3,LEN(AV$3)-FIND(".",AV$3,FIND(".",AV$3)+1)),Gällivare!$B$6:$J$36,MATCH($C20,Gällivare!$B$6:$B$36,0),FALSE),"Global: "&amp;HLOOKUP(LEFT(AV$3,4),Global!$B$6:$J$36,MATCH($C20,Global!$B$6:$B$36,0),FALSE)&amp;CHAR(10)&amp;"Local Trend: "&amp;HLOOKUP(MID(AV$3,FIND(".",AV$3)+1,FIND(".",AV$3,FIND(".",AV$3)+1)-FIND(".",AV$3)-1),Gällivare!$B$6:$J$36,MATCH($C20,Gällivare!$B$6:$B$36,0),FALSE)&amp;CHAR(10)&amp;"Local Target: "&amp;HLOOKUP(RIGHT(AV$3,LEN(AV$3)-FIND(".",AV$3,FIND(".",AV$3)+1)),Gällivare!$B$6:$J$36,MATCH($C20,Gällivare!$B$6:$B$36,0),FALSE)))</f>
        <v>Medium</v>
      </c>
      <c r="AW20" s="177" t="str">
        <f>IF(AND(HLOOKUP(MID(AW$3,FIND(".",AW$3)+1,FIND(".",AW$3,FIND(".",AW$3)+1)-FIND(".",AW$3)-1),Gällivare!$B$6:$J$36,MATCH($C20,Gällivare!$B$6:$B$36,0),FALSE)="No Impact",HLOOKUP(RIGHT(AW$3,LEN(AW$3)-FIND(".",AW$3,FIND(".",AW$3)+1)),Gällivare!$B$6:$J$36,MATCH($C20,Gällivare!$B$6:$B$36,0),FALSE)="No Impact"),HLOOKUP(LEFT(AW$3,4),Global!$B$6:$J$36,MATCH($C20,Global!$B$6:$B$36,0),FALSE),IF(AND(HLOOKUP(MID(AW$3,FIND(".",AW$3)+1,FIND(".",AW$3,FIND(".",AW$3)+1)-FIND(".",AW$3)-1),Gällivare!$B$6:$J$36,MATCH($C20,Gällivare!$B$6:$B$36,0),FALSE)="No Impact",HLOOKUP(LEFT(AW$3,4),Global!$B$6:$J$36,MATCH($C20,Global!$B$6:$B$36,0),FALSE)="No Impact"),HLOOKUP(RIGHT(AW$3,LEN(AW$3)-FIND(".",AW$3,FIND(".",AW$3)+1)),Gällivare!$B$6:$J$36,MATCH($C20,Gällivare!$B$6:$B$36,0),FALSE),"Global: "&amp;HLOOKUP(LEFT(AW$3,4),Global!$B$6:$J$36,MATCH($C20,Global!$B$6:$B$36,0),FALSE)&amp;CHAR(10)&amp;"Local Trend: "&amp;HLOOKUP(MID(AW$3,FIND(".",AW$3)+1,FIND(".",AW$3,FIND(".",AW$3)+1)-FIND(".",AW$3)-1),Gällivare!$B$6:$J$36,MATCH($C20,Gällivare!$B$6:$B$36,0),FALSE)&amp;CHAR(10)&amp;"Local Target: "&amp;HLOOKUP(RIGHT(AW$3,LEN(AW$3)-FIND(".",AW$3,FIND(".",AW$3)+1)),Gällivare!$B$6:$J$36,MATCH($C20,Gällivare!$B$6:$B$36,0),FALSE)))</f>
        <v>Medium</v>
      </c>
      <c r="AX20" s="177" t="str">
        <f>IF(AND(HLOOKUP(MID(AX$3,FIND(".",AX$3)+1,FIND(".",AX$3,FIND(".",AX$3)+1)-FIND(".",AX$3)-1),Gällivare!$B$6:$J$36,MATCH($C20,Gällivare!$B$6:$B$36,0),FALSE)="No Impact",HLOOKUP(RIGHT(AX$3,LEN(AX$3)-FIND(".",AX$3,FIND(".",AX$3)+1)),Gällivare!$B$6:$J$36,MATCH($C20,Gällivare!$B$6:$B$36,0),FALSE)="No Impact"),HLOOKUP(LEFT(AX$3,4),Global!$B$6:$J$36,MATCH($C20,Global!$B$6:$B$36,0),FALSE),IF(AND(HLOOKUP(MID(AX$3,FIND(".",AX$3)+1,FIND(".",AX$3,FIND(".",AX$3)+1)-FIND(".",AX$3)-1),Gällivare!$B$6:$J$36,MATCH($C20,Gällivare!$B$6:$B$36,0),FALSE)="No Impact",HLOOKUP(LEFT(AX$3,4),Global!$B$6:$J$36,MATCH($C20,Global!$B$6:$B$36,0),FALSE)="No Impact"),HLOOKUP(RIGHT(AX$3,LEN(AX$3)-FIND(".",AX$3,FIND(".",AX$3)+1)),Gällivare!$B$6:$J$36,MATCH($C20,Gällivare!$B$6:$B$36,0),FALSE),"Global: "&amp;HLOOKUP(LEFT(AX$3,4),Global!$B$6:$J$36,MATCH($C20,Global!$B$6:$B$36,0),FALSE)&amp;CHAR(10)&amp;"Local Trend: "&amp;HLOOKUP(MID(AX$3,FIND(".",AX$3)+1,FIND(".",AX$3,FIND(".",AX$3)+1)-FIND(".",AX$3)-1),Gällivare!$B$6:$J$36,MATCH($C20,Gällivare!$B$6:$B$36,0),FALSE)&amp;CHAR(10)&amp;"Local Target: "&amp;HLOOKUP(RIGHT(AX$3,LEN(AX$3)-FIND(".",AX$3,FIND(".",AX$3)+1)),Gällivare!$B$6:$J$36,MATCH($C20,Gällivare!$B$6:$B$36,0),FALSE)))</f>
        <v>Medium</v>
      </c>
      <c r="AY20" s="177" t="str">
        <f>IF(AND(HLOOKUP(MID(AY$3,FIND(".",AY$3)+1,FIND(".",AY$3,FIND(".",AY$3)+1)-FIND(".",AY$3)-1),Gällivare!$B$6:$J$36,MATCH($C20,Gällivare!$B$6:$B$36,0),FALSE)="No Impact",HLOOKUP(RIGHT(AY$3,LEN(AY$3)-FIND(".",AY$3,FIND(".",AY$3)+1)),Gällivare!$B$6:$J$36,MATCH($C20,Gällivare!$B$6:$B$36,0),FALSE)="No Impact"),HLOOKUP(LEFT(AY$3,4),Global!$B$6:$J$36,MATCH($C20,Global!$B$6:$B$36,0),FALSE),IF(AND(HLOOKUP(MID(AY$3,FIND(".",AY$3)+1,FIND(".",AY$3,FIND(".",AY$3)+1)-FIND(".",AY$3)-1),Gällivare!$B$6:$J$36,MATCH($C20,Gällivare!$B$6:$B$36,0),FALSE)="No Impact",HLOOKUP(LEFT(AY$3,4),Global!$B$6:$J$36,MATCH($C20,Global!$B$6:$B$36,0),FALSE)="No Impact"),HLOOKUP(RIGHT(AY$3,LEN(AY$3)-FIND(".",AY$3,FIND(".",AY$3)+1)),Gällivare!$B$6:$J$36,MATCH($C20,Gällivare!$B$6:$B$36,0),FALSE),"Global: "&amp;HLOOKUP(LEFT(AY$3,4),Global!$B$6:$J$36,MATCH($C20,Global!$B$6:$B$36,0),FALSE)&amp;CHAR(10)&amp;"Local Trend: "&amp;HLOOKUP(MID(AY$3,FIND(".",AY$3)+1,FIND(".",AY$3,FIND(".",AY$3)+1)-FIND(".",AY$3)-1),Gällivare!$B$6:$J$36,MATCH($C20,Gällivare!$B$6:$B$36,0),FALSE)&amp;CHAR(10)&amp;"Local Target: "&amp;HLOOKUP(RIGHT(AY$3,LEN(AY$3)-FIND(".",AY$3,FIND(".",AY$3)+1)),Gällivare!$B$6:$J$36,MATCH($C20,Gällivare!$B$6:$B$36,0),FALSE)))</f>
        <v>Low</v>
      </c>
      <c r="AZ20" s="177" t="str">
        <f>IF(AND(HLOOKUP(MID(AZ$3,FIND(".",AZ$3)+1,FIND(".",AZ$3,FIND(".",AZ$3)+1)-FIND(".",AZ$3)-1),Gällivare!$B$6:$J$36,MATCH($C20,Gällivare!$B$6:$B$36,0),FALSE)="No Impact",HLOOKUP(RIGHT(AZ$3,LEN(AZ$3)-FIND(".",AZ$3,FIND(".",AZ$3)+1)),Gällivare!$B$6:$J$36,MATCH($C20,Gällivare!$B$6:$B$36,0),FALSE)="No Impact"),HLOOKUP(LEFT(AZ$3,4),Global!$B$6:$J$36,MATCH($C20,Global!$B$6:$B$36,0),FALSE),IF(AND(HLOOKUP(MID(AZ$3,FIND(".",AZ$3)+1,FIND(".",AZ$3,FIND(".",AZ$3)+1)-FIND(".",AZ$3)-1),Gällivare!$B$6:$J$36,MATCH($C20,Gällivare!$B$6:$B$36,0),FALSE)="No Impact",HLOOKUP(LEFT(AZ$3,4),Global!$B$6:$J$36,MATCH($C20,Global!$B$6:$B$36,0),FALSE)="No Impact"),HLOOKUP(RIGHT(AZ$3,LEN(AZ$3)-FIND(".",AZ$3,FIND(".",AZ$3)+1)),Gällivare!$B$6:$J$36,MATCH($C20,Gällivare!$B$6:$B$36,0),FALSE),"Global: "&amp;HLOOKUP(LEFT(AZ$3,4),Global!$B$6:$J$36,MATCH($C20,Global!$B$6:$B$36,0),FALSE)&amp;CHAR(10)&amp;"Local Trend: "&amp;HLOOKUP(MID(AZ$3,FIND(".",AZ$3)+1,FIND(".",AZ$3,FIND(".",AZ$3)+1)-FIND(".",AZ$3)-1),Gällivare!$B$6:$J$36,MATCH($C20,Gällivare!$B$6:$B$36,0),FALSE)&amp;CHAR(10)&amp;"Local Target: "&amp;HLOOKUP(RIGHT(AZ$3,LEN(AZ$3)-FIND(".",AZ$3,FIND(".",AZ$3)+1)),Gällivare!$B$6:$J$36,MATCH($C20,Gällivare!$B$6:$B$36,0),FALSE)))</f>
        <v>Low</v>
      </c>
      <c r="BA20" s="177" t="str">
        <f>IF(AND(HLOOKUP(MID(BA$3,FIND(".",BA$3)+1,FIND(".",BA$3,FIND(".",BA$3)+1)-FIND(".",BA$3)-1),Gällivare!$B$6:$J$36,MATCH($C20,Gällivare!$B$6:$B$36,0),FALSE)="No Impact",HLOOKUP(RIGHT(BA$3,LEN(BA$3)-FIND(".",BA$3,FIND(".",BA$3)+1)),Gällivare!$B$6:$J$36,MATCH($C20,Gällivare!$B$6:$B$36,0),FALSE)="No Impact"),HLOOKUP(LEFT(BA$3,4),Global!$B$6:$J$36,MATCH($C20,Global!$B$6:$B$36,0),FALSE),IF(AND(HLOOKUP(MID(BA$3,FIND(".",BA$3)+1,FIND(".",BA$3,FIND(".",BA$3)+1)-FIND(".",BA$3)-1),Gällivare!$B$6:$J$36,MATCH($C20,Gällivare!$B$6:$B$36,0),FALSE)="No Impact",HLOOKUP(LEFT(BA$3,4),Global!$B$6:$J$36,MATCH($C20,Global!$B$6:$B$36,0),FALSE)="No Impact"),HLOOKUP(RIGHT(BA$3,LEN(BA$3)-FIND(".",BA$3,FIND(".",BA$3)+1)),Gällivare!$B$6:$J$36,MATCH($C20,Gällivare!$B$6:$B$36,0),FALSE),"Global: "&amp;HLOOKUP(LEFT(BA$3,4),Global!$B$6:$J$36,MATCH($C20,Global!$B$6:$B$36,0),FALSE)&amp;CHAR(10)&amp;"Local Trend: "&amp;HLOOKUP(MID(BA$3,FIND(".",BA$3)+1,FIND(".",BA$3,FIND(".",BA$3)+1)-FIND(".",BA$3)-1),Gällivare!$B$6:$J$36,MATCH($C20,Gällivare!$B$6:$B$36,0),FALSE)&amp;CHAR(10)&amp;"Local Target: "&amp;HLOOKUP(RIGHT(BA$3,LEN(BA$3)-FIND(".",BA$3,FIND(".",BA$3)+1)),Gällivare!$B$6:$J$36,MATCH($C20,Gällivare!$B$6:$B$36,0),FALSE)))</f>
        <v>Low</v>
      </c>
      <c r="BB20" s="177" t="str">
        <f>IF(AND(HLOOKUP(MID(BB$3,FIND(".",BB$3)+1,FIND(".",BB$3,FIND(".",BB$3)+1)-FIND(".",BB$3)-1),Gällivare!$B$6:$J$36,MATCH($C20,Gällivare!$B$6:$B$36,0),FALSE)="No Impact",HLOOKUP(RIGHT(BB$3,LEN(BB$3)-FIND(".",BB$3,FIND(".",BB$3)+1)),Gällivare!$B$6:$J$36,MATCH($C20,Gällivare!$B$6:$B$36,0),FALSE)="No Impact"),HLOOKUP(LEFT(BB$3,4),Global!$B$6:$J$36,MATCH($C20,Global!$B$6:$B$36,0),FALSE),IF(AND(HLOOKUP(MID(BB$3,FIND(".",BB$3)+1,FIND(".",BB$3,FIND(".",BB$3)+1)-FIND(".",BB$3)-1),Gällivare!$B$6:$J$36,MATCH($C20,Gällivare!$B$6:$B$36,0),FALSE)="No Impact",HLOOKUP(LEFT(BB$3,4),Global!$B$6:$J$36,MATCH($C20,Global!$B$6:$B$36,0),FALSE)="No Impact"),HLOOKUP(RIGHT(BB$3,LEN(BB$3)-FIND(".",BB$3,FIND(".",BB$3)+1)),Gällivare!$B$6:$J$36,MATCH($C20,Gällivare!$B$6:$B$36,0),FALSE),"Global: "&amp;HLOOKUP(LEFT(BB$3,4),Global!$B$6:$J$36,MATCH($C20,Global!$B$6:$B$36,0),FALSE)&amp;CHAR(10)&amp;"Local Trend: "&amp;HLOOKUP(MID(BB$3,FIND(".",BB$3)+1,FIND(".",BB$3,FIND(".",BB$3)+1)-FIND(".",BB$3)-1),Gällivare!$B$6:$J$36,MATCH($C20,Gällivare!$B$6:$B$36,0),FALSE)&amp;CHAR(10)&amp;"Local Target: "&amp;HLOOKUP(RIGHT(BB$3,LEN(BB$3)-FIND(".",BB$3,FIND(".",BB$3)+1)),Gällivare!$B$6:$J$36,MATCH($C20,Gällivare!$B$6:$B$36,0),FALSE)))</f>
        <v>Low</v>
      </c>
      <c r="BC20" s="177" t="str">
        <f>IF(AND(HLOOKUP(MID(BC$3,FIND(".",BC$3)+1,FIND(".",BC$3,FIND(".",BC$3)+1)-FIND(".",BC$3)-1),Gällivare!$B$6:$J$36,MATCH($C20,Gällivare!$B$6:$B$36,0),FALSE)="No Impact",HLOOKUP(RIGHT(BC$3,LEN(BC$3)-FIND(".",BC$3,FIND(".",BC$3)+1)),Gällivare!$B$6:$J$36,MATCH($C20,Gällivare!$B$6:$B$36,0),FALSE)="No Impact"),HLOOKUP(LEFT(BC$3,4),Global!$B$6:$J$36,MATCH($C20,Global!$B$6:$B$36,0),FALSE),IF(AND(HLOOKUP(MID(BC$3,FIND(".",BC$3)+1,FIND(".",BC$3,FIND(".",BC$3)+1)-FIND(".",BC$3)-1),Gällivare!$B$6:$J$36,MATCH($C20,Gällivare!$B$6:$B$36,0),FALSE)="No Impact",HLOOKUP(LEFT(BC$3,4),Global!$B$6:$J$36,MATCH($C20,Global!$B$6:$B$36,0),FALSE)="No Impact"),HLOOKUP(RIGHT(BC$3,LEN(BC$3)-FIND(".",BC$3,FIND(".",BC$3)+1)),Gällivare!$B$6:$J$36,MATCH($C20,Gällivare!$B$6:$B$36,0),FALSE),"Global: "&amp;HLOOKUP(LEFT(BC$3,4),Global!$B$6:$J$36,MATCH($C20,Global!$B$6:$B$36,0),FALSE)&amp;CHAR(10)&amp;"Local Trend: "&amp;HLOOKUP(MID(BC$3,FIND(".",BC$3)+1,FIND(".",BC$3,FIND(".",BC$3)+1)-FIND(".",BC$3)-1),Gällivare!$B$6:$J$36,MATCH($C20,Gällivare!$B$6:$B$36,0),FALSE)&amp;CHAR(10)&amp;"Local Target: "&amp;HLOOKUP(RIGHT(BC$3,LEN(BC$3)-FIND(".",BC$3,FIND(".",BC$3)+1)),Gällivare!$B$6:$J$36,MATCH($C20,Gällivare!$B$6:$B$36,0),FALSE)))</f>
        <v>Low</v>
      </c>
      <c r="BD20" s="177" t="str">
        <f>IF(AND(HLOOKUP(MID(BD$3,FIND(".",BD$3)+1,FIND(".",BD$3,FIND(".",BD$3)+1)-FIND(".",BD$3)-1),Gällivare!$B$6:$J$36,MATCH($C20,Gällivare!$B$6:$B$36,0),FALSE)="No Impact",HLOOKUP(RIGHT(BD$3,LEN(BD$3)-FIND(".",BD$3,FIND(".",BD$3)+1)),Gällivare!$B$6:$J$36,MATCH($C20,Gällivare!$B$6:$B$36,0),FALSE)="No Impact"),HLOOKUP(LEFT(BD$3,4),Global!$B$6:$J$36,MATCH($C20,Global!$B$6:$B$36,0),FALSE),IF(AND(HLOOKUP(MID(BD$3,FIND(".",BD$3)+1,FIND(".",BD$3,FIND(".",BD$3)+1)-FIND(".",BD$3)-1),Gällivare!$B$6:$J$36,MATCH($C20,Gällivare!$B$6:$B$36,0),FALSE)="No Impact",HLOOKUP(LEFT(BD$3,4),Global!$B$6:$J$36,MATCH($C20,Global!$B$6:$B$36,0),FALSE)="No Impact"),HLOOKUP(RIGHT(BD$3,LEN(BD$3)-FIND(".",BD$3,FIND(".",BD$3)+1)),Gällivare!$B$6:$J$36,MATCH($C20,Gällivare!$B$6:$B$36,0),FALSE),"Global: "&amp;HLOOKUP(LEFT(BD$3,4),Global!$B$6:$J$36,MATCH($C20,Global!$B$6:$B$36,0),FALSE)&amp;CHAR(10)&amp;"Local Trend: "&amp;HLOOKUP(MID(BD$3,FIND(".",BD$3)+1,FIND(".",BD$3,FIND(".",BD$3)+1)-FIND(".",BD$3)-1),Gällivare!$B$6:$J$36,MATCH($C20,Gällivare!$B$6:$B$36,0),FALSE)&amp;CHAR(10)&amp;"Local Target: "&amp;HLOOKUP(RIGHT(BD$3,LEN(BD$3)-FIND(".",BD$3,FIND(".",BD$3)+1)),Gällivare!$B$6:$J$36,MATCH($C20,Gällivare!$B$6:$B$36,0),FALSE)))</f>
        <v>Low</v>
      </c>
      <c r="BE20" s="177" t="str">
        <f>IF(AND(HLOOKUP(MID(BE$3,FIND(".",BE$3)+1,FIND(".",BE$3,FIND(".",BE$3)+1)-FIND(".",BE$3)-1),Gällivare!$B$6:$J$36,MATCH($C20,Gällivare!$B$6:$B$36,0),FALSE)="No Impact",HLOOKUP(RIGHT(BE$3,LEN(BE$3)-FIND(".",BE$3,FIND(".",BE$3)+1)),Gällivare!$B$6:$J$36,MATCH($C20,Gällivare!$B$6:$B$36,0),FALSE)="No Impact"),HLOOKUP(LEFT(BE$3,4),Global!$B$6:$J$36,MATCH($C20,Global!$B$6:$B$36,0),FALSE),IF(AND(HLOOKUP(MID(BE$3,FIND(".",BE$3)+1,FIND(".",BE$3,FIND(".",BE$3)+1)-FIND(".",BE$3)-1),Gällivare!$B$6:$J$36,MATCH($C20,Gällivare!$B$6:$B$36,0),FALSE)="No Impact",HLOOKUP(LEFT(BE$3,4),Global!$B$6:$J$36,MATCH($C20,Global!$B$6:$B$36,0),FALSE)="No Impact"),HLOOKUP(RIGHT(BE$3,LEN(BE$3)-FIND(".",BE$3,FIND(".",BE$3)+1)),Gällivare!$B$6:$J$36,MATCH($C20,Gällivare!$B$6:$B$36,0),FALSE),"Global: "&amp;HLOOKUP(LEFT(BE$3,4),Global!$B$6:$J$36,MATCH($C20,Global!$B$6:$B$36,0),FALSE)&amp;CHAR(10)&amp;"Local Trend: "&amp;HLOOKUP(MID(BE$3,FIND(".",BE$3)+1,FIND(".",BE$3,FIND(".",BE$3)+1)-FIND(".",BE$3)-1),Gällivare!$B$6:$J$36,MATCH($C20,Gällivare!$B$6:$B$36,0),FALSE)&amp;CHAR(10)&amp;"Local Target: "&amp;HLOOKUP(RIGHT(BE$3,LEN(BE$3)-FIND(".",BE$3,FIND(".",BE$3)+1)),Gällivare!$B$6:$J$36,MATCH($C20,Gällivare!$B$6:$B$36,0),FALSE)))</f>
        <v>HIgh</v>
      </c>
      <c r="BF20" s="177" t="str">
        <f>IF(AND(HLOOKUP(MID(BF$3,FIND(".",BF$3)+1,FIND(".",BF$3,FIND(".",BF$3)+1)-FIND(".",BF$3)-1),Gällivare!$B$6:$J$36,MATCH($C20,Gällivare!$B$6:$B$36,0),FALSE)="No Impact",HLOOKUP(RIGHT(BF$3,LEN(BF$3)-FIND(".",BF$3,FIND(".",BF$3)+1)),Gällivare!$B$6:$J$36,MATCH($C20,Gällivare!$B$6:$B$36,0),FALSE)="No Impact"),HLOOKUP(LEFT(BF$3,4),Global!$B$6:$J$36,MATCH($C20,Global!$B$6:$B$36,0),FALSE),IF(AND(HLOOKUP(MID(BF$3,FIND(".",BF$3)+1,FIND(".",BF$3,FIND(".",BF$3)+1)-FIND(".",BF$3)-1),Gällivare!$B$6:$J$36,MATCH($C20,Gällivare!$B$6:$B$36,0),FALSE)="No Impact",HLOOKUP(LEFT(BF$3,4),Global!$B$6:$J$36,MATCH($C20,Global!$B$6:$B$36,0),FALSE)="No Impact"),HLOOKUP(RIGHT(BF$3,LEN(BF$3)-FIND(".",BF$3,FIND(".",BF$3)+1)),Gällivare!$B$6:$J$36,MATCH($C20,Gällivare!$B$6:$B$36,0),FALSE),"Global: "&amp;HLOOKUP(LEFT(BF$3,4),Global!$B$6:$J$36,MATCH($C20,Global!$B$6:$B$36,0),FALSE)&amp;CHAR(10)&amp;"Local Trend: "&amp;HLOOKUP(MID(BF$3,FIND(".",BF$3)+1,FIND(".",BF$3,FIND(".",BF$3)+1)-FIND(".",BF$3)-1),Gällivare!$B$6:$J$36,MATCH($C20,Gällivare!$B$6:$B$36,0),FALSE)&amp;CHAR(10)&amp;"Local Target: "&amp;HLOOKUP(RIGHT(BF$3,LEN(BF$3)-FIND(".",BF$3,FIND(".",BF$3)+1)),Gällivare!$B$6:$J$36,MATCH($C20,Gällivare!$B$6:$B$36,0),FALSE)))</f>
        <v>HIgh</v>
      </c>
      <c r="BG20" s="177" t="str">
        <f>IF(AND(HLOOKUP(MID(BG$3,FIND(".",BG$3)+1,FIND(".",BG$3,FIND(".",BG$3)+1)-FIND(".",BG$3)-1),Gällivare!$B$6:$J$36,MATCH($C20,Gällivare!$B$6:$B$36,0),FALSE)="No Impact",HLOOKUP(RIGHT(BG$3,LEN(BG$3)-FIND(".",BG$3,FIND(".",BG$3)+1)),Gällivare!$B$6:$J$36,MATCH($C20,Gällivare!$B$6:$B$36,0),FALSE)="No Impact"),HLOOKUP(LEFT(BG$3,4),Global!$B$6:$J$36,MATCH($C20,Global!$B$6:$B$36,0),FALSE),IF(AND(HLOOKUP(MID(BG$3,FIND(".",BG$3)+1,FIND(".",BG$3,FIND(".",BG$3)+1)-FIND(".",BG$3)-1),Gällivare!$B$6:$J$36,MATCH($C20,Gällivare!$B$6:$B$36,0),FALSE)="No Impact",HLOOKUP(LEFT(BG$3,4),Global!$B$6:$J$36,MATCH($C20,Global!$B$6:$B$36,0),FALSE)="No Impact"),HLOOKUP(RIGHT(BG$3,LEN(BG$3)-FIND(".",BG$3,FIND(".",BG$3)+1)),Gällivare!$B$6:$J$36,MATCH($C20,Gällivare!$B$6:$B$36,0),FALSE),"Global: "&amp;HLOOKUP(LEFT(BG$3,4),Global!$B$6:$J$36,MATCH($C20,Global!$B$6:$B$36,0),FALSE)&amp;CHAR(10)&amp;"Local Trend: "&amp;HLOOKUP(MID(BG$3,FIND(".",BG$3)+1,FIND(".",BG$3,FIND(".",BG$3)+1)-FIND(".",BG$3)-1),Gällivare!$B$6:$J$36,MATCH($C20,Gällivare!$B$6:$B$36,0),FALSE)&amp;CHAR(10)&amp;"Local Target: "&amp;HLOOKUP(RIGHT(BG$3,LEN(BG$3)-FIND(".",BG$3,FIND(".",BG$3)+1)),Gällivare!$B$6:$J$36,MATCH($C20,Gällivare!$B$6:$B$36,0),FALSE)))</f>
        <v>HIgh</v>
      </c>
      <c r="BH20" s="177" t="str">
        <f>IF(AND(HLOOKUP(MID(BH$3,FIND(".",BH$3)+1,FIND(".",BH$3,FIND(".",BH$3)+1)-FIND(".",BH$3)-1),Gällivare!$B$6:$J$36,MATCH($C20,Gällivare!$B$6:$B$36,0),FALSE)="No Impact",HLOOKUP(RIGHT(BH$3,LEN(BH$3)-FIND(".",BH$3,FIND(".",BH$3)+1)),Gällivare!$B$6:$J$36,MATCH($C20,Gällivare!$B$6:$B$36,0),FALSE)="No Impact"),HLOOKUP(LEFT(BH$3,4),Global!$B$6:$J$36,MATCH($C20,Global!$B$6:$B$36,0),FALSE),IF(AND(HLOOKUP(MID(BH$3,FIND(".",BH$3)+1,FIND(".",BH$3,FIND(".",BH$3)+1)-FIND(".",BH$3)-1),Gällivare!$B$6:$J$36,MATCH($C20,Gällivare!$B$6:$B$36,0),FALSE)="No Impact",HLOOKUP(LEFT(BH$3,4),Global!$B$6:$J$36,MATCH($C20,Global!$B$6:$B$36,0),FALSE)="No Impact"),HLOOKUP(RIGHT(BH$3,LEN(BH$3)-FIND(".",BH$3,FIND(".",BH$3)+1)),Gällivare!$B$6:$J$36,MATCH($C20,Gällivare!$B$6:$B$36,0),FALSE),"Global: "&amp;HLOOKUP(LEFT(BH$3,4),Global!$B$6:$J$36,MATCH($C20,Global!$B$6:$B$36,0),FALSE)&amp;CHAR(10)&amp;"Local Trend: "&amp;HLOOKUP(MID(BH$3,FIND(".",BH$3)+1,FIND(".",BH$3,FIND(".",BH$3)+1)-FIND(".",BH$3)-1),Gällivare!$B$6:$J$36,MATCH($C20,Gällivare!$B$6:$B$36,0),FALSE)&amp;CHAR(10)&amp;"Local Target: "&amp;HLOOKUP(RIGHT(BH$3,LEN(BH$3)-FIND(".",BH$3,FIND(".",BH$3)+1)),Gällivare!$B$6:$J$36,MATCH($C20,Gällivare!$B$6:$B$36,0),FALSE)))</f>
        <v>HIgh</v>
      </c>
      <c r="BI20" s="177" t="str">
        <f>IF(AND(HLOOKUP(MID(BI$3,FIND(".",BI$3)+1,FIND(".",BI$3,FIND(".",BI$3)+1)-FIND(".",BI$3)-1),Gällivare!$B$6:$J$36,MATCH($C20,Gällivare!$B$6:$B$36,0),FALSE)="No Impact",HLOOKUP(RIGHT(BI$3,LEN(BI$3)-FIND(".",BI$3,FIND(".",BI$3)+1)),Gällivare!$B$6:$J$36,MATCH($C20,Gällivare!$B$6:$B$36,0),FALSE)="No Impact"),HLOOKUP(LEFT(BI$3,4),Global!$B$6:$J$36,MATCH($C20,Global!$B$6:$B$36,0),FALSE),IF(AND(HLOOKUP(MID(BI$3,FIND(".",BI$3)+1,FIND(".",BI$3,FIND(".",BI$3)+1)-FIND(".",BI$3)-1),Gällivare!$B$6:$J$36,MATCH($C20,Gällivare!$B$6:$B$36,0),FALSE)="No Impact",HLOOKUP(LEFT(BI$3,4),Global!$B$6:$J$36,MATCH($C20,Global!$B$6:$B$36,0),FALSE)="No Impact"),HLOOKUP(RIGHT(BI$3,LEN(BI$3)-FIND(".",BI$3,FIND(".",BI$3)+1)),Gällivare!$B$6:$J$36,MATCH($C20,Gällivare!$B$6:$B$36,0),FALSE),"Global: "&amp;HLOOKUP(LEFT(BI$3,4),Global!$B$6:$J$36,MATCH($C20,Global!$B$6:$B$36,0),FALSE)&amp;CHAR(10)&amp;"Local Trend: "&amp;HLOOKUP(MID(BI$3,FIND(".",BI$3)+1,FIND(".",BI$3,FIND(".",BI$3)+1)-FIND(".",BI$3)-1),Gällivare!$B$6:$J$36,MATCH($C20,Gällivare!$B$6:$B$36,0),FALSE)&amp;CHAR(10)&amp;"Local Target: "&amp;HLOOKUP(RIGHT(BI$3,LEN(BI$3)-FIND(".",BI$3,FIND(".",BI$3)+1)),Gällivare!$B$6:$J$36,MATCH($C20,Gällivare!$B$6:$B$36,0),FALSE)))</f>
        <v>HIgh</v>
      </c>
      <c r="BJ20" s="177" t="str">
        <f>IF(AND(HLOOKUP(MID(BJ$3,FIND(".",BJ$3)+1,FIND(".",BJ$3,FIND(".",BJ$3)+1)-FIND(".",BJ$3)-1),Gällivare!$B$6:$J$36,MATCH($C20,Gällivare!$B$6:$B$36,0),FALSE)="No Impact",HLOOKUP(RIGHT(BJ$3,LEN(BJ$3)-FIND(".",BJ$3,FIND(".",BJ$3)+1)),Gällivare!$B$6:$J$36,MATCH($C20,Gällivare!$B$6:$B$36,0),FALSE)="No Impact"),HLOOKUP(LEFT(BJ$3,4),Global!$B$6:$J$36,MATCH($C20,Global!$B$6:$B$36,0),FALSE),IF(AND(HLOOKUP(MID(BJ$3,FIND(".",BJ$3)+1,FIND(".",BJ$3,FIND(".",BJ$3)+1)-FIND(".",BJ$3)-1),Gällivare!$B$6:$J$36,MATCH($C20,Gällivare!$B$6:$B$36,0),FALSE)="No Impact",HLOOKUP(LEFT(BJ$3,4),Global!$B$6:$J$36,MATCH($C20,Global!$B$6:$B$36,0),FALSE)="No Impact"),HLOOKUP(RIGHT(BJ$3,LEN(BJ$3)-FIND(".",BJ$3,FIND(".",BJ$3)+1)),Gällivare!$B$6:$J$36,MATCH($C20,Gällivare!$B$6:$B$36,0),FALSE),"Global: "&amp;HLOOKUP(LEFT(BJ$3,4),Global!$B$6:$J$36,MATCH($C20,Global!$B$6:$B$36,0),FALSE)&amp;CHAR(10)&amp;"Local Trend: "&amp;HLOOKUP(MID(BJ$3,FIND(".",BJ$3)+1,FIND(".",BJ$3,FIND(".",BJ$3)+1)-FIND(".",BJ$3)-1),Gällivare!$B$6:$J$36,MATCH($C20,Gällivare!$B$6:$B$36,0),FALSE)&amp;CHAR(10)&amp;"Local Target: "&amp;HLOOKUP(RIGHT(BJ$3,LEN(BJ$3)-FIND(".",BJ$3,FIND(".",BJ$3)+1)),Gällivare!$B$6:$J$36,MATCH($C20,Gällivare!$B$6:$B$36,0),FALSE)))</f>
        <v>HIgh</v>
      </c>
      <c r="BK20" s="177" t="str">
        <f>IF(AND(HLOOKUP(MID(BK$3,FIND(".",BK$3)+1,FIND(".",BK$3,FIND(".",BK$3)+1)-FIND(".",BK$3)-1),Gällivare!$B$6:$J$36,MATCH($C20,Gällivare!$B$6:$B$36,0),FALSE)="No Impact",HLOOKUP(RIGHT(BK$3,LEN(BK$3)-FIND(".",BK$3,FIND(".",BK$3)+1)),Gällivare!$B$6:$J$36,MATCH($C20,Gällivare!$B$6:$B$36,0),FALSE)="No Impact"),HLOOKUP(LEFT(BK$3,4),Global!$B$6:$J$36,MATCH($C20,Global!$B$6:$B$36,0),FALSE),IF(AND(HLOOKUP(MID(BK$3,FIND(".",BK$3)+1,FIND(".",BK$3,FIND(".",BK$3)+1)-FIND(".",BK$3)-1),Gällivare!$B$6:$J$36,MATCH($C20,Gällivare!$B$6:$B$36,0),FALSE)="No Impact",HLOOKUP(LEFT(BK$3,4),Global!$B$6:$J$36,MATCH($C20,Global!$B$6:$B$36,0),FALSE)="No Impact"),HLOOKUP(RIGHT(BK$3,LEN(BK$3)-FIND(".",BK$3,FIND(".",BK$3)+1)),Gällivare!$B$6:$J$36,MATCH($C20,Gällivare!$B$6:$B$36,0),FALSE),"Global: "&amp;HLOOKUP(LEFT(BK$3,4),Global!$B$6:$J$36,MATCH($C20,Global!$B$6:$B$36,0),FALSE)&amp;CHAR(10)&amp;"Local Trend: "&amp;HLOOKUP(MID(BK$3,FIND(".",BK$3)+1,FIND(".",BK$3,FIND(".",BK$3)+1)-FIND(".",BK$3)-1),Gällivare!$B$6:$J$36,MATCH($C20,Gällivare!$B$6:$B$36,0),FALSE)&amp;CHAR(10)&amp;"Local Target: "&amp;HLOOKUP(RIGHT(BK$3,LEN(BK$3)-FIND(".",BK$3,FIND(".",BK$3)+1)),Gällivare!$B$6:$J$36,MATCH($C20,Gällivare!$B$6:$B$36,0),FALSE)))</f>
        <v>Low</v>
      </c>
      <c r="BL20" s="177" t="str">
        <f>IF(AND(HLOOKUP(MID(BL$3,FIND(".",BL$3)+1,FIND(".",BL$3,FIND(".",BL$3)+1)-FIND(".",BL$3)-1),Gällivare!$B$6:$J$36,MATCH($C20,Gällivare!$B$6:$B$36,0),FALSE)="No Impact",HLOOKUP(RIGHT(BL$3,LEN(BL$3)-FIND(".",BL$3,FIND(".",BL$3)+1)),Gällivare!$B$6:$J$36,MATCH($C20,Gällivare!$B$6:$B$36,0),FALSE)="No Impact"),HLOOKUP(LEFT(BL$3,4),Global!$B$6:$J$36,MATCH($C20,Global!$B$6:$B$36,0),FALSE),IF(AND(HLOOKUP(MID(BL$3,FIND(".",BL$3)+1,FIND(".",BL$3,FIND(".",BL$3)+1)-FIND(".",BL$3)-1),Gällivare!$B$6:$J$36,MATCH($C20,Gällivare!$B$6:$B$36,0),FALSE)="No Impact",HLOOKUP(LEFT(BL$3,4),Global!$B$6:$J$36,MATCH($C20,Global!$B$6:$B$36,0),FALSE)="No Impact"),HLOOKUP(RIGHT(BL$3,LEN(BL$3)-FIND(".",BL$3,FIND(".",BL$3)+1)),Gällivare!$B$6:$J$36,MATCH($C20,Gällivare!$B$6:$B$36,0),FALSE),"Global: "&amp;HLOOKUP(LEFT(BL$3,4),Global!$B$6:$J$36,MATCH($C20,Global!$B$6:$B$36,0),FALSE)&amp;CHAR(10)&amp;"Local Trend: "&amp;HLOOKUP(MID(BL$3,FIND(".",BL$3)+1,FIND(".",BL$3,FIND(".",BL$3)+1)-FIND(".",BL$3)-1),Gällivare!$B$6:$J$36,MATCH($C20,Gällivare!$B$6:$B$36,0),FALSE)&amp;CHAR(10)&amp;"Local Target: "&amp;HLOOKUP(RIGHT(BL$3,LEN(BL$3)-FIND(".",BL$3,FIND(".",BL$3)+1)),Gällivare!$B$6:$J$36,MATCH($C20,Gällivare!$B$6:$B$36,0),FALSE)))</f>
        <v>Low</v>
      </c>
      <c r="BM20" s="177" t="str">
        <f>IF(AND(HLOOKUP(MID(BM$3,FIND(".",BM$3)+1,FIND(".",BM$3,FIND(".",BM$3)+1)-FIND(".",BM$3)-1),Gällivare!$B$6:$J$36,MATCH($C20,Gällivare!$B$6:$B$36,0),FALSE)="No Impact",HLOOKUP(RIGHT(BM$3,LEN(BM$3)-FIND(".",BM$3,FIND(".",BM$3)+1)),Gällivare!$B$6:$J$36,MATCH($C20,Gällivare!$B$6:$B$36,0),FALSE)="No Impact"),HLOOKUP(LEFT(BM$3,4),Global!$B$6:$J$36,MATCH($C20,Global!$B$6:$B$36,0),FALSE),IF(AND(HLOOKUP(MID(BM$3,FIND(".",BM$3)+1,FIND(".",BM$3,FIND(".",BM$3)+1)-FIND(".",BM$3)-1),Gällivare!$B$6:$J$36,MATCH($C20,Gällivare!$B$6:$B$36,0),FALSE)="No Impact",HLOOKUP(LEFT(BM$3,4),Global!$B$6:$J$36,MATCH($C20,Global!$B$6:$B$36,0),FALSE)="No Impact"),HLOOKUP(RIGHT(BM$3,LEN(BM$3)-FIND(".",BM$3,FIND(".",BM$3)+1)),Gällivare!$B$6:$J$36,MATCH($C20,Gällivare!$B$6:$B$36,0),FALSE),"Global: "&amp;HLOOKUP(LEFT(BM$3,4),Global!$B$6:$J$36,MATCH($C20,Global!$B$6:$B$36,0),FALSE)&amp;CHAR(10)&amp;"Local Trend: "&amp;HLOOKUP(MID(BM$3,FIND(".",BM$3)+1,FIND(".",BM$3,FIND(".",BM$3)+1)-FIND(".",BM$3)-1),Gällivare!$B$6:$J$36,MATCH($C20,Gällivare!$B$6:$B$36,0),FALSE)&amp;CHAR(10)&amp;"Local Target: "&amp;HLOOKUP(RIGHT(BM$3,LEN(BM$3)-FIND(".",BM$3,FIND(".",BM$3)+1)),Gällivare!$B$6:$J$36,MATCH($C20,Gällivare!$B$6:$B$36,0),FALSE)))</f>
        <v>Low</v>
      </c>
      <c r="BN20" s="177" t="str">
        <f>IF(AND(HLOOKUP(MID(BN$3,FIND(".",BN$3)+1,FIND(".",BN$3,FIND(".",BN$3)+1)-FIND(".",BN$3)-1),Gällivare!$B$6:$J$36,MATCH($C20,Gällivare!$B$6:$B$36,0),FALSE)="No Impact",HLOOKUP(RIGHT(BN$3,LEN(BN$3)-FIND(".",BN$3,FIND(".",BN$3)+1)),Gällivare!$B$6:$J$36,MATCH($C20,Gällivare!$B$6:$B$36,0),FALSE)="No Impact"),HLOOKUP(LEFT(BN$3,4),Global!$B$6:$J$36,MATCH($C20,Global!$B$6:$B$36,0),FALSE),IF(AND(HLOOKUP(MID(BN$3,FIND(".",BN$3)+1,FIND(".",BN$3,FIND(".",BN$3)+1)-FIND(".",BN$3)-1),Gällivare!$B$6:$J$36,MATCH($C20,Gällivare!$B$6:$B$36,0),FALSE)="No Impact",HLOOKUP(LEFT(BN$3,4),Global!$B$6:$J$36,MATCH($C20,Global!$B$6:$B$36,0),FALSE)="No Impact"),HLOOKUP(RIGHT(BN$3,LEN(BN$3)-FIND(".",BN$3,FIND(".",BN$3)+1)),Gällivare!$B$6:$J$36,MATCH($C20,Gällivare!$B$6:$B$36,0),FALSE),"Global: "&amp;HLOOKUP(LEFT(BN$3,4),Global!$B$6:$J$36,MATCH($C20,Global!$B$6:$B$36,0),FALSE)&amp;CHAR(10)&amp;"Local Trend: "&amp;HLOOKUP(MID(BN$3,FIND(".",BN$3)+1,FIND(".",BN$3,FIND(".",BN$3)+1)-FIND(".",BN$3)-1),Gällivare!$B$6:$J$36,MATCH($C20,Gällivare!$B$6:$B$36,0),FALSE)&amp;CHAR(10)&amp;"Local Target: "&amp;HLOOKUP(RIGHT(BN$3,LEN(BN$3)-FIND(".",BN$3,FIND(".",BN$3)+1)),Gällivare!$B$6:$J$36,MATCH($C20,Gällivare!$B$6:$B$36,0),FALSE)))</f>
        <v>Low</v>
      </c>
      <c r="BO20" s="177" t="str">
        <f>IF(AND(HLOOKUP(MID(BO$3,FIND(".",BO$3)+1,FIND(".",BO$3,FIND(".",BO$3)+1)-FIND(".",BO$3)-1),Gällivare!$B$6:$J$36,MATCH($C20,Gällivare!$B$6:$B$36,0),FALSE)="No Impact",HLOOKUP(RIGHT(BO$3,LEN(BO$3)-FIND(".",BO$3,FIND(".",BO$3)+1)),Gällivare!$B$6:$J$36,MATCH($C20,Gällivare!$B$6:$B$36,0),FALSE)="No Impact"),HLOOKUP(LEFT(BO$3,4),Global!$B$6:$J$36,MATCH($C20,Global!$B$6:$B$36,0),FALSE),IF(AND(HLOOKUP(MID(BO$3,FIND(".",BO$3)+1,FIND(".",BO$3,FIND(".",BO$3)+1)-FIND(".",BO$3)-1),Gällivare!$B$6:$J$36,MATCH($C20,Gällivare!$B$6:$B$36,0),FALSE)="No Impact",HLOOKUP(LEFT(BO$3,4),Global!$B$6:$J$36,MATCH($C20,Global!$B$6:$B$36,0),FALSE)="No Impact"),HLOOKUP(RIGHT(BO$3,LEN(BO$3)-FIND(".",BO$3,FIND(".",BO$3)+1)),Gällivare!$B$6:$J$36,MATCH($C20,Gällivare!$B$6:$B$36,0),FALSE),"Global: "&amp;HLOOKUP(LEFT(BO$3,4),Global!$B$6:$J$36,MATCH($C20,Global!$B$6:$B$36,0),FALSE)&amp;CHAR(10)&amp;"Local Trend: "&amp;HLOOKUP(MID(BO$3,FIND(".",BO$3)+1,FIND(".",BO$3,FIND(".",BO$3)+1)-FIND(".",BO$3)-1),Gällivare!$B$6:$J$36,MATCH($C20,Gällivare!$B$6:$B$36,0),FALSE)&amp;CHAR(10)&amp;"Local Target: "&amp;HLOOKUP(RIGHT(BO$3,LEN(BO$3)-FIND(".",BO$3,FIND(".",BO$3)+1)),Gällivare!$B$6:$J$36,MATCH($C20,Gällivare!$B$6:$B$36,0),FALSE)))</f>
        <v>Low</v>
      </c>
      <c r="BP20" s="177" t="str">
        <f>IF(AND(HLOOKUP(MID(BP$3,FIND(".",BP$3)+1,FIND(".",BP$3,FIND(".",BP$3)+1)-FIND(".",BP$3)-1),Gällivare!$B$6:$J$36,MATCH($C20,Gällivare!$B$6:$B$36,0),FALSE)="No Impact",HLOOKUP(RIGHT(BP$3,LEN(BP$3)-FIND(".",BP$3,FIND(".",BP$3)+1)),Gällivare!$B$6:$J$36,MATCH($C20,Gällivare!$B$6:$B$36,0),FALSE)="No Impact"),HLOOKUP(LEFT(BP$3,4),Global!$B$6:$J$36,MATCH($C20,Global!$B$6:$B$36,0),FALSE),IF(AND(HLOOKUP(MID(BP$3,FIND(".",BP$3)+1,FIND(".",BP$3,FIND(".",BP$3)+1)-FIND(".",BP$3)-1),Gällivare!$B$6:$J$36,MATCH($C20,Gällivare!$B$6:$B$36,0),FALSE)="No Impact",HLOOKUP(LEFT(BP$3,4),Global!$B$6:$J$36,MATCH($C20,Global!$B$6:$B$36,0),FALSE)="No Impact"),HLOOKUP(RIGHT(BP$3,LEN(BP$3)-FIND(".",BP$3,FIND(".",BP$3)+1)),Gällivare!$B$6:$J$36,MATCH($C20,Gällivare!$B$6:$B$36,0),FALSE),"Global: "&amp;HLOOKUP(LEFT(BP$3,4),Global!$B$6:$J$36,MATCH($C20,Global!$B$6:$B$36,0),FALSE)&amp;CHAR(10)&amp;"Local Trend: "&amp;HLOOKUP(MID(BP$3,FIND(".",BP$3)+1,FIND(".",BP$3,FIND(".",BP$3)+1)-FIND(".",BP$3)-1),Gällivare!$B$6:$J$36,MATCH($C20,Gällivare!$B$6:$B$36,0),FALSE)&amp;CHAR(10)&amp;"Local Target: "&amp;HLOOKUP(RIGHT(BP$3,LEN(BP$3)-FIND(".",BP$3,FIND(".",BP$3)+1)),Gällivare!$B$6:$J$36,MATCH($C20,Gällivare!$B$6:$B$36,0),FALSE)))</f>
        <v>Low</v>
      </c>
      <c r="BT20" s="178"/>
      <c r="BU20" s="181"/>
      <c r="BV20" s="181"/>
    </row>
    <row r="21" spans="2:74" ht="28.8" x14ac:dyDescent="0.3">
      <c r="B21" s="246"/>
      <c r="C21" s="148" t="s">
        <v>134</v>
      </c>
      <c r="D21" s="247"/>
      <c r="E21" s="175" t="s">
        <v>193</v>
      </c>
      <c r="F21" s="176" t="s">
        <v>165</v>
      </c>
      <c r="G21" s="176"/>
      <c r="H21" s="175" t="str">
        <f t="shared" si="1"/>
        <v>High</v>
      </c>
      <c r="I21" s="175" t="str">
        <f t="shared" si="1"/>
        <v>High</v>
      </c>
      <c r="J21" s="175" t="str">
        <f t="shared" si="1"/>
        <v>High</v>
      </c>
      <c r="K21" s="175" t="str">
        <f t="shared" si="1"/>
        <v>High</v>
      </c>
      <c r="L21" s="175" t="str">
        <f t="shared" si="1"/>
        <v>High</v>
      </c>
      <c r="M21" s="175" t="str">
        <f t="shared" si="1"/>
        <v>High</v>
      </c>
      <c r="N21" s="175" t="str">
        <f t="shared" si="1"/>
        <v>Medium</v>
      </c>
      <c r="O21" s="175" t="str">
        <f t="shared" si="1"/>
        <v>Medium</v>
      </c>
      <c r="P21" s="175" t="str">
        <f t="shared" si="1"/>
        <v>Medium</v>
      </c>
      <c r="Q21" s="175" t="str">
        <f t="shared" si="1"/>
        <v>Medium</v>
      </c>
      <c r="R21" s="175" t="str">
        <f t="shared" si="1"/>
        <v>Medium</v>
      </c>
      <c r="S21" s="175" t="str">
        <f t="shared" si="1"/>
        <v>Medium</v>
      </c>
      <c r="T21" s="175" t="str">
        <f t="shared" si="1"/>
        <v>Low</v>
      </c>
      <c r="U21" s="175" t="str">
        <f t="shared" si="1"/>
        <v>Low</v>
      </c>
      <c r="V21" s="175" t="str">
        <f t="shared" si="1"/>
        <v>Low</v>
      </c>
      <c r="W21" s="175" t="str">
        <f t="shared" si="1"/>
        <v>Low</v>
      </c>
      <c r="X21" s="175" t="str">
        <f t="shared" si="5"/>
        <v>Low</v>
      </c>
      <c r="Y21" s="175" t="str">
        <f t="shared" si="5"/>
        <v>Low</v>
      </c>
      <c r="Z21" s="175" t="str">
        <f t="shared" si="5"/>
        <v>HIgh</v>
      </c>
      <c r="AA21" s="175" t="str">
        <f t="shared" si="5"/>
        <v>HIgh</v>
      </c>
      <c r="AB21" s="175" t="str">
        <f t="shared" si="5"/>
        <v>HIgh</v>
      </c>
      <c r="AC21" s="175" t="str">
        <f t="shared" si="5"/>
        <v>HIgh</v>
      </c>
      <c r="AD21" s="175" t="str">
        <f t="shared" si="5"/>
        <v>HIgh</v>
      </c>
      <c r="AE21" s="175" t="str">
        <f t="shared" si="5"/>
        <v>HIgh</v>
      </c>
      <c r="AF21" s="175" t="str">
        <f t="shared" si="4"/>
        <v>Low</v>
      </c>
      <c r="AG21" s="175" t="str">
        <f t="shared" si="4"/>
        <v>Low</v>
      </c>
      <c r="AH21" s="175" t="str">
        <f t="shared" si="4"/>
        <v>Low</v>
      </c>
      <c r="AI21" s="175" t="str">
        <f t="shared" si="4"/>
        <v>Low</v>
      </c>
      <c r="AJ21" s="175" t="str">
        <f t="shared" si="4"/>
        <v>Low</v>
      </c>
      <c r="AK21" s="175" t="str">
        <f t="shared" si="4"/>
        <v>Low</v>
      </c>
      <c r="AL21" s="176"/>
      <c r="AM21" s="177" t="str">
        <f>IF(AND(HLOOKUP(MID(AM$3,FIND(".",AM$3)+1,FIND(".",AM$3,FIND(".",AM$3)+1)-FIND(".",AM$3)-1),Gällivare!$B$6:$J$36,MATCH($C21,Gällivare!$B$6:$B$36,0),FALSE)="No Impact",HLOOKUP(RIGHT(AM$3,LEN(AM$3)-FIND(".",AM$3,FIND(".",AM$3)+1)),Gällivare!$B$6:$J$36,MATCH($C21,Gällivare!$B$6:$B$36,0),FALSE)="No Impact"),HLOOKUP(LEFT(AM$3,4),Global!$B$6:$J$36,MATCH($C21,Global!$B$6:$B$36,0),FALSE),IF(AND(HLOOKUP(MID(AM$3,FIND(".",AM$3)+1,FIND(".",AM$3,FIND(".",AM$3)+1)-FIND(".",AM$3)-1),Gällivare!$B$6:$J$36,MATCH($C21,Gällivare!$B$6:$B$36,0),FALSE)="No Impact",HLOOKUP(LEFT(AM$3,4),Global!$B$6:$J$36,MATCH($C21,Global!$B$6:$B$36,0),FALSE)="No Impact"),HLOOKUP(RIGHT(AM$3,LEN(AM$3)-FIND(".",AM$3,FIND(".",AM$3)+1)),Gällivare!$B$6:$J$36,MATCH($C21,Gällivare!$B$6:$B$36,0),FALSE),"Global: "&amp;HLOOKUP(LEFT(AM$3,4),Global!$B$6:$J$36,MATCH($C21,Global!$B$6:$B$36,0),FALSE)&amp;CHAR(10)&amp;"Local Trend: "&amp;HLOOKUP(MID(AM$3,FIND(".",AM$3)+1,FIND(".",AM$3,FIND(".",AM$3)+1)-FIND(".",AM$3)-1),Gällivare!$B$6:$J$36,MATCH($C21,Gällivare!$B$6:$B$36,0),FALSE)&amp;CHAR(10)&amp;"Local Target: "&amp;HLOOKUP(RIGHT(AM$3,LEN(AM$3)-FIND(".",AM$3,FIND(".",AM$3)+1)),Gällivare!$B$6:$J$36,MATCH($C21,Gällivare!$B$6:$B$36,0),FALSE)))</f>
        <v>High</v>
      </c>
      <c r="AN21" s="177" t="str">
        <f>IF(AND(HLOOKUP(MID(AN$3,FIND(".",AN$3)+1,FIND(".",AN$3,FIND(".",AN$3)+1)-FIND(".",AN$3)-1),Gällivare!$B$6:$J$36,MATCH($C21,Gällivare!$B$6:$B$36,0),FALSE)="No Impact",HLOOKUP(RIGHT(AN$3,LEN(AN$3)-FIND(".",AN$3,FIND(".",AN$3)+1)),Gällivare!$B$6:$J$36,MATCH($C21,Gällivare!$B$6:$B$36,0),FALSE)="No Impact"),HLOOKUP(LEFT(AN$3,4),Global!$B$6:$J$36,MATCH($C21,Global!$B$6:$B$36,0),FALSE),IF(AND(HLOOKUP(MID(AN$3,FIND(".",AN$3)+1,FIND(".",AN$3,FIND(".",AN$3)+1)-FIND(".",AN$3)-1),Gällivare!$B$6:$J$36,MATCH($C21,Gällivare!$B$6:$B$36,0),FALSE)="No Impact",HLOOKUP(LEFT(AN$3,4),Global!$B$6:$J$36,MATCH($C21,Global!$B$6:$B$36,0),FALSE)="No Impact"),HLOOKUP(RIGHT(AN$3,LEN(AN$3)-FIND(".",AN$3,FIND(".",AN$3)+1)),Gällivare!$B$6:$J$36,MATCH($C21,Gällivare!$B$6:$B$36,0),FALSE),"Global: "&amp;HLOOKUP(LEFT(AN$3,4),Global!$B$6:$J$36,MATCH($C21,Global!$B$6:$B$36,0),FALSE)&amp;CHAR(10)&amp;"Local Trend: "&amp;HLOOKUP(MID(AN$3,FIND(".",AN$3)+1,FIND(".",AN$3,FIND(".",AN$3)+1)-FIND(".",AN$3)-1),Gällivare!$B$6:$J$36,MATCH($C21,Gällivare!$B$6:$B$36,0),FALSE)&amp;CHAR(10)&amp;"Local Target: "&amp;HLOOKUP(RIGHT(AN$3,LEN(AN$3)-FIND(".",AN$3,FIND(".",AN$3)+1)),Gällivare!$B$6:$J$36,MATCH($C21,Gällivare!$B$6:$B$36,0),FALSE)))</f>
        <v>High</v>
      </c>
      <c r="AO21" s="177" t="str">
        <f>IF(AND(HLOOKUP(MID(AO$3,FIND(".",AO$3)+1,FIND(".",AO$3,FIND(".",AO$3)+1)-FIND(".",AO$3)-1),Gällivare!$B$6:$J$36,MATCH($C21,Gällivare!$B$6:$B$36,0),FALSE)="No Impact",HLOOKUP(RIGHT(AO$3,LEN(AO$3)-FIND(".",AO$3,FIND(".",AO$3)+1)),Gällivare!$B$6:$J$36,MATCH($C21,Gällivare!$B$6:$B$36,0),FALSE)="No Impact"),HLOOKUP(LEFT(AO$3,4),Global!$B$6:$J$36,MATCH($C21,Global!$B$6:$B$36,0),FALSE),IF(AND(HLOOKUP(MID(AO$3,FIND(".",AO$3)+1,FIND(".",AO$3,FIND(".",AO$3)+1)-FIND(".",AO$3)-1),Gällivare!$B$6:$J$36,MATCH($C21,Gällivare!$B$6:$B$36,0),FALSE)="No Impact",HLOOKUP(LEFT(AO$3,4),Global!$B$6:$J$36,MATCH($C21,Global!$B$6:$B$36,0),FALSE)="No Impact"),HLOOKUP(RIGHT(AO$3,LEN(AO$3)-FIND(".",AO$3,FIND(".",AO$3)+1)),Gällivare!$B$6:$J$36,MATCH($C21,Gällivare!$B$6:$B$36,0),FALSE),"Global: "&amp;HLOOKUP(LEFT(AO$3,4),Global!$B$6:$J$36,MATCH($C21,Global!$B$6:$B$36,0),FALSE)&amp;CHAR(10)&amp;"Local Trend: "&amp;HLOOKUP(MID(AO$3,FIND(".",AO$3)+1,FIND(".",AO$3,FIND(".",AO$3)+1)-FIND(".",AO$3)-1),Gällivare!$B$6:$J$36,MATCH($C21,Gällivare!$B$6:$B$36,0),FALSE)&amp;CHAR(10)&amp;"Local Target: "&amp;HLOOKUP(RIGHT(AO$3,LEN(AO$3)-FIND(".",AO$3,FIND(".",AO$3)+1)),Gällivare!$B$6:$J$36,MATCH($C21,Gällivare!$B$6:$B$36,0),FALSE)))</f>
        <v>High</v>
      </c>
      <c r="AP21" s="177" t="str">
        <f>IF(AND(HLOOKUP(MID(AP$3,FIND(".",AP$3)+1,FIND(".",AP$3,FIND(".",AP$3)+1)-FIND(".",AP$3)-1),Gällivare!$B$6:$J$36,MATCH($C21,Gällivare!$B$6:$B$36,0),FALSE)="No Impact",HLOOKUP(RIGHT(AP$3,LEN(AP$3)-FIND(".",AP$3,FIND(".",AP$3)+1)),Gällivare!$B$6:$J$36,MATCH($C21,Gällivare!$B$6:$B$36,0),FALSE)="No Impact"),HLOOKUP(LEFT(AP$3,4),Global!$B$6:$J$36,MATCH($C21,Global!$B$6:$B$36,0),FALSE),IF(AND(HLOOKUP(MID(AP$3,FIND(".",AP$3)+1,FIND(".",AP$3,FIND(".",AP$3)+1)-FIND(".",AP$3)-1),Gällivare!$B$6:$J$36,MATCH($C21,Gällivare!$B$6:$B$36,0),FALSE)="No Impact",HLOOKUP(LEFT(AP$3,4),Global!$B$6:$J$36,MATCH($C21,Global!$B$6:$B$36,0),FALSE)="No Impact"),HLOOKUP(RIGHT(AP$3,LEN(AP$3)-FIND(".",AP$3,FIND(".",AP$3)+1)),Gällivare!$B$6:$J$36,MATCH($C21,Gällivare!$B$6:$B$36,0),FALSE),"Global: "&amp;HLOOKUP(LEFT(AP$3,4),Global!$B$6:$J$36,MATCH($C21,Global!$B$6:$B$36,0),FALSE)&amp;CHAR(10)&amp;"Local Trend: "&amp;HLOOKUP(MID(AP$3,FIND(".",AP$3)+1,FIND(".",AP$3,FIND(".",AP$3)+1)-FIND(".",AP$3)-1),Gällivare!$B$6:$J$36,MATCH($C21,Gällivare!$B$6:$B$36,0),FALSE)&amp;CHAR(10)&amp;"Local Target: "&amp;HLOOKUP(RIGHT(AP$3,LEN(AP$3)-FIND(".",AP$3,FIND(".",AP$3)+1)),Gällivare!$B$6:$J$36,MATCH($C21,Gällivare!$B$6:$B$36,0),FALSE)))</f>
        <v>High</v>
      </c>
      <c r="AQ21" s="177" t="str">
        <f>IF(AND(HLOOKUP(MID(AQ$3,FIND(".",AQ$3)+1,FIND(".",AQ$3,FIND(".",AQ$3)+1)-FIND(".",AQ$3)-1),Gällivare!$B$6:$J$36,MATCH($C21,Gällivare!$B$6:$B$36,0),FALSE)="No Impact",HLOOKUP(RIGHT(AQ$3,LEN(AQ$3)-FIND(".",AQ$3,FIND(".",AQ$3)+1)),Gällivare!$B$6:$J$36,MATCH($C21,Gällivare!$B$6:$B$36,0),FALSE)="No Impact"),HLOOKUP(LEFT(AQ$3,4),Global!$B$6:$J$36,MATCH($C21,Global!$B$6:$B$36,0),FALSE),IF(AND(HLOOKUP(MID(AQ$3,FIND(".",AQ$3)+1,FIND(".",AQ$3,FIND(".",AQ$3)+1)-FIND(".",AQ$3)-1),Gällivare!$B$6:$J$36,MATCH($C21,Gällivare!$B$6:$B$36,0),FALSE)="No Impact",HLOOKUP(LEFT(AQ$3,4),Global!$B$6:$J$36,MATCH($C21,Global!$B$6:$B$36,0),FALSE)="No Impact"),HLOOKUP(RIGHT(AQ$3,LEN(AQ$3)-FIND(".",AQ$3,FIND(".",AQ$3)+1)),Gällivare!$B$6:$J$36,MATCH($C21,Gällivare!$B$6:$B$36,0),FALSE),"Global: "&amp;HLOOKUP(LEFT(AQ$3,4),Global!$B$6:$J$36,MATCH($C21,Global!$B$6:$B$36,0),FALSE)&amp;CHAR(10)&amp;"Local Trend: "&amp;HLOOKUP(MID(AQ$3,FIND(".",AQ$3)+1,FIND(".",AQ$3,FIND(".",AQ$3)+1)-FIND(".",AQ$3)-1),Gällivare!$B$6:$J$36,MATCH($C21,Gällivare!$B$6:$B$36,0),FALSE)&amp;CHAR(10)&amp;"Local Target: "&amp;HLOOKUP(RIGHT(AQ$3,LEN(AQ$3)-FIND(".",AQ$3,FIND(".",AQ$3)+1)),Gällivare!$B$6:$J$36,MATCH($C21,Gällivare!$B$6:$B$36,0),FALSE)))</f>
        <v>High</v>
      </c>
      <c r="AR21" s="177" t="str">
        <f>IF(AND(HLOOKUP(MID(AR$3,FIND(".",AR$3)+1,FIND(".",AR$3,FIND(".",AR$3)+1)-FIND(".",AR$3)-1),Gällivare!$B$6:$J$36,MATCH($C21,Gällivare!$B$6:$B$36,0),FALSE)="No Impact",HLOOKUP(RIGHT(AR$3,LEN(AR$3)-FIND(".",AR$3,FIND(".",AR$3)+1)),Gällivare!$B$6:$J$36,MATCH($C21,Gällivare!$B$6:$B$36,0),FALSE)="No Impact"),HLOOKUP(LEFT(AR$3,4),Global!$B$6:$J$36,MATCH($C21,Global!$B$6:$B$36,0),FALSE),IF(AND(HLOOKUP(MID(AR$3,FIND(".",AR$3)+1,FIND(".",AR$3,FIND(".",AR$3)+1)-FIND(".",AR$3)-1),Gällivare!$B$6:$J$36,MATCH($C21,Gällivare!$B$6:$B$36,0),FALSE)="No Impact",HLOOKUP(LEFT(AR$3,4),Global!$B$6:$J$36,MATCH($C21,Global!$B$6:$B$36,0),FALSE)="No Impact"),HLOOKUP(RIGHT(AR$3,LEN(AR$3)-FIND(".",AR$3,FIND(".",AR$3)+1)),Gällivare!$B$6:$J$36,MATCH($C21,Gällivare!$B$6:$B$36,0),FALSE),"Global: "&amp;HLOOKUP(LEFT(AR$3,4),Global!$B$6:$J$36,MATCH($C21,Global!$B$6:$B$36,0),FALSE)&amp;CHAR(10)&amp;"Local Trend: "&amp;HLOOKUP(MID(AR$3,FIND(".",AR$3)+1,FIND(".",AR$3,FIND(".",AR$3)+1)-FIND(".",AR$3)-1),Gällivare!$B$6:$J$36,MATCH($C21,Gällivare!$B$6:$B$36,0),FALSE)&amp;CHAR(10)&amp;"Local Target: "&amp;HLOOKUP(RIGHT(AR$3,LEN(AR$3)-FIND(".",AR$3,FIND(".",AR$3)+1)),Gällivare!$B$6:$J$36,MATCH($C21,Gällivare!$B$6:$B$36,0),FALSE)))</f>
        <v>High</v>
      </c>
      <c r="AS21" s="177" t="str">
        <f>IF(AND(HLOOKUP(MID(AS$3,FIND(".",AS$3)+1,FIND(".",AS$3,FIND(".",AS$3)+1)-FIND(".",AS$3)-1),Gällivare!$B$6:$J$36,MATCH($C21,Gällivare!$B$6:$B$36,0),FALSE)="No Impact",HLOOKUP(RIGHT(AS$3,LEN(AS$3)-FIND(".",AS$3,FIND(".",AS$3)+1)),Gällivare!$B$6:$J$36,MATCH($C21,Gällivare!$B$6:$B$36,0),FALSE)="No Impact"),HLOOKUP(LEFT(AS$3,4),Global!$B$6:$J$36,MATCH($C21,Global!$B$6:$B$36,0),FALSE),IF(AND(HLOOKUP(MID(AS$3,FIND(".",AS$3)+1,FIND(".",AS$3,FIND(".",AS$3)+1)-FIND(".",AS$3)-1),Gällivare!$B$6:$J$36,MATCH($C21,Gällivare!$B$6:$B$36,0),FALSE)="No Impact",HLOOKUP(LEFT(AS$3,4),Global!$B$6:$J$36,MATCH($C21,Global!$B$6:$B$36,0),FALSE)="No Impact"),HLOOKUP(RIGHT(AS$3,LEN(AS$3)-FIND(".",AS$3,FIND(".",AS$3)+1)),Gällivare!$B$6:$J$36,MATCH($C21,Gällivare!$B$6:$B$36,0),FALSE),"Global: "&amp;HLOOKUP(LEFT(AS$3,4),Global!$B$6:$J$36,MATCH($C21,Global!$B$6:$B$36,0),FALSE)&amp;CHAR(10)&amp;"Local Trend: "&amp;HLOOKUP(MID(AS$3,FIND(".",AS$3)+1,FIND(".",AS$3,FIND(".",AS$3)+1)-FIND(".",AS$3)-1),Gällivare!$B$6:$J$36,MATCH($C21,Gällivare!$B$6:$B$36,0),FALSE)&amp;CHAR(10)&amp;"Local Target: "&amp;HLOOKUP(RIGHT(AS$3,LEN(AS$3)-FIND(".",AS$3,FIND(".",AS$3)+1)),Gällivare!$B$6:$J$36,MATCH($C21,Gällivare!$B$6:$B$36,0),FALSE)))</f>
        <v>Medium</v>
      </c>
      <c r="AT21" s="177" t="str">
        <f>IF(AND(HLOOKUP(MID(AT$3,FIND(".",AT$3)+1,FIND(".",AT$3,FIND(".",AT$3)+1)-FIND(".",AT$3)-1),Gällivare!$B$6:$J$36,MATCH($C21,Gällivare!$B$6:$B$36,0),FALSE)="No Impact",HLOOKUP(RIGHT(AT$3,LEN(AT$3)-FIND(".",AT$3,FIND(".",AT$3)+1)),Gällivare!$B$6:$J$36,MATCH($C21,Gällivare!$B$6:$B$36,0),FALSE)="No Impact"),HLOOKUP(LEFT(AT$3,4),Global!$B$6:$J$36,MATCH($C21,Global!$B$6:$B$36,0),FALSE),IF(AND(HLOOKUP(MID(AT$3,FIND(".",AT$3)+1,FIND(".",AT$3,FIND(".",AT$3)+1)-FIND(".",AT$3)-1),Gällivare!$B$6:$J$36,MATCH($C21,Gällivare!$B$6:$B$36,0),FALSE)="No Impact",HLOOKUP(LEFT(AT$3,4),Global!$B$6:$J$36,MATCH($C21,Global!$B$6:$B$36,0),FALSE)="No Impact"),HLOOKUP(RIGHT(AT$3,LEN(AT$3)-FIND(".",AT$3,FIND(".",AT$3)+1)),Gällivare!$B$6:$J$36,MATCH($C21,Gällivare!$B$6:$B$36,0),FALSE),"Global: "&amp;HLOOKUP(LEFT(AT$3,4),Global!$B$6:$J$36,MATCH($C21,Global!$B$6:$B$36,0),FALSE)&amp;CHAR(10)&amp;"Local Trend: "&amp;HLOOKUP(MID(AT$3,FIND(".",AT$3)+1,FIND(".",AT$3,FIND(".",AT$3)+1)-FIND(".",AT$3)-1),Gällivare!$B$6:$J$36,MATCH($C21,Gällivare!$B$6:$B$36,0),FALSE)&amp;CHAR(10)&amp;"Local Target: "&amp;HLOOKUP(RIGHT(AT$3,LEN(AT$3)-FIND(".",AT$3,FIND(".",AT$3)+1)),Gällivare!$B$6:$J$36,MATCH($C21,Gällivare!$B$6:$B$36,0),FALSE)))</f>
        <v>Medium</v>
      </c>
      <c r="AU21" s="177" t="str">
        <f>IF(AND(HLOOKUP(MID(AU$3,FIND(".",AU$3)+1,FIND(".",AU$3,FIND(".",AU$3)+1)-FIND(".",AU$3)-1),Gällivare!$B$6:$J$36,MATCH($C21,Gällivare!$B$6:$B$36,0),FALSE)="No Impact",HLOOKUP(RIGHT(AU$3,LEN(AU$3)-FIND(".",AU$3,FIND(".",AU$3)+1)),Gällivare!$B$6:$J$36,MATCH($C21,Gällivare!$B$6:$B$36,0),FALSE)="No Impact"),HLOOKUP(LEFT(AU$3,4),Global!$B$6:$J$36,MATCH($C21,Global!$B$6:$B$36,0),FALSE),IF(AND(HLOOKUP(MID(AU$3,FIND(".",AU$3)+1,FIND(".",AU$3,FIND(".",AU$3)+1)-FIND(".",AU$3)-1),Gällivare!$B$6:$J$36,MATCH($C21,Gällivare!$B$6:$B$36,0),FALSE)="No Impact",HLOOKUP(LEFT(AU$3,4),Global!$B$6:$J$36,MATCH($C21,Global!$B$6:$B$36,0),FALSE)="No Impact"),HLOOKUP(RIGHT(AU$3,LEN(AU$3)-FIND(".",AU$3,FIND(".",AU$3)+1)),Gällivare!$B$6:$J$36,MATCH($C21,Gällivare!$B$6:$B$36,0),FALSE),"Global: "&amp;HLOOKUP(LEFT(AU$3,4),Global!$B$6:$J$36,MATCH($C21,Global!$B$6:$B$36,0),FALSE)&amp;CHAR(10)&amp;"Local Trend: "&amp;HLOOKUP(MID(AU$3,FIND(".",AU$3)+1,FIND(".",AU$3,FIND(".",AU$3)+1)-FIND(".",AU$3)-1),Gällivare!$B$6:$J$36,MATCH($C21,Gällivare!$B$6:$B$36,0),FALSE)&amp;CHAR(10)&amp;"Local Target: "&amp;HLOOKUP(RIGHT(AU$3,LEN(AU$3)-FIND(".",AU$3,FIND(".",AU$3)+1)),Gällivare!$B$6:$J$36,MATCH($C21,Gällivare!$B$6:$B$36,0),FALSE)))</f>
        <v>Medium</v>
      </c>
      <c r="AV21" s="177" t="str">
        <f>IF(AND(HLOOKUP(MID(AV$3,FIND(".",AV$3)+1,FIND(".",AV$3,FIND(".",AV$3)+1)-FIND(".",AV$3)-1),Gällivare!$B$6:$J$36,MATCH($C21,Gällivare!$B$6:$B$36,0),FALSE)="No Impact",HLOOKUP(RIGHT(AV$3,LEN(AV$3)-FIND(".",AV$3,FIND(".",AV$3)+1)),Gällivare!$B$6:$J$36,MATCH($C21,Gällivare!$B$6:$B$36,0),FALSE)="No Impact"),HLOOKUP(LEFT(AV$3,4),Global!$B$6:$J$36,MATCH($C21,Global!$B$6:$B$36,0),FALSE),IF(AND(HLOOKUP(MID(AV$3,FIND(".",AV$3)+1,FIND(".",AV$3,FIND(".",AV$3)+1)-FIND(".",AV$3)-1),Gällivare!$B$6:$J$36,MATCH($C21,Gällivare!$B$6:$B$36,0),FALSE)="No Impact",HLOOKUP(LEFT(AV$3,4),Global!$B$6:$J$36,MATCH($C21,Global!$B$6:$B$36,0),FALSE)="No Impact"),HLOOKUP(RIGHT(AV$3,LEN(AV$3)-FIND(".",AV$3,FIND(".",AV$3)+1)),Gällivare!$B$6:$J$36,MATCH($C21,Gällivare!$B$6:$B$36,0),FALSE),"Global: "&amp;HLOOKUP(LEFT(AV$3,4),Global!$B$6:$J$36,MATCH($C21,Global!$B$6:$B$36,0),FALSE)&amp;CHAR(10)&amp;"Local Trend: "&amp;HLOOKUP(MID(AV$3,FIND(".",AV$3)+1,FIND(".",AV$3,FIND(".",AV$3)+1)-FIND(".",AV$3)-1),Gällivare!$B$6:$J$36,MATCH($C21,Gällivare!$B$6:$B$36,0),FALSE)&amp;CHAR(10)&amp;"Local Target: "&amp;HLOOKUP(RIGHT(AV$3,LEN(AV$3)-FIND(".",AV$3,FIND(".",AV$3)+1)),Gällivare!$B$6:$J$36,MATCH($C21,Gällivare!$B$6:$B$36,0),FALSE)))</f>
        <v>Medium</v>
      </c>
      <c r="AW21" s="177" t="str">
        <f>IF(AND(HLOOKUP(MID(AW$3,FIND(".",AW$3)+1,FIND(".",AW$3,FIND(".",AW$3)+1)-FIND(".",AW$3)-1),Gällivare!$B$6:$J$36,MATCH($C21,Gällivare!$B$6:$B$36,0),FALSE)="No Impact",HLOOKUP(RIGHT(AW$3,LEN(AW$3)-FIND(".",AW$3,FIND(".",AW$3)+1)),Gällivare!$B$6:$J$36,MATCH($C21,Gällivare!$B$6:$B$36,0),FALSE)="No Impact"),HLOOKUP(LEFT(AW$3,4),Global!$B$6:$J$36,MATCH($C21,Global!$B$6:$B$36,0),FALSE),IF(AND(HLOOKUP(MID(AW$3,FIND(".",AW$3)+1,FIND(".",AW$3,FIND(".",AW$3)+1)-FIND(".",AW$3)-1),Gällivare!$B$6:$J$36,MATCH($C21,Gällivare!$B$6:$B$36,0),FALSE)="No Impact",HLOOKUP(LEFT(AW$3,4),Global!$B$6:$J$36,MATCH($C21,Global!$B$6:$B$36,0),FALSE)="No Impact"),HLOOKUP(RIGHT(AW$3,LEN(AW$3)-FIND(".",AW$3,FIND(".",AW$3)+1)),Gällivare!$B$6:$J$36,MATCH($C21,Gällivare!$B$6:$B$36,0),FALSE),"Global: "&amp;HLOOKUP(LEFT(AW$3,4),Global!$B$6:$J$36,MATCH($C21,Global!$B$6:$B$36,0),FALSE)&amp;CHAR(10)&amp;"Local Trend: "&amp;HLOOKUP(MID(AW$3,FIND(".",AW$3)+1,FIND(".",AW$3,FIND(".",AW$3)+1)-FIND(".",AW$3)-1),Gällivare!$B$6:$J$36,MATCH($C21,Gällivare!$B$6:$B$36,0),FALSE)&amp;CHAR(10)&amp;"Local Target: "&amp;HLOOKUP(RIGHT(AW$3,LEN(AW$3)-FIND(".",AW$3,FIND(".",AW$3)+1)),Gällivare!$B$6:$J$36,MATCH($C21,Gällivare!$B$6:$B$36,0),FALSE)))</f>
        <v>Medium</v>
      </c>
      <c r="AX21" s="177" t="str">
        <f>IF(AND(HLOOKUP(MID(AX$3,FIND(".",AX$3)+1,FIND(".",AX$3,FIND(".",AX$3)+1)-FIND(".",AX$3)-1),Gällivare!$B$6:$J$36,MATCH($C21,Gällivare!$B$6:$B$36,0),FALSE)="No Impact",HLOOKUP(RIGHT(AX$3,LEN(AX$3)-FIND(".",AX$3,FIND(".",AX$3)+1)),Gällivare!$B$6:$J$36,MATCH($C21,Gällivare!$B$6:$B$36,0),FALSE)="No Impact"),HLOOKUP(LEFT(AX$3,4),Global!$B$6:$J$36,MATCH($C21,Global!$B$6:$B$36,0),FALSE),IF(AND(HLOOKUP(MID(AX$3,FIND(".",AX$3)+1,FIND(".",AX$3,FIND(".",AX$3)+1)-FIND(".",AX$3)-1),Gällivare!$B$6:$J$36,MATCH($C21,Gällivare!$B$6:$B$36,0),FALSE)="No Impact",HLOOKUP(LEFT(AX$3,4),Global!$B$6:$J$36,MATCH($C21,Global!$B$6:$B$36,0),FALSE)="No Impact"),HLOOKUP(RIGHT(AX$3,LEN(AX$3)-FIND(".",AX$3,FIND(".",AX$3)+1)),Gällivare!$B$6:$J$36,MATCH($C21,Gällivare!$B$6:$B$36,0),FALSE),"Global: "&amp;HLOOKUP(LEFT(AX$3,4),Global!$B$6:$J$36,MATCH($C21,Global!$B$6:$B$36,0),FALSE)&amp;CHAR(10)&amp;"Local Trend: "&amp;HLOOKUP(MID(AX$3,FIND(".",AX$3)+1,FIND(".",AX$3,FIND(".",AX$3)+1)-FIND(".",AX$3)-1),Gällivare!$B$6:$J$36,MATCH($C21,Gällivare!$B$6:$B$36,0),FALSE)&amp;CHAR(10)&amp;"Local Target: "&amp;HLOOKUP(RIGHT(AX$3,LEN(AX$3)-FIND(".",AX$3,FIND(".",AX$3)+1)),Gällivare!$B$6:$J$36,MATCH($C21,Gällivare!$B$6:$B$36,0),FALSE)))</f>
        <v>Medium</v>
      </c>
      <c r="AY21" s="177" t="str">
        <f>IF(AND(HLOOKUP(MID(AY$3,FIND(".",AY$3)+1,FIND(".",AY$3,FIND(".",AY$3)+1)-FIND(".",AY$3)-1),Gällivare!$B$6:$J$36,MATCH($C21,Gällivare!$B$6:$B$36,0),FALSE)="No Impact",HLOOKUP(RIGHT(AY$3,LEN(AY$3)-FIND(".",AY$3,FIND(".",AY$3)+1)),Gällivare!$B$6:$J$36,MATCH($C21,Gällivare!$B$6:$B$36,0),FALSE)="No Impact"),HLOOKUP(LEFT(AY$3,4),Global!$B$6:$J$36,MATCH($C21,Global!$B$6:$B$36,0),FALSE),IF(AND(HLOOKUP(MID(AY$3,FIND(".",AY$3)+1,FIND(".",AY$3,FIND(".",AY$3)+1)-FIND(".",AY$3)-1),Gällivare!$B$6:$J$36,MATCH($C21,Gällivare!$B$6:$B$36,0),FALSE)="No Impact",HLOOKUP(LEFT(AY$3,4),Global!$B$6:$J$36,MATCH($C21,Global!$B$6:$B$36,0),FALSE)="No Impact"),HLOOKUP(RIGHT(AY$3,LEN(AY$3)-FIND(".",AY$3,FIND(".",AY$3)+1)),Gällivare!$B$6:$J$36,MATCH($C21,Gällivare!$B$6:$B$36,0),FALSE),"Global: "&amp;HLOOKUP(LEFT(AY$3,4),Global!$B$6:$J$36,MATCH($C21,Global!$B$6:$B$36,0),FALSE)&amp;CHAR(10)&amp;"Local Trend: "&amp;HLOOKUP(MID(AY$3,FIND(".",AY$3)+1,FIND(".",AY$3,FIND(".",AY$3)+1)-FIND(".",AY$3)-1),Gällivare!$B$6:$J$36,MATCH($C21,Gällivare!$B$6:$B$36,0),FALSE)&amp;CHAR(10)&amp;"Local Target: "&amp;HLOOKUP(RIGHT(AY$3,LEN(AY$3)-FIND(".",AY$3,FIND(".",AY$3)+1)),Gällivare!$B$6:$J$36,MATCH($C21,Gällivare!$B$6:$B$36,0),FALSE)))</f>
        <v>Low</v>
      </c>
      <c r="AZ21" s="177" t="str">
        <f>IF(AND(HLOOKUP(MID(AZ$3,FIND(".",AZ$3)+1,FIND(".",AZ$3,FIND(".",AZ$3)+1)-FIND(".",AZ$3)-1),Gällivare!$B$6:$J$36,MATCH($C21,Gällivare!$B$6:$B$36,0),FALSE)="No Impact",HLOOKUP(RIGHT(AZ$3,LEN(AZ$3)-FIND(".",AZ$3,FIND(".",AZ$3)+1)),Gällivare!$B$6:$J$36,MATCH($C21,Gällivare!$B$6:$B$36,0),FALSE)="No Impact"),HLOOKUP(LEFT(AZ$3,4),Global!$B$6:$J$36,MATCH($C21,Global!$B$6:$B$36,0),FALSE),IF(AND(HLOOKUP(MID(AZ$3,FIND(".",AZ$3)+1,FIND(".",AZ$3,FIND(".",AZ$3)+1)-FIND(".",AZ$3)-1),Gällivare!$B$6:$J$36,MATCH($C21,Gällivare!$B$6:$B$36,0),FALSE)="No Impact",HLOOKUP(LEFT(AZ$3,4),Global!$B$6:$J$36,MATCH($C21,Global!$B$6:$B$36,0),FALSE)="No Impact"),HLOOKUP(RIGHT(AZ$3,LEN(AZ$3)-FIND(".",AZ$3,FIND(".",AZ$3)+1)),Gällivare!$B$6:$J$36,MATCH($C21,Gällivare!$B$6:$B$36,0),FALSE),"Global: "&amp;HLOOKUP(LEFT(AZ$3,4),Global!$B$6:$J$36,MATCH($C21,Global!$B$6:$B$36,0),FALSE)&amp;CHAR(10)&amp;"Local Trend: "&amp;HLOOKUP(MID(AZ$3,FIND(".",AZ$3)+1,FIND(".",AZ$3,FIND(".",AZ$3)+1)-FIND(".",AZ$3)-1),Gällivare!$B$6:$J$36,MATCH($C21,Gällivare!$B$6:$B$36,0),FALSE)&amp;CHAR(10)&amp;"Local Target: "&amp;HLOOKUP(RIGHT(AZ$3,LEN(AZ$3)-FIND(".",AZ$3,FIND(".",AZ$3)+1)),Gällivare!$B$6:$J$36,MATCH($C21,Gällivare!$B$6:$B$36,0),FALSE)))</f>
        <v>Low</v>
      </c>
      <c r="BA21" s="177" t="str">
        <f>IF(AND(HLOOKUP(MID(BA$3,FIND(".",BA$3)+1,FIND(".",BA$3,FIND(".",BA$3)+1)-FIND(".",BA$3)-1),Gällivare!$B$6:$J$36,MATCH($C21,Gällivare!$B$6:$B$36,0),FALSE)="No Impact",HLOOKUP(RIGHT(BA$3,LEN(BA$3)-FIND(".",BA$3,FIND(".",BA$3)+1)),Gällivare!$B$6:$J$36,MATCH($C21,Gällivare!$B$6:$B$36,0),FALSE)="No Impact"),HLOOKUP(LEFT(BA$3,4),Global!$B$6:$J$36,MATCH($C21,Global!$B$6:$B$36,0),FALSE),IF(AND(HLOOKUP(MID(BA$3,FIND(".",BA$3)+1,FIND(".",BA$3,FIND(".",BA$3)+1)-FIND(".",BA$3)-1),Gällivare!$B$6:$J$36,MATCH($C21,Gällivare!$B$6:$B$36,0),FALSE)="No Impact",HLOOKUP(LEFT(BA$3,4),Global!$B$6:$J$36,MATCH($C21,Global!$B$6:$B$36,0),FALSE)="No Impact"),HLOOKUP(RIGHT(BA$3,LEN(BA$3)-FIND(".",BA$3,FIND(".",BA$3)+1)),Gällivare!$B$6:$J$36,MATCH($C21,Gällivare!$B$6:$B$36,0),FALSE),"Global: "&amp;HLOOKUP(LEFT(BA$3,4),Global!$B$6:$J$36,MATCH($C21,Global!$B$6:$B$36,0),FALSE)&amp;CHAR(10)&amp;"Local Trend: "&amp;HLOOKUP(MID(BA$3,FIND(".",BA$3)+1,FIND(".",BA$3,FIND(".",BA$3)+1)-FIND(".",BA$3)-1),Gällivare!$B$6:$J$36,MATCH($C21,Gällivare!$B$6:$B$36,0),FALSE)&amp;CHAR(10)&amp;"Local Target: "&amp;HLOOKUP(RIGHT(BA$3,LEN(BA$3)-FIND(".",BA$3,FIND(".",BA$3)+1)),Gällivare!$B$6:$J$36,MATCH($C21,Gällivare!$B$6:$B$36,0),FALSE)))</f>
        <v>Low</v>
      </c>
      <c r="BB21" s="177" t="str">
        <f>IF(AND(HLOOKUP(MID(BB$3,FIND(".",BB$3)+1,FIND(".",BB$3,FIND(".",BB$3)+1)-FIND(".",BB$3)-1),Gällivare!$B$6:$J$36,MATCH($C21,Gällivare!$B$6:$B$36,0),FALSE)="No Impact",HLOOKUP(RIGHT(BB$3,LEN(BB$3)-FIND(".",BB$3,FIND(".",BB$3)+1)),Gällivare!$B$6:$J$36,MATCH($C21,Gällivare!$B$6:$B$36,0),FALSE)="No Impact"),HLOOKUP(LEFT(BB$3,4),Global!$B$6:$J$36,MATCH($C21,Global!$B$6:$B$36,0),FALSE),IF(AND(HLOOKUP(MID(BB$3,FIND(".",BB$3)+1,FIND(".",BB$3,FIND(".",BB$3)+1)-FIND(".",BB$3)-1),Gällivare!$B$6:$J$36,MATCH($C21,Gällivare!$B$6:$B$36,0),FALSE)="No Impact",HLOOKUP(LEFT(BB$3,4),Global!$B$6:$J$36,MATCH($C21,Global!$B$6:$B$36,0),FALSE)="No Impact"),HLOOKUP(RIGHT(BB$3,LEN(BB$3)-FIND(".",BB$3,FIND(".",BB$3)+1)),Gällivare!$B$6:$J$36,MATCH($C21,Gällivare!$B$6:$B$36,0),FALSE),"Global: "&amp;HLOOKUP(LEFT(BB$3,4),Global!$B$6:$J$36,MATCH($C21,Global!$B$6:$B$36,0),FALSE)&amp;CHAR(10)&amp;"Local Trend: "&amp;HLOOKUP(MID(BB$3,FIND(".",BB$3)+1,FIND(".",BB$3,FIND(".",BB$3)+1)-FIND(".",BB$3)-1),Gällivare!$B$6:$J$36,MATCH($C21,Gällivare!$B$6:$B$36,0),FALSE)&amp;CHAR(10)&amp;"Local Target: "&amp;HLOOKUP(RIGHT(BB$3,LEN(BB$3)-FIND(".",BB$3,FIND(".",BB$3)+1)),Gällivare!$B$6:$J$36,MATCH($C21,Gällivare!$B$6:$B$36,0),FALSE)))</f>
        <v>Low</v>
      </c>
      <c r="BC21" s="177" t="str">
        <f>IF(AND(HLOOKUP(MID(BC$3,FIND(".",BC$3)+1,FIND(".",BC$3,FIND(".",BC$3)+1)-FIND(".",BC$3)-1),Gällivare!$B$6:$J$36,MATCH($C21,Gällivare!$B$6:$B$36,0),FALSE)="No Impact",HLOOKUP(RIGHT(BC$3,LEN(BC$3)-FIND(".",BC$3,FIND(".",BC$3)+1)),Gällivare!$B$6:$J$36,MATCH($C21,Gällivare!$B$6:$B$36,0),FALSE)="No Impact"),HLOOKUP(LEFT(BC$3,4),Global!$B$6:$J$36,MATCH($C21,Global!$B$6:$B$36,0),FALSE),IF(AND(HLOOKUP(MID(BC$3,FIND(".",BC$3)+1,FIND(".",BC$3,FIND(".",BC$3)+1)-FIND(".",BC$3)-1),Gällivare!$B$6:$J$36,MATCH($C21,Gällivare!$B$6:$B$36,0),FALSE)="No Impact",HLOOKUP(LEFT(BC$3,4),Global!$B$6:$J$36,MATCH($C21,Global!$B$6:$B$36,0),FALSE)="No Impact"),HLOOKUP(RIGHT(BC$3,LEN(BC$3)-FIND(".",BC$3,FIND(".",BC$3)+1)),Gällivare!$B$6:$J$36,MATCH($C21,Gällivare!$B$6:$B$36,0),FALSE),"Global: "&amp;HLOOKUP(LEFT(BC$3,4),Global!$B$6:$J$36,MATCH($C21,Global!$B$6:$B$36,0),FALSE)&amp;CHAR(10)&amp;"Local Trend: "&amp;HLOOKUP(MID(BC$3,FIND(".",BC$3)+1,FIND(".",BC$3,FIND(".",BC$3)+1)-FIND(".",BC$3)-1),Gällivare!$B$6:$J$36,MATCH($C21,Gällivare!$B$6:$B$36,0),FALSE)&amp;CHAR(10)&amp;"Local Target: "&amp;HLOOKUP(RIGHT(BC$3,LEN(BC$3)-FIND(".",BC$3,FIND(".",BC$3)+1)),Gällivare!$B$6:$J$36,MATCH($C21,Gällivare!$B$6:$B$36,0),FALSE)))</f>
        <v>Low</v>
      </c>
      <c r="BD21" s="177" t="str">
        <f>IF(AND(HLOOKUP(MID(BD$3,FIND(".",BD$3)+1,FIND(".",BD$3,FIND(".",BD$3)+1)-FIND(".",BD$3)-1),Gällivare!$B$6:$J$36,MATCH($C21,Gällivare!$B$6:$B$36,0),FALSE)="No Impact",HLOOKUP(RIGHT(BD$3,LEN(BD$3)-FIND(".",BD$3,FIND(".",BD$3)+1)),Gällivare!$B$6:$J$36,MATCH($C21,Gällivare!$B$6:$B$36,0),FALSE)="No Impact"),HLOOKUP(LEFT(BD$3,4),Global!$B$6:$J$36,MATCH($C21,Global!$B$6:$B$36,0),FALSE),IF(AND(HLOOKUP(MID(BD$3,FIND(".",BD$3)+1,FIND(".",BD$3,FIND(".",BD$3)+1)-FIND(".",BD$3)-1),Gällivare!$B$6:$J$36,MATCH($C21,Gällivare!$B$6:$B$36,0),FALSE)="No Impact",HLOOKUP(LEFT(BD$3,4),Global!$B$6:$J$36,MATCH($C21,Global!$B$6:$B$36,0),FALSE)="No Impact"),HLOOKUP(RIGHT(BD$3,LEN(BD$3)-FIND(".",BD$3,FIND(".",BD$3)+1)),Gällivare!$B$6:$J$36,MATCH($C21,Gällivare!$B$6:$B$36,0),FALSE),"Global: "&amp;HLOOKUP(LEFT(BD$3,4),Global!$B$6:$J$36,MATCH($C21,Global!$B$6:$B$36,0),FALSE)&amp;CHAR(10)&amp;"Local Trend: "&amp;HLOOKUP(MID(BD$3,FIND(".",BD$3)+1,FIND(".",BD$3,FIND(".",BD$3)+1)-FIND(".",BD$3)-1),Gällivare!$B$6:$J$36,MATCH($C21,Gällivare!$B$6:$B$36,0),FALSE)&amp;CHAR(10)&amp;"Local Target: "&amp;HLOOKUP(RIGHT(BD$3,LEN(BD$3)-FIND(".",BD$3,FIND(".",BD$3)+1)),Gällivare!$B$6:$J$36,MATCH($C21,Gällivare!$B$6:$B$36,0),FALSE)))</f>
        <v>Low</v>
      </c>
      <c r="BE21" s="177" t="str">
        <f>IF(AND(HLOOKUP(MID(BE$3,FIND(".",BE$3)+1,FIND(".",BE$3,FIND(".",BE$3)+1)-FIND(".",BE$3)-1),Gällivare!$B$6:$J$36,MATCH($C21,Gällivare!$B$6:$B$36,0),FALSE)="No Impact",HLOOKUP(RIGHT(BE$3,LEN(BE$3)-FIND(".",BE$3,FIND(".",BE$3)+1)),Gällivare!$B$6:$J$36,MATCH($C21,Gällivare!$B$6:$B$36,0),FALSE)="No Impact"),HLOOKUP(LEFT(BE$3,4),Global!$B$6:$J$36,MATCH($C21,Global!$B$6:$B$36,0),FALSE),IF(AND(HLOOKUP(MID(BE$3,FIND(".",BE$3)+1,FIND(".",BE$3,FIND(".",BE$3)+1)-FIND(".",BE$3)-1),Gällivare!$B$6:$J$36,MATCH($C21,Gällivare!$B$6:$B$36,0),FALSE)="No Impact",HLOOKUP(LEFT(BE$3,4),Global!$B$6:$J$36,MATCH($C21,Global!$B$6:$B$36,0),FALSE)="No Impact"),HLOOKUP(RIGHT(BE$3,LEN(BE$3)-FIND(".",BE$3,FIND(".",BE$3)+1)),Gällivare!$B$6:$J$36,MATCH($C21,Gällivare!$B$6:$B$36,0),FALSE),"Global: "&amp;HLOOKUP(LEFT(BE$3,4),Global!$B$6:$J$36,MATCH($C21,Global!$B$6:$B$36,0),FALSE)&amp;CHAR(10)&amp;"Local Trend: "&amp;HLOOKUP(MID(BE$3,FIND(".",BE$3)+1,FIND(".",BE$3,FIND(".",BE$3)+1)-FIND(".",BE$3)-1),Gällivare!$B$6:$J$36,MATCH($C21,Gällivare!$B$6:$B$36,0),FALSE)&amp;CHAR(10)&amp;"Local Target: "&amp;HLOOKUP(RIGHT(BE$3,LEN(BE$3)-FIND(".",BE$3,FIND(".",BE$3)+1)),Gällivare!$B$6:$J$36,MATCH($C21,Gällivare!$B$6:$B$36,0),FALSE)))</f>
        <v>HIgh</v>
      </c>
      <c r="BF21" s="177" t="str">
        <f>IF(AND(HLOOKUP(MID(BF$3,FIND(".",BF$3)+1,FIND(".",BF$3,FIND(".",BF$3)+1)-FIND(".",BF$3)-1),Gällivare!$B$6:$J$36,MATCH($C21,Gällivare!$B$6:$B$36,0),FALSE)="No Impact",HLOOKUP(RIGHT(BF$3,LEN(BF$3)-FIND(".",BF$3,FIND(".",BF$3)+1)),Gällivare!$B$6:$J$36,MATCH($C21,Gällivare!$B$6:$B$36,0),FALSE)="No Impact"),HLOOKUP(LEFT(BF$3,4),Global!$B$6:$J$36,MATCH($C21,Global!$B$6:$B$36,0),FALSE),IF(AND(HLOOKUP(MID(BF$3,FIND(".",BF$3)+1,FIND(".",BF$3,FIND(".",BF$3)+1)-FIND(".",BF$3)-1),Gällivare!$B$6:$J$36,MATCH($C21,Gällivare!$B$6:$B$36,0),FALSE)="No Impact",HLOOKUP(LEFT(BF$3,4),Global!$B$6:$J$36,MATCH($C21,Global!$B$6:$B$36,0),FALSE)="No Impact"),HLOOKUP(RIGHT(BF$3,LEN(BF$3)-FIND(".",BF$3,FIND(".",BF$3)+1)),Gällivare!$B$6:$J$36,MATCH($C21,Gällivare!$B$6:$B$36,0),FALSE),"Global: "&amp;HLOOKUP(LEFT(BF$3,4),Global!$B$6:$J$36,MATCH($C21,Global!$B$6:$B$36,0),FALSE)&amp;CHAR(10)&amp;"Local Trend: "&amp;HLOOKUP(MID(BF$3,FIND(".",BF$3)+1,FIND(".",BF$3,FIND(".",BF$3)+1)-FIND(".",BF$3)-1),Gällivare!$B$6:$J$36,MATCH($C21,Gällivare!$B$6:$B$36,0),FALSE)&amp;CHAR(10)&amp;"Local Target: "&amp;HLOOKUP(RIGHT(BF$3,LEN(BF$3)-FIND(".",BF$3,FIND(".",BF$3)+1)),Gällivare!$B$6:$J$36,MATCH($C21,Gällivare!$B$6:$B$36,0),FALSE)))</f>
        <v>HIgh</v>
      </c>
      <c r="BG21" s="177" t="str">
        <f>IF(AND(HLOOKUP(MID(BG$3,FIND(".",BG$3)+1,FIND(".",BG$3,FIND(".",BG$3)+1)-FIND(".",BG$3)-1),Gällivare!$B$6:$J$36,MATCH($C21,Gällivare!$B$6:$B$36,0),FALSE)="No Impact",HLOOKUP(RIGHT(BG$3,LEN(BG$3)-FIND(".",BG$3,FIND(".",BG$3)+1)),Gällivare!$B$6:$J$36,MATCH($C21,Gällivare!$B$6:$B$36,0),FALSE)="No Impact"),HLOOKUP(LEFT(BG$3,4),Global!$B$6:$J$36,MATCH($C21,Global!$B$6:$B$36,0),FALSE),IF(AND(HLOOKUP(MID(BG$3,FIND(".",BG$3)+1,FIND(".",BG$3,FIND(".",BG$3)+1)-FIND(".",BG$3)-1),Gällivare!$B$6:$J$36,MATCH($C21,Gällivare!$B$6:$B$36,0),FALSE)="No Impact",HLOOKUP(LEFT(BG$3,4),Global!$B$6:$J$36,MATCH($C21,Global!$B$6:$B$36,0),FALSE)="No Impact"),HLOOKUP(RIGHT(BG$3,LEN(BG$3)-FIND(".",BG$3,FIND(".",BG$3)+1)),Gällivare!$B$6:$J$36,MATCH($C21,Gällivare!$B$6:$B$36,0),FALSE),"Global: "&amp;HLOOKUP(LEFT(BG$3,4),Global!$B$6:$J$36,MATCH($C21,Global!$B$6:$B$36,0),FALSE)&amp;CHAR(10)&amp;"Local Trend: "&amp;HLOOKUP(MID(BG$3,FIND(".",BG$3)+1,FIND(".",BG$3,FIND(".",BG$3)+1)-FIND(".",BG$3)-1),Gällivare!$B$6:$J$36,MATCH($C21,Gällivare!$B$6:$B$36,0),FALSE)&amp;CHAR(10)&amp;"Local Target: "&amp;HLOOKUP(RIGHT(BG$3,LEN(BG$3)-FIND(".",BG$3,FIND(".",BG$3)+1)),Gällivare!$B$6:$J$36,MATCH($C21,Gällivare!$B$6:$B$36,0),FALSE)))</f>
        <v>HIgh</v>
      </c>
      <c r="BH21" s="177" t="str">
        <f>IF(AND(HLOOKUP(MID(BH$3,FIND(".",BH$3)+1,FIND(".",BH$3,FIND(".",BH$3)+1)-FIND(".",BH$3)-1),Gällivare!$B$6:$J$36,MATCH($C21,Gällivare!$B$6:$B$36,0),FALSE)="No Impact",HLOOKUP(RIGHT(BH$3,LEN(BH$3)-FIND(".",BH$3,FIND(".",BH$3)+1)),Gällivare!$B$6:$J$36,MATCH($C21,Gällivare!$B$6:$B$36,0),FALSE)="No Impact"),HLOOKUP(LEFT(BH$3,4),Global!$B$6:$J$36,MATCH($C21,Global!$B$6:$B$36,0),FALSE),IF(AND(HLOOKUP(MID(BH$3,FIND(".",BH$3)+1,FIND(".",BH$3,FIND(".",BH$3)+1)-FIND(".",BH$3)-1),Gällivare!$B$6:$J$36,MATCH($C21,Gällivare!$B$6:$B$36,0),FALSE)="No Impact",HLOOKUP(LEFT(BH$3,4),Global!$B$6:$J$36,MATCH($C21,Global!$B$6:$B$36,0),FALSE)="No Impact"),HLOOKUP(RIGHT(BH$3,LEN(BH$3)-FIND(".",BH$3,FIND(".",BH$3)+1)),Gällivare!$B$6:$J$36,MATCH($C21,Gällivare!$B$6:$B$36,0),FALSE),"Global: "&amp;HLOOKUP(LEFT(BH$3,4),Global!$B$6:$J$36,MATCH($C21,Global!$B$6:$B$36,0),FALSE)&amp;CHAR(10)&amp;"Local Trend: "&amp;HLOOKUP(MID(BH$3,FIND(".",BH$3)+1,FIND(".",BH$3,FIND(".",BH$3)+1)-FIND(".",BH$3)-1),Gällivare!$B$6:$J$36,MATCH($C21,Gällivare!$B$6:$B$36,0),FALSE)&amp;CHAR(10)&amp;"Local Target: "&amp;HLOOKUP(RIGHT(BH$3,LEN(BH$3)-FIND(".",BH$3,FIND(".",BH$3)+1)),Gällivare!$B$6:$J$36,MATCH($C21,Gällivare!$B$6:$B$36,0),FALSE)))</f>
        <v>HIgh</v>
      </c>
      <c r="BI21" s="177" t="str">
        <f>IF(AND(HLOOKUP(MID(BI$3,FIND(".",BI$3)+1,FIND(".",BI$3,FIND(".",BI$3)+1)-FIND(".",BI$3)-1),Gällivare!$B$6:$J$36,MATCH($C21,Gällivare!$B$6:$B$36,0),FALSE)="No Impact",HLOOKUP(RIGHT(BI$3,LEN(BI$3)-FIND(".",BI$3,FIND(".",BI$3)+1)),Gällivare!$B$6:$J$36,MATCH($C21,Gällivare!$B$6:$B$36,0),FALSE)="No Impact"),HLOOKUP(LEFT(BI$3,4),Global!$B$6:$J$36,MATCH($C21,Global!$B$6:$B$36,0),FALSE),IF(AND(HLOOKUP(MID(BI$3,FIND(".",BI$3)+1,FIND(".",BI$3,FIND(".",BI$3)+1)-FIND(".",BI$3)-1),Gällivare!$B$6:$J$36,MATCH($C21,Gällivare!$B$6:$B$36,0),FALSE)="No Impact",HLOOKUP(LEFT(BI$3,4),Global!$B$6:$J$36,MATCH($C21,Global!$B$6:$B$36,0),FALSE)="No Impact"),HLOOKUP(RIGHT(BI$3,LEN(BI$3)-FIND(".",BI$3,FIND(".",BI$3)+1)),Gällivare!$B$6:$J$36,MATCH($C21,Gällivare!$B$6:$B$36,0),FALSE),"Global: "&amp;HLOOKUP(LEFT(BI$3,4),Global!$B$6:$J$36,MATCH($C21,Global!$B$6:$B$36,0),FALSE)&amp;CHAR(10)&amp;"Local Trend: "&amp;HLOOKUP(MID(BI$3,FIND(".",BI$3)+1,FIND(".",BI$3,FIND(".",BI$3)+1)-FIND(".",BI$3)-1),Gällivare!$B$6:$J$36,MATCH($C21,Gällivare!$B$6:$B$36,0),FALSE)&amp;CHAR(10)&amp;"Local Target: "&amp;HLOOKUP(RIGHT(BI$3,LEN(BI$3)-FIND(".",BI$3,FIND(".",BI$3)+1)),Gällivare!$B$6:$J$36,MATCH($C21,Gällivare!$B$6:$B$36,0),FALSE)))</f>
        <v>HIgh</v>
      </c>
      <c r="BJ21" s="177" t="str">
        <f>IF(AND(HLOOKUP(MID(BJ$3,FIND(".",BJ$3)+1,FIND(".",BJ$3,FIND(".",BJ$3)+1)-FIND(".",BJ$3)-1),Gällivare!$B$6:$J$36,MATCH($C21,Gällivare!$B$6:$B$36,0),FALSE)="No Impact",HLOOKUP(RIGHT(BJ$3,LEN(BJ$3)-FIND(".",BJ$3,FIND(".",BJ$3)+1)),Gällivare!$B$6:$J$36,MATCH($C21,Gällivare!$B$6:$B$36,0),FALSE)="No Impact"),HLOOKUP(LEFT(BJ$3,4),Global!$B$6:$J$36,MATCH($C21,Global!$B$6:$B$36,0),FALSE),IF(AND(HLOOKUP(MID(BJ$3,FIND(".",BJ$3)+1,FIND(".",BJ$3,FIND(".",BJ$3)+1)-FIND(".",BJ$3)-1),Gällivare!$B$6:$J$36,MATCH($C21,Gällivare!$B$6:$B$36,0),FALSE)="No Impact",HLOOKUP(LEFT(BJ$3,4),Global!$B$6:$J$36,MATCH($C21,Global!$B$6:$B$36,0),FALSE)="No Impact"),HLOOKUP(RIGHT(BJ$3,LEN(BJ$3)-FIND(".",BJ$3,FIND(".",BJ$3)+1)),Gällivare!$B$6:$J$36,MATCH($C21,Gällivare!$B$6:$B$36,0),FALSE),"Global: "&amp;HLOOKUP(LEFT(BJ$3,4),Global!$B$6:$J$36,MATCH($C21,Global!$B$6:$B$36,0),FALSE)&amp;CHAR(10)&amp;"Local Trend: "&amp;HLOOKUP(MID(BJ$3,FIND(".",BJ$3)+1,FIND(".",BJ$3,FIND(".",BJ$3)+1)-FIND(".",BJ$3)-1),Gällivare!$B$6:$J$36,MATCH($C21,Gällivare!$B$6:$B$36,0),FALSE)&amp;CHAR(10)&amp;"Local Target: "&amp;HLOOKUP(RIGHT(BJ$3,LEN(BJ$3)-FIND(".",BJ$3,FIND(".",BJ$3)+1)),Gällivare!$B$6:$J$36,MATCH($C21,Gällivare!$B$6:$B$36,0),FALSE)))</f>
        <v>HIgh</v>
      </c>
      <c r="BK21" s="177" t="str">
        <f>IF(AND(HLOOKUP(MID(BK$3,FIND(".",BK$3)+1,FIND(".",BK$3,FIND(".",BK$3)+1)-FIND(".",BK$3)-1),Gällivare!$B$6:$J$36,MATCH($C21,Gällivare!$B$6:$B$36,0),FALSE)="No Impact",HLOOKUP(RIGHT(BK$3,LEN(BK$3)-FIND(".",BK$3,FIND(".",BK$3)+1)),Gällivare!$B$6:$J$36,MATCH($C21,Gällivare!$B$6:$B$36,0),FALSE)="No Impact"),HLOOKUP(LEFT(BK$3,4),Global!$B$6:$J$36,MATCH($C21,Global!$B$6:$B$36,0),FALSE),IF(AND(HLOOKUP(MID(BK$3,FIND(".",BK$3)+1,FIND(".",BK$3,FIND(".",BK$3)+1)-FIND(".",BK$3)-1),Gällivare!$B$6:$J$36,MATCH($C21,Gällivare!$B$6:$B$36,0),FALSE)="No Impact",HLOOKUP(LEFT(BK$3,4),Global!$B$6:$J$36,MATCH($C21,Global!$B$6:$B$36,0),FALSE)="No Impact"),HLOOKUP(RIGHT(BK$3,LEN(BK$3)-FIND(".",BK$3,FIND(".",BK$3)+1)),Gällivare!$B$6:$J$36,MATCH($C21,Gällivare!$B$6:$B$36,0),FALSE),"Global: "&amp;HLOOKUP(LEFT(BK$3,4),Global!$B$6:$J$36,MATCH($C21,Global!$B$6:$B$36,0),FALSE)&amp;CHAR(10)&amp;"Local Trend: "&amp;HLOOKUP(MID(BK$3,FIND(".",BK$3)+1,FIND(".",BK$3,FIND(".",BK$3)+1)-FIND(".",BK$3)-1),Gällivare!$B$6:$J$36,MATCH($C21,Gällivare!$B$6:$B$36,0),FALSE)&amp;CHAR(10)&amp;"Local Target: "&amp;HLOOKUP(RIGHT(BK$3,LEN(BK$3)-FIND(".",BK$3,FIND(".",BK$3)+1)),Gällivare!$B$6:$J$36,MATCH($C21,Gällivare!$B$6:$B$36,0),FALSE)))</f>
        <v>Low</v>
      </c>
      <c r="BL21" s="177" t="str">
        <f>IF(AND(HLOOKUP(MID(BL$3,FIND(".",BL$3)+1,FIND(".",BL$3,FIND(".",BL$3)+1)-FIND(".",BL$3)-1),Gällivare!$B$6:$J$36,MATCH($C21,Gällivare!$B$6:$B$36,0),FALSE)="No Impact",HLOOKUP(RIGHT(BL$3,LEN(BL$3)-FIND(".",BL$3,FIND(".",BL$3)+1)),Gällivare!$B$6:$J$36,MATCH($C21,Gällivare!$B$6:$B$36,0),FALSE)="No Impact"),HLOOKUP(LEFT(BL$3,4),Global!$B$6:$J$36,MATCH($C21,Global!$B$6:$B$36,0),FALSE),IF(AND(HLOOKUP(MID(BL$3,FIND(".",BL$3)+1,FIND(".",BL$3,FIND(".",BL$3)+1)-FIND(".",BL$3)-1),Gällivare!$B$6:$J$36,MATCH($C21,Gällivare!$B$6:$B$36,0),FALSE)="No Impact",HLOOKUP(LEFT(BL$3,4),Global!$B$6:$J$36,MATCH($C21,Global!$B$6:$B$36,0),FALSE)="No Impact"),HLOOKUP(RIGHT(BL$3,LEN(BL$3)-FIND(".",BL$3,FIND(".",BL$3)+1)),Gällivare!$B$6:$J$36,MATCH($C21,Gällivare!$B$6:$B$36,0),FALSE),"Global: "&amp;HLOOKUP(LEFT(BL$3,4),Global!$B$6:$J$36,MATCH($C21,Global!$B$6:$B$36,0),FALSE)&amp;CHAR(10)&amp;"Local Trend: "&amp;HLOOKUP(MID(BL$3,FIND(".",BL$3)+1,FIND(".",BL$3,FIND(".",BL$3)+1)-FIND(".",BL$3)-1),Gällivare!$B$6:$J$36,MATCH($C21,Gällivare!$B$6:$B$36,0),FALSE)&amp;CHAR(10)&amp;"Local Target: "&amp;HLOOKUP(RIGHT(BL$3,LEN(BL$3)-FIND(".",BL$3,FIND(".",BL$3)+1)),Gällivare!$B$6:$J$36,MATCH($C21,Gällivare!$B$6:$B$36,0),FALSE)))</f>
        <v>Low</v>
      </c>
      <c r="BM21" s="177" t="str">
        <f>IF(AND(HLOOKUP(MID(BM$3,FIND(".",BM$3)+1,FIND(".",BM$3,FIND(".",BM$3)+1)-FIND(".",BM$3)-1),Gällivare!$B$6:$J$36,MATCH($C21,Gällivare!$B$6:$B$36,0),FALSE)="No Impact",HLOOKUP(RIGHT(BM$3,LEN(BM$3)-FIND(".",BM$3,FIND(".",BM$3)+1)),Gällivare!$B$6:$J$36,MATCH($C21,Gällivare!$B$6:$B$36,0),FALSE)="No Impact"),HLOOKUP(LEFT(BM$3,4),Global!$B$6:$J$36,MATCH($C21,Global!$B$6:$B$36,0),FALSE),IF(AND(HLOOKUP(MID(BM$3,FIND(".",BM$3)+1,FIND(".",BM$3,FIND(".",BM$3)+1)-FIND(".",BM$3)-1),Gällivare!$B$6:$J$36,MATCH($C21,Gällivare!$B$6:$B$36,0),FALSE)="No Impact",HLOOKUP(LEFT(BM$3,4),Global!$B$6:$J$36,MATCH($C21,Global!$B$6:$B$36,0),FALSE)="No Impact"),HLOOKUP(RIGHT(BM$3,LEN(BM$3)-FIND(".",BM$3,FIND(".",BM$3)+1)),Gällivare!$B$6:$J$36,MATCH($C21,Gällivare!$B$6:$B$36,0),FALSE),"Global: "&amp;HLOOKUP(LEFT(BM$3,4),Global!$B$6:$J$36,MATCH($C21,Global!$B$6:$B$36,0),FALSE)&amp;CHAR(10)&amp;"Local Trend: "&amp;HLOOKUP(MID(BM$3,FIND(".",BM$3)+1,FIND(".",BM$3,FIND(".",BM$3)+1)-FIND(".",BM$3)-1),Gällivare!$B$6:$J$36,MATCH($C21,Gällivare!$B$6:$B$36,0),FALSE)&amp;CHAR(10)&amp;"Local Target: "&amp;HLOOKUP(RIGHT(BM$3,LEN(BM$3)-FIND(".",BM$3,FIND(".",BM$3)+1)),Gällivare!$B$6:$J$36,MATCH($C21,Gällivare!$B$6:$B$36,0),FALSE)))</f>
        <v>Low</v>
      </c>
      <c r="BN21" s="177" t="str">
        <f>IF(AND(HLOOKUP(MID(BN$3,FIND(".",BN$3)+1,FIND(".",BN$3,FIND(".",BN$3)+1)-FIND(".",BN$3)-1),Gällivare!$B$6:$J$36,MATCH($C21,Gällivare!$B$6:$B$36,0),FALSE)="No Impact",HLOOKUP(RIGHT(BN$3,LEN(BN$3)-FIND(".",BN$3,FIND(".",BN$3)+1)),Gällivare!$B$6:$J$36,MATCH($C21,Gällivare!$B$6:$B$36,0),FALSE)="No Impact"),HLOOKUP(LEFT(BN$3,4),Global!$B$6:$J$36,MATCH($C21,Global!$B$6:$B$36,0),FALSE),IF(AND(HLOOKUP(MID(BN$3,FIND(".",BN$3)+1,FIND(".",BN$3,FIND(".",BN$3)+1)-FIND(".",BN$3)-1),Gällivare!$B$6:$J$36,MATCH($C21,Gällivare!$B$6:$B$36,0),FALSE)="No Impact",HLOOKUP(LEFT(BN$3,4),Global!$B$6:$J$36,MATCH($C21,Global!$B$6:$B$36,0),FALSE)="No Impact"),HLOOKUP(RIGHT(BN$3,LEN(BN$3)-FIND(".",BN$3,FIND(".",BN$3)+1)),Gällivare!$B$6:$J$36,MATCH($C21,Gällivare!$B$6:$B$36,0),FALSE),"Global: "&amp;HLOOKUP(LEFT(BN$3,4),Global!$B$6:$J$36,MATCH($C21,Global!$B$6:$B$36,0),FALSE)&amp;CHAR(10)&amp;"Local Trend: "&amp;HLOOKUP(MID(BN$3,FIND(".",BN$3)+1,FIND(".",BN$3,FIND(".",BN$3)+1)-FIND(".",BN$3)-1),Gällivare!$B$6:$J$36,MATCH($C21,Gällivare!$B$6:$B$36,0),FALSE)&amp;CHAR(10)&amp;"Local Target: "&amp;HLOOKUP(RIGHT(BN$3,LEN(BN$3)-FIND(".",BN$3,FIND(".",BN$3)+1)),Gällivare!$B$6:$J$36,MATCH($C21,Gällivare!$B$6:$B$36,0),FALSE)))</f>
        <v>Low</v>
      </c>
      <c r="BO21" s="177" t="str">
        <f>IF(AND(HLOOKUP(MID(BO$3,FIND(".",BO$3)+1,FIND(".",BO$3,FIND(".",BO$3)+1)-FIND(".",BO$3)-1),Gällivare!$B$6:$J$36,MATCH($C21,Gällivare!$B$6:$B$36,0),FALSE)="No Impact",HLOOKUP(RIGHT(BO$3,LEN(BO$3)-FIND(".",BO$3,FIND(".",BO$3)+1)),Gällivare!$B$6:$J$36,MATCH($C21,Gällivare!$B$6:$B$36,0),FALSE)="No Impact"),HLOOKUP(LEFT(BO$3,4),Global!$B$6:$J$36,MATCH($C21,Global!$B$6:$B$36,0),FALSE),IF(AND(HLOOKUP(MID(BO$3,FIND(".",BO$3)+1,FIND(".",BO$3,FIND(".",BO$3)+1)-FIND(".",BO$3)-1),Gällivare!$B$6:$J$36,MATCH($C21,Gällivare!$B$6:$B$36,0),FALSE)="No Impact",HLOOKUP(LEFT(BO$3,4),Global!$B$6:$J$36,MATCH($C21,Global!$B$6:$B$36,0),FALSE)="No Impact"),HLOOKUP(RIGHT(BO$3,LEN(BO$3)-FIND(".",BO$3,FIND(".",BO$3)+1)),Gällivare!$B$6:$J$36,MATCH($C21,Gällivare!$B$6:$B$36,0),FALSE),"Global: "&amp;HLOOKUP(LEFT(BO$3,4),Global!$B$6:$J$36,MATCH($C21,Global!$B$6:$B$36,0),FALSE)&amp;CHAR(10)&amp;"Local Trend: "&amp;HLOOKUP(MID(BO$3,FIND(".",BO$3)+1,FIND(".",BO$3,FIND(".",BO$3)+1)-FIND(".",BO$3)-1),Gällivare!$B$6:$J$36,MATCH($C21,Gällivare!$B$6:$B$36,0),FALSE)&amp;CHAR(10)&amp;"Local Target: "&amp;HLOOKUP(RIGHT(BO$3,LEN(BO$3)-FIND(".",BO$3,FIND(".",BO$3)+1)),Gällivare!$B$6:$J$36,MATCH($C21,Gällivare!$B$6:$B$36,0),FALSE)))</f>
        <v>Low</v>
      </c>
      <c r="BP21" s="177" t="str">
        <f>IF(AND(HLOOKUP(MID(BP$3,FIND(".",BP$3)+1,FIND(".",BP$3,FIND(".",BP$3)+1)-FIND(".",BP$3)-1),Gällivare!$B$6:$J$36,MATCH($C21,Gällivare!$B$6:$B$36,0),FALSE)="No Impact",HLOOKUP(RIGHT(BP$3,LEN(BP$3)-FIND(".",BP$3,FIND(".",BP$3)+1)),Gällivare!$B$6:$J$36,MATCH($C21,Gällivare!$B$6:$B$36,0),FALSE)="No Impact"),HLOOKUP(LEFT(BP$3,4),Global!$B$6:$J$36,MATCH($C21,Global!$B$6:$B$36,0),FALSE),IF(AND(HLOOKUP(MID(BP$3,FIND(".",BP$3)+1,FIND(".",BP$3,FIND(".",BP$3)+1)-FIND(".",BP$3)-1),Gällivare!$B$6:$J$36,MATCH($C21,Gällivare!$B$6:$B$36,0),FALSE)="No Impact",HLOOKUP(LEFT(BP$3,4),Global!$B$6:$J$36,MATCH($C21,Global!$B$6:$B$36,0),FALSE)="No Impact"),HLOOKUP(RIGHT(BP$3,LEN(BP$3)-FIND(".",BP$3,FIND(".",BP$3)+1)),Gällivare!$B$6:$J$36,MATCH($C21,Gällivare!$B$6:$B$36,0),FALSE),"Global: "&amp;HLOOKUP(LEFT(BP$3,4),Global!$B$6:$J$36,MATCH($C21,Global!$B$6:$B$36,0),FALSE)&amp;CHAR(10)&amp;"Local Trend: "&amp;HLOOKUP(MID(BP$3,FIND(".",BP$3)+1,FIND(".",BP$3,FIND(".",BP$3)+1)-FIND(".",BP$3)-1),Gällivare!$B$6:$J$36,MATCH($C21,Gällivare!$B$6:$B$36,0),FALSE)&amp;CHAR(10)&amp;"Local Target: "&amp;HLOOKUP(RIGHT(BP$3,LEN(BP$3)-FIND(".",BP$3,FIND(".",BP$3)+1)),Gällivare!$B$6:$J$36,MATCH($C21,Gällivare!$B$6:$B$36,0),FALSE)))</f>
        <v>Low</v>
      </c>
    </row>
    <row r="22" spans="2:74" ht="57.6" x14ac:dyDescent="0.3">
      <c r="B22" s="248" t="s">
        <v>194</v>
      </c>
      <c r="C22" s="175" t="s">
        <v>195</v>
      </c>
      <c r="D22" s="175" t="s">
        <v>196</v>
      </c>
      <c r="E22" s="175" t="s">
        <v>197</v>
      </c>
      <c r="F22" s="175" t="s">
        <v>198</v>
      </c>
      <c r="G22" s="175"/>
      <c r="H22" s="179" t="s">
        <v>53</v>
      </c>
      <c r="I22" s="179" t="s">
        <v>54</v>
      </c>
      <c r="J22" s="179" t="s">
        <v>182</v>
      </c>
      <c r="K22" s="179" t="s">
        <v>53</v>
      </c>
      <c r="L22" s="179" t="s">
        <v>54</v>
      </c>
      <c r="M22" s="179" t="s">
        <v>182</v>
      </c>
      <c r="N22" s="179" t="s">
        <v>53</v>
      </c>
      <c r="O22" s="179" t="s">
        <v>53</v>
      </c>
      <c r="P22" s="179" t="s">
        <v>199</v>
      </c>
      <c r="Q22" s="179" t="s">
        <v>53</v>
      </c>
      <c r="R22" s="179" t="s">
        <v>54</v>
      </c>
      <c r="S22" s="179" t="s">
        <v>199</v>
      </c>
      <c r="T22" s="179" t="s">
        <v>52</v>
      </c>
      <c r="U22" s="179" t="s">
        <v>52</v>
      </c>
      <c r="V22" s="179" t="s">
        <v>52</v>
      </c>
      <c r="W22" s="179" t="s">
        <v>52</v>
      </c>
      <c r="X22" s="179" t="s">
        <v>52</v>
      </c>
      <c r="Y22" s="179" t="s">
        <v>52</v>
      </c>
      <c r="Z22" s="179" t="str">
        <f>N22</f>
        <v>Medium</v>
      </c>
      <c r="AA22" s="179" t="str">
        <f t="shared" ref="AA22:AE22" si="6">O22</f>
        <v>Medium</v>
      </c>
      <c r="AB22" s="179" t="str">
        <f t="shared" si="6"/>
        <v>Low in begining
Medium around 2040</v>
      </c>
      <c r="AC22" s="179" t="str">
        <f t="shared" si="6"/>
        <v>Medium</v>
      </c>
      <c r="AD22" s="179" t="str">
        <f t="shared" si="6"/>
        <v>High</v>
      </c>
      <c r="AE22" s="179" t="str">
        <f t="shared" si="6"/>
        <v>Low in begining
Medium around 2040</v>
      </c>
      <c r="AF22" s="179" t="str">
        <f>T22</f>
        <v>Low</v>
      </c>
      <c r="AG22" s="179" t="str">
        <f t="shared" ref="AG22:AK22" si="7">U22</f>
        <v>Low</v>
      </c>
      <c r="AH22" s="179" t="str">
        <f t="shared" si="7"/>
        <v>Low</v>
      </c>
      <c r="AI22" s="179" t="str">
        <f t="shared" si="7"/>
        <v>Low</v>
      </c>
      <c r="AJ22" s="179" t="str">
        <f t="shared" si="7"/>
        <v>Low</v>
      </c>
      <c r="AK22" s="179" t="str">
        <f t="shared" si="7"/>
        <v>Low</v>
      </c>
      <c r="AL22" s="175"/>
      <c r="AM22" s="177" t="str">
        <f>IF(AND(HLOOKUP(MID(AM$3,FIND(".",AM$3)+1,FIND(".",AM$3,FIND(".",AM$3)+1)-FIND(".",AM$3)-1),Gällivare!$B$6:$J$36,MATCH($C22,Gällivare!$B$6:$B$36,0),FALSE)="No Impact",HLOOKUP(RIGHT(AM$3,LEN(AM$3)-FIND(".",AM$3,FIND(".",AM$3)+1)),Gällivare!$B$6:$J$36,MATCH($C22,Gällivare!$B$6:$B$36,0),FALSE)="No Impact"),HLOOKUP(LEFT(AM$3,4),Global!$B$6:$J$36,MATCH($C22,Global!$B$6:$B$36,0),FALSE),IF(AND(HLOOKUP(MID(AM$3,FIND(".",AM$3)+1,FIND(".",AM$3,FIND(".",AM$3)+1)-FIND(".",AM$3)-1),Gällivare!$B$6:$J$36,MATCH($C22,Gällivare!$B$6:$B$36,0),FALSE)="No Impact",HLOOKUP(LEFT(AM$3,4),Global!$B$6:$J$36,MATCH($C22,Global!$B$6:$B$36,0),FALSE)="No Impact"),HLOOKUP(RIGHT(AM$3,LEN(AM$3)-FIND(".",AM$3,FIND(".",AM$3)+1)),Gällivare!$B$6:$J$36,MATCH($C22,Gällivare!$B$6:$B$36,0),FALSE),"Global: "&amp;HLOOKUP(LEFT(AM$3,4),Global!$B$6:$J$36,MATCH($C22,Global!$B$6:$B$36,0),FALSE)&amp;CHAR(10)&amp;"Local Trend: "&amp;HLOOKUP(MID(AM$3,FIND(".",AM$3)+1,FIND(".",AM$3,FIND(".",AM$3)+1)-FIND(".",AM$3)-1),Gällivare!$B$6:$J$36,MATCH($C22,Gällivare!$B$6:$B$36,0),FALSE)&amp;CHAR(10)&amp;"Local Target: "&amp;HLOOKUP(RIGHT(AM$3,LEN(AM$3)-FIND(".",AM$3,FIND(".",AM$3)+1)),Gällivare!$B$6:$J$36,MATCH($C22,Gällivare!$B$6:$B$36,0),FALSE)))</f>
        <v>Global: High
Local Trend: High
Local Target: Medium</v>
      </c>
      <c r="AN22" s="177" t="str">
        <f>IF(AND(HLOOKUP(MID(AN$3,FIND(".",AN$3)+1,FIND(".",AN$3,FIND(".",AN$3)+1)-FIND(".",AN$3)-1),Gällivare!$B$6:$J$36,MATCH($C22,Gällivare!$B$6:$B$36,0),FALSE)="No Impact",HLOOKUP(RIGHT(AN$3,LEN(AN$3)-FIND(".",AN$3,FIND(".",AN$3)+1)),Gällivare!$B$6:$J$36,MATCH($C22,Gällivare!$B$6:$B$36,0),FALSE)="No Impact"),HLOOKUP(LEFT(AN$3,4),Global!$B$6:$J$36,MATCH($C22,Global!$B$6:$B$36,0),FALSE),IF(AND(HLOOKUP(MID(AN$3,FIND(".",AN$3)+1,FIND(".",AN$3,FIND(".",AN$3)+1)-FIND(".",AN$3)-1),Gällivare!$B$6:$J$36,MATCH($C22,Gällivare!$B$6:$B$36,0),FALSE)="No Impact",HLOOKUP(LEFT(AN$3,4),Global!$B$6:$J$36,MATCH($C22,Global!$B$6:$B$36,0),FALSE)="No Impact"),HLOOKUP(RIGHT(AN$3,LEN(AN$3)-FIND(".",AN$3,FIND(".",AN$3)+1)),Gällivare!$B$6:$J$36,MATCH($C22,Gällivare!$B$6:$B$36,0),FALSE),"Global: "&amp;HLOOKUP(LEFT(AN$3,4),Global!$B$6:$J$36,MATCH($C22,Global!$B$6:$B$36,0),FALSE)&amp;CHAR(10)&amp;"Local Trend: "&amp;HLOOKUP(MID(AN$3,FIND(".",AN$3)+1,FIND(".",AN$3,FIND(".",AN$3)+1)-FIND(".",AN$3)-1),Gällivare!$B$6:$J$36,MATCH($C22,Gällivare!$B$6:$B$36,0),FALSE)&amp;CHAR(10)&amp;"Local Target: "&amp;HLOOKUP(RIGHT(AN$3,LEN(AN$3)-FIND(".",AN$3,FIND(".",AN$3)+1)),Gällivare!$B$6:$J$36,MATCH($C22,Gällivare!$B$6:$B$36,0),FALSE)))</f>
        <v>Global: High
Local Trend: High
Local Target: High</v>
      </c>
      <c r="AO22" s="177" t="str">
        <f>IF(AND(HLOOKUP(MID(AO$3,FIND(".",AO$3)+1,FIND(".",AO$3,FIND(".",AO$3)+1)-FIND(".",AO$3)-1),Gällivare!$B$6:$J$36,MATCH($C22,Gällivare!$B$6:$B$36,0),FALSE)="No Impact",HLOOKUP(RIGHT(AO$3,LEN(AO$3)-FIND(".",AO$3,FIND(".",AO$3)+1)),Gällivare!$B$6:$J$36,MATCH($C22,Gällivare!$B$6:$B$36,0),FALSE)="No Impact"),HLOOKUP(LEFT(AO$3,4),Global!$B$6:$J$36,MATCH($C22,Global!$B$6:$B$36,0),FALSE),IF(AND(HLOOKUP(MID(AO$3,FIND(".",AO$3)+1,FIND(".",AO$3,FIND(".",AO$3)+1)-FIND(".",AO$3)-1),Gällivare!$B$6:$J$36,MATCH($C22,Gällivare!$B$6:$B$36,0),FALSE)="No Impact",HLOOKUP(LEFT(AO$3,4),Global!$B$6:$J$36,MATCH($C22,Global!$B$6:$B$36,0),FALSE)="No Impact"),HLOOKUP(RIGHT(AO$3,LEN(AO$3)-FIND(".",AO$3,FIND(".",AO$3)+1)),Gällivare!$B$6:$J$36,MATCH($C22,Gällivare!$B$6:$B$36,0),FALSE),"Global: "&amp;HLOOKUP(LEFT(AO$3,4),Global!$B$6:$J$36,MATCH($C22,Global!$B$6:$B$36,0),FALSE)&amp;CHAR(10)&amp;"Local Trend: "&amp;HLOOKUP(MID(AO$3,FIND(".",AO$3)+1,FIND(".",AO$3,FIND(".",AO$3)+1)-FIND(".",AO$3)-1),Gällivare!$B$6:$J$36,MATCH($C22,Gällivare!$B$6:$B$36,0),FALSE)&amp;CHAR(10)&amp;"Local Target: "&amp;HLOOKUP(RIGHT(AO$3,LEN(AO$3)-FIND(".",AO$3,FIND(".",AO$3)+1)),Gällivare!$B$6:$J$36,MATCH($C22,Gällivare!$B$6:$B$36,0),FALSE)))</f>
        <v>Global: High
Local Trend: High
Local Target: Low in begining
High around 2040</v>
      </c>
      <c r="AP22" s="177" t="str">
        <f>IF(AND(HLOOKUP(MID(AP$3,FIND(".",AP$3)+1,FIND(".",AP$3,FIND(".",AP$3)+1)-FIND(".",AP$3)-1),Gällivare!$B$6:$J$36,MATCH($C22,Gällivare!$B$6:$B$36,0),FALSE)="No Impact",HLOOKUP(RIGHT(AP$3,LEN(AP$3)-FIND(".",AP$3,FIND(".",AP$3)+1)),Gällivare!$B$6:$J$36,MATCH($C22,Gällivare!$B$6:$B$36,0),FALSE)="No Impact"),HLOOKUP(LEFT(AP$3,4),Global!$B$6:$J$36,MATCH($C22,Global!$B$6:$B$36,0),FALSE),IF(AND(HLOOKUP(MID(AP$3,FIND(".",AP$3)+1,FIND(".",AP$3,FIND(".",AP$3)+1)-FIND(".",AP$3)-1),Gällivare!$B$6:$J$36,MATCH($C22,Gällivare!$B$6:$B$36,0),FALSE)="No Impact",HLOOKUP(LEFT(AP$3,4),Global!$B$6:$J$36,MATCH($C22,Global!$B$6:$B$36,0),FALSE)="No Impact"),HLOOKUP(RIGHT(AP$3,LEN(AP$3)-FIND(".",AP$3,FIND(".",AP$3)+1)),Gällivare!$B$6:$J$36,MATCH($C22,Gällivare!$B$6:$B$36,0),FALSE),"Global: "&amp;HLOOKUP(LEFT(AP$3,4),Global!$B$6:$J$36,MATCH($C22,Global!$B$6:$B$36,0),FALSE)&amp;CHAR(10)&amp;"Local Trend: "&amp;HLOOKUP(MID(AP$3,FIND(".",AP$3)+1,FIND(".",AP$3,FIND(".",AP$3)+1)-FIND(".",AP$3)-1),Gällivare!$B$6:$J$36,MATCH($C22,Gällivare!$B$6:$B$36,0),FALSE)&amp;CHAR(10)&amp;"Local Target: "&amp;HLOOKUP(RIGHT(AP$3,LEN(AP$3)-FIND(".",AP$3,FIND(".",AP$3)+1)),Gällivare!$B$6:$J$36,MATCH($C22,Gällivare!$B$6:$B$36,0),FALSE)))</f>
        <v>Global: High
Local Trend: Low
Local Target: Medium</v>
      </c>
      <c r="AQ22" s="177" t="str">
        <f>IF(AND(HLOOKUP(MID(AQ$3,FIND(".",AQ$3)+1,FIND(".",AQ$3,FIND(".",AQ$3)+1)-FIND(".",AQ$3)-1),Gällivare!$B$6:$J$36,MATCH($C22,Gällivare!$B$6:$B$36,0),FALSE)="No Impact",HLOOKUP(RIGHT(AQ$3,LEN(AQ$3)-FIND(".",AQ$3,FIND(".",AQ$3)+1)),Gällivare!$B$6:$J$36,MATCH($C22,Gällivare!$B$6:$B$36,0),FALSE)="No Impact"),HLOOKUP(LEFT(AQ$3,4),Global!$B$6:$J$36,MATCH($C22,Global!$B$6:$B$36,0),FALSE),IF(AND(HLOOKUP(MID(AQ$3,FIND(".",AQ$3)+1,FIND(".",AQ$3,FIND(".",AQ$3)+1)-FIND(".",AQ$3)-1),Gällivare!$B$6:$J$36,MATCH($C22,Gällivare!$B$6:$B$36,0),FALSE)="No Impact",HLOOKUP(LEFT(AQ$3,4),Global!$B$6:$J$36,MATCH($C22,Global!$B$6:$B$36,0),FALSE)="No Impact"),HLOOKUP(RIGHT(AQ$3,LEN(AQ$3)-FIND(".",AQ$3,FIND(".",AQ$3)+1)),Gällivare!$B$6:$J$36,MATCH($C22,Gällivare!$B$6:$B$36,0),FALSE),"Global: "&amp;HLOOKUP(LEFT(AQ$3,4),Global!$B$6:$J$36,MATCH($C22,Global!$B$6:$B$36,0),FALSE)&amp;CHAR(10)&amp;"Local Trend: "&amp;HLOOKUP(MID(AQ$3,FIND(".",AQ$3)+1,FIND(".",AQ$3,FIND(".",AQ$3)+1)-FIND(".",AQ$3)-1),Gällivare!$B$6:$J$36,MATCH($C22,Gällivare!$B$6:$B$36,0),FALSE)&amp;CHAR(10)&amp;"Local Target: "&amp;HLOOKUP(RIGHT(AQ$3,LEN(AQ$3)-FIND(".",AQ$3,FIND(".",AQ$3)+1)),Gällivare!$B$6:$J$36,MATCH($C22,Gällivare!$B$6:$B$36,0),FALSE)))</f>
        <v>Global: High
Local Trend: Low
Local Target: High</v>
      </c>
      <c r="AR22" s="177" t="str">
        <f>IF(AND(HLOOKUP(MID(AR$3,FIND(".",AR$3)+1,FIND(".",AR$3,FIND(".",AR$3)+1)-FIND(".",AR$3)-1),Gällivare!$B$6:$J$36,MATCH($C22,Gällivare!$B$6:$B$36,0),FALSE)="No Impact",HLOOKUP(RIGHT(AR$3,LEN(AR$3)-FIND(".",AR$3,FIND(".",AR$3)+1)),Gällivare!$B$6:$J$36,MATCH($C22,Gällivare!$B$6:$B$36,0),FALSE)="No Impact"),HLOOKUP(LEFT(AR$3,4),Global!$B$6:$J$36,MATCH($C22,Global!$B$6:$B$36,0),FALSE),IF(AND(HLOOKUP(MID(AR$3,FIND(".",AR$3)+1,FIND(".",AR$3,FIND(".",AR$3)+1)-FIND(".",AR$3)-1),Gällivare!$B$6:$J$36,MATCH($C22,Gällivare!$B$6:$B$36,0),FALSE)="No Impact",HLOOKUP(LEFT(AR$3,4),Global!$B$6:$J$36,MATCH($C22,Global!$B$6:$B$36,0),FALSE)="No Impact"),HLOOKUP(RIGHT(AR$3,LEN(AR$3)-FIND(".",AR$3,FIND(".",AR$3)+1)),Gällivare!$B$6:$J$36,MATCH($C22,Gällivare!$B$6:$B$36,0),FALSE),"Global: "&amp;HLOOKUP(LEFT(AR$3,4),Global!$B$6:$J$36,MATCH($C22,Global!$B$6:$B$36,0),FALSE)&amp;CHAR(10)&amp;"Local Trend: "&amp;HLOOKUP(MID(AR$3,FIND(".",AR$3)+1,FIND(".",AR$3,FIND(".",AR$3)+1)-FIND(".",AR$3)-1),Gällivare!$B$6:$J$36,MATCH($C22,Gällivare!$B$6:$B$36,0),FALSE)&amp;CHAR(10)&amp;"Local Target: "&amp;HLOOKUP(RIGHT(AR$3,LEN(AR$3)-FIND(".",AR$3,FIND(".",AR$3)+1)),Gällivare!$B$6:$J$36,MATCH($C22,Gällivare!$B$6:$B$36,0),FALSE)))</f>
        <v>Global: High
Local Trend: Low
Local Target: Low in begining
High around 2040</v>
      </c>
      <c r="AS22" s="177" t="str">
        <f>IF(AND(HLOOKUP(MID(AS$3,FIND(".",AS$3)+1,FIND(".",AS$3,FIND(".",AS$3)+1)-FIND(".",AS$3)-1),Gällivare!$B$6:$J$36,MATCH($C22,Gällivare!$B$6:$B$36,0),FALSE)="No Impact",HLOOKUP(RIGHT(AS$3,LEN(AS$3)-FIND(".",AS$3,FIND(".",AS$3)+1)),Gällivare!$B$6:$J$36,MATCH($C22,Gällivare!$B$6:$B$36,0),FALSE)="No Impact"),HLOOKUP(LEFT(AS$3,4),Global!$B$6:$J$36,MATCH($C22,Global!$B$6:$B$36,0),FALSE),IF(AND(HLOOKUP(MID(AS$3,FIND(".",AS$3)+1,FIND(".",AS$3,FIND(".",AS$3)+1)-FIND(".",AS$3)-1),Gällivare!$B$6:$J$36,MATCH($C22,Gällivare!$B$6:$B$36,0),FALSE)="No Impact",HLOOKUP(LEFT(AS$3,4),Global!$B$6:$J$36,MATCH($C22,Global!$B$6:$B$36,0),FALSE)="No Impact"),HLOOKUP(RIGHT(AS$3,LEN(AS$3)-FIND(".",AS$3,FIND(".",AS$3)+1)),Gällivare!$B$6:$J$36,MATCH($C22,Gällivare!$B$6:$B$36,0),FALSE),"Global: "&amp;HLOOKUP(LEFT(AS$3,4),Global!$B$6:$J$36,MATCH($C22,Global!$B$6:$B$36,0),FALSE)&amp;CHAR(10)&amp;"Local Trend: "&amp;HLOOKUP(MID(AS$3,FIND(".",AS$3)+1,FIND(".",AS$3,FIND(".",AS$3)+1)-FIND(".",AS$3)-1),Gällivare!$B$6:$J$36,MATCH($C22,Gällivare!$B$6:$B$36,0),FALSE)&amp;CHAR(10)&amp;"Local Target: "&amp;HLOOKUP(RIGHT(AS$3,LEN(AS$3)-FIND(".",AS$3,FIND(".",AS$3)+1)),Gällivare!$B$6:$J$36,MATCH($C22,Gällivare!$B$6:$B$36,0),FALSE)))</f>
        <v>Global: Medium
Local Trend: High
Local Target: Medium</v>
      </c>
      <c r="AT22" s="177" t="str">
        <f>IF(AND(HLOOKUP(MID(AT$3,FIND(".",AT$3)+1,FIND(".",AT$3,FIND(".",AT$3)+1)-FIND(".",AT$3)-1),Gällivare!$B$6:$J$36,MATCH($C22,Gällivare!$B$6:$B$36,0),FALSE)="No Impact",HLOOKUP(RIGHT(AT$3,LEN(AT$3)-FIND(".",AT$3,FIND(".",AT$3)+1)),Gällivare!$B$6:$J$36,MATCH($C22,Gällivare!$B$6:$B$36,0),FALSE)="No Impact"),HLOOKUP(LEFT(AT$3,4),Global!$B$6:$J$36,MATCH($C22,Global!$B$6:$B$36,0),FALSE),IF(AND(HLOOKUP(MID(AT$3,FIND(".",AT$3)+1,FIND(".",AT$3,FIND(".",AT$3)+1)-FIND(".",AT$3)-1),Gällivare!$B$6:$J$36,MATCH($C22,Gällivare!$B$6:$B$36,0),FALSE)="No Impact",HLOOKUP(LEFT(AT$3,4),Global!$B$6:$J$36,MATCH($C22,Global!$B$6:$B$36,0),FALSE)="No Impact"),HLOOKUP(RIGHT(AT$3,LEN(AT$3)-FIND(".",AT$3,FIND(".",AT$3)+1)),Gällivare!$B$6:$J$36,MATCH($C22,Gällivare!$B$6:$B$36,0),FALSE),"Global: "&amp;HLOOKUP(LEFT(AT$3,4),Global!$B$6:$J$36,MATCH($C22,Global!$B$6:$B$36,0),FALSE)&amp;CHAR(10)&amp;"Local Trend: "&amp;HLOOKUP(MID(AT$3,FIND(".",AT$3)+1,FIND(".",AT$3,FIND(".",AT$3)+1)-FIND(".",AT$3)-1),Gällivare!$B$6:$J$36,MATCH($C22,Gällivare!$B$6:$B$36,0),FALSE)&amp;CHAR(10)&amp;"Local Target: "&amp;HLOOKUP(RIGHT(AT$3,LEN(AT$3)-FIND(".",AT$3,FIND(".",AT$3)+1)),Gällivare!$B$6:$J$36,MATCH($C22,Gällivare!$B$6:$B$36,0),FALSE)))</f>
        <v>Global: Medium
Local Trend: High
Local Target: High</v>
      </c>
      <c r="AU22" s="177" t="str">
        <f>IF(AND(HLOOKUP(MID(AU$3,FIND(".",AU$3)+1,FIND(".",AU$3,FIND(".",AU$3)+1)-FIND(".",AU$3)-1),Gällivare!$B$6:$J$36,MATCH($C22,Gällivare!$B$6:$B$36,0),FALSE)="No Impact",HLOOKUP(RIGHT(AU$3,LEN(AU$3)-FIND(".",AU$3,FIND(".",AU$3)+1)),Gällivare!$B$6:$J$36,MATCH($C22,Gällivare!$B$6:$B$36,0),FALSE)="No Impact"),HLOOKUP(LEFT(AU$3,4),Global!$B$6:$J$36,MATCH($C22,Global!$B$6:$B$36,0),FALSE),IF(AND(HLOOKUP(MID(AU$3,FIND(".",AU$3)+1,FIND(".",AU$3,FIND(".",AU$3)+1)-FIND(".",AU$3)-1),Gällivare!$B$6:$J$36,MATCH($C22,Gällivare!$B$6:$B$36,0),FALSE)="No Impact",HLOOKUP(LEFT(AU$3,4),Global!$B$6:$J$36,MATCH($C22,Global!$B$6:$B$36,0),FALSE)="No Impact"),HLOOKUP(RIGHT(AU$3,LEN(AU$3)-FIND(".",AU$3,FIND(".",AU$3)+1)),Gällivare!$B$6:$J$36,MATCH($C22,Gällivare!$B$6:$B$36,0),FALSE),"Global: "&amp;HLOOKUP(LEFT(AU$3,4),Global!$B$6:$J$36,MATCH($C22,Global!$B$6:$B$36,0),FALSE)&amp;CHAR(10)&amp;"Local Trend: "&amp;HLOOKUP(MID(AU$3,FIND(".",AU$3)+1,FIND(".",AU$3,FIND(".",AU$3)+1)-FIND(".",AU$3)-1),Gällivare!$B$6:$J$36,MATCH($C22,Gällivare!$B$6:$B$36,0),FALSE)&amp;CHAR(10)&amp;"Local Target: "&amp;HLOOKUP(RIGHT(AU$3,LEN(AU$3)-FIND(".",AU$3,FIND(".",AU$3)+1)),Gällivare!$B$6:$J$36,MATCH($C22,Gällivare!$B$6:$B$36,0),FALSE)))</f>
        <v>Global: Medium
Local Trend: High
Local Target: Low in begining
High around 2040</v>
      </c>
      <c r="AV22" s="177" t="str">
        <f>IF(AND(HLOOKUP(MID(AV$3,FIND(".",AV$3)+1,FIND(".",AV$3,FIND(".",AV$3)+1)-FIND(".",AV$3)-1),Gällivare!$B$6:$J$36,MATCH($C22,Gällivare!$B$6:$B$36,0),FALSE)="No Impact",HLOOKUP(RIGHT(AV$3,LEN(AV$3)-FIND(".",AV$3,FIND(".",AV$3)+1)),Gällivare!$B$6:$J$36,MATCH($C22,Gällivare!$B$6:$B$36,0),FALSE)="No Impact"),HLOOKUP(LEFT(AV$3,4),Global!$B$6:$J$36,MATCH($C22,Global!$B$6:$B$36,0),FALSE),IF(AND(HLOOKUP(MID(AV$3,FIND(".",AV$3)+1,FIND(".",AV$3,FIND(".",AV$3)+1)-FIND(".",AV$3)-1),Gällivare!$B$6:$J$36,MATCH($C22,Gällivare!$B$6:$B$36,0),FALSE)="No Impact",HLOOKUP(LEFT(AV$3,4),Global!$B$6:$J$36,MATCH($C22,Global!$B$6:$B$36,0),FALSE)="No Impact"),HLOOKUP(RIGHT(AV$3,LEN(AV$3)-FIND(".",AV$3,FIND(".",AV$3)+1)),Gällivare!$B$6:$J$36,MATCH($C22,Gällivare!$B$6:$B$36,0),FALSE),"Global: "&amp;HLOOKUP(LEFT(AV$3,4),Global!$B$6:$J$36,MATCH($C22,Global!$B$6:$B$36,0),FALSE)&amp;CHAR(10)&amp;"Local Trend: "&amp;HLOOKUP(MID(AV$3,FIND(".",AV$3)+1,FIND(".",AV$3,FIND(".",AV$3)+1)-FIND(".",AV$3)-1),Gällivare!$B$6:$J$36,MATCH($C22,Gällivare!$B$6:$B$36,0),FALSE)&amp;CHAR(10)&amp;"Local Target: "&amp;HLOOKUP(RIGHT(AV$3,LEN(AV$3)-FIND(".",AV$3,FIND(".",AV$3)+1)),Gällivare!$B$6:$J$36,MATCH($C22,Gällivare!$B$6:$B$36,0),FALSE)))</f>
        <v>Global: Medium
Local Trend: Low
Local Target: Medium</v>
      </c>
      <c r="AW22" s="177" t="str">
        <f>IF(AND(HLOOKUP(MID(AW$3,FIND(".",AW$3)+1,FIND(".",AW$3,FIND(".",AW$3)+1)-FIND(".",AW$3)-1),Gällivare!$B$6:$J$36,MATCH($C22,Gällivare!$B$6:$B$36,0),FALSE)="No Impact",HLOOKUP(RIGHT(AW$3,LEN(AW$3)-FIND(".",AW$3,FIND(".",AW$3)+1)),Gällivare!$B$6:$J$36,MATCH($C22,Gällivare!$B$6:$B$36,0),FALSE)="No Impact"),HLOOKUP(LEFT(AW$3,4),Global!$B$6:$J$36,MATCH($C22,Global!$B$6:$B$36,0),FALSE),IF(AND(HLOOKUP(MID(AW$3,FIND(".",AW$3)+1,FIND(".",AW$3,FIND(".",AW$3)+1)-FIND(".",AW$3)-1),Gällivare!$B$6:$J$36,MATCH($C22,Gällivare!$B$6:$B$36,0),FALSE)="No Impact",HLOOKUP(LEFT(AW$3,4),Global!$B$6:$J$36,MATCH($C22,Global!$B$6:$B$36,0),FALSE)="No Impact"),HLOOKUP(RIGHT(AW$3,LEN(AW$3)-FIND(".",AW$3,FIND(".",AW$3)+1)),Gällivare!$B$6:$J$36,MATCH($C22,Gällivare!$B$6:$B$36,0),FALSE),"Global: "&amp;HLOOKUP(LEFT(AW$3,4),Global!$B$6:$J$36,MATCH($C22,Global!$B$6:$B$36,0),FALSE)&amp;CHAR(10)&amp;"Local Trend: "&amp;HLOOKUP(MID(AW$3,FIND(".",AW$3)+1,FIND(".",AW$3,FIND(".",AW$3)+1)-FIND(".",AW$3)-1),Gällivare!$B$6:$J$36,MATCH($C22,Gällivare!$B$6:$B$36,0),FALSE)&amp;CHAR(10)&amp;"Local Target: "&amp;HLOOKUP(RIGHT(AW$3,LEN(AW$3)-FIND(".",AW$3,FIND(".",AW$3)+1)),Gällivare!$B$6:$J$36,MATCH($C22,Gällivare!$B$6:$B$36,0),FALSE)))</f>
        <v>Global: Medium
Local Trend: Low
Local Target: High</v>
      </c>
      <c r="AX22" s="177" t="str">
        <f>IF(AND(HLOOKUP(MID(AX$3,FIND(".",AX$3)+1,FIND(".",AX$3,FIND(".",AX$3)+1)-FIND(".",AX$3)-1),Gällivare!$B$6:$J$36,MATCH($C22,Gällivare!$B$6:$B$36,0),FALSE)="No Impact",HLOOKUP(RIGHT(AX$3,LEN(AX$3)-FIND(".",AX$3,FIND(".",AX$3)+1)),Gällivare!$B$6:$J$36,MATCH($C22,Gällivare!$B$6:$B$36,0),FALSE)="No Impact"),HLOOKUP(LEFT(AX$3,4),Global!$B$6:$J$36,MATCH($C22,Global!$B$6:$B$36,0),FALSE),IF(AND(HLOOKUP(MID(AX$3,FIND(".",AX$3)+1,FIND(".",AX$3,FIND(".",AX$3)+1)-FIND(".",AX$3)-1),Gällivare!$B$6:$J$36,MATCH($C22,Gällivare!$B$6:$B$36,0),FALSE)="No Impact",HLOOKUP(LEFT(AX$3,4),Global!$B$6:$J$36,MATCH($C22,Global!$B$6:$B$36,0),FALSE)="No Impact"),HLOOKUP(RIGHT(AX$3,LEN(AX$3)-FIND(".",AX$3,FIND(".",AX$3)+1)),Gällivare!$B$6:$J$36,MATCH($C22,Gällivare!$B$6:$B$36,0),FALSE),"Global: "&amp;HLOOKUP(LEFT(AX$3,4),Global!$B$6:$J$36,MATCH($C22,Global!$B$6:$B$36,0),FALSE)&amp;CHAR(10)&amp;"Local Trend: "&amp;HLOOKUP(MID(AX$3,FIND(".",AX$3)+1,FIND(".",AX$3,FIND(".",AX$3)+1)-FIND(".",AX$3)-1),Gällivare!$B$6:$J$36,MATCH($C22,Gällivare!$B$6:$B$36,0),FALSE)&amp;CHAR(10)&amp;"Local Target: "&amp;HLOOKUP(RIGHT(AX$3,LEN(AX$3)-FIND(".",AX$3,FIND(".",AX$3)+1)),Gällivare!$B$6:$J$36,MATCH($C22,Gällivare!$B$6:$B$36,0),FALSE)))</f>
        <v>Global: Medium
Local Trend: Low
Local Target: Low in begining
High around 2040</v>
      </c>
      <c r="AY22" s="177" t="str">
        <f>IF(AND(HLOOKUP(MID(AY$3,FIND(".",AY$3)+1,FIND(".",AY$3,FIND(".",AY$3)+1)-FIND(".",AY$3)-1),Gällivare!$B$6:$J$36,MATCH($C22,Gällivare!$B$6:$B$36,0),FALSE)="No Impact",HLOOKUP(RIGHT(AY$3,LEN(AY$3)-FIND(".",AY$3,FIND(".",AY$3)+1)),Gällivare!$B$6:$J$36,MATCH($C22,Gällivare!$B$6:$B$36,0),FALSE)="No Impact"),HLOOKUP(LEFT(AY$3,4),Global!$B$6:$J$36,MATCH($C22,Global!$B$6:$B$36,0),FALSE),IF(AND(HLOOKUP(MID(AY$3,FIND(".",AY$3)+1,FIND(".",AY$3,FIND(".",AY$3)+1)-FIND(".",AY$3)-1),Gällivare!$B$6:$J$36,MATCH($C22,Gällivare!$B$6:$B$36,0),FALSE)="No Impact",HLOOKUP(LEFT(AY$3,4),Global!$B$6:$J$36,MATCH($C22,Global!$B$6:$B$36,0),FALSE)="No Impact"),HLOOKUP(RIGHT(AY$3,LEN(AY$3)-FIND(".",AY$3,FIND(".",AY$3)+1)),Gällivare!$B$6:$J$36,MATCH($C22,Gällivare!$B$6:$B$36,0),FALSE),"Global: "&amp;HLOOKUP(LEFT(AY$3,4),Global!$B$6:$J$36,MATCH($C22,Global!$B$6:$B$36,0),FALSE)&amp;CHAR(10)&amp;"Local Trend: "&amp;HLOOKUP(MID(AY$3,FIND(".",AY$3)+1,FIND(".",AY$3,FIND(".",AY$3)+1)-FIND(".",AY$3)-1),Gällivare!$B$6:$J$36,MATCH($C22,Gällivare!$B$6:$B$36,0),FALSE)&amp;CHAR(10)&amp;"Local Target: "&amp;HLOOKUP(RIGHT(AY$3,LEN(AY$3)-FIND(".",AY$3,FIND(".",AY$3)+1)),Gällivare!$B$6:$J$36,MATCH($C22,Gällivare!$B$6:$B$36,0),FALSE)))</f>
        <v>Global: Low
Local Trend: High
Local Target: Medium</v>
      </c>
      <c r="AZ22" s="177" t="str">
        <f>IF(AND(HLOOKUP(MID(AZ$3,FIND(".",AZ$3)+1,FIND(".",AZ$3,FIND(".",AZ$3)+1)-FIND(".",AZ$3)-1),Gällivare!$B$6:$J$36,MATCH($C22,Gällivare!$B$6:$B$36,0),FALSE)="No Impact",HLOOKUP(RIGHT(AZ$3,LEN(AZ$3)-FIND(".",AZ$3,FIND(".",AZ$3)+1)),Gällivare!$B$6:$J$36,MATCH($C22,Gällivare!$B$6:$B$36,0),FALSE)="No Impact"),HLOOKUP(LEFT(AZ$3,4),Global!$B$6:$J$36,MATCH($C22,Global!$B$6:$B$36,0),FALSE),IF(AND(HLOOKUP(MID(AZ$3,FIND(".",AZ$3)+1,FIND(".",AZ$3,FIND(".",AZ$3)+1)-FIND(".",AZ$3)-1),Gällivare!$B$6:$J$36,MATCH($C22,Gällivare!$B$6:$B$36,0),FALSE)="No Impact",HLOOKUP(LEFT(AZ$3,4),Global!$B$6:$J$36,MATCH($C22,Global!$B$6:$B$36,0),FALSE)="No Impact"),HLOOKUP(RIGHT(AZ$3,LEN(AZ$3)-FIND(".",AZ$3,FIND(".",AZ$3)+1)),Gällivare!$B$6:$J$36,MATCH($C22,Gällivare!$B$6:$B$36,0),FALSE),"Global: "&amp;HLOOKUP(LEFT(AZ$3,4),Global!$B$6:$J$36,MATCH($C22,Global!$B$6:$B$36,0),FALSE)&amp;CHAR(10)&amp;"Local Trend: "&amp;HLOOKUP(MID(AZ$3,FIND(".",AZ$3)+1,FIND(".",AZ$3,FIND(".",AZ$3)+1)-FIND(".",AZ$3)-1),Gällivare!$B$6:$J$36,MATCH($C22,Gällivare!$B$6:$B$36,0),FALSE)&amp;CHAR(10)&amp;"Local Target: "&amp;HLOOKUP(RIGHT(AZ$3,LEN(AZ$3)-FIND(".",AZ$3,FIND(".",AZ$3)+1)),Gällivare!$B$6:$J$36,MATCH($C22,Gällivare!$B$6:$B$36,0),FALSE)))</f>
        <v>Global: Low
Local Trend: High
Local Target: High</v>
      </c>
      <c r="BA22" s="177" t="str">
        <f>IF(AND(HLOOKUP(MID(BA$3,FIND(".",BA$3)+1,FIND(".",BA$3,FIND(".",BA$3)+1)-FIND(".",BA$3)-1),Gällivare!$B$6:$J$36,MATCH($C22,Gällivare!$B$6:$B$36,0),FALSE)="No Impact",HLOOKUP(RIGHT(BA$3,LEN(BA$3)-FIND(".",BA$3,FIND(".",BA$3)+1)),Gällivare!$B$6:$J$36,MATCH($C22,Gällivare!$B$6:$B$36,0),FALSE)="No Impact"),HLOOKUP(LEFT(BA$3,4),Global!$B$6:$J$36,MATCH($C22,Global!$B$6:$B$36,0),FALSE),IF(AND(HLOOKUP(MID(BA$3,FIND(".",BA$3)+1,FIND(".",BA$3,FIND(".",BA$3)+1)-FIND(".",BA$3)-1),Gällivare!$B$6:$J$36,MATCH($C22,Gällivare!$B$6:$B$36,0),FALSE)="No Impact",HLOOKUP(LEFT(BA$3,4),Global!$B$6:$J$36,MATCH($C22,Global!$B$6:$B$36,0),FALSE)="No Impact"),HLOOKUP(RIGHT(BA$3,LEN(BA$3)-FIND(".",BA$3,FIND(".",BA$3)+1)),Gällivare!$B$6:$J$36,MATCH($C22,Gällivare!$B$6:$B$36,0),FALSE),"Global: "&amp;HLOOKUP(LEFT(BA$3,4),Global!$B$6:$J$36,MATCH($C22,Global!$B$6:$B$36,0),FALSE)&amp;CHAR(10)&amp;"Local Trend: "&amp;HLOOKUP(MID(BA$3,FIND(".",BA$3)+1,FIND(".",BA$3,FIND(".",BA$3)+1)-FIND(".",BA$3)-1),Gällivare!$B$6:$J$36,MATCH($C22,Gällivare!$B$6:$B$36,0),FALSE)&amp;CHAR(10)&amp;"Local Target: "&amp;HLOOKUP(RIGHT(BA$3,LEN(BA$3)-FIND(".",BA$3,FIND(".",BA$3)+1)),Gällivare!$B$6:$J$36,MATCH($C22,Gällivare!$B$6:$B$36,0),FALSE)))</f>
        <v>Global: Low
Local Trend: High
Local Target: Low in begining
High around 2040</v>
      </c>
      <c r="BB22" s="177" t="str">
        <f>IF(AND(HLOOKUP(MID(BB$3,FIND(".",BB$3)+1,FIND(".",BB$3,FIND(".",BB$3)+1)-FIND(".",BB$3)-1),Gällivare!$B$6:$J$36,MATCH($C22,Gällivare!$B$6:$B$36,0),FALSE)="No Impact",HLOOKUP(RIGHT(BB$3,LEN(BB$3)-FIND(".",BB$3,FIND(".",BB$3)+1)),Gällivare!$B$6:$J$36,MATCH($C22,Gällivare!$B$6:$B$36,0),FALSE)="No Impact"),HLOOKUP(LEFT(BB$3,4),Global!$B$6:$J$36,MATCH($C22,Global!$B$6:$B$36,0),FALSE),IF(AND(HLOOKUP(MID(BB$3,FIND(".",BB$3)+1,FIND(".",BB$3,FIND(".",BB$3)+1)-FIND(".",BB$3)-1),Gällivare!$B$6:$J$36,MATCH($C22,Gällivare!$B$6:$B$36,0),FALSE)="No Impact",HLOOKUP(LEFT(BB$3,4),Global!$B$6:$J$36,MATCH($C22,Global!$B$6:$B$36,0),FALSE)="No Impact"),HLOOKUP(RIGHT(BB$3,LEN(BB$3)-FIND(".",BB$3,FIND(".",BB$3)+1)),Gällivare!$B$6:$J$36,MATCH($C22,Gällivare!$B$6:$B$36,0),FALSE),"Global: "&amp;HLOOKUP(LEFT(BB$3,4),Global!$B$6:$J$36,MATCH($C22,Global!$B$6:$B$36,0),FALSE)&amp;CHAR(10)&amp;"Local Trend: "&amp;HLOOKUP(MID(BB$3,FIND(".",BB$3)+1,FIND(".",BB$3,FIND(".",BB$3)+1)-FIND(".",BB$3)-1),Gällivare!$B$6:$J$36,MATCH($C22,Gällivare!$B$6:$B$36,0),FALSE)&amp;CHAR(10)&amp;"Local Target: "&amp;HLOOKUP(RIGHT(BB$3,LEN(BB$3)-FIND(".",BB$3,FIND(".",BB$3)+1)),Gällivare!$B$6:$J$36,MATCH($C22,Gällivare!$B$6:$B$36,0),FALSE)))</f>
        <v>Global: Low
Local Trend: Low
Local Target: Medium</v>
      </c>
      <c r="BC22" s="177" t="str">
        <f>IF(AND(HLOOKUP(MID(BC$3,FIND(".",BC$3)+1,FIND(".",BC$3,FIND(".",BC$3)+1)-FIND(".",BC$3)-1),Gällivare!$B$6:$J$36,MATCH($C22,Gällivare!$B$6:$B$36,0),FALSE)="No Impact",HLOOKUP(RIGHT(BC$3,LEN(BC$3)-FIND(".",BC$3,FIND(".",BC$3)+1)),Gällivare!$B$6:$J$36,MATCH($C22,Gällivare!$B$6:$B$36,0),FALSE)="No Impact"),HLOOKUP(LEFT(BC$3,4),Global!$B$6:$J$36,MATCH($C22,Global!$B$6:$B$36,0),FALSE),IF(AND(HLOOKUP(MID(BC$3,FIND(".",BC$3)+1,FIND(".",BC$3,FIND(".",BC$3)+1)-FIND(".",BC$3)-1),Gällivare!$B$6:$J$36,MATCH($C22,Gällivare!$B$6:$B$36,0),FALSE)="No Impact",HLOOKUP(LEFT(BC$3,4),Global!$B$6:$J$36,MATCH($C22,Global!$B$6:$B$36,0),FALSE)="No Impact"),HLOOKUP(RIGHT(BC$3,LEN(BC$3)-FIND(".",BC$3,FIND(".",BC$3)+1)),Gällivare!$B$6:$J$36,MATCH($C22,Gällivare!$B$6:$B$36,0),FALSE),"Global: "&amp;HLOOKUP(LEFT(BC$3,4),Global!$B$6:$J$36,MATCH($C22,Global!$B$6:$B$36,0),FALSE)&amp;CHAR(10)&amp;"Local Trend: "&amp;HLOOKUP(MID(BC$3,FIND(".",BC$3)+1,FIND(".",BC$3,FIND(".",BC$3)+1)-FIND(".",BC$3)-1),Gällivare!$B$6:$J$36,MATCH($C22,Gällivare!$B$6:$B$36,0),FALSE)&amp;CHAR(10)&amp;"Local Target: "&amp;HLOOKUP(RIGHT(BC$3,LEN(BC$3)-FIND(".",BC$3,FIND(".",BC$3)+1)),Gällivare!$B$6:$J$36,MATCH($C22,Gällivare!$B$6:$B$36,0),FALSE)))</f>
        <v>Global: Low
Local Trend: Low
Local Target: High</v>
      </c>
      <c r="BD22" s="177" t="str">
        <f>IF(AND(HLOOKUP(MID(BD$3,FIND(".",BD$3)+1,FIND(".",BD$3,FIND(".",BD$3)+1)-FIND(".",BD$3)-1),Gällivare!$B$6:$J$36,MATCH($C22,Gällivare!$B$6:$B$36,0),FALSE)="No Impact",HLOOKUP(RIGHT(BD$3,LEN(BD$3)-FIND(".",BD$3,FIND(".",BD$3)+1)),Gällivare!$B$6:$J$36,MATCH($C22,Gällivare!$B$6:$B$36,0),FALSE)="No Impact"),HLOOKUP(LEFT(BD$3,4),Global!$B$6:$J$36,MATCH($C22,Global!$B$6:$B$36,0),FALSE),IF(AND(HLOOKUP(MID(BD$3,FIND(".",BD$3)+1,FIND(".",BD$3,FIND(".",BD$3)+1)-FIND(".",BD$3)-1),Gällivare!$B$6:$J$36,MATCH($C22,Gällivare!$B$6:$B$36,0),FALSE)="No Impact",HLOOKUP(LEFT(BD$3,4),Global!$B$6:$J$36,MATCH($C22,Global!$B$6:$B$36,0),FALSE)="No Impact"),HLOOKUP(RIGHT(BD$3,LEN(BD$3)-FIND(".",BD$3,FIND(".",BD$3)+1)),Gällivare!$B$6:$J$36,MATCH($C22,Gällivare!$B$6:$B$36,0),FALSE),"Global: "&amp;HLOOKUP(LEFT(BD$3,4),Global!$B$6:$J$36,MATCH($C22,Global!$B$6:$B$36,0),FALSE)&amp;CHAR(10)&amp;"Local Trend: "&amp;HLOOKUP(MID(BD$3,FIND(".",BD$3)+1,FIND(".",BD$3,FIND(".",BD$3)+1)-FIND(".",BD$3)-1),Gällivare!$B$6:$J$36,MATCH($C22,Gällivare!$B$6:$B$36,0),FALSE)&amp;CHAR(10)&amp;"Local Target: "&amp;HLOOKUP(RIGHT(BD$3,LEN(BD$3)-FIND(".",BD$3,FIND(".",BD$3)+1)),Gällivare!$B$6:$J$36,MATCH($C22,Gällivare!$B$6:$B$36,0),FALSE)))</f>
        <v>Global: Low
Local Trend: Low
Local Target: Low in begining
High around 2040</v>
      </c>
      <c r="BE22" s="177" t="str">
        <f>IF(AND(HLOOKUP(MID(BE$3,FIND(".",BE$3)+1,FIND(".",BE$3,FIND(".",BE$3)+1)-FIND(".",BE$3)-1),Gällivare!$B$6:$J$36,MATCH($C22,Gällivare!$B$6:$B$36,0),FALSE)="No Impact",HLOOKUP(RIGHT(BE$3,LEN(BE$3)-FIND(".",BE$3,FIND(".",BE$3)+1)),Gällivare!$B$6:$J$36,MATCH($C22,Gällivare!$B$6:$B$36,0),FALSE)="No Impact"),HLOOKUP(LEFT(BE$3,4),Global!$B$6:$J$36,MATCH($C22,Global!$B$6:$B$36,0),FALSE),IF(AND(HLOOKUP(MID(BE$3,FIND(".",BE$3)+1,FIND(".",BE$3,FIND(".",BE$3)+1)-FIND(".",BE$3)-1),Gällivare!$B$6:$J$36,MATCH($C22,Gällivare!$B$6:$B$36,0),FALSE)="No Impact",HLOOKUP(LEFT(BE$3,4),Global!$B$6:$J$36,MATCH($C22,Global!$B$6:$B$36,0),FALSE)="No Impact"),HLOOKUP(RIGHT(BE$3,LEN(BE$3)-FIND(".",BE$3,FIND(".",BE$3)+1)),Gällivare!$B$6:$J$36,MATCH($C22,Gällivare!$B$6:$B$36,0),FALSE),"Global: "&amp;HLOOKUP(LEFT(BE$3,4),Global!$B$6:$J$36,MATCH($C22,Global!$B$6:$B$36,0),FALSE)&amp;CHAR(10)&amp;"Local Trend: "&amp;HLOOKUP(MID(BE$3,FIND(".",BE$3)+1,FIND(".",BE$3,FIND(".",BE$3)+1)-FIND(".",BE$3)-1),Gällivare!$B$6:$J$36,MATCH($C22,Gällivare!$B$6:$B$36,0),FALSE)&amp;CHAR(10)&amp;"Local Target: "&amp;HLOOKUP(RIGHT(BE$3,LEN(BE$3)-FIND(".",BE$3,FIND(".",BE$3)+1)),Gällivare!$B$6:$J$36,MATCH($C22,Gällivare!$B$6:$B$36,0),FALSE)))</f>
        <v>Global: Medium
Local Trend: High
Local Target: Medium</v>
      </c>
      <c r="BF22" s="177" t="str">
        <f>IF(AND(HLOOKUP(MID(BF$3,FIND(".",BF$3)+1,FIND(".",BF$3,FIND(".",BF$3)+1)-FIND(".",BF$3)-1),Gällivare!$B$6:$J$36,MATCH($C22,Gällivare!$B$6:$B$36,0),FALSE)="No Impact",HLOOKUP(RIGHT(BF$3,LEN(BF$3)-FIND(".",BF$3,FIND(".",BF$3)+1)),Gällivare!$B$6:$J$36,MATCH($C22,Gällivare!$B$6:$B$36,0),FALSE)="No Impact"),HLOOKUP(LEFT(BF$3,4),Global!$B$6:$J$36,MATCH($C22,Global!$B$6:$B$36,0),FALSE),IF(AND(HLOOKUP(MID(BF$3,FIND(".",BF$3)+1,FIND(".",BF$3,FIND(".",BF$3)+1)-FIND(".",BF$3)-1),Gällivare!$B$6:$J$36,MATCH($C22,Gällivare!$B$6:$B$36,0),FALSE)="No Impact",HLOOKUP(LEFT(BF$3,4),Global!$B$6:$J$36,MATCH($C22,Global!$B$6:$B$36,0),FALSE)="No Impact"),HLOOKUP(RIGHT(BF$3,LEN(BF$3)-FIND(".",BF$3,FIND(".",BF$3)+1)),Gällivare!$B$6:$J$36,MATCH($C22,Gällivare!$B$6:$B$36,0),FALSE),"Global: "&amp;HLOOKUP(LEFT(BF$3,4),Global!$B$6:$J$36,MATCH($C22,Global!$B$6:$B$36,0),FALSE)&amp;CHAR(10)&amp;"Local Trend: "&amp;HLOOKUP(MID(BF$3,FIND(".",BF$3)+1,FIND(".",BF$3,FIND(".",BF$3)+1)-FIND(".",BF$3)-1),Gällivare!$B$6:$J$36,MATCH($C22,Gällivare!$B$6:$B$36,0),FALSE)&amp;CHAR(10)&amp;"Local Target: "&amp;HLOOKUP(RIGHT(BF$3,LEN(BF$3)-FIND(".",BF$3,FIND(".",BF$3)+1)),Gällivare!$B$6:$J$36,MATCH($C22,Gällivare!$B$6:$B$36,0),FALSE)))</f>
        <v>Global: Medium
Local Trend: High
Local Target: High</v>
      </c>
      <c r="BG22" s="177" t="str">
        <f>IF(AND(HLOOKUP(MID(BG$3,FIND(".",BG$3)+1,FIND(".",BG$3,FIND(".",BG$3)+1)-FIND(".",BG$3)-1),Gällivare!$B$6:$J$36,MATCH($C22,Gällivare!$B$6:$B$36,0),FALSE)="No Impact",HLOOKUP(RIGHT(BG$3,LEN(BG$3)-FIND(".",BG$3,FIND(".",BG$3)+1)),Gällivare!$B$6:$J$36,MATCH($C22,Gällivare!$B$6:$B$36,0),FALSE)="No Impact"),HLOOKUP(LEFT(BG$3,4),Global!$B$6:$J$36,MATCH($C22,Global!$B$6:$B$36,0),FALSE),IF(AND(HLOOKUP(MID(BG$3,FIND(".",BG$3)+1,FIND(".",BG$3,FIND(".",BG$3)+1)-FIND(".",BG$3)-1),Gällivare!$B$6:$J$36,MATCH($C22,Gällivare!$B$6:$B$36,0),FALSE)="No Impact",HLOOKUP(LEFT(BG$3,4),Global!$B$6:$J$36,MATCH($C22,Global!$B$6:$B$36,0),FALSE)="No Impact"),HLOOKUP(RIGHT(BG$3,LEN(BG$3)-FIND(".",BG$3,FIND(".",BG$3)+1)),Gällivare!$B$6:$J$36,MATCH($C22,Gällivare!$B$6:$B$36,0),FALSE),"Global: "&amp;HLOOKUP(LEFT(BG$3,4),Global!$B$6:$J$36,MATCH($C22,Global!$B$6:$B$36,0),FALSE)&amp;CHAR(10)&amp;"Local Trend: "&amp;HLOOKUP(MID(BG$3,FIND(".",BG$3)+1,FIND(".",BG$3,FIND(".",BG$3)+1)-FIND(".",BG$3)-1),Gällivare!$B$6:$J$36,MATCH($C22,Gällivare!$B$6:$B$36,0),FALSE)&amp;CHAR(10)&amp;"Local Target: "&amp;HLOOKUP(RIGHT(BG$3,LEN(BG$3)-FIND(".",BG$3,FIND(".",BG$3)+1)),Gällivare!$B$6:$J$36,MATCH($C22,Gällivare!$B$6:$B$36,0),FALSE)))</f>
        <v>Global: Medium
Local Trend: High
Local Target: Low in begining
High around 2040</v>
      </c>
      <c r="BH22" s="177" t="str">
        <f>IF(AND(HLOOKUP(MID(BH$3,FIND(".",BH$3)+1,FIND(".",BH$3,FIND(".",BH$3)+1)-FIND(".",BH$3)-1),Gällivare!$B$6:$J$36,MATCH($C22,Gällivare!$B$6:$B$36,0),FALSE)="No Impact",HLOOKUP(RIGHT(BH$3,LEN(BH$3)-FIND(".",BH$3,FIND(".",BH$3)+1)),Gällivare!$B$6:$J$36,MATCH($C22,Gällivare!$B$6:$B$36,0),FALSE)="No Impact"),HLOOKUP(LEFT(BH$3,4),Global!$B$6:$J$36,MATCH($C22,Global!$B$6:$B$36,0),FALSE),IF(AND(HLOOKUP(MID(BH$3,FIND(".",BH$3)+1,FIND(".",BH$3,FIND(".",BH$3)+1)-FIND(".",BH$3)-1),Gällivare!$B$6:$J$36,MATCH($C22,Gällivare!$B$6:$B$36,0),FALSE)="No Impact",HLOOKUP(LEFT(BH$3,4),Global!$B$6:$J$36,MATCH($C22,Global!$B$6:$B$36,0),FALSE)="No Impact"),HLOOKUP(RIGHT(BH$3,LEN(BH$3)-FIND(".",BH$3,FIND(".",BH$3)+1)),Gällivare!$B$6:$J$36,MATCH($C22,Gällivare!$B$6:$B$36,0),FALSE),"Global: "&amp;HLOOKUP(LEFT(BH$3,4),Global!$B$6:$J$36,MATCH($C22,Global!$B$6:$B$36,0),FALSE)&amp;CHAR(10)&amp;"Local Trend: "&amp;HLOOKUP(MID(BH$3,FIND(".",BH$3)+1,FIND(".",BH$3,FIND(".",BH$3)+1)-FIND(".",BH$3)-1),Gällivare!$B$6:$J$36,MATCH($C22,Gällivare!$B$6:$B$36,0),FALSE)&amp;CHAR(10)&amp;"Local Target: "&amp;HLOOKUP(RIGHT(BH$3,LEN(BH$3)-FIND(".",BH$3,FIND(".",BH$3)+1)),Gällivare!$B$6:$J$36,MATCH($C22,Gällivare!$B$6:$B$36,0),FALSE)))</f>
        <v>Global: Medium
Local Trend: Low
Local Target: Medium</v>
      </c>
      <c r="BI22" s="177" t="str">
        <f>IF(AND(HLOOKUP(MID(BI$3,FIND(".",BI$3)+1,FIND(".",BI$3,FIND(".",BI$3)+1)-FIND(".",BI$3)-1),Gällivare!$B$6:$J$36,MATCH($C22,Gällivare!$B$6:$B$36,0),FALSE)="No Impact",HLOOKUP(RIGHT(BI$3,LEN(BI$3)-FIND(".",BI$3,FIND(".",BI$3)+1)),Gällivare!$B$6:$J$36,MATCH($C22,Gällivare!$B$6:$B$36,0),FALSE)="No Impact"),HLOOKUP(LEFT(BI$3,4),Global!$B$6:$J$36,MATCH($C22,Global!$B$6:$B$36,0),FALSE),IF(AND(HLOOKUP(MID(BI$3,FIND(".",BI$3)+1,FIND(".",BI$3,FIND(".",BI$3)+1)-FIND(".",BI$3)-1),Gällivare!$B$6:$J$36,MATCH($C22,Gällivare!$B$6:$B$36,0),FALSE)="No Impact",HLOOKUP(LEFT(BI$3,4),Global!$B$6:$J$36,MATCH($C22,Global!$B$6:$B$36,0),FALSE)="No Impact"),HLOOKUP(RIGHT(BI$3,LEN(BI$3)-FIND(".",BI$3,FIND(".",BI$3)+1)),Gällivare!$B$6:$J$36,MATCH($C22,Gällivare!$B$6:$B$36,0),FALSE),"Global: "&amp;HLOOKUP(LEFT(BI$3,4),Global!$B$6:$J$36,MATCH($C22,Global!$B$6:$B$36,0),FALSE)&amp;CHAR(10)&amp;"Local Trend: "&amp;HLOOKUP(MID(BI$3,FIND(".",BI$3)+1,FIND(".",BI$3,FIND(".",BI$3)+1)-FIND(".",BI$3)-1),Gällivare!$B$6:$J$36,MATCH($C22,Gällivare!$B$6:$B$36,0),FALSE)&amp;CHAR(10)&amp;"Local Target: "&amp;HLOOKUP(RIGHT(BI$3,LEN(BI$3)-FIND(".",BI$3,FIND(".",BI$3)+1)),Gällivare!$B$6:$J$36,MATCH($C22,Gällivare!$B$6:$B$36,0),FALSE)))</f>
        <v>Global: Medium
Local Trend: Low
Local Target: High</v>
      </c>
      <c r="BJ22" s="177" t="str">
        <f>IF(AND(HLOOKUP(MID(BJ$3,FIND(".",BJ$3)+1,FIND(".",BJ$3,FIND(".",BJ$3)+1)-FIND(".",BJ$3)-1),Gällivare!$B$6:$J$36,MATCH($C22,Gällivare!$B$6:$B$36,0),FALSE)="No Impact",HLOOKUP(RIGHT(BJ$3,LEN(BJ$3)-FIND(".",BJ$3,FIND(".",BJ$3)+1)),Gällivare!$B$6:$J$36,MATCH($C22,Gällivare!$B$6:$B$36,0),FALSE)="No Impact"),HLOOKUP(LEFT(BJ$3,4),Global!$B$6:$J$36,MATCH($C22,Global!$B$6:$B$36,0),FALSE),IF(AND(HLOOKUP(MID(BJ$3,FIND(".",BJ$3)+1,FIND(".",BJ$3,FIND(".",BJ$3)+1)-FIND(".",BJ$3)-1),Gällivare!$B$6:$J$36,MATCH($C22,Gällivare!$B$6:$B$36,0),FALSE)="No Impact",HLOOKUP(LEFT(BJ$3,4),Global!$B$6:$J$36,MATCH($C22,Global!$B$6:$B$36,0),FALSE)="No Impact"),HLOOKUP(RIGHT(BJ$3,LEN(BJ$3)-FIND(".",BJ$3,FIND(".",BJ$3)+1)),Gällivare!$B$6:$J$36,MATCH($C22,Gällivare!$B$6:$B$36,0),FALSE),"Global: "&amp;HLOOKUP(LEFT(BJ$3,4),Global!$B$6:$J$36,MATCH($C22,Global!$B$6:$B$36,0),FALSE)&amp;CHAR(10)&amp;"Local Trend: "&amp;HLOOKUP(MID(BJ$3,FIND(".",BJ$3)+1,FIND(".",BJ$3,FIND(".",BJ$3)+1)-FIND(".",BJ$3)-1),Gällivare!$B$6:$J$36,MATCH($C22,Gällivare!$B$6:$B$36,0),FALSE)&amp;CHAR(10)&amp;"Local Target: "&amp;HLOOKUP(RIGHT(BJ$3,LEN(BJ$3)-FIND(".",BJ$3,FIND(".",BJ$3)+1)),Gällivare!$B$6:$J$36,MATCH($C22,Gällivare!$B$6:$B$36,0),FALSE)))</f>
        <v>Global: Medium
Local Trend: Low
Local Target: Low in begining
High around 2040</v>
      </c>
      <c r="BK22" s="177" t="str">
        <f>IF(AND(HLOOKUP(MID(BK$3,FIND(".",BK$3)+1,FIND(".",BK$3,FIND(".",BK$3)+1)-FIND(".",BK$3)-1),Gällivare!$B$6:$J$36,MATCH($C22,Gällivare!$B$6:$B$36,0),FALSE)="No Impact",HLOOKUP(RIGHT(BK$3,LEN(BK$3)-FIND(".",BK$3,FIND(".",BK$3)+1)),Gällivare!$B$6:$J$36,MATCH($C22,Gällivare!$B$6:$B$36,0),FALSE)="No Impact"),HLOOKUP(LEFT(BK$3,4),Global!$B$6:$J$36,MATCH($C22,Global!$B$6:$B$36,0),FALSE),IF(AND(HLOOKUP(MID(BK$3,FIND(".",BK$3)+1,FIND(".",BK$3,FIND(".",BK$3)+1)-FIND(".",BK$3)-1),Gällivare!$B$6:$J$36,MATCH($C22,Gällivare!$B$6:$B$36,0),FALSE)="No Impact",HLOOKUP(LEFT(BK$3,4),Global!$B$6:$J$36,MATCH($C22,Global!$B$6:$B$36,0),FALSE)="No Impact"),HLOOKUP(RIGHT(BK$3,LEN(BK$3)-FIND(".",BK$3,FIND(".",BK$3)+1)),Gällivare!$B$6:$J$36,MATCH($C22,Gällivare!$B$6:$B$36,0),FALSE),"Global: "&amp;HLOOKUP(LEFT(BK$3,4),Global!$B$6:$J$36,MATCH($C22,Global!$B$6:$B$36,0),FALSE)&amp;CHAR(10)&amp;"Local Trend: "&amp;HLOOKUP(MID(BK$3,FIND(".",BK$3)+1,FIND(".",BK$3,FIND(".",BK$3)+1)-FIND(".",BK$3)-1),Gällivare!$B$6:$J$36,MATCH($C22,Gällivare!$B$6:$B$36,0),FALSE)&amp;CHAR(10)&amp;"Local Target: "&amp;HLOOKUP(RIGHT(BK$3,LEN(BK$3)-FIND(".",BK$3,FIND(".",BK$3)+1)),Gällivare!$B$6:$J$36,MATCH($C22,Gällivare!$B$6:$B$36,0),FALSE)))</f>
        <v>Global: Low
Local Trend: High
Local Target: Medium</v>
      </c>
      <c r="BL22" s="177" t="str">
        <f>IF(AND(HLOOKUP(MID(BL$3,FIND(".",BL$3)+1,FIND(".",BL$3,FIND(".",BL$3)+1)-FIND(".",BL$3)-1),Gällivare!$B$6:$J$36,MATCH($C22,Gällivare!$B$6:$B$36,0),FALSE)="No Impact",HLOOKUP(RIGHT(BL$3,LEN(BL$3)-FIND(".",BL$3,FIND(".",BL$3)+1)),Gällivare!$B$6:$J$36,MATCH($C22,Gällivare!$B$6:$B$36,0),FALSE)="No Impact"),HLOOKUP(LEFT(BL$3,4),Global!$B$6:$J$36,MATCH($C22,Global!$B$6:$B$36,0),FALSE),IF(AND(HLOOKUP(MID(BL$3,FIND(".",BL$3)+1,FIND(".",BL$3,FIND(".",BL$3)+1)-FIND(".",BL$3)-1),Gällivare!$B$6:$J$36,MATCH($C22,Gällivare!$B$6:$B$36,0),FALSE)="No Impact",HLOOKUP(LEFT(BL$3,4),Global!$B$6:$J$36,MATCH($C22,Global!$B$6:$B$36,0),FALSE)="No Impact"),HLOOKUP(RIGHT(BL$3,LEN(BL$3)-FIND(".",BL$3,FIND(".",BL$3)+1)),Gällivare!$B$6:$J$36,MATCH($C22,Gällivare!$B$6:$B$36,0),FALSE),"Global: "&amp;HLOOKUP(LEFT(BL$3,4),Global!$B$6:$J$36,MATCH($C22,Global!$B$6:$B$36,0),FALSE)&amp;CHAR(10)&amp;"Local Trend: "&amp;HLOOKUP(MID(BL$3,FIND(".",BL$3)+1,FIND(".",BL$3,FIND(".",BL$3)+1)-FIND(".",BL$3)-1),Gällivare!$B$6:$J$36,MATCH($C22,Gällivare!$B$6:$B$36,0),FALSE)&amp;CHAR(10)&amp;"Local Target: "&amp;HLOOKUP(RIGHT(BL$3,LEN(BL$3)-FIND(".",BL$3,FIND(".",BL$3)+1)),Gällivare!$B$6:$J$36,MATCH($C22,Gällivare!$B$6:$B$36,0),FALSE)))</f>
        <v>Global: Low
Local Trend: High
Local Target: High</v>
      </c>
      <c r="BM22" s="177" t="str">
        <f>IF(AND(HLOOKUP(MID(BM$3,FIND(".",BM$3)+1,FIND(".",BM$3,FIND(".",BM$3)+1)-FIND(".",BM$3)-1),Gällivare!$B$6:$J$36,MATCH($C22,Gällivare!$B$6:$B$36,0),FALSE)="No Impact",HLOOKUP(RIGHT(BM$3,LEN(BM$3)-FIND(".",BM$3,FIND(".",BM$3)+1)),Gällivare!$B$6:$J$36,MATCH($C22,Gällivare!$B$6:$B$36,0),FALSE)="No Impact"),HLOOKUP(LEFT(BM$3,4),Global!$B$6:$J$36,MATCH($C22,Global!$B$6:$B$36,0),FALSE),IF(AND(HLOOKUP(MID(BM$3,FIND(".",BM$3)+1,FIND(".",BM$3,FIND(".",BM$3)+1)-FIND(".",BM$3)-1),Gällivare!$B$6:$J$36,MATCH($C22,Gällivare!$B$6:$B$36,0),FALSE)="No Impact",HLOOKUP(LEFT(BM$3,4),Global!$B$6:$J$36,MATCH($C22,Global!$B$6:$B$36,0),FALSE)="No Impact"),HLOOKUP(RIGHT(BM$3,LEN(BM$3)-FIND(".",BM$3,FIND(".",BM$3)+1)),Gällivare!$B$6:$J$36,MATCH($C22,Gällivare!$B$6:$B$36,0),FALSE),"Global: "&amp;HLOOKUP(LEFT(BM$3,4),Global!$B$6:$J$36,MATCH($C22,Global!$B$6:$B$36,0),FALSE)&amp;CHAR(10)&amp;"Local Trend: "&amp;HLOOKUP(MID(BM$3,FIND(".",BM$3)+1,FIND(".",BM$3,FIND(".",BM$3)+1)-FIND(".",BM$3)-1),Gällivare!$B$6:$J$36,MATCH($C22,Gällivare!$B$6:$B$36,0),FALSE)&amp;CHAR(10)&amp;"Local Target: "&amp;HLOOKUP(RIGHT(BM$3,LEN(BM$3)-FIND(".",BM$3,FIND(".",BM$3)+1)),Gällivare!$B$6:$J$36,MATCH($C22,Gällivare!$B$6:$B$36,0),FALSE)))</f>
        <v>Global: Low
Local Trend: High
Local Target: Low in begining
High around 2040</v>
      </c>
      <c r="BN22" s="177" t="str">
        <f>IF(AND(HLOOKUP(MID(BN$3,FIND(".",BN$3)+1,FIND(".",BN$3,FIND(".",BN$3)+1)-FIND(".",BN$3)-1),Gällivare!$B$6:$J$36,MATCH($C22,Gällivare!$B$6:$B$36,0),FALSE)="No Impact",HLOOKUP(RIGHT(BN$3,LEN(BN$3)-FIND(".",BN$3,FIND(".",BN$3)+1)),Gällivare!$B$6:$J$36,MATCH($C22,Gällivare!$B$6:$B$36,0),FALSE)="No Impact"),HLOOKUP(LEFT(BN$3,4),Global!$B$6:$J$36,MATCH($C22,Global!$B$6:$B$36,0),FALSE),IF(AND(HLOOKUP(MID(BN$3,FIND(".",BN$3)+1,FIND(".",BN$3,FIND(".",BN$3)+1)-FIND(".",BN$3)-1),Gällivare!$B$6:$J$36,MATCH($C22,Gällivare!$B$6:$B$36,0),FALSE)="No Impact",HLOOKUP(LEFT(BN$3,4),Global!$B$6:$J$36,MATCH($C22,Global!$B$6:$B$36,0),FALSE)="No Impact"),HLOOKUP(RIGHT(BN$3,LEN(BN$3)-FIND(".",BN$3,FIND(".",BN$3)+1)),Gällivare!$B$6:$J$36,MATCH($C22,Gällivare!$B$6:$B$36,0),FALSE),"Global: "&amp;HLOOKUP(LEFT(BN$3,4),Global!$B$6:$J$36,MATCH($C22,Global!$B$6:$B$36,0),FALSE)&amp;CHAR(10)&amp;"Local Trend: "&amp;HLOOKUP(MID(BN$3,FIND(".",BN$3)+1,FIND(".",BN$3,FIND(".",BN$3)+1)-FIND(".",BN$3)-1),Gällivare!$B$6:$J$36,MATCH($C22,Gällivare!$B$6:$B$36,0),FALSE)&amp;CHAR(10)&amp;"Local Target: "&amp;HLOOKUP(RIGHT(BN$3,LEN(BN$3)-FIND(".",BN$3,FIND(".",BN$3)+1)),Gällivare!$B$6:$J$36,MATCH($C22,Gällivare!$B$6:$B$36,0),FALSE)))</f>
        <v>Global: Low
Local Trend: Low
Local Target: Medium</v>
      </c>
      <c r="BO22" s="177" t="str">
        <f>IF(AND(HLOOKUP(MID(BO$3,FIND(".",BO$3)+1,FIND(".",BO$3,FIND(".",BO$3)+1)-FIND(".",BO$3)-1),Gällivare!$B$6:$J$36,MATCH($C22,Gällivare!$B$6:$B$36,0),FALSE)="No Impact",HLOOKUP(RIGHT(BO$3,LEN(BO$3)-FIND(".",BO$3,FIND(".",BO$3)+1)),Gällivare!$B$6:$J$36,MATCH($C22,Gällivare!$B$6:$B$36,0),FALSE)="No Impact"),HLOOKUP(LEFT(BO$3,4),Global!$B$6:$J$36,MATCH($C22,Global!$B$6:$B$36,0),FALSE),IF(AND(HLOOKUP(MID(BO$3,FIND(".",BO$3)+1,FIND(".",BO$3,FIND(".",BO$3)+1)-FIND(".",BO$3)-1),Gällivare!$B$6:$J$36,MATCH($C22,Gällivare!$B$6:$B$36,0),FALSE)="No Impact",HLOOKUP(LEFT(BO$3,4),Global!$B$6:$J$36,MATCH($C22,Global!$B$6:$B$36,0),FALSE)="No Impact"),HLOOKUP(RIGHT(BO$3,LEN(BO$3)-FIND(".",BO$3,FIND(".",BO$3)+1)),Gällivare!$B$6:$J$36,MATCH($C22,Gällivare!$B$6:$B$36,0),FALSE),"Global: "&amp;HLOOKUP(LEFT(BO$3,4),Global!$B$6:$J$36,MATCH($C22,Global!$B$6:$B$36,0),FALSE)&amp;CHAR(10)&amp;"Local Trend: "&amp;HLOOKUP(MID(BO$3,FIND(".",BO$3)+1,FIND(".",BO$3,FIND(".",BO$3)+1)-FIND(".",BO$3)-1),Gällivare!$B$6:$J$36,MATCH($C22,Gällivare!$B$6:$B$36,0),FALSE)&amp;CHAR(10)&amp;"Local Target: "&amp;HLOOKUP(RIGHT(BO$3,LEN(BO$3)-FIND(".",BO$3,FIND(".",BO$3)+1)),Gällivare!$B$6:$J$36,MATCH($C22,Gällivare!$B$6:$B$36,0),FALSE)))</f>
        <v>Global: Low
Local Trend: Low
Local Target: High</v>
      </c>
      <c r="BP22" s="177" t="str">
        <f>IF(AND(HLOOKUP(MID(BP$3,FIND(".",BP$3)+1,FIND(".",BP$3,FIND(".",BP$3)+1)-FIND(".",BP$3)-1),Gällivare!$B$6:$J$36,MATCH($C22,Gällivare!$B$6:$B$36,0),FALSE)="No Impact",HLOOKUP(RIGHT(BP$3,LEN(BP$3)-FIND(".",BP$3,FIND(".",BP$3)+1)),Gällivare!$B$6:$J$36,MATCH($C22,Gällivare!$B$6:$B$36,0),FALSE)="No Impact"),HLOOKUP(LEFT(BP$3,4),Global!$B$6:$J$36,MATCH($C22,Global!$B$6:$B$36,0),FALSE),IF(AND(HLOOKUP(MID(BP$3,FIND(".",BP$3)+1,FIND(".",BP$3,FIND(".",BP$3)+1)-FIND(".",BP$3)-1),Gällivare!$B$6:$J$36,MATCH($C22,Gällivare!$B$6:$B$36,0),FALSE)="No Impact",HLOOKUP(LEFT(BP$3,4),Global!$B$6:$J$36,MATCH($C22,Global!$B$6:$B$36,0),FALSE)="No Impact"),HLOOKUP(RIGHT(BP$3,LEN(BP$3)-FIND(".",BP$3,FIND(".",BP$3)+1)),Gällivare!$B$6:$J$36,MATCH($C22,Gällivare!$B$6:$B$36,0),FALSE),"Global: "&amp;HLOOKUP(LEFT(BP$3,4),Global!$B$6:$J$36,MATCH($C22,Global!$B$6:$B$36,0),FALSE)&amp;CHAR(10)&amp;"Local Trend: "&amp;HLOOKUP(MID(BP$3,FIND(".",BP$3)+1,FIND(".",BP$3,FIND(".",BP$3)+1)-FIND(".",BP$3)-1),Gällivare!$B$6:$J$36,MATCH($C22,Gällivare!$B$6:$B$36,0),FALSE)&amp;CHAR(10)&amp;"Local Target: "&amp;HLOOKUP(RIGHT(BP$3,LEN(BP$3)-FIND(".",BP$3,FIND(".",BP$3)+1)),Gällivare!$B$6:$J$36,MATCH($C22,Gällivare!$B$6:$B$36,0),FALSE)))</f>
        <v>Global: Low
Local Trend: Low
Local Target: Low in begining
High around 2040</v>
      </c>
    </row>
    <row r="23" spans="2:74" ht="28.8" x14ac:dyDescent="0.3">
      <c r="B23" s="248"/>
      <c r="C23" s="175" t="s">
        <v>200</v>
      </c>
      <c r="D23" s="175" t="s">
        <v>201</v>
      </c>
      <c r="E23" s="175" t="s">
        <v>202</v>
      </c>
      <c r="F23" s="175" t="s">
        <v>198</v>
      </c>
      <c r="G23" s="175"/>
      <c r="H23" s="175" t="str">
        <f t="shared" si="1"/>
        <v>High</v>
      </c>
      <c r="I23" s="175" t="str">
        <f t="shared" si="1"/>
        <v>High</v>
      </c>
      <c r="J23" s="175" t="str">
        <f t="shared" si="1"/>
        <v>High</v>
      </c>
      <c r="K23" s="175" t="str">
        <f t="shared" si="1"/>
        <v>High</v>
      </c>
      <c r="L23" s="175" t="str">
        <f t="shared" si="1"/>
        <v>High</v>
      </c>
      <c r="M23" s="175" t="str">
        <f t="shared" si="1"/>
        <v>High</v>
      </c>
      <c r="N23" s="175" t="str">
        <f t="shared" si="1"/>
        <v>Medium</v>
      </c>
      <c r="O23" s="175" t="str">
        <f t="shared" si="1"/>
        <v>Medium</v>
      </c>
      <c r="P23" s="175" t="str">
        <f t="shared" si="1"/>
        <v>Medium</v>
      </c>
      <c r="Q23" s="175" t="str">
        <f t="shared" si="1"/>
        <v>Medium</v>
      </c>
      <c r="R23" s="175" t="str">
        <f t="shared" si="1"/>
        <v>Medium</v>
      </c>
      <c r="S23" s="175" t="str">
        <f t="shared" si="1"/>
        <v>Medium</v>
      </c>
      <c r="T23" s="175" t="str">
        <f t="shared" si="1"/>
        <v>Low</v>
      </c>
      <c r="U23" s="175" t="str">
        <f t="shared" si="1"/>
        <v>Low</v>
      </c>
      <c r="V23" s="175" t="str">
        <f t="shared" si="1"/>
        <v>Low</v>
      </c>
      <c r="W23" s="175" t="str">
        <f t="shared" si="1"/>
        <v>Low</v>
      </c>
      <c r="X23" s="175" t="str">
        <f t="shared" si="5"/>
        <v>Low</v>
      </c>
      <c r="Y23" s="175" t="str">
        <f t="shared" si="5"/>
        <v>Low</v>
      </c>
      <c r="Z23" s="175" t="str">
        <f t="shared" si="5"/>
        <v>Medium</v>
      </c>
      <c r="AA23" s="175" t="str">
        <f t="shared" si="5"/>
        <v>Medium</v>
      </c>
      <c r="AB23" s="175" t="str">
        <f t="shared" si="5"/>
        <v>Medium</v>
      </c>
      <c r="AC23" s="175" t="str">
        <f t="shared" si="5"/>
        <v>Medium</v>
      </c>
      <c r="AD23" s="175" t="str">
        <f t="shared" si="5"/>
        <v>Medium</v>
      </c>
      <c r="AE23" s="175" t="str">
        <f t="shared" si="5"/>
        <v>Medium</v>
      </c>
      <c r="AF23" s="175" t="str">
        <f t="shared" si="4"/>
        <v>Low</v>
      </c>
      <c r="AG23" s="175" t="str">
        <f t="shared" si="4"/>
        <v>Low</v>
      </c>
      <c r="AH23" s="175" t="str">
        <f t="shared" si="4"/>
        <v>Low</v>
      </c>
      <c r="AI23" s="175" t="str">
        <f t="shared" si="4"/>
        <v>Low</v>
      </c>
      <c r="AJ23" s="175" t="str">
        <f t="shared" si="4"/>
        <v>Low</v>
      </c>
      <c r="AK23" s="175" t="str">
        <f t="shared" si="4"/>
        <v>Low</v>
      </c>
      <c r="AL23" s="175"/>
      <c r="AM23" s="177" t="str">
        <f>IF(AND(HLOOKUP(MID(AM$3,FIND(".",AM$3)+1,FIND(".",AM$3,FIND(".",AM$3)+1)-FIND(".",AM$3)-1),Gällivare!$B$6:$J$36,MATCH($C23,Gällivare!$B$6:$B$36,0),FALSE)="No Impact",HLOOKUP(RIGHT(AM$3,LEN(AM$3)-FIND(".",AM$3,FIND(".",AM$3)+1)),Gällivare!$B$6:$J$36,MATCH($C23,Gällivare!$B$6:$B$36,0),FALSE)="No Impact"),HLOOKUP(LEFT(AM$3,4),Global!$B$6:$J$36,MATCH($C23,Global!$B$6:$B$36,0),FALSE),IF(AND(HLOOKUP(MID(AM$3,FIND(".",AM$3)+1,FIND(".",AM$3,FIND(".",AM$3)+1)-FIND(".",AM$3)-1),Gällivare!$B$6:$J$36,MATCH($C23,Gällivare!$B$6:$B$36,0),FALSE)="No Impact",HLOOKUP(LEFT(AM$3,4),Global!$B$6:$J$36,MATCH($C23,Global!$B$6:$B$36,0),FALSE)="No Impact"),HLOOKUP(RIGHT(AM$3,LEN(AM$3)-FIND(".",AM$3,FIND(".",AM$3)+1)),Gällivare!$B$6:$J$36,MATCH($C23,Gällivare!$B$6:$B$36,0),FALSE),"Global: "&amp;HLOOKUP(LEFT(AM$3,4),Global!$B$6:$J$36,MATCH($C23,Global!$B$6:$B$36,0),FALSE)&amp;CHAR(10)&amp;"Local Trend: "&amp;HLOOKUP(MID(AM$3,FIND(".",AM$3)+1,FIND(".",AM$3,FIND(".",AM$3)+1)-FIND(".",AM$3)-1),Gällivare!$B$6:$J$36,MATCH($C23,Gällivare!$B$6:$B$36,0),FALSE)&amp;CHAR(10)&amp;"Local Target: "&amp;HLOOKUP(RIGHT(AM$3,LEN(AM$3)-FIND(".",AM$3,FIND(".",AM$3)+1)),Gällivare!$B$6:$J$36,MATCH($C23,Gällivare!$B$6:$B$36,0),FALSE)))</f>
        <v>High</v>
      </c>
      <c r="AN23" s="177" t="str">
        <f>IF(AND(HLOOKUP(MID(AN$3,FIND(".",AN$3)+1,FIND(".",AN$3,FIND(".",AN$3)+1)-FIND(".",AN$3)-1),Gällivare!$B$6:$J$36,MATCH($C23,Gällivare!$B$6:$B$36,0),FALSE)="No Impact",HLOOKUP(RIGHT(AN$3,LEN(AN$3)-FIND(".",AN$3,FIND(".",AN$3)+1)),Gällivare!$B$6:$J$36,MATCH($C23,Gällivare!$B$6:$B$36,0),FALSE)="No Impact"),HLOOKUP(LEFT(AN$3,4),Global!$B$6:$J$36,MATCH($C23,Global!$B$6:$B$36,0),FALSE),IF(AND(HLOOKUP(MID(AN$3,FIND(".",AN$3)+1,FIND(".",AN$3,FIND(".",AN$3)+1)-FIND(".",AN$3)-1),Gällivare!$B$6:$J$36,MATCH($C23,Gällivare!$B$6:$B$36,0),FALSE)="No Impact",HLOOKUP(LEFT(AN$3,4),Global!$B$6:$J$36,MATCH($C23,Global!$B$6:$B$36,0),FALSE)="No Impact"),HLOOKUP(RIGHT(AN$3,LEN(AN$3)-FIND(".",AN$3,FIND(".",AN$3)+1)),Gällivare!$B$6:$J$36,MATCH($C23,Gällivare!$B$6:$B$36,0),FALSE),"Global: "&amp;HLOOKUP(LEFT(AN$3,4),Global!$B$6:$J$36,MATCH($C23,Global!$B$6:$B$36,0),FALSE)&amp;CHAR(10)&amp;"Local Trend: "&amp;HLOOKUP(MID(AN$3,FIND(".",AN$3)+1,FIND(".",AN$3,FIND(".",AN$3)+1)-FIND(".",AN$3)-1),Gällivare!$B$6:$J$36,MATCH($C23,Gällivare!$B$6:$B$36,0),FALSE)&amp;CHAR(10)&amp;"Local Target: "&amp;HLOOKUP(RIGHT(AN$3,LEN(AN$3)-FIND(".",AN$3,FIND(".",AN$3)+1)),Gällivare!$B$6:$J$36,MATCH($C23,Gällivare!$B$6:$B$36,0),FALSE)))</f>
        <v>High</v>
      </c>
      <c r="AO23" s="177" t="str">
        <f>IF(AND(HLOOKUP(MID(AO$3,FIND(".",AO$3)+1,FIND(".",AO$3,FIND(".",AO$3)+1)-FIND(".",AO$3)-1),Gällivare!$B$6:$J$36,MATCH($C23,Gällivare!$B$6:$B$36,0),FALSE)="No Impact",HLOOKUP(RIGHT(AO$3,LEN(AO$3)-FIND(".",AO$3,FIND(".",AO$3)+1)),Gällivare!$B$6:$J$36,MATCH($C23,Gällivare!$B$6:$B$36,0),FALSE)="No Impact"),HLOOKUP(LEFT(AO$3,4),Global!$B$6:$J$36,MATCH($C23,Global!$B$6:$B$36,0),FALSE),IF(AND(HLOOKUP(MID(AO$3,FIND(".",AO$3)+1,FIND(".",AO$3,FIND(".",AO$3)+1)-FIND(".",AO$3)-1),Gällivare!$B$6:$J$36,MATCH($C23,Gällivare!$B$6:$B$36,0),FALSE)="No Impact",HLOOKUP(LEFT(AO$3,4),Global!$B$6:$J$36,MATCH($C23,Global!$B$6:$B$36,0),FALSE)="No Impact"),HLOOKUP(RIGHT(AO$3,LEN(AO$3)-FIND(".",AO$3,FIND(".",AO$3)+1)),Gällivare!$B$6:$J$36,MATCH($C23,Gällivare!$B$6:$B$36,0),FALSE),"Global: "&amp;HLOOKUP(LEFT(AO$3,4),Global!$B$6:$J$36,MATCH($C23,Global!$B$6:$B$36,0),FALSE)&amp;CHAR(10)&amp;"Local Trend: "&amp;HLOOKUP(MID(AO$3,FIND(".",AO$3)+1,FIND(".",AO$3,FIND(".",AO$3)+1)-FIND(".",AO$3)-1),Gällivare!$B$6:$J$36,MATCH($C23,Gällivare!$B$6:$B$36,0),FALSE)&amp;CHAR(10)&amp;"Local Target: "&amp;HLOOKUP(RIGHT(AO$3,LEN(AO$3)-FIND(".",AO$3,FIND(".",AO$3)+1)),Gällivare!$B$6:$J$36,MATCH($C23,Gällivare!$B$6:$B$36,0),FALSE)))</f>
        <v>High</v>
      </c>
      <c r="AP23" s="177" t="str">
        <f>IF(AND(HLOOKUP(MID(AP$3,FIND(".",AP$3)+1,FIND(".",AP$3,FIND(".",AP$3)+1)-FIND(".",AP$3)-1),Gällivare!$B$6:$J$36,MATCH($C23,Gällivare!$B$6:$B$36,0),FALSE)="No Impact",HLOOKUP(RIGHT(AP$3,LEN(AP$3)-FIND(".",AP$3,FIND(".",AP$3)+1)),Gällivare!$B$6:$J$36,MATCH($C23,Gällivare!$B$6:$B$36,0),FALSE)="No Impact"),HLOOKUP(LEFT(AP$3,4),Global!$B$6:$J$36,MATCH($C23,Global!$B$6:$B$36,0),FALSE),IF(AND(HLOOKUP(MID(AP$3,FIND(".",AP$3)+1,FIND(".",AP$3,FIND(".",AP$3)+1)-FIND(".",AP$3)-1),Gällivare!$B$6:$J$36,MATCH($C23,Gällivare!$B$6:$B$36,0),FALSE)="No Impact",HLOOKUP(LEFT(AP$3,4),Global!$B$6:$J$36,MATCH($C23,Global!$B$6:$B$36,0),FALSE)="No Impact"),HLOOKUP(RIGHT(AP$3,LEN(AP$3)-FIND(".",AP$3,FIND(".",AP$3)+1)),Gällivare!$B$6:$J$36,MATCH($C23,Gällivare!$B$6:$B$36,0),FALSE),"Global: "&amp;HLOOKUP(LEFT(AP$3,4),Global!$B$6:$J$36,MATCH($C23,Global!$B$6:$B$36,0),FALSE)&amp;CHAR(10)&amp;"Local Trend: "&amp;HLOOKUP(MID(AP$3,FIND(".",AP$3)+1,FIND(".",AP$3,FIND(".",AP$3)+1)-FIND(".",AP$3)-1),Gällivare!$B$6:$J$36,MATCH($C23,Gällivare!$B$6:$B$36,0),FALSE)&amp;CHAR(10)&amp;"Local Target: "&amp;HLOOKUP(RIGHT(AP$3,LEN(AP$3)-FIND(".",AP$3,FIND(".",AP$3)+1)),Gällivare!$B$6:$J$36,MATCH($C23,Gällivare!$B$6:$B$36,0),FALSE)))</f>
        <v>High</v>
      </c>
      <c r="AQ23" s="177" t="str">
        <f>IF(AND(HLOOKUP(MID(AQ$3,FIND(".",AQ$3)+1,FIND(".",AQ$3,FIND(".",AQ$3)+1)-FIND(".",AQ$3)-1),Gällivare!$B$6:$J$36,MATCH($C23,Gällivare!$B$6:$B$36,0),FALSE)="No Impact",HLOOKUP(RIGHT(AQ$3,LEN(AQ$3)-FIND(".",AQ$3,FIND(".",AQ$3)+1)),Gällivare!$B$6:$J$36,MATCH($C23,Gällivare!$B$6:$B$36,0),FALSE)="No Impact"),HLOOKUP(LEFT(AQ$3,4),Global!$B$6:$J$36,MATCH($C23,Global!$B$6:$B$36,0),FALSE),IF(AND(HLOOKUP(MID(AQ$3,FIND(".",AQ$3)+1,FIND(".",AQ$3,FIND(".",AQ$3)+1)-FIND(".",AQ$3)-1),Gällivare!$B$6:$J$36,MATCH($C23,Gällivare!$B$6:$B$36,0),FALSE)="No Impact",HLOOKUP(LEFT(AQ$3,4),Global!$B$6:$J$36,MATCH($C23,Global!$B$6:$B$36,0),FALSE)="No Impact"),HLOOKUP(RIGHT(AQ$3,LEN(AQ$3)-FIND(".",AQ$3,FIND(".",AQ$3)+1)),Gällivare!$B$6:$J$36,MATCH($C23,Gällivare!$B$6:$B$36,0),FALSE),"Global: "&amp;HLOOKUP(LEFT(AQ$3,4),Global!$B$6:$J$36,MATCH($C23,Global!$B$6:$B$36,0),FALSE)&amp;CHAR(10)&amp;"Local Trend: "&amp;HLOOKUP(MID(AQ$3,FIND(".",AQ$3)+1,FIND(".",AQ$3,FIND(".",AQ$3)+1)-FIND(".",AQ$3)-1),Gällivare!$B$6:$J$36,MATCH($C23,Gällivare!$B$6:$B$36,0),FALSE)&amp;CHAR(10)&amp;"Local Target: "&amp;HLOOKUP(RIGHT(AQ$3,LEN(AQ$3)-FIND(".",AQ$3,FIND(".",AQ$3)+1)),Gällivare!$B$6:$J$36,MATCH($C23,Gällivare!$B$6:$B$36,0),FALSE)))</f>
        <v>High</v>
      </c>
      <c r="AR23" s="177" t="str">
        <f>IF(AND(HLOOKUP(MID(AR$3,FIND(".",AR$3)+1,FIND(".",AR$3,FIND(".",AR$3)+1)-FIND(".",AR$3)-1),Gällivare!$B$6:$J$36,MATCH($C23,Gällivare!$B$6:$B$36,0),FALSE)="No Impact",HLOOKUP(RIGHT(AR$3,LEN(AR$3)-FIND(".",AR$3,FIND(".",AR$3)+1)),Gällivare!$B$6:$J$36,MATCH($C23,Gällivare!$B$6:$B$36,0),FALSE)="No Impact"),HLOOKUP(LEFT(AR$3,4),Global!$B$6:$J$36,MATCH($C23,Global!$B$6:$B$36,0),FALSE),IF(AND(HLOOKUP(MID(AR$3,FIND(".",AR$3)+1,FIND(".",AR$3,FIND(".",AR$3)+1)-FIND(".",AR$3)-1),Gällivare!$B$6:$J$36,MATCH($C23,Gällivare!$B$6:$B$36,0),FALSE)="No Impact",HLOOKUP(LEFT(AR$3,4),Global!$B$6:$J$36,MATCH($C23,Global!$B$6:$B$36,0),FALSE)="No Impact"),HLOOKUP(RIGHT(AR$3,LEN(AR$3)-FIND(".",AR$3,FIND(".",AR$3)+1)),Gällivare!$B$6:$J$36,MATCH($C23,Gällivare!$B$6:$B$36,0),FALSE),"Global: "&amp;HLOOKUP(LEFT(AR$3,4),Global!$B$6:$J$36,MATCH($C23,Global!$B$6:$B$36,0),FALSE)&amp;CHAR(10)&amp;"Local Trend: "&amp;HLOOKUP(MID(AR$3,FIND(".",AR$3)+1,FIND(".",AR$3,FIND(".",AR$3)+1)-FIND(".",AR$3)-1),Gällivare!$B$6:$J$36,MATCH($C23,Gällivare!$B$6:$B$36,0),FALSE)&amp;CHAR(10)&amp;"Local Target: "&amp;HLOOKUP(RIGHT(AR$3,LEN(AR$3)-FIND(".",AR$3,FIND(".",AR$3)+1)),Gällivare!$B$6:$J$36,MATCH($C23,Gällivare!$B$6:$B$36,0),FALSE)))</f>
        <v>High</v>
      </c>
      <c r="AS23" s="177" t="str">
        <f>IF(AND(HLOOKUP(MID(AS$3,FIND(".",AS$3)+1,FIND(".",AS$3,FIND(".",AS$3)+1)-FIND(".",AS$3)-1),Gällivare!$B$6:$J$36,MATCH($C23,Gällivare!$B$6:$B$36,0),FALSE)="No Impact",HLOOKUP(RIGHT(AS$3,LEN(AS$3)-FIND(".",AS$3,FIND(".",AS$3)+1)),Gällivare!$B$6:$J$36,MATCH($C23,Gällivare!$B$6:$B$36,0),FALSE)="No Impact"),HLOOKUP(LEFT(AS$3,4),Global!$B$6:$J$36,MATCH($C23,Global!$B$6:$B$36,0),FALSE),IF(AND(HLOOKUP(MID(AS$3,FIND(".",AS$3)+1,FIND(".",AS$3,FIND(".",AS$3)+1)-FIND(".",AS$3)-1),Gällivare!$B$6:$J$36,MATCH($C23,Gällivare!$B$6:$B$36,0),FALSE)="No Impact",HLOOKUP(LEFT(AS$3,4),Global!$B$6:$J$36,MATCH($C23,Global!$B$6:$B$36,0),FALSE)="No Impact"),HLOOKUP(RIGHT(AS$3,LEN(AS$3)-FIND(".",AS$3,FIND(".",AS$3)+1)),Gällivare!$B$6:$J$36,MATCH($C23,Gällivare!$B$6:$B$36,0),FALSE),"Global: "&amp;HLOOKUP(LEFT(AS$3,4),Global!$B$6:$J$36,MATCH($C23,Global!$B$6:$B$36,0),FALSE)&amp;CHAR(10)&amp;"Local Trend: "&amp;HLOOKUP(MID(AS$3,FIND(".",AS$3)+1,FIND(".",AS$3,FIND(".",AS$3)+1)-FIND(".",AS$3)-1),Gällivare!$B$6:$J$36,MATCH($C23,Gällivare!$B$6:$B$36,0),FALSE)&amp;CHAR(10)&amp;"Local Target: "&amp;HLOOKUP(RIGHT(AS$3,LEN(AS$3)-FIND(".",AS$3,FIND(".",AS$3)+1)),Gällivare!$B$6:$J$36,MATCH($C23,Gällivare!$B$6:$B$36,0),FALSE)))</f>
        <v>Medium</v>
      </c>
      <c r="AT23" s="177" t="str">
        <f>IF(AND(HLOOKUP(MID(AT$3,FIND(".",AT$3)+1,FIND(".",AT$3,FIND(".",AT$3)+1)-FIND(".",AT$3)-1),Gällivare!$B$6:$J$36,MATCH($C23,Gällivare!$B$6:$B$36,0),FALSE)="No Impact",HLOOKUP(RIGHT(AT$3,LEN(AT$3)-FIND(".",AT$3,FIND(".",AT$3)+1)),Gällivare!$B$6:$J$36,MATCH($C23,Gällivare!$B$6:$B$36,0),FALSE)="No Impact"),HLOOKUP(LEFT(AT$3,4),Global!$B$6:$J$36,MATCH($C23,Global!$B$6:$B$36,0),FALSE),IF(AND(HLOOKUP(MID(AT$3,FIND(".",AT$3)+1,FIND(".",AT$3,FIND(".",AT$3)+1)-FIND(".",AT$3)-1),Gällivare!$B$6:$J$36,MATCH($C23,Gällivare!$B$6:$B$36,0),FALSE)="No Impact",HLOOKUP(LEFT(AT$3,4),Global!$B$6:$J$36,MATCH($C23,Global!$B$6:$B$36,0),FALSE)="No Impact"),HLOOKUP(RIGHT(AT$3,LEN(AT$3)-FIND(".",AT$3,FIND(".",AT$3)+1)),Gällivare!$B$6:$J$36,MATCH($C23,Gällivare!$B$6:$B$36,0),FALSE),"Global: "&amp;HLOOKUP(LEFT(AT$3,4),Global!$B$6:$J$36,MATCH($C23,Global!$B$6:$B$36,0),FALSE)&amp;CHAR(10)&amp;"Local Trend: "&amp;HLOOKUP(MID(AT$3,FIND(".",AT$3)+1,FIND(".",AT$3,FIND(".",AT$3)+1)-FIND(".",AT$3)-1),Gällivare!$B$6:$J$36,MATCH($C23,Gällivare!$B$6:$B$36,0),FALSE)&amp;CHAR(10)&amp;"Local Target: "&amp;HLOOKUP(RIGHT(AT$3,LEN(AT$3)-FIND(".",AT$3,FIND(".",AT$3)+1)),Gällivare!$B$6:$J$36,MATCH($C23,Gällivare!$B$6:$B$36,0),FALSE)))</f>
        <v>Medium</v>
      </c>
      <c r="AU23" s="177" t="str">
        <f>IF(AND(HLOOKUP(MID(AU$3,FIND(".",AU$3)+1,FIND(".",AU$3,FIND(".",AU$3)+1)-FIND(".",AU$3)-1),Gällivare!$B$6:$J$36,MATCH($C23,Gällivare!$B$6:$B$36,0),FALSE)="No Impact",HLOOKUP(RIGHT(AU$3,LEN(AU$3)-FIND(".",AU$3,FIND(".",AU$3)+1)),Gällivare!$B$6:$J$36,MATCH($C23,Gällivare!$B$6:$B$36,0),FALSE)="No Impact"),HLOOKUP(LEFT(AU$3,4),Global!$B$6:$J$36,MATCH($C23,Global!$B$6:$B$36,0),FALSE),IF(AND(HLOOKUP(MID(AU$3,FIND(".",AU$3)+1,FIND(".",AU$3,FIND(".",AU$3)+1)-FIND(".",AU$3)-1),Gällivare!$B$6:$J$36,MATCH($C23,Gällivare!$B$6:$B$36,0),FALSE)="No Impact",HLOOKUP(LEFT(AU$3,4),Global!$B$6:$J$36,MATCH($C23,Global!$B$6:$B$36,0),FALSE)="No Impact"),HLOOKUP(RIGHT(AU$3,LEN(AU$3)-FIND(".",AU$3,FIND(".",AU$3)+1)),Gällivare!$B$6:$J$36,MATCH($C23,Gällivare!$B$6:$B$36,0),FALSE),"Global: "&amp;HLOOKUP(LEFT(AU$3,4),Global!$B$6:$J$36,MATCH($C23,Global!$B$6:$B$36,0),FALSE)&amp;CHAR(10)&amp;"Local Trend: "&amp;HLOOKUP(MID(AU$3,FIND(".",AU$3)+1,FIND(".",AU$3,FIND(".",AU$3)+1)-FIND(".",AU$3)-1),Gällivare!$B$6:$J$36,MATCH($C23,Gällivare!$B$6:$B$36,0),FALSE)&amp;CHAR(10)&amp;"Local Target: "&amp;HLOOKUP(RIGHT(AU$3,LEN(AU$3)-FIND(".",AU$3,FIND(".",AU$3)+1)),Gällivare!$B$6:$J$36,MATCH($C23,Gällivare!$B$6:$B$36,0),FALSE)))</f>
        <v>Medium</v>
      </c>
      <c r="AV23" s="177" t="str">
        <f>IF(AND(HLOOKUP(MID(AV$3,FIND(".",AV$3)+1,FIND(".",AV$3,FIND(".",AV$3)+1)-FIND(".",AV$3)-1),Gällivare!$B$6:$J$36,MATCH($C23,Gällivare!$B$6:$B$36,0),FALSE)="No Impact",HLOOKUP(RIGHT(AV$3,LEN(AV$3)-FIND(".",AV$3,FIND(".",AV$3)+1)),Gällivare!$B$6:$J$36,MATCH($C23,Gällivare!$B$6:$B$36,0),FALSE)="No Impact"),HLOOKUP(LEFT(AV$3,4),Global!$B$6:$J$36,MATCH($C23,Global!$B$6:$B$36,0),FALSE),IF(AND(HLOOKUP(MID(AV$3,FIND(".",AV$3)+1,FIND(".",AV$3,FIND(".",AV$3)+1)-FIND(".",AV$3)-1),Gällivare!$B$6:$J$36,MATCH($C23,Gällivare!$B$6:$B$36,0),FALSE)="No Impact",HLOOKUP(LEFT(AV$3,4),Global!$B$6:$J$36,MATCH($C23,Global!$B$6:$B$36,0),FALSE)="No Impact"),HLOOKUP(RIGHT(AV$3,LEN(AV$3)-FIND(".",AV$3,FIND(".",AV$3)+1)),Gällivare!$B$6:$J$36,MATCH($C23,Gällivare!$B$6:$B$36,0),FALSE),"Global: "&amp;HLOOKUP(LEFT(AV$3,4),Global!$B$6:$J$36,MATCH($C23,Global!$B$6:$B$36,0),FALSE)&amp;CHAR(10)&amp;"Local Trend: "&amp;HLOOKUP(MID(AV$3,FIND(".",AV$3)+1,FIND(".",AV$3,FIND(".",AV$3)+1)-FIND(".",AV$3)-1),Gällivare!$B$6:$J$36,MATCH($C23,Gällivare!$B$6:$B$36,0),FALSE)&amp;CHAR(10)&amp;"Local Target: "&amp;HLOOKUP(RIGHT(AV$3,LEN(AV$3)-FIND(".",AV$3,FIND(".",AV$3)+1)),Gällivare!$B$6:$J$36,MATCH($C23,Gällivare!$B$6:$B$36,0),FALSE)))</f>
        <v>Medium</v>
      </c>
      <c r="AW23" s="177" t="str">
        <f>IF(AND(HLOOKUP(MID(AW$3,FIND(".",AW$3)+1,FIND(".",AW$3,FIND(".",AW$3)+1)-FIND(".",AW$3)-1),Gällivare!$B$6:$J$36,MATCH($C23,Gällivare!$B$6:$B$36,0),FALSE)="No Impact",HLOOKUP(RIGHT(AW$3,LEN(AW$3)-FIND(".",AW$3,FIND(".",AW$3)+1)),Gällivare!$B$6:$J$36,MATCH($C23,Gällivare!$B$6:$B$36,0),FALSE)="No Impact"),HLOOKUP(LEFT(AW$3,4),Global!$B$6:$J$36,MATCH($C23,Global!$B$6:$B$36,0),FALSE),IF(AND(HLOOKUP(MID(AW$3,FIND(".",AW$3)+1,FIND(".",AW$3,FIND(".",AW$3)+1)-FIND(".",AW$3)-1),Gällivare!$B$6:$J$36,MATCH($C23,Gällivare!$B$6:$B$36,0),FALSE)="No Impact",HLOOKUP(LEFT(AW$3,4),Global!$B$6:$J$36,MATCH($C23,Global!$B$6:$B$36,0),FALSE)="No Impact"),HLOOKUP(RIGHT(AW$3,LEN(AW$3)-FIND(".",AW$3,FIND(".",AW$3)+1)),Gällivare!$B$6:$J$36,MATCH($C23,Gällivare!$B$6:$B$36,0),FALSE),"Global: "&amp;HLOOKUP(LEFT(AW$3,4),Global!$B$6:$J$36,MATCH($C23,Global!$B$6:$B$36,0),FALSE)&amp;CHAR(10)&amp;"Local Trend: "&amp;HLOOKUP(MID(AW$3,FIND(".",AW$3)+1,FIND(".",AW$3,FIND(".",AW$3)+1)-FIND(".",AW$3)-1),Gällivare!$B$6:$J$36,MATCH($C23,Gällivare!$B$6:$B$36,0),FALSE)&amp;CHAR(10)&amp;"Local Target: "&amp;HLOOKUP(RIGHT(AW$3,LEN(AW$3)-FIND(".",AW$3,FIND(".",AW$3)+1)),Gällivare!$B$6:$J$36,MATCH($C23,Gällivare!$B$6:$B$36,0),FALSE)))</f>
        <v>Medium</v>
      </c>
      <c r="AX23" s="177" t="str">
        <f>IF(AND(HLOOKUP(MID(AX$3,FIND(".",AX$3)+1,FIND(".",AX$3,FIND(".",AX$3)+1)-FIND(".",AX$3)-1),Gällivare!$B$6:$J$36,MATCH($C23,Gällivare!$B$6:$B$36,0),FALSE)="No Impact",HLOOKUP(RIGHT(AX$3,LEN(AX$3)-FIND(".",AX$3,FIND(".",AX$3)+1)),Gällivare!$B$6:$J$36,MATCH($C23,Gällivare!$B$6:$B$36,0),FALSE)="No Impact"),HLOOKUP(LEFT(AX$3,4),Global!$B$6:$J$36,MATCH($C23,Global!$B$6:$B$36,0),FALSE),IF(AND(HLOOKUP(MID(AX$3,FIND(".",AX$3)+1,FIND(".",AX$3,FIND(".",AX$3)+1)-FIND(".",AX$3)-1),Gällivare!$B$6:$J$36,MATCH($C23,Gällivare!$B$6:$B$36,0),FALSE)="No Impact",HLOOKUP(LEFT(AX$3,4),Global!$B$6:$J$36,MATCH($C23,Global!$B$6:$B$36,0),FALSE)="No Impact"),HLOOKUP(RIGHT(AX$3,LEN(AX$3)-FIND(".",AX$3,FIND(".",AX$3)+1)),Gällivare!$B$6:$J$36,MATCH($C23,Gällivare!$B$6:$B$36,0),FALSE),"Global: "&amp;HLOOKUP(LEFT(AX$3,4),Global!$B$6:$J$36,MATCH($C23,Global!$B$6:$B$36,0),FALSE)&amp;CHAR(10)&amp;"Local Trend: "&amp;HLOOKUP(MID(AX$3,FIND(".",AX$3)+1,FIND(".",AX$3,FIND(".",AX$3)+1)-FIND(".",AX$3)-1),Gällivare!$B$6:$J$36,MATCH($C23,Gällivare!$B$6:$B$36,0),FALSE)&amp;CHAR(10)&amp;"Local Target: "&amp;HLOOKUP(RIGHT(AX$3,LEN(AX$3)-FIND(".",AX$3,FIND(".",AX$3)+1)),Gällivare!$B$6:$J$36,MATCH($C23,Gällivare!$B$6:$B$36,0),FALSE)))</f>
        <v>Medium</v>
      </c>
      <c r="AY23" s="177" t="str">
        <f>IF(AND(HLOOKUP(MID(AY$3,FIND(".",AY$3)+1,FIND(".",AY$3,FIND(".",AY$3)+1)-FIND(".",AY$3)-1),Gällivare!$B$6:$J$36,MATCH($C23,Gällivare!$B$6:$B$36,0),FALSE)="No Impact",HLOOKUP(RIGHT(AY$3,LEN(AY$3)-FIND(".",AY$3,FIND(".",AY$3)+1)),Gällivare!$B$6:$J$36,MATCH($C23,Gällivare!$B$6:$B$36,0),FALSE)="No Impact"),HLOOKUP(LEFT(AY$3,4),Global!$B$6:$J$36,MATCH($C23,Global!$B$6:$B$36,0),FALSE),IF(AND(HLOOKUP(MID(AY$3,FIND(".",AY$3)+1,FIND(".",AY$3,FIND(".",AY$3)+1)-FIND(".",AY$3)-1),Gällivare!$B$6:$J$36,MATCH($C23,Gällivare!$B$6:$B$36,0),FALSE)="No Impact",HLOOKUP(LEFT(AY$3,4),Global!$B$6:$J$36,MATCH($C23,Global!$B$6:$B$36,0),FALSE)="No Impact"),HLOOKUP(RIGHT(AY$3,LEN(AY$3)-FIND(".",AY$3,FIND(".",AY$3)+1)),Gällivare!$B$6:$J$36,MATCH($C23,Gällivare!$B$6:$B$36,0),FALSE),"Global: "&amp;HLOOKUP(LEFT(AY$3,4),Global!$B$6:$J$36,MATCH($C23,Global!$B$6:$B$36,0),FALSE)&amp;CHAR(10)&amp;"Local Trend: "&amp;HLOOKUP(MID(AY$3,FIND(".",AY$3)+1,FIND(".",AY$3,FIND(".",AY$3)+1)-FIND(".",AY$3)-1),Gällivare!$B$6:$J$36,MATCH($C23,Gällivare!$B$6:$B$36,0),FALSE)&amp;CHAR(10)&amp;"Local Target: "&amp;HLOOKUP(RIGHT(AY$3,LEN(AY$3)-FIND(".",AY$3,FIND(".",AY$3)+1)),Gällivare!$B$6:$J$36,MATCH($C23,Gällivare!$B$6:$B$36,0),FALSE)))</f>
        <v>Low</v>
      </c>
      <c r="AZ23" s="177" t="str">
        <f>IF(AND(HLOOKUP(MID(AZ$3,FIND(".",AZ$3)+1,FIND(".",AZ$3,FIND(".",AZ$3)+1)-FIND(".",AZ$3)-1),Gällivare!$B$6:$J$36,MATCH($C23,Gällivare!$B$6:$B$36,0),FALSE)="No Impact",HLOOKUP(RIGHT(AZ$3,LEN(AZ$3)-FIND(".",AZ$3,FIND(".",AZ$3)+1)),Gällivare!$B$6:$J$36,MATCH($C23,Gällivare!$B$6:$B$36,0),FALSE)="No Impact"),HLOOKUP(LEFT(AZ$3,4),Global!$B$6:$J$36,MATCH($C23,Global!$B$6:$B$36,0),FALSE),IF(AND(HLOOKUP(MID(AZ$3,FIND(".",AZ$3)+1,FIND(".",AZ$3,FIND(".",AZ$3)+1)-FIND(".",AZ$3)-1),Gällivare!$B$6:$J$36,MATCH($C23,Gällivare!$B$6:$B$36,0),FALSE)="No Impact",HLOOKUP(LEFT(AZ$3,4),Global!$B$6:$J$36,MATCH($C23,Global!$B$6:$B$36,0),FALSE)="No Impact"),HLOOKUP(RIGHT(AZ$3,LEN(AZ$3)-FIND(".",AZ$3,FIND(".",AZ$3)+1)),Gällivare!$B$6:$J$36,MATCH($C23,Gällivare!$B$6:$B$36,0),FALSE),"Global: "&amp;HLOOKUP(LEFT(AZ$3,4),Global!$B$6:$J$36,MATCH($C23,Global!$B$6:$B$36,0),FALSE)&amp;CHAR(10)&amp;"Local Trend: "&amp;HLOOKUP(MID(AZ$3,FIND(".",AZ$3)+1,FIND(".",AZ$3,FIND(".",AZ$3)+1)-FIND(".",AZ$3)-1),Gällivare!$B$6:$J$36,MATCH($C23,Gällivare!$B$6:$B$36,0),FALSE)&amp;CHAR(10)&amp;"Local Target: "&amp;HLOOKUP(RIGHT(AZ$3,LEN(AZ$3)-FIND(".",AZ$3,FIND(".",AZ$3)+1)),Gällivare!$B$6:$J$36,MATCH($C23,Gällivare!$B$6:$B$36,0),FALSE)))</f>
        <v>Low</v>
      </c>
      <c r="BA23" s="177" t="str">
        <f>IF(AND(HLOOKUP(MID(BA$3,FIND(".",BA$3)+1,FIND(".",BA$3,FIND(".",BA$3)+1)-FIND(".",BA$3)-1),Gällivare!$B$6:$J$36,MATCH($C23,Gällivare!$B$6:$B$36,0),FALSE)="No Impact",HLOOKUP(RIGHT(BA$3,LEN(BA$3)-FIND(".",BA$3,FIND(".",BA$3)+1)),Gällivare!$B$6:$J$36,MATCH($C23,Gällivare!$B$6:$B$36,0),FALSE)="No Impact"),HLOOKUP(LEFT(BA$3,4),Global!$B$6:$J$36,MATCH($C23,Global!$B$6:$B$36,0),FALSE),IF(AND(HLOOKUP(MID(BA$3,FIND(".",BA$3)+1,FIND(".",BA$3,FIND(".",BA$3)+1)-FIND(".",BA$3)-1),Gällivare!$B$6:$J$36,MATCH($C23,Gällivare!$B$6:$B$36,0),FALSE)="No Impact",HLOOKUP(LEFT(BA$3,4),Global!$B$6:$J$36,MATCH($C23,Global!$B$6:$B$36,0),FALSE)="No Impact"),HLOOKUP(RIGHT(BA$3,LEN(BA$3)-FIND(".",BA$3,FIND(".",BA$3)+1)),Gällivare!$B$6:$J$36,MATCH($C23,Gällivare!$B$6:$B$36,0),FALSE),"Global: "&amp;HLOOKUP(LEFT(BA$3,4),Global!$B$6:$J$36,MATCH($C23,Global!$B$6:$B$36,0),FALSE)&amp;CHAR(10)&amp;"Local Trend: "&amp;HLOOKUP(MID(BA$3,FIND(".",BA$3)+1,FIND(".",BA$3,FIND(".",BA$3)+1)-FIND(".",BA$3)-1),Gällivare!$B$6:$J$36,MATCH($C23,Gällivare!$B$6:$B$36,0),FALSE)&amp;CHAR(10)&amp;"Local Target: "&amp;HLOOKUP(RIGHT(BA$3,LEN(BA$3)-FIND(".",BA$3,FIND(".",BA$3)+1)),Gällivare!$B$6:$J$36,MATCH($C23,Gällivare!$B$6:$B$36,0),FALSE)))</f>
        <v>Low</v>
      </c>
      <c r="BB23" s="177" t="str">
        <f>IF(AND(HLOOKUP(MID(BB$3,FIND(".",BB$3)+1,FIND(".",BB$3,FIND(".",BB$3)+1)-FIND(".",BB$3)-1),Gällivare!$B$6:$J$36,MATCH($C23,Gällivare!$B$6:$B$36,0),FALSE)="No Impact",HLOOKUP(RIGHT(BB$3,LEN(BB$3)-FIND(".",BB$3,FIND(".",BB$3)+1)),Gällivare!$B$6:$J$36,MATCH($C23,Gällivare!$B$6:$B$36,0),FALSE)="No Impact"),HLOOKUP(LEFT(BB$3,4),Global!$B$6:$J$36,MATCH($C23,Global!$B$6:$B$36,0),FALSE),IF(AND(HLOOKUP(MID(BB$3,FIND(".",BB$3)+1,FIND(".",BB$3,FIND(".",BB$3)+1)-FIND(".",BB$3)-1),Gällivare!$B$6:$J$36,MATCH($C23,Gällivare!$B$6:$B$36,0),FALSE)="No Impact",HLOOKUP(LEFT(BB$3,4),Global!$B$6:$J$36,MATCH($C23,Global!$B$6:$B$36,0),FALSE)="No Impact"),HLOOKUP(RIGHT(BB$3,LEN(BB$3)-FIND(".",BB$3,FIND(".",BB$3)+1)),Gällivare!$B$6:$J$36,MATCH($C23,Gällivare!$B$6:$B$36,0),FALSE),"Global: "&amp;HLOOKUP(LEFT(BB$3,4),Global!$B$6:$J$36,MATCH($C23,Global!$B$6:$B$36,0),FALSE)&amp;CHAR(10)&amp;"Local Trend: "&amp;HLOOKUP(MID(BB$3,FIND(".",BB$3)+1,FIND(".",BB$3,FIND(".",BB$3)+1)-FIND(".",BB$3)-1),Gällivare!$B$6:$J$36,MATCH($C23,Gällivare!$B$6:$B$36,0),FALSE)&amp;CHAR(10)&amp;"Local Target: "&amp;HLOOKUP(RIGHT(BB$3,LEN(BB$3)-FIND(".",BB$3,FIND(".",BB$3)+1)),Gällivare!$B$6:$J$36,MATCH($C23,Gällivare!$B$6:$B$36,0),FALSE)))</f>
        <v>Low</v>
      </c>
      <c r="BC23" s="177" t="str">
        <f>IF(AND(HLOOKUP(MID(BC$3,FIND(".",BC$3)+1,FIND(".",BC$3,FIND(".",BC$3)+1)-FIND(".",BC$3)-1),Gällivare!$B$6:$J$36,MATCH($C23,Gällivare!$B$6:$B$36,0),FALSE)="No Impact",HLOOKUP(RIGHT(BC$3,LEN(BC$3)-FIND(".",BC$3,FIND(".",BC$3)+1)),Gällivare!$B$6:$J$36,MATCH($C23,Gällivare!$B$6:$B$36,0),FALSE)="No Impact"),HLOOKUP(LEFT(BC$3,4),Global!$B$6:$J$36,MATCH($C23,Global!$B$6:$B$36,0),FALSE),IF(AND(HLOOKUP(MID(BC$3,FIND(".",BC$3)+1,FIND(".",BC$3,FIND(".",BC$3)+1)-FIND(".",BC$3)-1),Gällivare!$B$6:$J$36,MATCH($C23,Gällivare!$B$6:$B$36,0),FALSE)="No Impact",HLOOKUP(LEFT(BC$3,4),Global!$B$6:$J$36,MATCH($C23,Global!$B$6:$B$36,0),FALSE)="No Impact"),HLOOKUP(RIGHT(BC$3,LEN(BC$3)-FIND(".",BC$3,FIND(".",BC$3)+1)),Gällivare!$B$6:$J$36,MATCH($C23,Gällivare!$B$6:$B$36,0),FALSE),"Global: "&amp;HLOOKUP(LEFT(BC$3,4),Global!$B$6:$J$36,MATCH($C23,Global!$B$6:$B$36,0),FALSE)&amp;CHAR(10)&amp;"Local Trend: "&amp;HLOOKUP(MID(BC$3,FIND(".",BC$3)+1,FIND(".",BC$3,FIND(".",BC$3)+1)-FIND(".",BC$3)-1),Gällivare!$B$6:$J$36,MATCH($C23,Gällivare!$B$6:$B$36,0),FALSE)&amp;CHAR(10)&amp;"Local Target: "&amp;HLOOKUP(RIGHT(BC$3,LEN(BC$3)-FIND(".",BC$3,FIND(".",BC$3)+1)),Gällivare!$B$6:$J$36,MATCH($C23,Gällivare!$B$6:$B$36,0),FALSE)))</f>
        <v>Low</v>
      </c>
      <c r="BD23" s="177" t="str">
        <f>IF(AND(HLOOKUP(MID(BD$3,FIND(".",BD$3)+1,FIND(".",BD$3,FIND(".",BD$3)+1)-FIND(".",BD$3)-1),Gällivare!$B$6:$J$36,MATCH($C23,Gällivare!$B$6:$B$36,0),FALSE)="No Impact",HLOOKUP(RIGHT(BD$3,LEN(BD$3)-FIND(".",BD$3,FIND(".",BD$3)+1)),Gällivare!$B$6:$J$36,MATCH($C23,Gällivare!$B$6:$B$36,0),FALSE)="No Impact"),HLOOKUP(LEFT(BD$3,4),Global!$B$6:$J$36,MATCH($C23,Global!$B$6:$B$36,0),FALSE),IF(AND(HLOOKUP(MID(BD$3,FIND(".",BD$3)+1,FIND(".",BD$3,FIND(".",BD$3)+1)-FIND(".",BD$3)-1),Gällivare!$B$6:$J$36,MATCH($C23,Gällivare!$B$6:$B$36,0),FALSE)="No Impact",HLOOKUP(LEFT(BD$3,4),Global!$B$6:$J$36,MATCH($C23,Global!$B$6:$B$36,0),FALSE)="No Impact"),HLOOKUP(RIGHT(BD$3,LEN(BD$3)-FIND(".",BD$3,FIND(".",BD$3)+1)),Gällivare!$B$6:$J$36,MATCH($C23,Gällivare!$B$6:$B$36,0),FALSE),"Global: "&amp;HLOOKUP(LEFT(BD$3,4),Global!$B$6:$J$36,MATCH($C23,Global!$B$6:$B$36,0),FALSE)&amp;CHAR(10)&amp;"Local Trend: "&amp;HLOOKUP(MID(BD$3,FIND(".",BD$3)+1,FIND(".",BD$3,FIND(".",BD$3)+1)-FIND(".",BD$3)-1),Gällivare!$B$6:$J$36,MATCH($C23,Gällivare!$B$6:$B$36,0),FALSE)&amp;CHAR(10)&amp;"Local Target: "&amp;HLOOKUP(RIGHT(BD$3,LEN(BD$3)-FIND(".",BD$3,FIND(".",BD$3)+1)),Gällivare!$B$6:$J$36,MATCH($C23,Gällivare!$B$6:$B$36,0),FALSE)))</f>
        <v>Low</v>
      </c>
      <c r="BE23" s="177" t="str">
        <f>IF(AND(HLOOKUP(MID(BE$3,FIND(".",BE$3)+1,FIND(".",BE$3,FIND(".",BE$3)+1)-FIND(".",BE$3)-1),Gällivare!$B$6:$J$36,MATCH($C23,Gällivare!$B$6:$B$36,0),FALSE)="No Impact",HLOOKUP(RIGHT(BE$3,LEN(BE$3)-FIND(".",BE$3,FIND(".",BE$3)+1)),Gällivare!$B$6:$J$36,MATCH($C23,Gällivare!$B$6:$B$36,0),FALSE)="No Impact"),HLOOKUP(LEFT(BE$3,4),Global!$B$6:$J$36,MATCH($C23,Global!$B$6:$B$36,0),FALSE),IF(AND(HLOOKUP(MID(BE$3,FIND(".",BE$3)+1,FIND(".",BE$3,FIND(".",BE$3)+1)-FIND(".",BE$3)-1),Gällivare!$B$6:$J$36,MATCH($C23,Gällivare!$B$6:$B$36,0),FALSE)="No Impact",HLOOKUP(LEFT(BE$3,4),Global!$B$6:$J$36,MATCH($C23,Global!$B$6:$B$36,0),FALSE)="No Impact"),HLOOKUP(RIGHT(BE$3,LEN(BE$3)-FIND(".",BE$3,FIND(".",BE$3)+1)),Gällivare!$B$6:$J$36,MATCH($C23,Gällivare!$B$6:$B$36,0),FALSE),"Global: "&amp;HLOOKUP(LEFT(BE$3,4),Global!$B$6:$J$36,MATCH($C23,Global!$B$6:$B$36,0),FALSE)&amp;CHAR(10)&amp;"Local Trend: "&amp;HLOOKUP(MID(BE$3,FIND(".",BE$3)+1,FIND(".",BE$3,FIND(".",BE$3)+1)-FIND(".",BE$3)-1),Gällivare!$B$6:$J$36,MATCH($C23,Gällivare!$B$6:$B$36,0),FALSE)&amp;CHAR(10)&amp;"Local Target: "&amp;HLOOKUP(RIGHT(BE$3,LEN(BE$3)-FIND(".",BE$3,FIND(".",BE$3)+1)),Gällivare!$B$6:$J$36,MATCH($C23,Gällivare!$B$6:$B$36,0),FALSE)))</f>
        <v>Medium</v>
      </c>
      <c r="BF23" s="177" t="str">
        <f>IF(AND(HLOOKUP(MID(BF$3,FIND(".",BF$3)+1,FIND(".",BF$3,FIND(".",BF$3)+1)-FIND(".",BF$3)-1),Gällivare!$B$6:$J$36,MATCH($C23,Gällivare!$B$6:$B$36,0),FALSE)="No Impact",HLOOKUP(RIGHT(BF$3,LEN(BF$3)-FIND(".",BF$3,FIND(".",BF$3)+1)),Gällivare!$B$6:$J$36,MATCH($C23,Gällivare!$B$6:$B$36,0),FALSE)="No Impact"),HLOOKUP(LEFT(BF$3,4),Global!$B$6:$J$36,MATCH($C23,Global!$B$6:$B$36,0),FALSE),IF(AND(HLOOKUP(MID(BF$3,FIND(".",BF$3)+1,FIND(".",BF$3,FIND(".",BF$3)+1)-FIND(".",BF$3)-1),Gällivare!$B$6:$J$36,MATCH($C23,Gällivare!$B$6:$B$36,0),FALSE)="No Impact",HLOOKUP(LEFT(BF$3,4),Global!$B$6:$J$36,MATCH($C23,Global!$B$6:$B$36,0),FALSE)="No Impact"),HLOOKUP(RIGHT(BF$3,LEN(BF$3)-FIND(".",BF$3,FIND(".",BF$3)+1)),Gällivare!$B$6:$J$36,MATCH($C23,Gällivare!$B$6:$B$36,0),FALSE),"Global: "&amp;HLOOKUP(LEFT(BF$3,4),Global!$B$6:$J$36,MATCH($C23,Global!$B$6:$B$36,0),FALSE)&amp;CHAR(10)&amp;"Local Trend: "&amp;HLOOKUP(MID(BF$3,FIND(".",BF$3)+1,FIND(".",BF$3,FIND(".",BF$3)+1)-FIND(".",BF$3)-1),Gällivare!$B$6:$J$36,MATCH($C23,Gällivare!$B$6:$B$36,0),FALSE)&amp;CHAR(10)&amp;"Local Target: "&amp;HLOOKUP(RIGHT(BF$3,LEN(BF$3)-FIND(".",BF$3,FIND(".",BF$3)+1)),Gällivare!$B$6:$J$36,MATCH($C23,Gällivare!$B$6:$B$36,0),FALSE)))</f>
        <v>Medium</v>
      </c>
      <c r="BG23" s="177" t="str">
        <f>IF(AND(HLOOKUP(MID(BG$3,FIND(".",BG$3)+1,FIND(".",BG$3,FIND(".",BG$3)+1)-FIND(".",BG$3)-1),Gällivare!$B$6:$J$36,MATCH($C23,Gällivare!$B$6:$B$36,0),FALSE)="No Impact",HLOOKUP(RIGHT(BG$3,LEN(BG$3)-FIND(".",BG$3,FIND(".",BG$3)+1)),Gällivare!$B$6:$J$36,MATCH($C23,Gällivare!$B$6:$B$36,0),FALSE)="No Impact"),HLOOKUP(LEFT(BG$3,4),Global!$B$6:$J$36,MATCH($C23,Global!$B$6:$B$36,0),FALSE),IF(AND(HLOOKUP(MID(BG$3,FIND(".",BG$3)+1,FIND(".",BG$3,FIND(".",BG$3)+1)-FIND(".",BG$3)-1),Gällivare!$B$6:$J$36,MATCH($C23,Gällivare!$B$6:$B$36,0),FALSE)="No Impact",HLOOKUP(LEFT(BG$3,4),Global!$B$6:$J$36,MATCH($C23,Global!$B$6:$B$36,0),FALSE)="No Impact"),HLOOKUP(RIGHT(BG$3,LEN(BG$3)-FIND(".",BG$3,FIND(".",BG$3)+1)),Gällivare!$B$6:$J$36,MATCH($C23,Gällivare!$B$6:$B$36,0),FALSE),"Global: "&amp;HLOOKUP(LEFT(BG$3,4),Global!$B$6:$J$36,MATCH($C23,Global!$B$6:$B$36,0),FALSE)&amp;CHAR(10)&amp;"Local Trend: "&amp;HLOOKUP(MID(BG$3,FIND(".",BG$3)+1,FIND(".",BG$3,FIND(".",BG$3)+1)-FIND(".",BG$3)-1),Gällivare!$B$6:$J$36,MATCH($C23,Gällivare!$B$6:$B$36,0),FALSE)&amp;CHAR(10)&amp;"Local Target: "&amp;HLOOKUP(RIGHT(BG$3,LEN(BG$3)-FIND(".",BG$3,FIND(".",BG$3)+1)),Gällivare!$B$6:$J$36,MATCH($C23,Gällivare!$B$6:$B$36,0),FALSE)))</f>
        <v>Medium</v>
      </c>
      <c r="BH23" s="177" t="str">
        <f>IF(AND(HLOOKUP(MID(BH$3,FIND(".",BH$3)+1,FIND(".",BH$3,FIND(".",BH$3)+1)-FIND(".",BH$3)-1),Gällivare!$B$6:$J$36,MATCH($C23,Gällivare!$B$6:$B$36,0),FALSE)="No Impact",HLOOKUP(RIGHT(BH$3,LEN(BH$3)-FIND(".",BH$3,FIND(".",BH$3)+1)),Gällivare!$B$6:$J$36,MATCH($C23,Gällivare!$B$6:$B$36,0),FALSE)="No Impact"),HLOOKUP(LEFT(BH$3,4),Global!$B$6:$J$36,MATCH($C23,Global!$B$6:$B$36,0),FALSE),IF(AND(HLOOKUP(MID(BH$3,FIND(".",BH$3)+1,FIND(".",BH$3,FIND(".",BH$3)+1)-FIND(".",BH$3)-1),Gällivare!$B$6:$J$36,MATCH($C23,Gällivare!$B$6:$B$36,0),FALSE)="No Impact",HLOOKUP(LEFT(BH$3,4),Global!$B$6:$J$36,MATCH($C23,Global!$B$6:$B$36,0),FALSE)="No Impact"),HLOOKUP(RIGHT(BH$3,LEN(BH$3)-FIND(".",BH$3,FIND(".",BH$3)+1)),Gällivare!$B$6:$J$36,MATCH($C23,Gällivare!$B$6:$B$36,0),FALSE),"Global: "&amp;HLOOKUP(LEFT(BH$3,4),Global!$B$6:$J$36,MATCH($C23,Global!$B$6:$B$36,0),FALSE)&amp;CHAR(10)&amp;"Local Trend: "&amp;HLOOKUP(MID(BH$3,FIND(".",BH$3)+1,FIND(".",BH$3,FIND(".",BH$3)+1)-FIND(".",BH$3)-1),Gällivare!$B$6:$J$36,MATCH($C23,Gällivare!$B$6:$B$36,0),FALSE)&amp;CHAR(10)&amp;"Local Target: "&amp;HLOOKUP(RIGHT(BH$3,LEN(BH$3)-FIND(".",BH$3,FIND(".",BH$3)+1)),Gällivare!$B$6:$J$36,MATCH($C23,Gällivare!$B$6:$B$36,0),FALSE)))</f>
        <v>Medium</v>
      </c>
      <c r="BI23" s="177" t="str">
        <f>IF(AND(HLOOKUP(MID(BI$3,FIND(".",BI$3)+1,FIND(".",BI$3,FIND(".",BI$3)+1)-FIND(".",BI$3)-1),Gällivare!$B$6:$J$36,MATCH($C23,Gällivare!$B$6:$B$36,0),FALSE)="No Impact",HLOOKUP(RIGHT(BI$3,LEN(BI$3)-FIND(".",BI$3,FIND(".",BI$3)+1)),Gällivare!$B$6:$J$36,MATCH($C23,Gällivare!$B$6:$B$36,0),FALSE)="No Impact"),HLOOKUP(LEFT(BI$3,4),Global!$B$6:$J$36,MATCH($C23,Global!$B$6:$B$36,0),FALSE),IF(AND(HLOOKUP(MID(BI$3,FIND(".",BI$3)+1,FIND(".",BI$3,FIND(".",BI$3)+1)-FIND(".",BI$3)-1),Gällivare!$B$6:$J$36,MATCH($C23,Gällivare!$B$6:$B$36,0),FALSE)="No Impact",HLOOKUP(LEFT(BI$3,4),Global!$B$6:$J$36,MATCH($C23,Global!$B$6:$B$36,0),FALSE)="No Impact"),HLOOKUP(RIGHT(BI$3,LEN(BI$3)-FIND(".",BI$3,FIND(".",BI$3)+1)),Gällivare!$B$6:$J$36,MATCH($C23,Gällivare!$B$6:$B$36,0),FALSE),"Global: "&amp;HLOOKUP(LEFT(BI$3,4),Global!$B$6:$J$36,MATCH($C23,Global!$B$6:$B$36,0),FALSE)&amp;CHAR(10)&amp;"Local Trend: "&amp;HLOOKUP(MID(BI$3,FIND(".",BI$3)+1,FIND(".",BI$3,FIND(".",BI$3)+1)-FIND(".",BI$3)-1),Gällivare!$B$6:$J$36,MATCH($C23,Gällivare!$B$6:$B$36,0),FALSE)&amp;CHAR(10)&amp;"Local Target: "&amp;HLOOKUP(RIGHT(BI$3,LEN(BI$3)-FIND(".",BI$3,FIND(".",BI$3)+1)),Gällivare!$B$6:$J$36,MATCH($C23,Gällivare!$B$6:$B$36,0),FALSE)))</f>
        <v>Medium</v>
      </c>
      <c r="BJ23" s="177" t="str">
        <f>IF(AND(HLOOKUP(MID(BJ$3,FIND(".",BJ$3)+1,FIND(".",BJ$3,FIND(".",BJ$3)+1)-FIND(".",BJ$3)-1),Gällivare!$B$6:$J$36,MATCH($C23,Gällivare!$B$6:$B$36,0),FALSE)="No Impact",HLOOKUP(RIGHT(BJ$3,LEN(BJ$3)-FIND(".",BJ$3,FIND(".",BJ$3)+1)),Gällivare!$B$6:$J$36,MATCH($C23,Gällivare!$B$6:$B$36,0),FALSE)="No Impact"),HLOOKUP(LEFT(BJ$3,4),Global!$B$6:$J$36,MATCH($C23,Global!$B$6:$B$36,0),FALSE),IF(AND(HLOOKUP(MID(BJ$3,FIND(".",BJ$3)+1,FIND(".",BJ$3,FIND(".",BJ$3)+1)-FIND(".",BJ$3)-1),Gällivare!$B$6:$J$36,MATCH($C23,Gällivare!$B$6:$B$36,0),FALSE)="No Impact",HLOOKUP(LEFT(BJ$3,4),Global!$B$6:$J$36,MATCH($C23,Global!$B$6:$B$36,0),FALSE)="No Impact"),HLOOKUP(RIGHT(BJ$3,LEN(BJ$3)-FIND(".",BJ$3,FIND(".",BJ$3)+1)),Gällivare!$B$6:$J$36,MATCH($C23,Gällivare!$B$6:$B$36,0),FALSE),"Global: "&amp;HLOOKUP(LEFT(BJ$3,4),Global!$B$6:$J$36,MATCH($C23,Global!$B$6:$B$36,0),FALSE)&amp;CHAR(10)&amp;"Local Trend: "&amp;HLOOKUP(MID(BJ$3,FIND(".",BJ$3)+1,FIND(".",BJ$3,FIND(".",BJ$3)+1)-FIND(".",BJ$3)-1),Gällivare!$B$6:$J$36,MATCH($C23,Gällivare!$B$6:$B$36,0),FALSE)&amp;CHAR(10)&amp;"Local Target: "&amp;HLOOKUP(RIGHT(BJ$3,LEN(BJ$3)-FIND(".",BJ$3,FIND(".",BJ$3)+1)),Gällivare!$B$6:$J$36,MATCH($C23,Gällivare!$B$6:$B$36,0),FALSE)))</f>
        <v>Medium</v>
      </c>
      <c r="BK23" s="177" t="str">
        <f>IF(AND(HLOOKUP(MID(BK$3,FIND(".",BK$3)+1,FIND(".",BK$3,FIND(".",BK$3)+1)-FIND(".",BK$3)-1),Gällivare!$B$6:$J$36,MATCH($C23,Gällivare!$B$6:$B$36,0),FALSE)="No Impact",HLOOKUP(RIGHT(BK$3,LEN(BK$3)-FIND(".",BK$3,FIND(".",BK$3)+1)),Gällivare!$B$6:$J$36,MATCH($C23,Gällivare!$B$6:$B$36,0),FALSE)="No Impact"),HLOOKUP(LEFT(BK$3,4),Global!$B$6:$J$36,MATCH($C23,Global!$B$6:$B$36,0),FALSE),IF(AND(HLOOKUP(MID(BK$3,FIND(".",BK$3)+1,FIND(".",BK$3,FIND(".",BK$3)+1)-FIND(".",BK$3)-1),Gällivare!$B$6:$J$36,MATCH($C23,Gällivare!$B$6:$B$36,0),FALSE)="No Impact",HLOOKUP(LEFT(BK$3,4),Global!$B$6:$J$36,MATCH($C23,Global!$B$6:$B$36,0),FALSE)="No Impact"),HLOOKUP(RIGHT(BK$3,LEN(BK$3)-FIND(".",BK$3,FIND(".",BK$3)+1)),Gällivare!$B$6:$J$36,MATCH($C23,Gällivare!$B$6:$B$36,0),FALSE),"Global: "&amp;HLOOKUP(LEFT(BK$3,4),Global!$B$6:$J$36,MATCH($C23,Global!$B$6:$B$36,0),FALSE)&amp;CHAR(10)&amp;"Local Trend: "&amp;HLOOKUP(MID(BK$3,FIND(".",BK$3)+1,FIND(".",BK$3,FIND(".",BK$3)+1)-FIND(".",BK$3)-1),Gällivare!$B$6:$J$36,MATCH($C23,Gällivare!$B$6:$B$36,0),FALSE)&amp;CHAR(10)&amp;"Local Target: "&amp;HLOOKUP(RIGHT(BK$3,LEN(BK$3)-FIND(".",BK$3,FIND(".",BK$3)+1)),Gällivare!$B$6:$J$36,MATCH($C23,Gällivare!$B$6:$B$36,0),FALSE)))</f>
        <v>Low</v>
      </c>
      <c r="BL23" s="177" t="str">
        <f>IF(AND(HLOOKUP(MID(BL$3,FIND(".",BL$3)+1,FIND(".",BL$3,FIND(".",BL$3)+1)-FIND(".",BL$3)-1),Gällivare!$B$6:$J$36,MATCH($C23,Gällivare!$B$6:$B$36,0),FALSE)="No Impact",HLOOKUP(RIGHT(BL$3,LEN(BL$3)-FIND(".",BL$3,FIND(".",BL$3)+1)),Gällivare!$B$6:$J$36,MATCH($C23,Gällivare!$B$6:$B$36,0),FALSE)="No Impact"),HLOOKUP(LEFT(BL$3,4),Global!$B$6:$J$36,MATCH($C23,Global!$B$6:$B$36,0),FALSE),IF(AND(HLOOKUP(MID(BL$3,FIND(".",BL$3)+1,FIND(".",BL$3,FIND(".",BL$3)+1)-FIND(".",BL$3)-1),Gällivare!$B$6:$J$36,MATCH($C23,Gällivare!$B$6:$B$36,0),FALSE)="No Impact",HLOOKUP(LEFT(BL$3,4),Global!$B$6:$J$36,MATCH($C23,Global!$B$6:$B$36,0),FALSE)="No Impact"),HLOOKUP(RIGHT(BL$3,LEN(BL$3)-FIND(".",BL$3,FIND(".",BL$3)+1)),Gällivare!$B$6:$J$36,MATCH($C23,Gällivare!$B$6:$B$36,0),FALSE),"Global: "&amp;HLOOKUP(LEFT(BL$3,4),Global!$B$6:$J$36,MATCH($C23,Global!$B$6:$B$36,0),FALSE)&amp;CHAR(10)&amp;"Local Trend: "&amp;HLOOKUP(MID(BL$3,FIND(".",BL$3)+1,FIND(".",BL$3,FIND(".",BL$3)+1)-FIND(".",BL$3)-1),Gällivare!$B$6:$J$36,MATCH($C23,Gällivare!$B$6:$B$36,0),FALSE)&amp;CHAR(10)&amp;"Local Target: "&amp;HLOOKUP(RIGHT(BL$3,LEN(BL$3)-FIND(".",BL$3,FIND(".",BL$3)+1)),Gällivare!$B$6:$J$36,MATCH($C23,Gällivare!$B$6:$B$36,0),FALSE)))</f>
        <v>Low</v>
      </c>
      <c r="BM23" s="177" t="str">
        <f>IF(AND(HLOOKUP(MID(BM$3,FIND(".",BM$3)+1,FIND(".",BM$3,FIND(".",BM$3)+1)-FIND(".",BM$3)-1),Gällivare!$B$6:$J$36,MATCH($C23,Gällivare!$B$6:$B$36,0),FALSE)="No Impact",HLOOKUP(RIGHT(BM$3,LEN(BM$3)-FIND(".",BM$3,FIND(".",BM$3)+1)),Gällivare!$B$6:$J$36,MATCH($C23,Gällivare!$B$6:$B$36,0),FALSE)="No Impact"),HLOOKUP(LEFT(BM$3,4),Global!$B$6:$J$36,MATCH($C23,Global!$B$6:$B$36,0),FALSE),IF(AND(HLOOKUP(MID(BM$3,FIND(".",BM$3)+1,FIND(".",BM$3,FIND(".",BM$3)+1)-FIND(".",BM$3)-1),Gällivare!$B$6:$J$36,MATCH($C23,Gällivare!$B$6:$B$36,0),FALSE)="No Impact",HLOOKUP(LEFT(BM$3,4),Global!$B$6:$J$36,MATCH($C23,Global!$B$6:$B$36,0),FALSE)="No Impact"),HLOOKUP(RIGHT(BM$3,LEN(BM$3)-FIND(".",BM$3,FIND(".",BM$3)+1)),Gällivare!$B$6:$J$36,MATCH($C23,Gällivare!$B$6:$B$36,0),FALSE),"Global: "&amp;HLOOKUP(LEFT(BM$3,4),Global!$B$6:$J$36,MATCH($C23,Global!$B$6:$B$36,0),FALSE)&amp;CHAR(10)&amp;"Local Trend: "&amp;HLOOKUP(MID(BM$3,FIND(".",BM$3)+1,FIND(".",BM$3,FIND(".",BM$3)+1)-FIND(".",BM$3)-1),Gällivare!$B$6:$J$36,MATCH($C23,Gällivare!$B$6:$B$36,0),FALSE)&amp;CHAR(10)&amp;"Local Target: "&amp;HLOOKUP(RIGHT(BM$3,LEN(BM$3)-FIND(".",BM$3,FIND(".",BM$3)+1)),Gällivare!$B$6:$J$36,MATCH($C23,Gällivare!$B$6:$B$36,0),FALSE)))</f>
        <v>Low</v>
      </c>
      <c r="BN23" s="177" t="str">
        <f>IF(AND(HLOOKUP(MID(BN$3,FIND(".",BN$3)+1,FIND(".",BN$3,FIND(".",BN$3)+1)-FIND(".",BN$3)-1),Gällivare!$B$6:$J$36,MATCH($C23,Gällivare!$B$6:$B$36,0),FALSE)="No Impact",HLOOKUP(RIGHT(BN$3,LEN(BN$3)-FIND(".",BN$3,FIND(".",BN$3)+1)),Gällivare!$B$6:$J$36,MATCH($C23,Gällivare!$B$6:$B$36,0),FALSE)="No Impact"),HLOOKUP(LEFT(BN$3,4),Global!$B$6:$J$36,MATCH($C23,Global!$B$6:$B$36,0),FALSE),IF(AND(HLOOKUP(MID(BN$3,FIND(".",BN$3)+1,FIND(".",BN$3,FIND(".",BN$3)+1)-FIND(".",BN$3)-1),Gällivare!$B$6:$J$36,MATCH($C23,Gällivare!$B$6:$B$36,0),FALSE)="No Impact",HLOOKUP(LEFT(BN$3,4),Global!$B$6:$J$36,MATCH($C23,Global!$B$6:$B$36,0),FALSE)="No Impact"),HLOOKUP(RIGHT(BN$3,LEN(BN$3)-FIND(".",BN$3,FIND(".",BN$3)+1)),Gällivare!$B$6:$J$36,MATCH($C23,Gällivare!$B$6:$B$36,0),FALSE),"Global: "&amp;HLOOKUP(LEFT(BN$3,4),Global!$B$6:$J$36,MATCH($C23,Global!$B$6:$B$36,0),FALSE)&amp;CHAR(10)&amp;"Local Trend: "&amp;HLOOKUP(MID(BN$3,FIND(".",BN$3)+1,FIND(".",BN$3,FIND(".",BN$3)+1)-FIND(".",BN$3)-1),Gällivare!$B$6:$J$36,MATCH($C23,Gällivare!$B$6:$B$36,0),FALSE)&amp;CHAR(10)&amp;"Local Target: "&amp;HLOOKUP(RIGHT(BN$3,LEN(BN$3)-FIND(".",BN$3,FIND(".",BN$3)+1)),Gällivare!$B$6:$J$36,MATCH($C23,Gällivare!$B$6:$B$36,0),FALSE)))</f>
        <v>Low</v>
      </c>
      <c r="BO23" s="177" t="str">
        <f>IF(AND(HLOOKUP(MID(BO$3,FIND(".",BO$3)+1,FIND(".",BO$3,FIND(".",BO$3)+1)-FIND(".",BO$3)-1),Gällivare!$B$6:$J$36,MATCH($C23,Gällivare!$B$6:$B$36,0),FALSE)="No Impact",HLOOKUP(RIGHT(BO$3,LEN(BO$3)-FIND(".",BO$3,FIND(".",BO$3)+1)),Gällivare!$B$6:$J$36,MATCH($C23,Gällivare!$B$6:$B$36,0),FALSE)="No Impact"),HLOOKUP(LEFT(BO$3,4),Global!$B$6:$J$36,MATCH($C23,Global!$B$6:$B$36,0),FALSE),IF(AND(HLOOKUP(MID(BO$3,FIND(".",BO$3)+1,FIND(".",BO$3,FIND(".",BO$3)+1)-FIND(".",BO$3)-1),Gällivare!$B$6:$J$36,MATCH($C23,Gällivare!$B$6:$B$36,0),FALSE)="No Impact",HLOOKUP(LEFT(BO$3,4),Global!$B$6:$J$36,MATCH($C23,Global!$B$6:$B$36,0),FALSE)="No Impact"),HLOOKUP(RIGHT(BO$3,LEN(BO$3)-FIND(".",BO$3,FIND(".",BO$3)+1)),Gällivare!$B$6:$J$36,MATCH($C23,Gällivare!$B$6:$B$36,0),FALSE),"Global: "&amp;HLOOKUP(LEFT(BO$3,4),Global!$B$6:$J$36,MATCH($C23,Global!$B$6:$B$36,0),FALSE)&amp;CHAR(10)&amp;"Local Trend: "&amp;HLOOKUP(MID(BO$3,FIND(".",BO$3)+1,FIND(".",BO$3,FIND(".",BO$3)+1)-FIND(".",BO$3)-1),Gällivare!$B$6:$J$36,MATCH($C23,Gällivare!$B$6:$B$36,0),FALSE)&amp;CHAR(10)&amp;"Local Target: "&amp;HLOOKUP(RIGHT(BO$3,LEN(BO$3)-FIND(".",BO$3,FIND(".",BO$3)+1)),Gällivare!$B$6:$J$36,MATCH($C23,Gällivare!$B$6:$B$36,0),FALSE)))</f>
        <v>Low</v>
      </c>
      <c r="BP23" s="177" t="str">
        <f>IF(AND(HLOOKUP(MID(BP$3,FIND(".",BP$3)+1,FIND(".",BP$3,FIND(".",BP$3)+1)-FIND(".",BP$3)-1),Gällivare!$B$6:$J$36,MATCH($C23,Gällivare!$B$6:$B$36,0),FALSE)="No Impact",HLOOKUP(RIGHT(BP$3,LEN(BP$3)-FIND(".",BP$3,FIND(".",BP$3)+1)),Gällivare!$B$6:$J$36,MATCH($C23,Gällivare!$B$6:$B$36,0),FALSE)="No Impact"),HLOOKUP(LEFT(BP$3,4),Global!$B$6:$J$36,MATCH($C23,Global!$B$6:$B$36,0),FALSE),IF(AND(HLOOKUP(MID(BP$3,FIND(".",BP$3)+1,FIND(".",BP$3,FIND(".",BP$3)+1)-FIND(".",BP$3)-1),Gällivare!$B$6:$J$36,MATCH($C23,Gällivare!$B$6:$B$36,0),FALSE)="No Impact",HLOOKUP(LEFT(BP$3,4),Global!$B$6:$J$36,MATCH($C23,Global!$B$6:$B$36,0),FALSE)="No Impact"),HLOOKUP(RIGHT(BP$3,LEN(BP$3)-FIND(".",BP$3,FIND(".",BP$3)+1)),Gällivare!$B$6:$J$36,MATCH($C23,Gällivare!$B$6:$B$36,0),FALSE),"Global: "&amp;HLOOKUP(LEFT(BP$3,4),Global!$B$6:$J$36,MATCH($C23,Global!$B$6:$B$36,0),FALSE)&amp;CHAR(10)&amp;"Local Trend: "&amp;HLOOKUP(MID(BP$3,FIND(".",BP$3)+1,FIND(".",BP$3,FIND(".",BP$3)+1)-FIND(".",BP$3)-1),Gällivare!$B$6:$J$36,MATCH($C23,Gällivare!$B$6:$B$36,0),FALSE)&amp;CHAR(10)&amp;"Local Target: "&amp;HLOOKUP(RIGHT(BP$3,LEN(BP$3)-FIND(".",BP$3,FIND(".",BP$3)+1)),Gällivare!$B$6:$J$36,MATCH($C23,Gällivare!$B$6:$B$36,0),FALSE)))</f>
        <v>Low</v>
      </c>
    </row>
    <row r="24" spans="2:74" ht="43.2" x14ac:dyDescent="0.3">
      <c r="B24" s="248"/>
      <c r="C24" s="175" t="s">
        <v>203</v>
      </c>
      <c r="D24" s="175" t="s">
        <v>204</v>
      </c>
      <c r="E24" s="175" t="s">
        <v>205</v>
      </c>
      <c r="F24" s="176" t="s">
        <v>165</v>
      </c>
      <c r="G24" s="176"/>
      <c r="H24" s="175" t="str">
        <f t="shared" si="1"/>
        <v>Medium</v>
      </c>
      <c r="I24" s="175" t="str">
        <f t="shared" si="1"/>
        <v>High</v>
      </c>
      <c r="J24" s="175" t="str">
        <f t="shared" si="1"/>
        <v>Low in begining
High around 2040</v>
      </c>
      <c r="K24" s="175" t="str">
        <f t="shared" si="1"/>
        <v>Medium</v>
      </c>
      <c r="L24" s="175" t="str">
        <f t="shared" si="1"/>
        <v>High</v>
      </c>
      <c r="M24" s="175" t="str">
        <f t="shared" si="1"/>
        <v>Low in begining
High around 2040</v>
      </c>
      <c r="N24" s="175" t="str">
        <f t="shared" si="1"/>
        <v>Medium</v>
      </c>
      <c r="O24" s="175" t="str">
        <f t="shared" si="1"/>
        <v>High</v>
      </c>
      <c r="P24" s="175" t="str">
        <f t="shared" si="1"/>
        <v>Low in begining
High around 2040</v>
      </c>
      <c r="Q24" s="175" t="str">
        <f t="shared" si="1"/>
        <v>Medium</v>
      </c>
      <c r="R24" s="175" t="str">
        <f t="shared" si="1"/>
        <v>High</v>
      </c>
      <c r="S24" s="175" t="str">
        <f t="shared" si="1"/>
        <v>Low in begining
High around 2040</v>
      </c>
      <c r="T24" s="175" t="str">
        <f t="shared" si="1"/>
        <v>Medium</v>
      </c>
      <c r="U24" s="175" t="str">
        <f t="shared" si="1"/>
        <v>High</v>
      </c>
      <c r="V24" s="175" t="str">
        <f t="shared" si="1"/>
        <v>Low in begining
High around 2040</v>
      </c>
      <c r="W24" s="175" t="str">
        <f t="shared" si="1"/>
        <v>Medium</v>
      </c>
      <c r="X24" s="175" t="str">
        <f t="shared" si="5"/>
        <v>High</v>
      </c>
      <c r="Y24" s="175" t="str">
        <f t="shared" si="5"/>
        <v>Low in begining
High around 2040</v>
      </c>
      <c r="Z24" s="175" t="str">
        <f t="shared" si="5"/>
        <v>Medium</v>
      </c>
      <c r="AA24" s="175" t="str">
        <f t="shared" si="5"/>
        <v>High</v>
      </c>
      <c r="AB24" s="175" t="str">
        <f t="shared" si="5"/>
        <v>Low in begining
High around 2040</v>
      </c>
      <c r="AC24" s="175" t="str">
        <f t="shared" si="5"/>
        <v>Medium</v>
      </c>
      <c r="AD24" s="175" t="str">
        <f t="shared" si="5"/>
        <v>High</v>
      </c>
      <c r="AE24" s="175" t="str">
        <f t="shared" si="5"/>
        <v>Low in begining
High around 2040</v>
      </c>
      <c r="AF24" s="175" t="str">
        <f t="shared" si="4"/>
        <v>Medium</v>
      </c>
      <c r="AG24" s="175" t="str">
        <f t="shared" si="4"/>
        <v>High</v>
      </c>
      <c r="AH24" s="175" t="str">
        <f t="shared" si="4"/>
        <v>Low in begining
High around 2040</v>
      </c>
      <c r="AI24" s="175" t="str">
        <f t="shared" si="4"/>
        <v>Medium</v>
      </c>
      <c r="AJ24" s="175" t="str">
        <f t="shared" si="4"/>
        <v>High</v>
      </c>
      <c r="AK24" s="175" t="str">
        <f t="shared" si="4"/>
        <v>Low in begining
High around 2040</v>
      </c>
      <c r="AL24" s="176"/>
      <c r="AM24" s="177" t="str">
        <f>IF(AND(HLOOKUP(MID(AM$3,FIND(".",AM$3)+1,FIND(".",AM$3,FIND(".",AM$3)+1)-FIND(".",AM$3)-1),Gällivare!$B$6:$J$36,MATCH($C24,Gällivare!$B$6:$B$36,0),FALSE)="No Impact",HLOOKUP(RIGHT(AM$3,LEN(AM$3)-FIND(".",AM$3,FIND(".",AM$3)+1)),Gällivare!$B$6:$J$36,MATCH($C24,Gällivare!$B$6:$B$36,0),FALSE)="No Impact"),HLOOKUP(LEFT(AM$3,4),Global!$B$6:$J$36,MATCH($C24,Global!$B$6:$B$36,0),FALSE),IF(AND(HLOOKUP(MID(AM$3,FIND(".",AM$3)+1,FIND(".",AM$3,FIND(".",AM$3)+1)-FIND(".",AM$3)-1),Gällivare!$B$6:$J$36,MATCH($C24,Gällivare!$B$6:$B$36,0),FALSE)="No Impact",HLOOKUP(LEFT(AM$3,4),Global!$B$6:$J$36,MATCH($C24,Global!$B$6:$B$36,0),FALSE)="No Impact"),HLOOKUP(RIGHT(AM$3,LEN(AM$3)-FIND(".",AM$3,FIND(".",AM$3)+1)),Gällivare!$B$6:$J$36,MATCH($C24,Gällivare!$B$6:$B$36,0),FALSE),"Global: "&amp;HLOOKUP(LEFT(AM$3,4),Global!$B$6:$J$36,MATCH($C24,Global!$B$6:$B$36,0),FALSE)&amp;CHAR(10)&amp;"Local Trend: "&amp;HLOOKUP(MID(AM$3,FIND(".",AM$3)+1,FIND(".",AM$3,FIND(".",AM$3)+1)-FIND(".",AM$3)-1),Gällivare!$B$6:$J$36,MATCH($C24,Gällivare!$B$6:$B$36,0),FALSE)&amp;CHAR(10)&amp;"Local Target: "&amp;HLOOKUP(RIGHT(AM$3,LEN(AM$3)-FIND(".",AM$3,FIND(".",AM$3)+1)),Gällivare!$B$6:$J$36,MATCH($C24,Gällivare!$B$6:$B$36,0),FALSE)))</f>
        <v>Medium</v>
      </c>
      <c r="AN24" s="177" t="str">
        <f>IF(AND(HLOOKUP(MID(AN$3,FIND(".",AN$3)+1,FIND(".",AN$3,FIND(".",AN$3)+1)-FIND(".",AN$3)-1),Gällivare!$B$6:$J$36,MATCH($C24,Gällivare!$B$6:$B$36,0),FALSE)="No Impact",HLOOKUP(RIGHT(AN$3,LEN(AN$3)-FIND(".",AN$3,FIND(".",AN$3)+1)),Gällivare!$B$6:$J$36,MATCH($C24,Gällivare!$B$6:$B$36,0),FALSE)="No Impact"),HLOOKUP(LEFT(AN$3,4),Global!$B$6:$J$36,MATCH($C24,Global!$B$6:$B$36,0),FALSE),IF(AND(HLOOKUP(MID(AN$3,FIND(".",AN$3)+1,FIND(".",AN$3,FIND(".",AN$3)+1)-FIND(".",AN$3)-1),Gällivare!$B$6:$J$36,MATCH($C24,Gällivare!$B$6:$B$36,0),FALSE)="No Impact",HLOOKUP(LEFT(AN$3,4),Global!$B$6:$J$36,MATCH($C24,Global!$B$6:$B$36,0),FALSE)="No Impact"),HLOOKUP(RIGHT(AN$3,LEN(AN$3)-FIND(".",AN$3,FIND(".",AN$3)+1)),Gällivare!$B$6:$J$36,MATCH($C24,Gällivare!$B$6:$B$36,0),FALSE),"Global: "&amp;HLOOKUP(LEFT(AN$3,4),Global!$B$6:$J$36,MATCH($C24,Global!$B$6:$B$36,0),FALSE)&amp;CHAR(10)&amp;"Local Trend: "&amp;HLOOKUP(MID(AN$3,FIND(".",AN$3)+1,FIND(".",AN$3,FIND(".",AN$3)+1)-FIND(".",AN$3)-1),Gällivare!$B$6:$J$36,MATCH($C24,Gällivare!$B$6:$B$36,0),FALSE)&amp;CHAR(10)&amp;"Local Target: "&amp;HLOOKUP(RIGHT(AN$3,LEN(AN$3)-FIND(".",AN$3,FIND(".",AN$3)+1)),Gällivare!$B$6:$J$36,MATCH($C24,Gällivare!$B$6:$B$36,0),FALSE)))</f>
        <v>High</v>
      </c>
      <c r="AO24" s="177" t="str">
        <f>IF(AND(HLOOKUP(MID(AO$3,FIND(".",AO$3)+1,FIND(".",AO$3,FIND(".",AO$3)+1)-FIND(".",AO$3)-1),Gällivare!$B$6:$J$36,MATCH($C24,Gällivare!$B$6:$B$36,0),FALSE)="No Impact",HLOOKUP(RIGHT(AO$3,LEN(AO$3)-FIND(".",AO$3,FIND(".",AO$3)+1)),Gällivare!$B$6:$J$36,MATCH($C24,Gällivare!$B$6:$B$36,0),FALSE)="No Impact"),HLOOKUP(LEFT(AO$3,4),Global!$B$6:$J$36,MATCH($C24,Global!$B$6:$B$36,0),FALSE),IF(AND(HLOOKUP(MID(AO$3,FIND(".",AO$3)+1,FIND(".",AO$3,FIND(".",AO$3)+1)-FIND(".",AO$3)-1),Gällivare!$B$6:$J$36,MATCH($C24,Gällivare!$B$6:$B$36,0),FALSE)="No Impact",HLOOKUP(LEFT(AO$3,4),Global!$B$6:$J$36,MATCH($C24,Global!$B$6:$B$36,0),FALSE)="No Impact"),HLOOKUP(RIGHT(AO$3,LEN(AO$3)-FIND(".",AO$3,FIND(".",AO$3)+1)),Gällivare!$B$6:$J$36,MATCH($C24,Gällivare!$B$6:$B$36,0),FALSE),"Global: "&amp;HLOOKUP(LEFT(AO$3,4),Global!$B$6:$J$36,MATCH($C24,Global!$B$6:$B$36,0),FALSE)&amp;CHAR(10)&amp;"Local Trend: "&amp;HLOOKUP(MID(AO$3,FIND(".",AO$3)+1,FIND(".",AO$3,FIND(".",AO$3)+1)-FIND(".",AO$3)-1),Gällivare!$B$6:$J$36,MATCH($C24,Gällivare!$B$6:$B$36,0),FALSE)&amp;CHAR(10)&amp;"Local Target: "&amp;HLOOKUP(RIGHT(AO$3,LEN(AO$3)-FIND(".",AO$3,FIND(".",AO$3)+1)),Gällivare!$B$6:$J$36,MATCH($C24,Gällivare!$B$6:$B$36,0),FALSE)))</f>
        <v>Low in begining
High around 2040</v>
      </c>
      <c r="AP24" s="177" t="str">
        <f>IF(AND(HLOOKUP(MID(AP$3,FIND(".",AP$3)+1,FIND(".",AP$3,FIND(".",AP$3)+1)-FIND(".",AP$3)-1),Gällivare!$B$6:$J$36,MATCH($C24,Gällivare!$B$6:$B$36,0),FALSE)="No Impact",HLOOKUP(RIGHT(AP$3,LEN(AP$3)-FIND(".",AP$3,FIND(".",AP$3)+1)),Gällivare!$B$6:$J$36,MATCH($C24,Gällivare!$B$6:$B$36,0),FALSE)="No Impact"),HLOOKUP(LEFT(AP$3,4),Global!$B$6:$J$36,MATCH($C24,Global!$B$6:$B$36,0),FALSE),IF(AND(HLOOKUP(MID(AP$3,FIND(".",AP$3)+1,FIND(".",AP$3,FIND(".",AP$3)+1)-FIND(".",AP$3)-1),Gällivare!$B$6:$J$36,MATCH($C24,Gällivare!$B$6:$B$36,0),FALSE)="No Impact",HLOOKUP(LEFT(AP$3,4),Global!$B$6:$J$36,MATCH($C24,Global!$B$6:$B$36,0),FALSE)="No Impact"),HLOOKUP(RIGHT(AP$3,LEN(AP$3)-FIND(".",AP$3,FIND(".",AP$3)+1)),Gällivare!$B$6:$J$36,MATCH($C24,Gällivare!$B$6:$B$36,0),FALSE),"Global: "&amp;HLOOKUP(LEFT(AP$3,4),Global!$B$6:$J$36,MATCH($C24,Global!$B$6:$B$36,0),FALSE)&amp;CHAR(10)&amp;"Local Trend: "&amp;HLOOKUP(MID(AP$3,FIND(".",AP$3)+1,FIND(".",AP$3,FIND(".",AP$3)+1)-FIND(".",AP$3)-1),Gällivare!$B$6:$J$36,MATCH($C24,Gällivare!$B$6:$B$36,0),FALSE)&amp;CHAR(10)&amp;"Local Target: "&amp;HLOOKUP(RIGHT(AP$3,LEN(AP$3)-FIND(".",AP$3,FIND(".",AP$3)+1)),Gällivare!$B$6:$J$36,MATCH($C24,Gällivare!$B$6:$B$36,0),FALSE)))</f>
        <v>Medium</v>
      </c>
      <c r="AQ24" s="177" t="str">
        <f>IF(AND(HLOOKUP(MID(AQ$3,FIND(".",AQ$3)+1,FIND(".",AQ$3,FIND(".",AQ$3)+1)-FIND(".",AQ$3)-1),Gällivare!$B$6:$J$36,MATCH($C24,Gällivare!$B$6:$B$36,0),FALSE)="No Impact",HLOOKUP(RIGHT(AQ$3,LEN(AQ$3)-FIND(".",AQ$3,FIND(".",AQ$3)+1)),Gällivare!$B$6:$J$36,MATCH($C24,Gällivare!$B$6:$B$36,0),FALSE)="No Impact"),HLOOKUP(LEFT(AQ$3,4),Global!$B$6:$J$36,MATCH($C24,Global!$B$6:$B$36,0),FALSE),IF(AND(HLOOKUP(MID(AQ$3,FIND(".",AQ$3)+1,FIND(".",AQ$3,FIND(".",AQ$3)+1)-FIND(".",AQ$3)-1),Gällivare!$B$6:$J$36,MATCH($C24,Gällivare!$B$6:$B$36,0),FALSE)="No Impact",HLOOKUP(LEFT(AQ$3,4),Global!$B$6:$J$36,MATCH($C24,Global!$B$6:$B$36,0),FALSE)="No Impact"),HLOOKUP(RIGHT(AQ$3,LEN(AQ$3)-FIND(".",AQ$3,FIND(".",AQ$3)+1)),Gällivare!$B$6:$J$36,MATCH($C24,Gällivare!$B$6:$B$36,0),FALSE),"Global: "&amp;HLOOKUP(LEFT(AQ$3,4),Global!$B$6:$J$36,MATCH($C24,Global!$B$6:$B$36,0),FALSE)&amp;CHAR(10)&amp;"Local Trend: "&amp;HLOOKUP(MID(AQ$3,FIND(".",AQ$3)+1,FIND(".",AQ$3,FIND(".",AQ$3)+1)-FIND(".",AQ$3)-1),Gällivare!$B$6:$J$36,MATCH($C24,Gällivare!$B$6:$B$36,0),FALSE)&amp;CHAR(10)&amp;"Local Target: "&amp;HLOOKUP(RIGHT(AQ$3,LEN(AQ$3)-FIND(".",AQ$3,FIND(".",AQ$3)+1)),Gällivare!$B$6:$J$36,MATCH($C24,Gällivare!$B$6:$B$36,0),FALSE)))</f>
        <v>High</v>
      </c>
      <c r="AR24" s="177" t="str">
        <f>IF(AND(HLOOKUP(MID(AR$3,FIND(".",AR$3)+1,FIND(".",AR$3,FIND(".",AR$3)+1)-FIND(".",AR$3)-1),Gällivare!$B$6:$J$36,MATCH($C24,Gällivare!$B$6:$B$36,0),FALSE)="No Impact",HLOOKUP(RIGHT(AR$3,LEN(AR$3)-FIND(".",AR$3,FIND(".",AR$3)+1)),Gällivare!$B$6:$J$36,MATCH($C24,Gällivare!$B$6:$B$36,0),FALSE)="No Impact"),HLOOKUP(LEFT(AR$3,4),Global!$B$6:$J$36,MATCH($C24,Global!$B$6:$B$36,0),FALSE),IF(AND(HLOOKUP(MID(AR$3,FIND(".",AR$3)+1,FIND(".",AR$3,FIND(".",AR$3)+1)-FIND(".",AR$3)-1),Gällivare!$B$6:$J$36,MATCH($C24,Gällivare!$B$6:$B$36,0),FALSE)="No Impact",HLOOKUP(LEFT(AR$3,4),Global!$B$6:$J$36,MATCH($C24,Global!$B$6:$B$36,0),FALSE)="No Impact"),HLOOKUP(RIGHT(AR$3,LEN(AR$3)-FIND(".",AR$3,FIND(".",AR$3)+1)),Gällivare!$B$6:$J$36,MATCH($C24,Gällivare!$B$6:$B$36,0),FALSE),"Global: "&amp;HLOOKUP(LEFT(AR$3,4),Global!$B$6:$J$36,MATCH($C24,Global!$B$6:$B$36,0),FALSE)&amp;CHAR(10)&amp;"Local Trend: "&amp;HLOOKUP(MID(AR$3,FIND(".",AR$3)+1,FIND(".",AR$3,FIND(".",AR$3)+1)-FIND(".",AR$3)-1),Gällivare!$B$6:$J$36,MATCH($C24,Gällivare!$B$6:$B$36,0),FALSE)&amp;CHAR(10)&amp;"Local Target: "&amp;HLOOKUP(RIGHT(AR$3,LEN(AR$3)-FIND(".",AR$3,FIND(".",AR$3)+1)),Gällivare!$B$6:$J$36,MATCH($C24,Gällivare!$B$6:$B$36,0),FALSE)))</f>
        <v>Low in begining
High around 2040</v>
      </c>
      <c r="AS24" s="177" t="str">
        <f>IF(AND(HLOOKUP(MID(AS$3,FIND(".",AS$3)+1,FIND(".",AS$3,FIND(".",AS$3)+1)-FIND(".",AS$3)-1),Gällivare!$B$6:$J$36,MATCH($C24,Gällivare!$B$6:$B$36,0),FALSE)="No Impact",HLOOKUP(RIGHT(AS$3,LEN(AS$3)-FIND(".",AS$3,FIND(".",AS$3)+1)),Gällivare!$B$6:$J$36,MATCH($C24,Gällivare!$B$6:$B$36,0),FALSE)="No Impact"),HLOOKUP(LEFT(AS$3,4),Global!$B$6:$J$36,MATCH($C24,Global!$B$6:$B$36,0),FALSE),IF(AND(HLOOKUP(MID(AS$3,FIND(".",AS$3)+1,FIND(".",AS$3,FIND(".",AS$3)+1)-FIND(".",AS$3)-1),Gällivare!$B$6:$J$36,MATCH($C24,Gällivare!$B$6:$B$36,0),FALSE)="No Impact",HLOOKUP(LEFT(AS$3,4),Global!$B$6:$J$36,MATCH($C24,Global!$B$6:$B$36,0),FALSE)="No Impact"),HLOOKUP(RIGHT(AS$3,LEN(AS$3)-FIND(".",AS$3,FIND(".",AS$3)+1)),Gällivare!$B$6:$J$36,MATCH($C24,Gällivare!$B$6:$B$36,0),FALSE),"Global: "&amp;HLOOKUP(LEFT(AS$3,4),Global!$B$6:$J$36,MATCH($C24,Global!$B$6:$B$36,0),FALSE)&amp;CHAR(10)&amp;"Local Trend: "&amp;HLOOKUP(MID(AS$3,FIND(".",AS$3)+1,FIND(".",AS$3,FIND(".",AS$3)+1)-FIND(".",AS$3)-1),Gällivare!$B$6:$J$36,MATCH($C24,Gällivare!$B$6:$B$36,0),FALSE)&amp;CHAR(10)&amp;"Local Target: "&amp;HLOOKUP(RIGHT(AS$3,LEN(AS$3)-FIND(".",AS$3,FIND(".",AS$3)+1)),Gällivare!$B$6:$J$36,MATCH($C24,Gällivare!$B$6:$B$36,0),FALSE)))</f>
        <v>Medium</v>
      </c>
      <c r="AT24" s="177" t="str">
        <f>IF(AND(HLOOKUP(MID(AT$3,FIND(".",AT$3)+1,FIND(".",AT$3,FIND(".",AT$3)+1)-FIND(".",AT$3)-1),Gällivare!$B$6:$J$36,MATCH($C24,Gällivare!$B$6:$B$36,0),FALSE)="No Impact",HLOOKUP(RIGHT(AT$3,LEN(AT$3)-FIND(".",AT$3,FIND(".",AT$3)+1)),Gällivare!$B$6:$J$36,MATCH($C24,Gällivare!$B$6:$B$36,0),FALSE)="No Impact"),HLOOKUP(LEFT(AT$3,4),Global!$B$6:$J$36,MATCH($C24,Global!$B$6:$B$36,0),FALSE),IF(AND(HLOOKUP(MID(AT$3,FIND(".",AT$3)+1,FIND(".",AT$3,FIND(".",AT$3)+1)-FIND(".",AT$3)-1),Gällivare!$B$6:$J$36,MATCH($C24,Gällivare!$B$6:$B$36,0),FALSE)="No Impact",HLOOKUP(LEFT(AT$3,4),Global!$B$6:$J$36,MATCH($C24,Global!$B$6:$B$36,0),FALSE)="No Impact"),HLOOKUP(RIGHT(AT$3,LEN(AT$3)-FIND(".",AT$3,FIND(".",AT$3)+1)),Gällivare!$B$6:$J$36,MATCH($C24,Gällivare!$B$6:$B$36,0),FALSE),"Global: "&amp;HLOOKUP(LEFT(AT$3,4),Global!$B$6:$J$36,MATCH($C24,Global!$B$6:$B$36,0),FALSE)&amp;CHAR(10)&amp;"Local Trend: "&amp;HLOOKUP(MID(AT$3,FIND(".",AT$3)+1,FIND(".",AT$3,FIND(".",AT$3)+1)-FIND(".",AT$3)-1),Gällivare!$B$6:$J$36,MATCH($C24,Gällivare!$B$6:$B$36,0),FALSE)&amp;CHAR(10)&amp;"Local Target: "&amp;HLOOKUP(RIGHT(AT$3,LEN(AT$3)-FIND(".",AT$3,FIND(".",AT$3)+1)),Gällivare!$B$6:$J$36,MATCH($C24,Gällivare!$B$6:$B$36,0),FALSE)))</f>
        <v>High</v>
      </c>
      <c r="AU24" s="177" t="str">
        <f>IF(AND(HLOOKUP(MID(AU$3,FIND(".",AU$3)+1,FIND(".",AU$3,FIND(".",AU$3)+1)-FIND(".",AU$3)-1),Gällivare!$B$6:$J$36,MATCH($C24,Gällivare!$B$6:$B$36,0),FALSE)="No Impact",HLOOKUP(RIGHT(AU$3,LEN(AU$3)-FIND(".",AU$3,FIND(".",AU$3)+1)),Gällivare!$B$6:$J$36,MATCH($C24,Gällivare!$B$6:$B$36,0),FALSE)="No Impact"),HLOOKUP(LEFT(AU$3,4),Global!$B$6:$J$36,MATCH($C24,Global!$B$6:$B$36,0),FALSE),IF(AND(HLOOKUP(MID(AU$3,FIND(".",AU$3)+1,FIND(".",AU$3,FIND(".",AU$3)+1)-FIND(".",AU$3)-1),Gällivare!$B$6:$J$36,MATCH($C24,Gällivare!$B$6:$B$36,0),FALSE)="No Impact",HLOOKUP(LEFT(AU$3,4),Global!$B$6:$J$36,MATCH($C24,Global!$B$6:$B$36,0),FALSE)="No Impact"),HLOOKUP(RIGHT(AU$3,LEN(AU$3)-FIND(".",AU$3,FIND(".",AU$3)+1)),Gällivare!$B$6:$J$36,MATCH($C24,Gällivare!$B$6:$B$36,0),FALSE),"Global: "&amp;HLOOKUP(LEFT(AU$3,4),Global!$B$6:$J$36,MATCH($C24,Global!$B$6:$B$36,0),FALSE)&amp;CHAR(10)&amp;"Local Trend: "&amp;HLOOKUP(MID(AU$3,FIND(".",AU$3)+1,FIND(".",AU$3,FIND(".",AU$3)+1)-FIND(".",AU$3)-1),Gällivare!$B$6:$J$36,MATCH($C24,Gällivare!$B$6:$B$36,0),FALSE)&amp;CHAR(10)&amp;"Local Target: "&amp;HLOOKUP(RIGHT(AU$3,LEN(AU$3)-FIND(".",AU$3,FIND(".",AU$3)+1)),Gällivare!$B$6:$J$36,MATCH($C24,Gällivare!$B$6:$B$36,0),FALSE)))</f>
        <v>Low in begining
High around 2040</v>
      </c>
      <c r="AV24" s="177" t="str">
        <f>IF(AND(HLOOKUP(MID(AV$3,FIND(".",AV$3)+1,FIND(".",AV$3,FIND(".",AV$3)+1)-FIND(".",AV$3)-1),Gällivare!$B$6:$J$36,MATCH($C24,Gällivare!$B$6:$B$36,0),FALSE)="No Impact",HLOOKUP(RIGHT(AV$3,LEN(AV$3)-FIND(".",AV$3,FIND(".",AV$3)+1)),Gällivare!$B$6:$J$36,MATCH($C24,Gällivare!$B$6:$B$36,0),FALSE)="No Impact"),HLOOKUP(LEFT(AV$3,4),Global!$B$6:$J$36,MATCH($C24,Global!$B$6:$B$36,0),FALSE),IF(AND(HLOOKUP(MID(AV$3,FIND(".",AV$3)+1,FIND(".",AV$3,FIND(".",AV$3)+1)-FIND(".",AV$3)-1),Gällivare!$B$6:$J$36,MATCH($C24,Gällivare!$B$6:$B$36,0),FALSE)="No Impact",HLOOKUP(LEFT(AV$3,4),Global!$B$6:$J$36,MATCH($C24,Global!$B$6:$B$36,0),FALSE)="No Impact"),HLOOKUP(RIGHT(AV$3,LEN(AV$3)-FIND(".",AV$3,FIND(".",AV$3)+1)),Gällivare!$B$6:$J$36,MATCH($C24,Gällivare!$B$6:$B$36,0),FALSE),"Global: "&amp;HLOOKUP(LEFT(AV$3,4),Global!$B$6:$J$36,MATCH($C24,Global!$B$6:$B$36,0),FALSE)&amp;CHAR(10)&amp;"Local Trend: "&amp;HLOOKUP(MID(AV$3,FIND(".",AV$3)+1,FIND(".",AV$3,FIND(".",AV$3)+1)-FIND(".",AV$3)-1),Gällivare!$B$6:$J$36,MATCH($C24,Gällivare!$B$6:$B$36,0),FALSE)&amp;CHAR(10)&amp;"Local Target: "&amp;HLOOKUP(RIGHT(AV$3,LEN(AV$3)-FIND(".",AV$3,FIND(".",AV$3)+1)),Gällivare!$B$6:$J$36,MATCH($C24,Gällivare!$B$6:$B$36,0),FALSE)))</f>
        <v>Medium</v>
      </c>
      <c r="AW24" s="177" t="str">
        <f>IF(AND(HLOOKUP(MID(AW$3,FIND(".",AW$3)+1,FIND(".",AW$3,FIND(".",AW$3)+1)-FIND(".",AW$3)-1),Gällivare!$B$6:$J$36,MATCH($C24,Gällivare!$B$6:$B$36,0),FALSE)="No Impact",HLOOKUP(RIGHT(AW$3,LEN(AW$3)-FIND(".",AW$3,FIND(".",AW$3)+1)),Gällivare!$B$6:$J$36,MATCH($C24,Gällivare!$B$6:$B$36,0),FALSE)="No Impact"),HLOOKUP(LEFT(AW$3,4),Global!$B$6:$J$36,MATCH($C24,Global!$B$6:$B$36,0),FALSE),IF(AND(HLOOKUP(MID(AW$3,FIND(".",AW$3)+1,FIND(".",AW$3,FIND(".",AW$3)+1)-FIND(".",AW$3)-1),Gällivare!$B$6:$J$36,MATCH($C24,Gällivare!$B$6:$B$36,0),FALSE)="No Impact",HLOOKUP(LEFT(AW$3,4),Global!$B$6:$J$36,MATCH($C24,Global!$B$6:$B$36,0),FALSE)="No Impact"),HLOOKUP(RIGHT(AW$3,LEN(AW$3)-FIND(".",AW$3,FIND(".",AW$3)+1)),Gällivare!$B$6:$J$36,MATCH($C24,Gällivare!$B$6:$B$36,0),FALSE),"Global: "&amp;HLOOKUP(LEFT(AW$3,4),Global!$B$6:$J$36,MATCH($C24,Global!$B$6:$B$36,0),FALSE)&amp;CHAR(10)&amp;"Local Trend: "&amp;HLOOKUP(MID(AW$3,FIND(".",AW$3)+1,FIND(".",AW$3,FIND(".",AW$3)+1)-FIND(".",AW$3)-1),Gällivare!$B$6:$J$36,MATCH($C24,Gällivare!$B$6:$B$36,0),FALSE)&amp;CHAR(10)&amp;"Local Target: "&amp;HLOOKUP(RIGHT(AW$3,LEN(AW$3)-FIND(".",AW$3,FIND(".",AW$3)+1)),Gällivare!$B$6:$J$36,MATCH($C24,Gällivare!$B$6:$B$36,0),FALSE)))</f>
        <v>High</v>
      </c>
      <c r="AX24" s="177" t="str">
        <f>IF(AND(HLOOKUP(MID(AX$3,FIND(".",AX$3)+1,FIND(".",AX$3,FIND(".",AX$3)+1)-FIND(".",AX$3)-1),Gällivare!$B$6:$J$36,MATCH($C24,Gällivare!$B$6:$B$36,0),FALSE)="No Impact",HLOOKUP(RIGHT(AX$3,LEN(AX$3)-FIND(".",AX$3,FIND(".",AX$3)+1)),Gällivare!$B$6:$J$36,MATCH($C24,Gällivare!$B$6:$B$36,0),FALSE)="No Impact"),HLOOKUP(LEFT(AX$3,4),Global!$B$6:$J$36,MATCH($C24,Global!$B$6:$B$36,0),FALSE),IF(AND(HLOOKUP(MID(AX$3,FIND(".",AX$3)+1,FIND(".",AX$3,FIND(".",AX$3)+1)-FIND(".",AX$3)-1),Gällivare!$B$6:$J$36,MATCH($C24,Gällivare!$B$6:$B$36,0),FALSE)="No Impact",HLOOKUP(LEFT(AX$3,4),Global!$B$6:$J$36,MATCH($C24,Global!$B$6:$B$36,0),FALSE)="No Impact"),HLOOKUP(RIGHT(AX$3,LEN(AX$3)-FIND(".",AX$3,FIND(".",AX$3)+1)),Gällivare!$B$6:$J$36,MATCH($C24,Gällivare!$B$6:$B$36,0),FALSE),"Global: "&amp;HLOOKUP(LEFT(AX$3,4),Global!$B$6:$J$36,MATCH($C24,Global!$B$6:$B$36,0),FALSE)&amp;CHAR(10)&amp;"Local Trend: "&amp;HLOOKUP(MID(AX$3,FIND(".",AX$3)+1,FIND(".",AX$3,FIND(".",AX$3)+1)-FIND(".",AX$3)-1),Gällivare!$B$6:$J$36,MATCH($C24,Gällivare!$B$6:$B$36,0),FALSE)&amp;CHAR(10)&amp;"Local Target: "&amp;HLOOKUP(RIGHT(AX$3,LEN(AX$3)-FIND(".",AX$3,FIND(".",AX$3)+1)),Gällivare!$B$6:$J$36,MATCH($C24,Gällivare!$B$6:$B$36,0),FALSE)))</f>
        <v>Low in begining
High around 2040</v>
      </c>
      <c r="AY24" s="177" t="str">
        <f>IF(AND(HLOOKUP(MID(AY$3,FIND(".",AY$3)+1,FIND(".",AY$3,FIND(".",AY$3)+1)-FIND(".",AY$3)-1),Gällivare!$B$6:$J$36,MATCH($C24,Gällivare!$B$6:$B$36,0),FALSE)="No Impact",HLOOKUP(RIGHT(AY$3,LEN(AY$3)-FIND(".",AY$3,FIND(".",AY$3)+1)),Gällivare!$B$6:$J$36,MATCH($C24,Gällivare!$B$6:$B$36,0),FALSE)="No Impact"),HLOOKUP(LEFT(AY$3,4),Global!$B$6:$J$36,MATCH($C24,Global!$B$6:$B$36,0),FALSE),IF(AND(HLOOKUP(MID(AY$3,FIND(".",AY$3)+1,FIND(".",AY$3,FIND(".",AY$3)+1)-FIND(".",AY$3)-1),Gällivare!$B$6:$J$36,MATCH($C24,Gällivare!$B$6:$B$36,0),FALSE)="No Impact",HLOOKUP(LEFT(AY$3,4),Global!$B$6:$J$36,MATCH($C24,Global!$B$6:$B$36,0),FALSE)="No Impact"),HLOOKUP(RIGHT(AY$3,LEN(AY$3)-FIND(".",AY$3,FIND(".",AY$3)+1)),Gällivare!$B$6:$J$36,MATCH($C24,Gällivare!$B$6:$B$36,0),FALSE),"Global: "&amp;HLOOKUP(LEFT(AY$3,4),Global!$B$6:$J$36,MATCH($C24,Global!$B$6:$B$36,0),FALSE)&amp;CHAR(10)&amp;"Local Trend: "&amp;HLOOKUP(MID(AY$3,FIND(".",AY$3)+1,FIND(".",AY$3,FIND(".",AY$3)+1)-FIND(".",AY$3)-1),Gällivare!$B$6:$J$36,MATCH($C24,Gällivare!$B$6:$B$36,0),FALSE)&amp;CHAR(10)&amp;"Local Target: "&amp;HLOOKUP(RIGHT(AY$3,LEN(AY$3)-FIND(".",AY$3,FIND(".",AY$3)+1)),Gällivare!$B$6:$J$36,MATCH($C24,Gällivare!$B$6:$B$36,0),FALSE)))</f>
        <v>Medium</v>
      </c>
      <c r="AZ24" s="177" t="str">
        <f>IF(AND(HLOOKUP(MID(AZ$3,FIND(".",AZ$3)+1,FIND(".",AZ$3,FIND(".",AZ$3)+1)-FIND(".",AZ$3)-1),Gällivare!$B$6:$J$36,MATCH($C24,Gällivare!$B$6:$B$36,0),FALSE)="No Impact",HLOOKUP(RIGHT(AZ$3,LEN(AZ$3)-FIND(".",AZ$3,FIND(".",AZ$3)+1)),Gällivare!$B$6:$J$36,MATCH($C24,Gällivare!$B$6:$B$36,0),FALSE)="No Impact"),HLOOKUP(LEFT(AZ$3,4),Global!$B$6:$J$36,MATCH($C24,Global!$B$6:$B$36,0),FALSE),IF(AND(HLOOKUP(MID(AZ$3,FIND(".",AZ$3)+1,FIND(".",AZ$3,FIND(".",AZ$3)+1)-FIND(".",AZ$3)-1),Gällivare!$B$6:$J$36,MATCH($C24,Gällivare!$B$6:$B$36,0),FALSE)="No Impact",HLOOKUP(LEFT(AZ$3,4),Global!$B$6:$J$36,MATCH($C24,Global!$B$6:$B$36,0),FALSE)="No Impact"),HLOOKUP(RIGHT(AZ$3,LEN(AZ$3)-FIND(".",AZ$3,FIND(".",AZ$3)+1)),Gällivare!$B$6:$J$36,MATCH($C24,Gällivare!$B$6:$B$36,0),FALSE),"Global: "&amp;HLOOKUP(LEFT(AZ$3,4),Global!$B$6:$J$36,MATCH($C24,Global!$B$6:$B$36,0),FALSE)&amp;CHAR(10)&amp;"Local Trend: "&amp;HLOOKUP(MID(AZ$3,FIND(".",AZ$3)+1,FIND(".",AZ$3,FIND(".",AZ$3)+1)-FIND(".",AZ$3)-1),Gällivare!$B$6:$J$36,MATCH($C24,Gällivare!$B$6:$B$36,0),FALSE)&amp;CHAR(10)&amp;"Local Target: "&amp;HLOOKUP(RIGHT(AZ$3,LEN(AZ$3)-FIND(".",AZ$3,FIND(".",AZ$3)+1)),Gällivare!$B$6:$J$36,MATCH($C24,Gällivare!$B$6:$B$36,0),FALSE)))</f>
        <v>High</v>
      </c>
      <c r="BA24" s="177" t="str">
        <f>IF(AND(HLOOKUP(MID(BA$3,FIND(".",BA$3)+1,FIND(".",BA$3,FIND(".",BA$3)+1)-FIND(".",BA$3)-1),Gällivare!$B$6:$J$36,MATCH($C24,Gällivare!$B$6:$B$36,0),FALSE)="No Impact",HLOOKUP(RIGHT(BA$3,LEN(BA$3)-FIND(".",BA$3,FIND(".",BA$3)+1)),Gällivare!$B$6:$J$36,MATCH($C24,Gällivare!$B$6:$B$36,0),FALSE)="No Impact"),HLOOKUP(LEFT(BA$3,4),Global!$B$6:$J$36,MATCH($C24,Global!$B$6:$B$36,0),FALSE),IF(AND(HLOOKUP(MID(BA$3,FIND(".",BA$3)+1,FIND(".",BA$3,FIND(".",BA$3)+1)-FIND(".",BA$3)-1),Gällivare!$B$6:$J$36,MATCH($C24,Gällivare!$B$6:$B$36,0),FALSE)="No Impact",HLOOKUP(LEFT(BA$3,4),Global!$B$6:$J$36,MATCH($C24,Global!$B$6:$B$36,0),FALSE)="No Impact"),HLOOKUP(RIGHT(BA$3,LEN(BA$3)-FIND(".",BA$3,FIND(".",BA$3)+1)),Gällivare!$B$6:$J$36,MATCH($C24,Gällivare!$B$6:$B$36,0),FALSE),"Global: "&amp;HLOOKUP(LEFT(BA$3,4),Global!$B$6:$J$36,MATCH($C24,Global!$B$6:$B$36,0),FALSE)&amp;CHAR(10)&amp;"Local Trend: "&amp;HLOOKUP(MID(BA$3,FIND(".",BA$3)+1,FIND(".",BA$3,FIND(".",BA$3)+1)-FIND(".",BA$3)-1),Gällivare!$B$6:$J$36,MATCH($C24,Gällivare!$B$6:$B$36,0),FALSE)&amp;CHAR(10)&amp;"Local Target: "&amp;HLOOKUP(RIGHT(BA$3,LEN(BA$3)-FIND(".",BA$3,FIND(".",BA$3)+1)),Gällivare!$B$6:$J$36,MATCH($C24,Gällivare!$B$6:$B$36,0),FALSE)))</f>
        <v>Low in begining
High around 2040</v>
      </c>
      <c r="BB24" s="177" t="str">
        <f>IF(AND(HLOOKUP(MID(BB$3,FIND(".",BB$3)+1,FIND(".",BB$3,FIND(".",BB$3)+1)-FIND(".",BB$3)-1),Gällivare!$B$6:$J$36,MATCH($C24,Gällivare!$B$6:$B$36,0),FALSE)="No Impact",HLOOKUP(RIGHT(BB$3,LEN(BB$3)-FIND(".",BB$3,FIND(".",BB$3)+1)),Gällivare!$B$6:$J$36,MATCH($C24,Gällivare!$B$6:$B$36,0),FALSE)="No Impact"),HLOOKUP(LEFT(BB$3,4),Global!$B$6:$J$36,MATCH($C24,Global!$B$6:$B$36,0),FALSE),IF(AND(HLOOKUP(MID(BB$3,FIND(".",BB$3)+1,FIND(".",BB$3,FIND(".",BB$3)+1)-FIND(".",BB$3)-1),Gällivare!$B$6:$J$36,MATCH($C24,Gällivare!$B$6:$B$36,0),FALSE)="No Impact",HLOOKUP(LEFT(BB$3,4),Global!$B$6:$J$36,MATCH($C24,Global!$B$6:$B$36,0),FALSE)="No Impact"),HLOOKUP(RIGHT(BB$3,LEN(BB$3)-FIND(".",BB$3,FIND(".",BB$3)+1)),Gällivare!$B$6:$J$36,MATCH($C24,Gällivare!$B$6:$B$36,0),FALSE),"Global: "&amp;HLOOKUP(LEFT(BB$3,4),Global!$B$6:$J$36,MATCH($C24,Global!$B$6:$B$36,0),FALSE)&amp;CHAR(10)&amp;"Local Trend: "&amp;HLOOKUP(MID(BB$3,FIND(".",BB$3)+1,FIND(".",BB$3,FIND(".",BB$3)+1)-FIND(".",BB$3)-1),Gällivare!$B$6:$J$36,MATCH($C24,Gällivare!$B$6:$B$36,0),FALSE)&amp;CHAR(10)&amp;"Local Target: "&amp;HLOOKUP(RIGHT(BB$3,LEN(BB$3)-FIND(".",BB$3,FIND(".",BB$3)+1)),Gällivare!$B$6:$J$36,MATCH($C24,Gällivare!$B$6:$B$36,0),FALSE)))</f>
        <v>Medium</v>
      </c>
      <c r="BC24" s="177" t="str">
        <f>IF(AND(HLOOKUP(MID(BC$3,FIND(".",BC$3)+1,FIND(".",BC$3,FIND(".",BC$3)+1)-FIND(".",BC$3)-1),Gällivare!$B$6:$J$36,MATCH($C24,Gällivare!$B$6:$B$36,0),FALSE)="No Impact",HLOOKUP(RIGHT(BC$3,LEN(BC$3)-FIND(".",BC$3,FIND(".",BC$3)+1)),Gällivare!$B$6:$J$36,MATCH($C24,Gällivare!$B$6:$B$36,0),FALSE)="No Impact"),HLOOKUP(LEFT(BC$3,4),Global!$B$6:$J$36,MATCH($C24,Global!$B$6:$B$36,0),FALSE),IF(AND(HLOOKUP(MID(BC$3,FIND(".",BC$3)+1,FIND(".",BC$3,FIND(".",BC$3)+1)-FIND(".",BC$3)-1),Gällivare!$B$6:$J$36,MATCH($C24,Gällivare!$B$6:$B$36,0),FALSE)="No Impact",HLOOKUP(LEFT(BC$3,4),Global!$B$6:$J$36,MATCH($C24,Global!$B$6:$B$36,0),FALSE)="No Impact"),HLOOKUP(RIGHT(BC$3,LEN(BC$3)-FIND(".",BC$3,FIND(".",BC$3)+1)),Gällivare!$B$6:$J$36,MATCH($C24,Gällivare!$B$6:$B$36,0),FALSE),"Global: "&amp;HLOOKUP(LEFT(BC$3,4),Global!$B$6:$J$36,MATCH($C24,Global!$B$6:$B$36,0),FALSE)&amp;CHAR(10)&amp;"Local Trend: "&amp;HLOOKUP(MID(BC$3,FIND(".",BC$3)+1,FIND(".",BC$3,FIND(".",BC$3)+1)-FIND(".",BC$3)-1),Gällivare!$B$6:$J$36,MATCH($C24,Gällivare!$B$6:$B$36,0),FALSE)&amp;CHAR(10)&amp;"Local Target: "&amp;HLOOKUP(RIGHT(BC$3,LEN(BC$3)-FIND(".",BC$3,FIND(".",BC$3)+1)),Gällivare!$B$6:$J$36,MATCH($C24,Gällivare!$B$6:$B$36,0),FALSE)))</f>
        <v>High</v>
      </c>
      <c r="BD24" s="177" t="str">
        <f>IF(AND(HLOOKUP(MID(BD$3,FIND(".",BD$3)+1,FIND(".",BD$3,FIND(".",BD$3)+1)-FIND(".",BD$3)-1),Gällivare!$B$6:$J$36,MATCH($C24,Gällivare!$B$6:$B$36,0),FALSE)="No Impact",HLOOKUP(RIGHT(BD$3,LEN(BD$3)-FIND(".",BD$3,FIND(".",BD$3)+1)),Gällivare!$B$6:$J$36,MATCH($C24,Gällivare!$B$6:$B$36,0),FALSE)="No Impact"),HLOOKUP(LEFT(BD$3,4),Global!$B$6:$J$36,MATCH($C24,Global!$B$6:$B$36,0),FALSE),IF(AND(HLOOKUP(MID(BD$3,FIND(".",BD$3)+1,FIND(".",BD$3,FIND(".",BD$3)+1)-FIND(".",BD$3)-1),Gällivare!$B$6:$J$36,MATCH($C24,Gällivare!$B$6:$B$36,0),FALSE)="No Impact",HLOOKUP(LEFT(BD$3,4),Global!$B$6:$J$36,MATCH($C24,Global!$B$6:$B$36,0),FALSE)="No Impact"),HLOOKUP(RIGHT(BD$3,LEN(BD$3)-FIND(".",BD$3,FIND(".",BD$3)+1)),Gällivare!$B$6:$J$36,MATCH($C24,Gällivare!$B$6:$B$36,0),FALSE),"Global: "&amp;HLOOKUP(LEFT(BD$3,4),Global!$B$6:$J$36,MATCH($C24,Global!$B$6:$B$36,0),FALSE)&amp;CHAR(10)&amp;"Local Trend: "&amp;HLOOKUP(MID(BD$3,FIND(".",BD$3)+1,FIND(".",BD$3,FIND(".",BD$3)+1)-FIND(".",BD$3)-1),Gällivare!$B$6:$J$36,MATCH($C24,Gällivare!$B$6:$B$36,0),FALSE)&amp;CHAR(10)&amp;"Local Target: "&amp;HLOOKUP(RIGHT(BD$3,LEN(BD$3)-FIND(".",BD$3,FIND(".",BD$3)+1)),Gällivare!$B$6:$J$36,MATCH($C24,Gällivare!$B$6:$B$36,0),FALSE)))</f>
        <v>Low in begining
High around 2040</v>
      </c>
      <c r="BE24" s="177" t="str">
        <f>IF(AND(HLOOKUP(MID(BE$3,FIND(".",BE$3)+1,FIND(".",BE$3,FIND(".",BE$3)+1)-FIND(".",BE$3)-1),Gällivare!$B$6:$J$36,MATCH($C24,Gällivare!$B$6:$B$36,0),FALSE)="No Impact",HLOOKUP(RIGHT(BE$3,LEN(BE$3)-FIND(".",BE$3,FIND(".",BE$3)+1)),Gällivare!$B$6:$J$36,MATCH($C24,Gällivare!$B$6:$B$36,0),FALSE)="No Impact"),HLOOKUP(LEFT(BE$3,4),Global!$B$6:$J$36,MATCH($C24,Global!$B$6:$B$36,0),FALSE),IF(AND(HLOOKUP(MID(BE$3,FIND(".",BE$3)+1,FIND(".",BE$3,FIND(".",BE$3)+1)-FIND(".",BE$3)-1),Gällivare!$B$6:$J$36,MATCH($C24,Gällivare!$B$6:$B$36,0),FALSE)="No Impact",HLOOKUP(LEFT(BE$3,4),Global!$B$6:$J$36,MATCH($C24,Global!$B$6:$B$36,0),FALSE)="No Impact"),HLOOKUP(RIGHT(BE$3,LEN(BE$3)-FIND(".",BE$3,FIND(".",BE$3)+1)),Gällivare!$B$6:$J$36,MATCH($C24,Gällivare!$B$6:$B$36,0),FALSE),"Global: "&amp;HLOOKUP(LEFT(BE$3,4),Global!$B$6:$J$36,MATCH($C24,Global!$B$6:$B$36,0),FALSE)&amp;CHAR(10)&amp;"Local Trend: "&amp;HLOOKUP(MID(BE$3,FIND(".",BE$3)+1,FIND(".",BE$3,FIND(".",BE$3)+1)-FIND(".",BE$3)-1),Gällivare!$B$6:$J$36,MATCH($C24,Gällivare!$B$6:$B$36,0),FALSE)&amp;CHAR(10)&amp;"Local Target: "&amp;HLOOKUP(RIGHT(BE$3,LEN(BE$3)-FIND(".",BE$3,FIND(".",BE$3)+1)),Gällivare!$B$6:$J$36,MATCH($C24,Gällivare!$B$6:$B$36,0),FALSE)))</f>
        <v>Medium</v>
      </c>
      <c r="BF24" s="177" t="str">
        <f>IF(AND(HLOOKUP(MID(BF$3,FIND(".",BF$3)+1,FIND(".",BF$3,FIND(".",BF$3)+1)-FIND(".",BF$3)-1),Gällivare!$B$6:$J$36,MATCH($C24,Gällivare!$B$6:$B$36,0),FALSE)="No Impact",HLOOKUP(RIGHT(BF$3,LEN(BF$3)-FIND(".",BF$3,FIND(".",BF$3)+1)),Gällivare!$B$6:$J$36,MATCH($C24,Gällivare!$B$6:$B$36,0),FALSE)="No Impact"),HLOOKUP(LEFT(BF$3,4),Global!$B$6:$J$36,MATCH($C24,Global!$B$6:$B$36,0),FALSE),IF(AND(HLOOKUP(MID(BF$3,FIND(".",BF$3)+1,FIND(".",BF$3,FIND(".",BF$3)+1)-FIND(".",BF$3)-1),Gällivare!$B$6:$J$36,MATCH($C24,Gällivare!$B$6:$B$36,0),FALSE)="No Impact",HLOOKUP(LEFT(BF$3,4),Global!$B$6:$J$36,MATCH($C24,Global!$B$6:$B$36,0),FALSE)="No Impact"),HLOOKUP(RIGHT(BF$3,LEN(BF$3)-FIND(".",BF$3,FIND(".",BF$3)+1)),Gällivare!$B$6:$J$36,MATCH($C24,Gällivare!$B$6:$B$36,0),FALSE),"Global: "&amp;HLOOKUP(LEFT(BF$3,4),Global!$B$6:$J$36,MATCH($C24,Global!$B$6:$B$36,0),FALSE)&amp;CHAR(10)&amp;"Local Trend: "&amp;HLOOKUP(MID(BF$3,FIND(".",BF$3)+1,FIND(".",BF$3,FIND(".",BF$3)+1)-FIND(".",BF$3)-1),Gällivare!$B$6:$J$36,MATCH($C24,Gällivare!$B$6:$B$36,0),FALSE)&amp;CHAR(10)&amp;"Local Target: "&amp;HLOOKUP(RIGHT(BF$3,LEN(BF$3)-FIND(".",BF$3,FIND(".",BF$3)+1)),Gällivare!$B$6:$J$36,MATCH($C24,Gällivare!$B$6:$B$36,0),FALSE)))</f>
        <v>High</v>
      </c>
      <c r="BG24" s="177" t="str">
        <f>IF(AND(HLOOKUP(MID(BG$3,FIND(".",BG$3)+1,FIND(".",BG$3,FIND(".",BG$3)+1)-FIND(".",BG$3)-1),Gällivare!$B$6:$J$36,MATCH($C24,Gällivare!$B$6:$B$36,0),FALSE)="No Impact",HLOOKUP(RIGHT(BG$3,LEN(BG$3)-FIND(".",BG$3,FIND(".",BG$3)+1)),Gällivare!$B$6:$J$36,MATCH($C24,Gällivare!$B$6:$B$36,0),FALSE)="No Impact"),HLOOKUP(LEFT(BG$3,4),Global!$B$6:$J$36,MATCH($C24,Global!$B$6:$B$36,0),FALSE),IF(AND(HLOOKUP(MID(BG$3,FIND(".",BG$3)+1,FIND(".",BG$3,FIND(".",BG$3)+1)-FIND(".",BG$3)-1),Gällivare!$B$6:$J$36,MATCH($C24,Gällivare!$B$6:$B$36,0),FALSE)="No Impact",HLOOKUP(LEFT(BG$3,4),Global!$B$6:$J$36,MATCH($C24,Global!$B$6:$B$36,0),FALSE)="No Impact"),HLOOKUP(RIGHT(BG$3,LEN(BG$3)-FIND(".",BG$3,FIND(".",BG$3)+1)),Gällivare!$B$6:$J$36,MATCH($C24,Gällivare!$B$6:$B$36,0),FALSE),"Global: "&amp;HLOOKUP(LEFT(BG$3,4),Global!$B$6:$J$36,MATCH($C24,Global!$B$6:$B$36,0),FALSE)&amp;CHAR(10)&amp;"Local Trend: "&amp;HLOOKUP(MID(BG$3,FIND(".",BG$3)+1,FIND(".",BG$3,FIND(".",BG$3)+1)-FIND(".",BG$3)-1),Gällivare!$B$6:$J$36,MATCH($C24,Gällivare!$B$6:$B$36,0),FALSE)&amp;CHAR(10)&amp;"Local Target: "&amp;HLOOKUP(RIGHT(BG$3,LEN(BG$3)-FIND(".",BG$3,FIND(".",BG$3)+1)),Gällivare!$B$6:$J$36,MATCH($C24,Gällivare!$B$6:$B$36,0),FALSE)))</f>
        <v>Low in begining
High around 2040</v>
      </c>
      <c r="BH24" s="177" t="str">
        <f>IF(AND(HLOOKUP(MID(BH$3,FIND(".",BH$3)+1,FIND(".",BH$3,FIND(".",BH$3)+1)-FIND(".",BH$3)-1),Gällivare!$B$6:$J$36,MATCH($C24,Gällivare!$B$6:$B$36,0),FALSE)="No Impact",HLOOKUP(RIGHT(BH$3,LEN(BH$3)-FIND(".",BH$3,FIND(".",BH$3)+1)),Gällivare!$B$6:$J$36,MATCH($C24,Gällivare!$B$6:$B$36,0),FALSE)="No Impact"),HLOOKUP(LEFT(BH$3,4),Global!$B$6:$J$36,MATCH($C24,Global!$B$6:$B$36,0),FALSE),IF(AND(HLOOKUP(MID(BH$3,FIND(".",BH$3)+1,FIND(".",BH$3,FIND(".",BH$3)+1)-FIND(".",BH$3)-1),Gällivare!$B$6:$J$36,MATCH($C24,Gällivare!$B$6:$B$36,0),FALSE)="No Impact",HLOOKUP(LEFT(BH$3,4),Global!$B$6:$J$36,MATCH($C24,Global!$B$6:$B$36,0),FALSE)="No Impact"),HLOOKUP(RIGHT(BH$3,LEN(BH$3)-FIND(".",BH$3,FIND(".",BH$3)+1)),Gällivare!$B$6:$J$36,MATCH($C24,Gällivare!$B$6:$B$36,0),FALSE),"Global: "&amp;HLOOKUP(LEFT(BH$3,4),Global!$B$6:$J$36,MATCH($C24,Global!$B$6:$B$36,0),FALSE)&amp;CHAR(10)&amp;"Local Trend: "&amp;HLOOKUP(MID(BH$3,FIND(".",BH$3)+1,FIND(".",BH$3,FIND(".",BH$3)+1)-FIND(".",BH$3)-1),Gällivare!$B$6:$J$36,MATCH($C24,Gällivare!$B$6:$B$36,0),FALSE)&amp;CHAR(10)&amp;"Local Target: "&amp;HLOOKUP(RIGHT(BH$3,LEN(BH$3)-FIND(".",BH$3,FIND(".",BH$3)+1)),Gällivare!$B$6:$J$36,MATCH($C24,Gällivare!$B$6:$B$36,0),FALSE)))</f>
        <v>Medium</v>
      </c>
      <c r="BI24" s="177" t="str">
        <f>IF(AND(HLOOKUP(MID(BI$3,FIND(".",BI$3)+1,FIND(".",BI$3,FIND(".",BI$3)+1)-FIND(".",BI$3)-1),Gällivare!$B$6:$J$36,MATCH($C24,Gällivare!$B$6:$B$36,0),FALSE)="No Impact",HLOOKUP(RIGHT(BI$3,LEN(BI$3)-FIND(".",BI$3,FIND(".",BI$3)+1)),Gällivare!$B$6:$J$36,MATCH($C24,Gällivare!$B$6:$B$36,0),FALSE)="No Impact"),HLOOKUP(LEFT(BI$3,4),Global!$B$6:$J$36,MATCH($C24,Global!$B$6:$B$36,0),FALSE),IF(AND(HLOOKUP(MID(BI$3,FIND(".",BI$3)+1,FIND(".",BI$3,FIND(".",BI$3)+1)-FIND(".",BI$3)-1),Gällivare!$B$6:$J$36,MATCH($C24,Gällivare!$B$6:$B$36,0),FALSE)="No Impact",HLOOKUP(LEFT(BI$3,4),Global!$B$6:$J$36,MATCH($C24,Global!$B$6:$B$36,0),FALSE)="No Impact"),HLOOKUP(RIGHT(BI$3,LEN(BI$3)-FIND(".",BI$3,FIND(".",BI$3)+1)),Gällivare!$B$6:$J$36,MATCH($C24,Gällivare!$B$6:$B$36,0),FALSE),"Global: "&amp;HLOOKUP(LEFT(BI$3,4),Global!$B$6:$J$36,MATCH($C24,Global!$B$6:$B$36,0),FALSE)&amp;CHAR(10)&amp;"Local Trend: "&amp;HLOOKUP(MID(BI$3,FIND(".",BI$3)+1,FIND(".",BI$3,FIND(".",BI$3)+1)-FIND(".",BI$3)-1),Gällivare!$B$6:$J$36,MATCH($C24,Gällivare!$B$6:$B$36,0),FALSE)&amp;CHAR(10)&amp;"Local Target: "&amp;HLOOKUP(RIGHT(BI$3,LEN(BI$3)-FIND(".",BI$3,FIND(".",BI$3)+1)),Gällivare!$B$6:$J$36,MATCH($C24,Gällivare!$B$6:$B$36,0),FALSE)))</f>
        <v>High</v>
      </c>
      <c r="BJ24" s="177" t="str">
        <f>IF(AND(HLOOKUP(MID(BJ$3,FIND(".",BJ$3)+1,FIND(".",BJ$3,FIND(".",BJ$3)+1)-FIND(".",BJ$3)-1),Gällivare!$B$6:$J$36,MATCH($C24,Gällivare!$B$6:$B$36,0),FALSE)="No Impact",HLOOKUP(RIGHT(BJ$3,LEN(BJ$3)-FIND(".",BJ$3,FIND(".",BJ$3)+1)),Gällivare!$B$6:$J$36,MATCH($C24,Gällivare!$B$6:$B$36,0),FALSE)="No Impact"),HLOOKUP(LEFT(BJ$3,4),Global!$B$6:$J$36,MATCH($C24,Global!$B$6:$B$36,0),FALSE),IF(AND(HLOOKUP(MID(BJ$3,FIND(".",BJ$3)+1,FIND(".",BJ$3,FIND(".",BJ$3)+1)-FIND(".",BJ$3)-1),Gällivare!$B$6:$J$36,MATCH($C24,Gällivare!$B$6:$B$36,0),FALSE)="No Impact",HLOOKUP(LEFT(BJ$3,4),Global!$B$6:$J$36,MATCH($C24,Global!$B$6:$B$36,0),FALSE)="No Impact"),HLOOKUP(RIGHT(BJ$3,LEN(BJ$3)-FIND(".",BJ$3,FIND(".",BJ$3)+1)),Gällivare!$B$6:$J$36,MATCH($C24,Gällivare!$B$6:$B$36,0),FALSE),"Global: "&amp;HLOOKUP(LEFT(BJ$3,4),Global!$B$6:$J$36,MATCH($C24,Global!$B$6:$B$36,0),FALSE)&amp;CHAR(10)&amp;"Local Trend: "&amp;HLOOKUP(MID(BJ$3,FIND(".",BJ$3)+1,FIND(".",BJ$3,FIND(".",BJ$3)+1)-FIND(".",BJ$3)-1),Gällivare!$B$6:$J$36,MATCH($C24,Gällivare!$B$6:$B$36,0),FALSE)&amp;CHAR(10)&amp;"Local Target: "&amp;HLOOKUP(RIGHT(BJ$3,LEN(BJ$3)-FIND(".",BJ$3,FIND(".",BJ$3)+1)),Gällivare!$B$6:$J$36,MATCH($C24,Gällivare!$B$6:$B$36,0),FALSE)))</f>
        <v>Low in begining
High around 2040</v>
      </c>
      <c r="BK24" s="177" t="str">
        <f>IF(AND(HLOOKUP(MID(BK$3,FIND(".",BK$3)+1,FIND(".",BK$3,FIND(".",BK$3)+1)-FIND(".",BK$3)-1),Gällivare!$B$6:$J$36,MATCH($C24,Gällivare!$B$6:$B$36,0),FALSE)="No Impact",HLOOKUP(RIGHT(BK$3,LEN(BK$3)-FIND(".",BK$3,FIND(".",BK$3)+1)),Gällivare!$B$6:$J$36,MATCH($C24,Gällivare!$B$6:$B$36,0),FALSE)="No Impact"),HLOOKUP(LEFT(BK$3,4),Global!$B$6:$J$36,MATCH($C24,Global!$B$6:$B$36,0),FALSE),IF(AND(HLOOKUP(MID(BK$3,FIND(".",BK$3)+1,FIND(".",BK$3,FIND(".",BK$3)+1)-FIND(".",BK$3)-1),Gällivare!$B$6:$J$36,MATCH($C24,Gällivare!$B$6:$B$36,0),FALSE)="No Impact",HLOOKUP(LEFT(BK$3,4),Global!$B$6:$J$36,MATCH($C24,Global!$B$6:$B$36,0),FALSE)="No Impact"),HLOOKUP(RIGHT(BK$3,LEN(BK$3)-FIND(".",BK$3,FIND(".",BK$3)+1)),Gällivare!$B$6:$J$36,MATCH($C24,Gällivare!$B$6:$B$36,0),FALSE),"Global: "&amp;HLOOKUP(LEFT(BK$3,4),Global!$B$6:$J$36,MATCH($C24,Global!$B$6:$B$36,0),FALSE)&amp;CHAR(10)&amp;"Local Trend: "&amp;HLOOKUP(MID(BK$3,FIND(".",BK$3)+1,FIND(".",BK$3,FIND(".",BK$3)+1)-FIND(".",BK$3)-1),Gällivare!$B$6:$J$36,MATCH($C24,Gällivare!$B$6:$B$36,0),FALSE)&amp;CHAR(10)&amp;"Local Target: "&amp;HLOOKUP(RIGHT(BK$3,LEN(BK$3)-FIND(".",BK$3,FIND(".",BK$3)+1)),Gällivare!$B$6:$J$36,MATCH($C24,Gällivare!$B$6:$B$36,0),FALSE)))</f>
        <v>Medium</v>
      </c>
      <c r="BL24" s="177" t="str">
        <f>IF(AND(HLOOKUP(MID(BL$3,FIND(".",BL$3)+1,FIND(".",BL$3,FIND(".",BL$3)+1)-FIND(".",BL$3)-1),Gällivare!$B$6:$J$36,MATCH($C24,Gällivare!$B$6:$B$36,0),FALSE)="No Impact",HLOOKUP(RIGHT(BL$3,LEN(BL$3)-FIND(".",BL$3,FIND(".",BL$3)+1)),Gällivare!$B$6:$J$36,MATCH($C24,Gällivare!$B$6:$B$36,0),FALSE)="No Impact"),HLOOKUP(LEFT(BL$3,4),Global!$B$6:$J$36,MATCH($C24,Global!$B$6:$B$36,0),FALSE),IF(AND(HLOOKUP(MID(BL$3,FIND(".",BL$3)+1,FIND(".",BL$3,FIND(".",BL$3)+1)-FIND(".",BL$3)-1),Gällivare!$B$6:$J$36,MATCH($C24,Gällivare!$B$6:$B$36,0),FALSE)="No Impact",HLOOKUP(LEFT(BL$3,4),Global!$B$6:$J$36,MATCH($C24,Global!$B$6:$B$36,0),FALSE)="No Impact"),HLOOKUP(RIGHT(BL$3,LEN(BL$3)-FIND(".",BL$3,FIND(".",BL$3)+1)),Gällivare!$B$6:$J$36,MATCH($C24,Gällivare!$B$6:$B$36,0),FALSE),"Global: "&amp;HLOOKUP(LEFT(BL$3,4),Global!$B$6:$J$36,MATCH($C24,Global!$B$6:$B$36,0),FALSE)&amp;CHAR(10)&amp;"Local Trend: "&amp;HLOOKUP(MID(BL$3,FIND(".",BL$3)+1,FIND(".",BL$3,FIND(".",BL$3)+1)-FIND(".",BL$3)-1),Gällivare!$B$6:$J$36,MATCH($C24,Gällivare!$B$6:$B$36,0),FALSE)&amp;CHAR(10)&amp;"Local Target: "&amp;HLOOKUP(RIGHT(BL$3,LEN(BL$3)-FIND(".",BL$3,FIND(".",BL$3)+1)),Gällivare!$B$6:$J$36,MATCH($C24,Gällivare!$B$6:$B$36,0),FALSE)))</f>
        <v>High</v>
      </c>
      <c r="BM24" s="177" t="str">
        <f>IF(AND(HLOOKUP(MID(BM$3,FIND(".",BM$3)+1,FIND(".",BM$3,FIND(".",BM$3)+1)-FIND(".",BM$3)-1),Gällivare!$B$6:$J$36,MATCH($C24,Gällivare!$B$6:$B$36,0),FALSE)="No Impact",HLOOKUP(RIGHT(BM$3,LEN(BM$3)-FIND(".",BM$3,FIND(".",BM$3)+1)),Gällivare!$B$6:$J$36,MATCH($C24,Gällivare!$B$6:$B$36,0),FALSE)="No Impact"),HLOOKUP(LEFT(BM$3,4),Global!$B$6:$J$36,MATCH($C24,Global!$B$6:$B$36,0),FALSE),IF(AND(HLOOKUP(MID(BM$3,FIND(".",BM$3)+1,FIND(".",BM$3,FIND(".",BM$3)+1)-FIND(".",BM$3)-1),Gällivare!$B$6:$J$36,MATCH($C24,Gällivare!$B$6:$B$36,0),FALSE)="No Impact",HLOOKUP(LEFT(BM$3,4),Global!$B$6:$J$36,MATCH($C24,Global!$B$6:$B$36,0),FALSE)="No Impact"),HLOOKUP(RIGHT(BM$3,LEN(BM$3)-FIND(".",BM$3,FIND(".",BM$3)+1)),Gällivare!$B$6:$J$36,MATCH($C24,Gällivare!$B$6:$B$36,0),FALSE),"Global: "&amp;HLOOKUP(LEFT(BM$3,4),Global!$B$6:$J$36,MATCH($C24,Global!$B$6:$B$36,0),FALSE)&amp;CHAR(10)&amp;"Local Trend: "&amp;HLOOKUP(MID(BM$3,FIND(".",BM$3)+1,FIND(".",BM$3,FIND(".",BM$3)+1)-FIND(".",BM$3)-1),Gällivare!$B$6:$J$36,MATCH($C24,Gällivare!$B$6:$B$36,0),FALSE)&amp;CHAR(10)&amp;"Local Target: "&amp;HLOOKUP(RIGHT(BM$3,LEN(BM$3)-FIND(".",BM$3,FIND(".",BM$3)+1)),Gällivare!$B$6:$J$36,MATCH($C24,Gällivare!$B$6:$B$36,0),FALSE)))</f>
        <v>Low in begining
High around 2040</v>
      </c>
      <c r="BN24" s="177" t="str">
        <f>IF(AND(HLOOKUP(MID(BN$3,FIND(".",BN$3)+1,FIND(".",BN$3,FIND(".",BN$3)+1)-FIND(".",BN$3)-1),Gällivare!$B$6:$J$36,MATCH($C24,Gällivare!$B$6:$B$36,0),FALSE)="No Impact",HLOOKUP(RIGHT(BN$3,LEN(BN$3)-FIND(".",BN$3,FIND(".",BN$3)+1)),Gällivare!$B$6:$J$36,MATCH($C24,Gällivare!$B$6:$B$36,0),FALSE)="No Impact"),HLOOKUP(LEFT(BN$3,4),Global!$B$6:$J$36,MATCH($C24,Global!$B$6:$B$36,0),FALSE),IF(AND(HLOOKUP(MID(BN$3,FIND(".",BN$3)+1,FIND(".",BN$3,FIND(".",BN$3)+1)-FIND(".",BN$3)-1),Gällivare!$B$6:$J$36,MATCH($C24,Gällivare!$B$6:$B$36,0),FALSE)="No Impact",HLOOKUP(LEFT(BN$3,4),Global!$B$6:$J$36,MATCH($C24,Global!$B$6:$B$36,0),FALSE)="No Impact"),HLOOKUP(RIGHT(BN$3,LEN(BN$3)-FIND(".",BN$3,FIND(".",BN$3)+1)),Gällivare!$B$6:$J$36,MATCH($C24,Gällivare!$B$6:$B$36,0),FALSE),"Global: "&amp;HLOOKUP(LEFT(BN$3,4),Global!$B$6:$J$36,MATCH($C24,Global!$B$6:$B$36,0),FALSE)&amp;CHAR(10)&amp;"Local Trend: "&amp;HLOOKUP(MID(BN$3,FIND(".",BN$3)+1,FIND(".",BN$3,FIND(".",BN$3)+1)-FIND(".",BN$3)-1),Gällivare!$B$6:$J$36,MATCH($C24,Gällivare!$B$6:$B$36,0),FALSE)&amp;CHAR(10)&amp;"Local Target: "&amp;HLOOKUP(RIGHT(BN$3,LEN(BN$3)-FIND(".",BN$3,FIND(".",BN$3)+1)),Gällivare!$B$6:$J$36,MATCH($C24,Gällivare!$B$6:$B$36,0),FALSE)))</f>
        <v>Medium</v>
      </c>
      <c r="BO24" s="177" t="str">
        <f>IF(AND(HLOOKUP(MID(BO$3,FIND(".",BO$3)+1,FIND(".",BO$3,FIND(".",BO$3)+1)-FIND(".",BO$3)-1),Gällivare!$B$6:$J$36,MATCH($C24,Gällivare!$B$6:$B$36,0),FALSE)="No Impact",HLOOKUP(RIGHT(BO$3,LEN(BO$3)-FIND(".",BO$3,FIND(".",BO$3)+1)),Gällivare!$B$6:$J$36,MATCH($C24,Gällivare!$B$6:$B$36,0),FALSE)="No Impact"),HLOOKUP(LEFT(BO$3,4),Global!$B$6:$J$36,MATCH($C24,Global!$B$6:$B$36,0),FALSE),IF(AND(HLOOKUP(MID(BO$3,FIND(".",BO$3)+1,FIND(".",BO$3,FIND(".",BO$3)+1)-FIND(".",BO$3)-1),Gällivare!$B$6:$J$36,MATCH($C24,Gällivare!$B$6:$B$36,0),FALSE)="No Impact",HLOOKUP(LEFT(BO$3,4),Global!$B$6:$J$36,MATCH($C24,Global!$B$6:$B$36,0),FALSE)="No Impact"),HLOOKUP(RIGHT(BO$3,LEN(BO$3)-FIND(".",BO$3,FIND(".",BO$3)+1)),Gällivare!$B$6:$J$36,MATCH($C24,Gällivare!$B$6:$B$36,0),FALSE),"Global: "&amp;HLOOKUP(LEFT(BO$3,4),Global!$B$6:$J$36,MATCH($C24,Global!$B$6:$B$36,0),FALSE)&amp;CHAR(10)&amp;"Local Trend: "&amp;HLOOKUP(MID(BO$3,FIND(".",BO$3)+1,FIND(".",BO$3,FIND(".",BO$3)+1)-FIND(".",BO$3)-1),Gällivare!$B$6:$J$36,MATCH($C24,Gällivare!$B$6:$B$36,0),FALSE)&amp;CHAR(10)&amp;"Local Target: "&amp;HLOOKUP(RIGHT(BO$3,LEN(BO$3)-FIND(".",BO$3,FIND(".",BO$3)+1)),Gällivare!$B$6:$J$36,MATCH($C24,Gällivare!$B$6:$B$36,0),FALSE)))</f>
        <v>High</v>
      </c>
      <c r="BP24" s="177" t="str">
        <f>IF(AND(HLOOKUP(MID(BP$3,FIND(".",BP$3)+1,FIND(".",BP$3,FIND(".",BP$3)+1)-FIND(".",BP$3)-1),Gällivare!$B$6:$J$36,MATCH($C24,Gällivare!$B$6:$B$36,0),FALSE)="No Impact",HLOOKUP(RIGHT(BP$3,LEN(BP$3)-FIND(".",BP$3,FIND(".",BP$3)+1)),Gällivare!$B$6:$J$36,MATCH($C24,Gällivare!$B$6:$B$36,0),FALSE)="No Impact"),HLOOKUP(LEFT(BP$3,4),Global!$B$6:$J$36,MATCH($C24,Global!$B$6:$B$36,0),FALSE),IF(AND(HLOOKUP(MID(BP$3,FIND(".",BP$3)+1,FIND(".",BP$3,FIND(".",BP$3)+1)-FIND(".",BP$3)-1),Gällivare!$B$6:$J$36,MATCH($C24,Gällivare!$B$6:$B$36,0),FALSE)="No Impact",HLOOKUP(LEFT(BP$3,4),Global!$B$6:$J$36,MATCH($C24,Global!$B$6:$B$36,0),FALSE)="No Impact"),HLOOKUP(RIGHT(BP$3,LEN(BP$3)-FIND(".",BP$3,FIND(".",BP$3)+1)),Gällivare!$B$6:$J$36,MATCH($C24,Gällivare!$B$6:$B$36,0),FALSE),"Global: "&amp;HLOOKUP(LEFT(BP$3,4),Global!$B$6:$J$36,MATCH($C24,Global!$B$6:$B$36,0),FALSE)&amp;CHAR(10)&amp;"Local Trend: "&amp;HLOOKUP(MID(BP$3,FIND(".",BP$3)+1,FIND(".",BP$3,FIND(".",BP$3)+1)-FIND(".",BP$3)-1),Gällivare!$B$6:$J$36,MATCH($C24,Gällivare!$B$6:$B$36,0),FALSE)&amp;CHAR(10)&amp;"Local Target: "&amp;HLOOKUP(RIGHT(BP$3,LEN(BP$3)-FIND(".",BP$3,FIND(".",BP$3)+1)),Gällivare!$B$6:$J$36,MATCH($C24,Gällivare!$B$6:$B$36,0),FALSE)))</f>
        <v>Low in begining
High around 2040</v>
      </c>
    </row>
    <row r="25" spans="2:74" ht="28.8" x14ac:dyDescent="0.3">
      <c r="B25" s="248"/>
      <c r="C25" s="175" t="s">
        <v>206</v>
      </c>
      <c r="D25" s="175" t="s">
        <v>172</v>
      </c>
      <c r="E25" s="175" t="s">
        <v>207</v>
      </c>
      <c r="F25" s="176" t="s">
        <v>165</v>
      </c>
      <c r="G25" s="176"/>
      <c r="H25" s="175" t="str">
        <f t="shared" si="1"/>
        <v>High</v>
      </c>
      <c r="I25" s="175" t="str">
        <f t="shared" si="1"/>
        <v>High</v>
      </c>
      <c r="J25" s="175" t="str">
        <f t="shared" si="1"/>
        <v>High</v>
      </c>
      <c r="K25" s="175" t="str">
        <f t="shared" si="1"/>
        <v>High</v>
      </c>
      <c r="L25" s="175" t="str">
        <f t="shared" si="1"/>
        <v>High</v>
      </c>
      <c r="M25" s="175" t="str">
        <f t="shared" si="1"/>
        <v>High</v>
      </c>
      <c r="N25" s="175" t="str">
        <f t="shared" si="1"/>
        <v>Medium</v>
      </c>
      <c r="O25" s="175" t="str">
        <f t="shared" si="1"/>
        <v>Medium</v>
      </c>
      <c r="P25" s="175" t="str">
        <f t="shared" si="1"/>
        <v>Medium</v>
      </c>
      <c r="Q25" s="175" t="str">
        <f t="shared" si="1"/>
        <v>Medium</v>
      </c>
      <c r="R25" s="175" t="str">
        <f t="shared" si="1"/>
        <v>Medium</v>
      </c>
      <c r="S25" s="175" t="str">
        <f t="shared" si="1"/>
        <v>Medium</v>
      </c>
      <c r="T25" s="175" t="str">
        <f t="shared" si="1"/>
        <v>Low</v>
      </c>
      <c r="U25" s="175" t="str">
        <f t="shared" si="1"/>
        <v>Low</v>
      </c>
      <c r="V25" s="175" t="str">
        <f t="shared" si="1"/>
        <v>Low</v>
      </c>
      <c r="W25" s="175" t="str">
        <f t="shared" si="1"/>
        <v>Low</v>
      </c>
      <c r="X25" s="175" t="str">
        <f t="shared" si="5"/>
        <v>Low</v>
      </c>
      <c r="Y25" s="175" t="str">
        <f t="shared" si="5"/>
        <v>Low</v>
      </c>
      <c r="Z25" s="175" t="str">
        <f t="shared" si="5"/>
        <v>Medium</v>
      </c>
      <c r="AA25" s="175" t="str">
        <f t="shared" si="5"/>
        <v>Medium</v>
      </c>
      <c r="AB25" s="175" t="str">
        <f t="shared" si="5"/>
        <v>Medium</v>
      </c>
      <c r="AC25" s="175" t="str">
        <f t="shared" si="5"/>
        <v>Medium</v>
      </c>
      <c r="AD25" s="175" t="str">
        <f t="shared" si="5"/>
        <v>Medium</v>
      </c>
      <c r="AE25" s="175" t="str">
        <f t="shared" si="5"/>
        <v>Medium</v>
      </c>
      <c r="AF25" s="175" t="str">
        <f t="shared" si="4"/>
        <v>Low</v>
      </c>
      <c r="AG25" s="175" t="str">
        <f t="shared" si="4"/>
        <v>Low</v>
      </c>
      <c r="AH25" s="175" t="str">
        <f t="shared" si="4"/>
        <v>Low</v>
      </c>
      <c r="AI25" s="175" t="str">
        <f t="shared" si="4"/>
        <v>Low</v>
      </c>
      <c r="AJ25" s="175" t="str">
        <f t="shared" si="4"/>
        <v>Low</v>
      </c>
      <c r="AK25" s="175" t="str">
        <f t="shared" si="4"/>
        <v>Low</v>
      </c>
      <c r="AL25" s="176"/>
      <c r="AM25" s="177" t="str">
        <f>IF(AND(HLOOKUP(MID(AM$3,FIND(".",AM$3)+1,FIND(".",AM$3,FIND(".",AM$3)+1)-FIND(".",AM$3)-1),Gällivare!$B$6:$J$36,MATCH($C25,Gällivare!$B$6:$B$36,0),FALSE)="No Impact",HLOOKUP(RIGHT(AM$3,LEN(AM$3)-FIND(".",AM$3,FIND(".",AM$3)+1)),Gällivare!$B$6:$J$36,MATCH($C25,Gällivare!$B$6:$B$36,0),FALSE)="No Impact"),HLOOKUP(LEFT(AM$3,4),Global!$B$6:$J$36,MATCH($C25,Global!$B$6:$B$36,0),FALSE),IF(AND(HLOOKUP(MID(AM$3,FIND(".",AM$3)+1,FIND(".",AM$3,FIND(".",AM$3)+1)-FIND(".",AM$3)-1),Gällivare!$B$6:$J$36,MATCH($C25,Gällivare!$B$6:$B$36,0),FALSE)="No Impact",HLOOKUP(LEFT(AM$3,4),Global!$B$6:$J$36,MATCH($C25,Global!$B$6:$B$36,0),FALSE)="No Impact"),HLOOKUP(RIGHT(AM$3,LEN(AM$3)-FIND(".",AM$3,FIND(".",AM$3)+1)),Gällivare!$B$6:$J$36,MATCH($C25,Gällivare!$B$6:$B$36,0),FALSE),"Global: "&amp;HLOOKUP(LEFT(AM$3,4),Global!$B$6:$J$36,MATCH($C25,Global!$B$6:$B$36,0),FALSE)&amp;CHAR(10)&amp;"Local Trend: "&amp;HLOOKUP(MID(AM$3,FIND(".",AM$3)+1,FIND(".",AM$3,FIND(".",AM$3)+1)-FIND(".",AM$3)-1),Gällivare!$B$6:$J$36,MATCH($C25,Gällivare!$B$6:$B$36,0),FALSE)&amp;CHAR(10)&amp;"Local Target: "&amp;HLOOKUP(RIGHT(AM$3,LEN(AM$3)-FIND(".",AM$3,FIND(".",AM$3)+1)),Gällivare!$B$6:$J$36,MATCH($C25,Gällivare!$B$6:$B$36,0),FALSE)))</f>
        <v>High</v>
      </c>
      <c r="AN25" s="177" t="str">
        <f>IF(AND(HLOOKUP(MID(AN$3,FIND(".",AN$3)+1,FIND(".",AN$3,FIND(".",AN$3)+1)-FIND(".",AN$3)-1),Gällivare!$B$6:$J$36,MATCH($C25,Gällivare!$B$6:$B$36,0),FALSE)="No Impact",HLOOKUP(RIGHT(AN$3,LEN(AN$3)-FIND(".",AN$3,FIND(".",AN$3)+1)),Gällivare!$B$6:$J$36,MATCH($C25,Gällivare!$B$6:$B$36,0),FALSE)="No Impact"),HLOOKUP(LEFT(AN$3,4),Global!$B$6:$J$36,MATCH($C25,Global!$B$6:$B$36,0),FALSE),IF(AND(HLOOKUP(MID(AN$3,FIND(".",AN$3)+1,FIND(".",AN$3,FIND(".",AN$3)+1)-FIND(".",AN$3)-1),Gällivare!$B$6:$J$36,MATCH($C25,Gällivare!$B$6:$B$36,0),FALSE)="No Impact",HLOOKUP(LEFT(AN$3,4),Global!$B$6:$J$36,MATCH($C25,Global!$B$6:$B$36,0),FALSE)="No Impact"),HLOOKUP(RIGHT(AN$3,LEN(AN$3)-FIND(".",AN$3,FIND(".",AN$3)+1)),Gällivare!$B$6:$J$36,MATCH($C25,Gällivare!$B$6:$B$36,0),FALSE),"Global: "&amp;HLOOKUP(LEFT(AN$3,4),Global!$B$6:$J$36,MATCH($C25,Global!$B$6:$B$36,0),FALSE)&amp;CHAR(10)&amp;"Local Trend: "&amp;HLOOKUP(MID(AN$3,FIND(".",AN$3)+1,FIND(".",AN$3,FIND(".",AN$3)+1)-FIND(".",AN$3)-1),Gällivare!$B$6:$J$36,MATCH($C25,Gällivare!$B$6:$B$36,0),FALSE)&amp;CHAR(10)&amp;"Local Target: "&amp;HLOOKUP(RIGHT(AN$3,LEN(AN$3)-FIND(".",AN$3,FIND(".",AN$3)+1)),Gällivare!$B$6:$J$36,MATCH($C25,Gällivare!$B$6:$B$36,0),FALSE)))</f>
        <v>High</v>
      </c>
      <c r="AO25" s="177" t="str">
        <f>IF(AND(HLOOKUP(MID(AO$3,FIND(".",AO$3)+1,FIND(".",AO$3,FIND(".",AO$3)+1)-FIND(".",AO$3)-1),Gällivare!$B$6:$J$36,MATCH($C25,Gällivare!$B$6:$B$36,0),FALSE)="No Impact",HLOOKUP(RIGHT(AO$3,LEN(AO$3)-FIND(".",AO$3,FIND(".",AO$3)+1)),Gällivare!$B$6:$J$36,MATCH($C25,Gällivare!$B$6:$B$36,0),FALSE)="No Impact"),HLOOKUP(LEFT(AO$3,4),Global!$B$6:$J$36,MATCH($C25,Global!$B$6:$B$36,0),FALSE),IF(AND(HLOOKUP(MID(AO$3,FIND(".",AO$3)+1,FIND(".",AO$3,FIND(".",AO$3)+1)-FIND(".",AO$3)-1),Gällivare!$B$6:$J$36,MATCH($C25,Gällivare!$B$6:$B$36,0),FALSE)="No Impact",HLOOKUP(LEFT(AO$3,4),Global!$B$6:$J$36,MATCH($C25,Global!$B$6:$B$36,0),FALSE)="No Impact"),HLOOKUP(RIGHT(AO$3,LEN(AO$3)-FIND(".",AO$3,FIND(".",AO$3)+1)),Gällivare!$B$6:$J$36,MATCH($C25,Gällivare!$B$6:$B$36,0),FALSE),"Global: "&amp;HLOOKUP(LEFT(AO$3,4),Global!$B$6:$J$36,MATCH($C25,Global!$B$6:$B$36,0),FALSE)&amp;CHAR(10)&amp;"Local Trend: "&amp;HLOOKUP(MID(AO$3,FIND(".",AO$3)+1,FIND(".",AO$3,FIND(".",AO$3)+1)-FIND(".",AO$3)-1),Gällivare!$B$6:$J$36,MATCH($C25,Gällivare!$B$6:$B$36,0),FALSE)&amp;CHAR(10)&amp;"Local Target: "&amp;HLOOKUP(RIGHT(AO$3,LEN(AO$3)-FIND(".",AO$3,FIND(".",AO$3)+1)),Gällivare!$B$6:$J$36,MATCH($C25,Gällivare!$B$6:$B$36,0),FALSE)))</f>
        <v>High</v>
      </c>
      <c r="AP25" s="177" t="str">
        <f>IF(AND(HLOOKUP(MID(AP$3,FIND(".",AP$3)+1,FIND(".",AP$3,FIND(".",AP$3)+1)-FIND(".",AP$3)-1),Gällivare!$B$6:$J$36,MATCH($C25,Gällivare!$B$6:$B$36,0),FALSE)="No Impact",HLOOKUP(RIGHT(AP$3,LEN(AP$3)-FIND(".",AP$3,FIND(".",AP$3)+1)),Gällivare!$B$6:$J$36,MATCH($C25,Gällivare!$B$6:$B$36,0),FALSE)="No Impact"),HLOOKUP(LEFT(AP$3,4),Global!$B$6:$J$36,MATCH($C25,Global!$B$6:$B$36,0),FALSE),IF(AND(HLOOKUP(MID(AP$3,FIND(".",AP$3)+1,FIND(".",AP$3,FIND(".",AP$3)+1)-FIND(".",AP$3)-1),Gällivare!$B$6:$J$36,MATCH($C25,Gällivare!$B$6:$B$36,0),FALSE)="No Impact",HLOOKUP(LEFT(AP$3,4),Global!$B$6:$J$36,MATCH($C25,Global!$B$6:$B$36,0),FALSE)="No Impact"),HLOOKUP(RIGHT(AP$3,LEN(AP$3)-FIND(".",AP$3,FIND(".",AP$3)+1)),Gällivare!$B$6:$J$36,MATCH($C25,Gällivare!$B$6:$B$36,0),FALSE),"Global: "&amp;HLOOKUP(LEFT(AP$3,4),Global!$B$6:$J$36,MATCH($C25,Global!$B$6:$B$36,0),FALSE)&amp;CHAR(10)&amp;"Local Trend: "&amp;HLOOKUP(MID(AP$3,FIND(".",AP$3)+1,FIND(".",AP$3,FIND(".",AP$3)+1)-FIND(".",AP$3)-1),Gällivare!$B$6:$J$36,MATCH($C25,Gällivare!$B$6:$B$36,0),FALSE)&amp;CHAR(10)&amp;"Local Target: "&amp;HLOOKUP(RIGHT(AP$3,LEN(AP$3)-FIND(".",AP$3,FIND(".",AP$3)+1)),Gällivare!$B$6:$J$36,MATCH($C25,Gällivare!$B$6:$B$36,0),FALSE)))</f>
        <v>High</v>
      </c>
      <c r="AQ25" s="177" t="str">
        <f>IF(AND(HLOOKUP(MID(AQ$3,FIND(".",AQ$3)+1,FIND(".",AQ$3,FIND(".",AQ$3)+1)-FIND(".",AQ$3)-1),Gällivare!$B$6:$J$36,MATCH($C25,Gällivare!$B$6:$B$36,0),FALSE)="No Impact",HLOOKUP(RIGHT(AQ$3,LEN(AQ$3)-FIND(".",AQ$3,FIND(".",AQ$3)+1)),Gällivare!$B$6:$J$36,MATCH($C25,Gällivare!$B$6:$B$36,0),FALSE)="No Impact"),HLOOKUP(LEFT(AQ$3,4),Global!$B$6:$J$36,MATCH($C25,Global!$B$6:$B$36,0),FALSE),IF(AND(HLOOKUP(MID(AQ$3,FIND(".",AQ$3)+1,FIND(".",AQ$3,FIND(".",AQ$3)+1)-FIND(".",AQ$3)-1),Gällivare!$B$6:$J$36,MATCH($C25,Gällivare!$B$6:$B$36,0),FALSE)="No Impact",HLOOKUP(LEFT(AQ$3,4),Global!$B$6:$J$36,MATCH($C25,Global!$B$6:$B$36,0),FALSE)="No Impact"),HLOOKUP(RIGHT(AQ$3,LEN(AQ$3)-FIND(".",AQ$3,FIND(".",AQ$3)+1)),Gällivare!$B$6:$J$36,MATCH($C25,Gällivare!$B$6:$B$36,0),FALSE),"Global: "&amp;HLOOKUP(LEFT(AQ$3,4),Global!$B$6:$J$36,MATCH($C25,Global!$B$6:$B$36,0),FALSE)&amp;CHAR(10)&amp;"Local Trend: "&amp;HLOOKUP(MID(AQ$3,FIND(".",AQ$3)+1,FIND(".",AQ$3,FIND(".",AQ$3)+1)-FIND(".",AQ$3)-1),Gällivare!$B$6:$J$36,MATCH($C25,Gällivare!$B$6:$B$36,0),FALSE)&amp;CHAR(10)&amp;"Local Target: "&amp;HLOOKUP(RIGHT(AQ$3,LEN(AQ$3)-FIND(".",AQ$3,FIND(".",AQ$3)+1)),Gällivare!$B$6:$J$36,MATCH($C25,Gällivare!$B$6:$B$36,0),FALSE)))</f>
        <v>High</v>
      </c>
      <c r="AR25" s="177" t="str">
        <f>IF(AND(HLOOKUP(MID(AR$3,FIND(".",AR$3)+1,FIND(".",AR$3,FIND(".",AR$3)+1)-FIND(".",AR$3)-1),Gällivare!$B$6:$J$36,MATCH($C25,Gällivare!$B$6:$B$36,0),FALSE)="No Impact",HLOOKUP(RIGHT(AR$3,LEN(AR$3)-FIND(".",AR$3,FIND(".",AR$3)+1)),Gällivare!$B$6:$J$36,MATCH($C25,Gällivare!$B$6:$B$36,0),FALSE)="No Impact"),HLOOKUP(LEFT(AR$3,4),Global!$B$6:$J$36,MATCH($C25,Global!$B$6:$B$36,0),FALSE),IF(AND(HLOOKUP(MID(AR$3,FIND(".",AR$3)+1,FIND(".",AR$3,FIND(".",AR$3)+1)-FIND(".",AR$3)-1),Gällivare!$B$6:$J$36,MATCH($C25,Gällivare!$B$6:$B$36,0),FALSE)="No Impact",HLOOKUP(LEFT(AR$3,4),Global!$B$6:$J$36,MATCH($C25,Global!$B$6:$B$36,0),FALSE)="No Impact"),HLOOKUP(RIGHT(AR$3,LEN(AR$3)-FIND(".",AR$3,FIND(".",AR$3)+1)),Gällivare!$B$6:$J$36,MATCH($C25,Gällivare!$B$6:$B$36,0),FALSE),"Global: "&amp;HLOOKUP(LEFT(AR$3,4),Global!$B$6:$J$36,MATCH($C25,Global!$B$6:$B$36,0),FALSE)&amp;CHAR(10)&amp;"Local Trend: "&amp;HLOOKUP(MID(AR$3,FIND(".",AR$3)+1,FIND(".",AR$3,FIND(".",AR$3)+1)-FIND(".",AR$3)-1),Gällivare!$B$6:$J$36,MATCH($C25,Gällivare!$B$6:$B$36,0),FALSE)&amp;CHAR(10)&amp;"Local Target: "&amp;HLOOKUP(RIGHT(AR$3,LEN(AR$3)-FIND(".",AR$3,FIND(".",AR$3)+1)),Gällivare!$B$6:$J$36,MATCH($C25,Gällivare!$B$6:$B$36,0),FALSE)))</f>
        <v>High</v>
      </c>
      <c r="AS25" s="177" t="str">
        <f>IF(AND(HLOOKUP(MID(AS$3,FIND(".",AS$3)+1,FIND(".",AS$3,FIND(".",AS$3)+1)-FIND(".",AS$3)-1),Gällivare!$B$6:$J$36,MATCH($C25,Gällivare!$B$6:$B$36,0),FALSE)="No Impact",HLOOKUP(RIGHT(AS$3,LEN(AS$3)-FIND(".",AS$3,FIND(".",AS$3)+1)),Gällivare!$B$6:$J$36,MATCH($C25,Gällivare!$B$6:$B$36,0),FALSE)="No Impact"),HLOOKUP(LEFT(AS$3,4),Global!$B$6:$J$36,MATCH($C25,Global!$B$6:$B$36,0),FALSE),IF(AND(HLOOKUP(MID(AS$3,FIND(".",AS$3)+1,FIND(".",AS$3,FIND(".",AS$3)+1)-FIND(".",AS$3)-1),Gällivare!$B$6:$J$36,MATCH($C25,Gällivare!$B$6:$B$36,0),FALSE)="No Impact",HLOOKUP(LEFT(AS$3,4),Global!$B$6:$J$36,MATCH($C25,Global!$B$6:$B$36,0),FALSE)="No Impact"),HLOOKUP(RIGHT(AS$3,LEN(AS$3)-FIND(".",AS$3,FIND(".",AS$3)+1)),Gällivare!$B$6:$J$36,MATCH($C25,Gällivare!$B$6:$B$36,0),FALSE),"Global: "&amp;HLOOKUP(LEFT(AS$3,4),Global!$B$6:$J$36,MATCH($C25,Global!$B$6:$B$36,0),FALSE)&amp;CHAR(10)&amp;"Local Trend: "&amp;HLOOKUP(MID(AS$3,FIND(".",AS$3)+1,FIND(".",AS$3,FIND(".",AS$3)+1)-FIND(".",AS$3)-1),Gällivare!$B$6:$J$36,MATCH($C25,Gällivare!$B$6:$B$36,0),FALSE)&amp;CHAR(10)&amp;"Local Target: "&amp;HLOOKUP(RIGHT(AS$3,LEN(AS$3)-FIND(".",AS$3,FIND(".",AS$3)+1)),Gällivare!$B$6:$J$36,MATCH($C25,Gällivare!$B$6:$B$36,0),FALSE)))</f>
        <v>Medium</v>
      </c>
      <c r="AT25" s="177" t="str">
        <f>IF(AND(HLOOKUP(MID(AT$3,FIND(".",AT$3)+1,FIND(".",AT$3,FIND(".",AT$3)+1)-FIND(".",AT$3)-1),Gällivare!$B$6:$J$36,MATCH($C25,Gällivare!$B$6:$B$36,0),FALSE)="No Impact",HLOOKUP(RIGHT(AT$3,LEN(AT$3)-FIND(".",AT$3,FIND(".",AT$3)+1)),Gällivare!$B$6:$J$36,MATCH($C25,Gällivare!$B$6:$B$36,0),FALSE)="No Impact"),HLOOKUP(LEFT(AT$3,4),Global!$B$6:$J$36,MATCH($C25,Global!$B$6:$B$36,0),FALSE),IF(AND(HLOOKUP(MID(AT$3,FIND(".",AT$3)+1,FIND(".",AT$3,FIND(".",AT$3)+1)-FIND(".",AT$3)-1),Gällivare!$B$6:$J$36,MATCH($C25,Gällivare!$B$6:$B$36,0),FALSE)="No Impact",HLOOKUP(LEFT(AT$3,4),Global!$B$6:$J$36,MATCH($C25,Global!$B$6:$B$36,0),FALSE)="No Impact"),HLOOKUP(RIGHT(AT$3,LEN(AT$3)-FIND(".",AT$3,FIND(".",AT$3)+1)),Gällivare!$B$6:$J$36,MATCH($C25,Gällivare!$B$6:$B$36,0),FALSE),"Global: "&amp;HLOOKUP(LEFT(AT$3,4),Global!$B$6:$J$36,MATCH($C25,Global!$B$6:$B$36,0),FALSE)&amp;CHAR(10)&amp;"Local Trend: "&amp;HLOOKUP(MID(AT$3,FIND(".",AT$3)+1,FIND(".",AT$3,FIND(".",AT$3)+1)-FIND(".",AT$3)-1),Gällivare!$B$6:$J$36,MATCH($C25,Gällivare!$B$6:$B$36,0),FALSE)&amp;CHAR(10)&amp;"Local Target: "&amp;HLOOKUP(RIGHT(AT$3,LEN(AT$3)-FIND(".",AT$3,FIND(".",AT$3)+1)),Gällivare!$B$6:$J$36,MATCH($C25,Gällivare!$B$6:$B$36,0),FALSE)))</f>
        <v>Medium</v>
      </c>
      <c r="AU25" s="177" t="str">
        <f>IF(AND(HLOOKUP(MID(AU$3,FIND(".",AU$3)+1,FIND(".",AU$3,FIND(".",AU$3)+1)-FIND(".",AU$3)-1),Gällivare!$B$6:$J$36,MATCH($C25,Gällivare!$B$6:$B$36,0),FALSE)="No Impact",HLOOKUP(RIGHT(AU$3,LEN(AU$3)-FIND(".",AU$3,FIND(".",AU$3)+1)),Gällivare!$B$6:$J$36,MATCH($C25,Gällivare!$B$6:$B$36,0),FALSE)="No Impact"),HLOOKUP(LEFT(AU$3,4),Global!$B$6:$J$36,MATCH($C25,Global!$B$6:$B$36,0),FALSE),IF(AND(HLOOKUP(MID(AU$3,FIND(".",AU$3)+1,FIND(".",AU$3,FIND(".",AU$3)+1)-FIND(".",AU$3)-1),Gällivare!$B$6:$J$36,MATCH($C25,Gällivare!$B$6:$B$36,0),FALSE)="No Impact",HLOOKUP(LEFT(AU$3,4),Global!$B$6:$J$36,MATCH($C25,Global!$B$6:$B$36,0),FALSE)="No Impact"),HLOOKUP(RIGHT(AU$3,LEN(AU$3)-FIND(".",AU$3,FIND(".",AU$3)+1)),Gällivare!$B$6:$J$36,MATCH($C25,Gällivare!$B$6:$B$36,0),FALSE),"Global: "&amp;HLOOKUP(LEFT(AU$3,4),Global!$B$6:$J$36,MATCH($C25,Global!$B$6:$B$36,0),FALSE)&amp;CHAR(10)&amp;"Local Trend: "&amp;HLOOKUP(MID(AU$3,FIND(".",AU$3)+1,FIND(".",AU$3,FIND(".",AU$3)+1)-FIND(".",AU$3)-1),Gällivare!$B$6:$J$36,MATCH($C25,Gällivare!$B$6:$B$36,0),FALSE)&amp;CHAR(10)&amp;"Local Target: "&amp;HLOOKUP(RIGHT(AU$3,LEN(AU$3)-FIND(".",AU$3,FIND(".",AU$3)+1)),Gällivare!$B$6:$J$36,MATCH($C25,Gällivare!$B$6:$B$36,0),FALSE)))</f>
        <v>Medium</v>
      </c>
      <c r="AV25" s="177" t="str">
        <f>IF(AND(HLOOKUP(MID(AV$3,FIND(".",AV$3)+1,FIND(".",AV$3,FIND(".",AV$3)+1)-FIND(".",AV$3)-1),Gällivare!$B$6:$J$36,MATCH($C25,Gällivare!$B$6:$B$36,0),FALSE)="No Impact",HLOOKUP(RIGHT(AV$3,LEN(AV$3)-FIND(".",AV$3,FIND(".",AV$3)+1)),Gällivare!$B$6:$J$36,MATCH($C25,Gällivare!$B$6:$B$36,0),FALSE)="No Impact"),HLOOKUP(LEFT(AV$3,4),Global!$B$6:$J$36,MATCH($C25,Global!$B$6:$B$36,0),FALSE),IF(AND(HLOOKUP(MID(AV$3,FIND(".",AV$3)+1,FIND(".",AV$3,FIND(".",AV$3)+1)-FIND(".",AV$3)-1),Gällivare!$B$6:$J$36,MATCH($C25,Gällivare!$B$6:$B$36,0),FALSE)="No Impact",HLOOKUP(LEFT(AV$3,4),Global!$B$6:$J$36,MATCH($C25,Global!$B$6:$B$36,0),FALSE)="No Impact"),HLOOKUP(RIGHT(AV$3,LEN(AV$3)-FIND(".",AV$3,FIND(".",AV$3)+1)),Gällivare!$B$6:$J$36,MATCH($C25,Gällivare!$B$6:$B$36,0),FALSE),"Global: "&amp;HLOOKUP(LEFT(AV$3,4),Global!$B$6:$J$36,MATCH($C25,Global!$B$6:$B$36,0),FALSE)&amp;CHAR(10)&amp;"Local Trend: "&amp;HLOOKUP(MID(AV$3,FIND(".",AV$3)+1,FIND(".",AV$3,FIND(".",AV$3)+1)-FIND(".",AV$3)-1),Gällivare!$B$6:$J$36,MATCH($C25,Gällivare!$B$6:$B$36,0),FALSE)&amp;CHAR(10)&amp;"Local Target: "&amp;HLOOKUP(RIGHT(AV$3,LEN(AV$3)-FIND(".",AV$3,FIND(".",AV$3)+1)),Gällivare!$B$6:$J$36,MATCH($C25,Gällivare!$B$6:$B$36,0),FALSE)))</f>
        <v>Medium</v>
      </c>
      <c r="AW25" s="177" t="str">
        <f>IF(AND(HLOOKUP(MID(AW$3,FIND(".",AW$3)+1,FIND(".",AW$3,FIND(".",AW$3)+1)-FIND(".",AW$3)-1),Gällivare!$B$6:$J$36,MATCH($C25,Gällivare!$B$6:$B$36,0),FALSE)="No Impact",HLOOKUP(RIGHT(AW$3,LEN(AW$3)-FIND(".",AW$3,FIND(".",AW$3)+1)),Gällivare!$B$6:$J$36,MATCH($C25,Gällivare!$B$6:$B$36,0),FALSE)="No Impact"),HLOOKUP(LEFT(AW$3,4),Global!$B$6:$J$36,MATCH($C25,Global!$B$6:$B$36,0),FALSE),IF(AND(HLOOKUP(MID(AW$3,FIND(".",AW$3)+1,FIND(".",AW$3,FIND(".",AW$3)+1)-FIND(".",AW$3)-1),Gällivare!$B$6:$J$36,MATCH($C25,Gällivare!$B$6:$B$36,0),FALSE)="No Impact",HLOOKUP(LEFT(AW$3,4),Global!$B$6:$J$36,MATCH($C25,Global!$B$6:$B$36,0),FALSE)="No Impact"),HLOOKUP(RIGHT(AW$3,LEN(AW$3)-FIND(".",AW$3,FIND(".",AW$3)+1)),Gällivare!$B$6:$J$36,MATCH($C25,Gällivare!$B$6:$B$36,0),FALSE),"Global: "&amp;HLOOKUP(LEFT(AW$3,4),Global!$B$6:$J$36,MATCH($C25,Global!$B$6:$B$36,0),FALSE)&amp;CHAR(10)&amp;"Local Trend: "&amp;HLOOKUP(MID(AW$3,FIND(".",AW$3)+1,FIND(".",AW$3,FIND(".",AW$3)+1)-FIND(".",AW$3)-1),Gällivare!$B$6:$J$36,MATCH($C25,Gällivare!$B$6:$B$36,0),FALSE)&amp;CHAR(10)&amp;"Local Target: "&amp;HLOOKUP(RIGHT(AW$3,LEN(AW$3)-FIND(".",AW$3,FIND(".",AW$3)+1)),Gällivare!$B$6:$J$36,MATCH($C25,Gällivare!$B$6:$B$36,0),FALSE)))</f>
        <v>Medium</v>
      </c>
      <c r="AX25" s="177" t="str">
        <f>IF(AND(HLOOKUP(MID(AX$3,FIND(".",AX$3)+1,FIND(".",AX$3,FIND(".",AX$3)+1)-FIND(".",AX$3)-1),Gällivare!$B$6:$J$36,MATCH($C25,Gällivare!$B$6:$B$36,0),FALSE)="No Impact",HLOOKUP(RIGHT(AX$3,LEN(AX$3)-FIND(".",AX$3,FIND(".",AX$3)+1)),Gällivare!$B$6:$J$36,MATCH($C25,Gällivare!$B$6:$B$36,0),FALSE)="No Impact"),HLOOKUP(LEFT(AX$3,4),Global!$B$6:$J$36,MATCH($C25,Global!$B$6:$B$36,0),FALSE),IF(AND(HLOOKUP(MID(AX$3,FIND(".",AX$3)+1,FIND(".",AX$3,FIND(".",AX$3)+1)-FIND(".",AX$3)-1),Gällivare!$B$6:$J$36,MATCH($C25,Gällivare!$B$6:$B$36,0),FALSE)="No Impact",HLOOKUP(LEFT(AX$3,4),Global!$B$6:$J$36,MATCH($C25,Global!$B$6:$B$36,0),FALSE)="No Impact"),HLOOKUP(RIGHT(AX$3,LEN(AX$3)-FIND(".",AX$3,FIND(".",AX$3)+1)),Gällivare!$B$6:$J$36,MATCH($C25,Gällivare!$B$6:$B$36,0),FALSE),"Global: "&amp;HLOOKUP(LEFT(AX$3,4),Global!$B$6:$J$36,MATCH($C25,Global!$B$6:$B$36,0),FALSE)&amp;CHAR(10)&amp;"Local Trend: "&amp;HLOOKUP(MID(AX$3,FIND(".",AX$3)+1,FIND(".",AX$3,FIND(".",AX$3)+1)-FIND(".",AX$3)-1),Gällivare!$B$6:$J$36,MATCH($C25,Gällivare!$B$6:$B$36,0),FALSE)&amp;CHAR(10)&amp;"Local Target: "&amp;HLOOKUP(RIGHT(AX$3,LEN(AX$3)-FIND(".",AX$3,FIND(".",AX$3)+1)),Gällivare!$B$6:$J$36,MATCH($C25,Gällivare!$B$6:$B$36,0),FALSE)))</f>
        <v>Medium</v>
      </c>
      <c r="AY25" s="177" t="str">
        <f>IF(AND(HLOOKUP(MID(AY$3,FIND(".",AY$3)+1,FIND(".",AY$3,FIND(".",AY$3)+1)-FIND(".",AY$3)-1),Gällivare!$B$6:$J$36,MATCH($C25,Gällivare!$B$6:$B$36,0),FALSE)="No Impact",HLOOKUP(RIGHT(AY$3,LEN(AY$3)-FIND(".",AY$3,FIND(".",AY$3)+1)),Gällivare!$B$6:$J$36,MATCH($C25,Gällivare!$B$6:$B$36,0),FALSE)="No Impact"),HLOOKUP(LEFT(AY$3,4),Global!$B$6:$J$36,MATCH($C25,Global!$B$6:$B$36,0),FALSE),IF(AND(HLOOKUP(MID(AY$3,FIND(".",AY$3)+1,FIND(".",AY$3,FIND(".",AY$3)+1)-FIND(".",AY$3)-1),Gällivare!$B$6:$J$36,MATCH($C25,Gällivare!$B$6:$B$36,0),FALSE)="No Impact",HLOOKUP(LEFT(AY$3,4),Global!$B$6:$J$36,MATCH($C25,Global!$B$6:$B$36,0),FALSE)="No Impact"),HLOOKUP(RIGHT(AY$3,LEN(AY$3)-FIND(".",AY$3,FIND(".",AY$3)+1)),Gällivare!$B$6:$J$36,MATCH($C25,Gällivare!$B$6:$B$36,0),FALSE),"Global: "&amp;HLOOKUP(LEFT(AY$3,4),Global!$B$6:$J$36,MATCH($C25,Global!$B$6:$B$36,0),FALSE)&amp;CHAR(10)&amp;"Local Trend: "&amp;HLOOKUP(MID(AY$3,FIND(".",AY$3)+1,FIND(".",AY$3,FIND(".",AY$3)+1)-FIND(".",AY$3)-1),Gällivare!$B$6:$J$36,MATCH($C25,Gällivare!$B$6:$B$36,0),FALSE)&amp;CHAR(10)&amp;"Local Target: "&amp;HLOOKUP(RIGHT(AY$3,LEN(AY$3)-FIND(".",AY$3,FIND(".",AY$3)+1)),Gällivare!$B$6:$J$36,MATCH($C25,Gällivare!$B$6:$B$36,0),FALSE)))</f>
        <v>Low</v>
      </c>
      <c r="AZ25" s="177" t="str">
        <f>IF(AND(HLOOKUP(MID(AZ$3,FIND(".",AZ$3)+1,FIND(".",AZ$3,FIND(".",AZ$3)+1)-FIND(".",AZ$3)-1),Gällivare!$B$6:$J$36,MATCH($C25,Gällivare!$B$6:$B$36,0),FALSE)="No Impact",HLOOKUP(RIGHT(AZ$3,LEN(AZ$3)-FIND(".",AZ$3,FIND(".",AZ$3)+1)),Gällivare!$B$6:$J$36,MATCH($C25,Gällivare!$B$6:$B$36,0),FALSE)="No Impact"),HLOOKUP(LEFT(AZ$3,4),Global!$B$6:$J$36,MATCH($C25,Global!$B$6:$B$36,0),FALSE),IF(AND(HLOOKUP(MID(AZ$3,FIND(".",AZ$3)+1,FIND(".",AZ$3,FIND(".",AZ$3)+1)-FIND(".",AZ$3)-1),Gällivare!$B$6:$J$36,MATCH($C25,Gällivare!$B$6:$B$36,0),FALSE)="No Impact",HLOOKUP(LEFT(AZ$3,4),Global!$B$6:$J$36,MATCH($C25,Global!$B$6:$B$36,0),FALSE)="No Impact"),HLOOKUP(RIGHT(AZ$3,LEN(AZ$3)-FIND(".",AZ$3,FIND(".",AZ$3)+1)),Gällivare!$B$6:$J$36,MATCH($C25,Gällivare!$B$6:$B$36,0),FALSE),"Global: "&amp;HLOOKUP(LEFT(AZ$3,4),Global!$B$6:$J$36,MATCH($C25,Global!$B$6:$B$36,0),FALSE)&amp;CHAR(10)&amp;"Local Trend: "&amp;HLOOKUP(MID(AZ$3,FIND(".",AZ$3)+1,FIND(".",AZ$3,FIND(".",AZ$3)+1)-FIND(".",AZ$3)-1),Gällivare!$B$6:$J$36,MATCH($C25,Gällivare!$B$6:$B$36,0),FALSE)&amp;CHAR(10)&amp;"Local Target: "&amp;HLOOKUP(RIGHT(AZ$3,LEN(AZ$3)-FIND(".",AZ$3,FIND(".",AZ$3)+1)),Gällivare!$B$6:$J$36,MATCH($C25,Gällivare!$B$6:$B$36,0),FALSE)))</f>
        <v>Low</v>
      </c>
      <c r="BA25" s="177" t="str">
        <f>IF(AND(HLOOKUP(MID(BA$3,FIND(".",BA$3)+1,FIND(".",BA$3,FIND(".",BA$3)+1)-FIND(".",BA$3)-1),Gällivare!$B$6:$J$36,MATCH($C25,Gällivare!$B$6:$B$36,0),FALSE)="No Impact",HLOOKUP(RIGHT(BA$3,LEN(BA$3)-FIND(".",BA$3,FIND(".",BA$3)+1)),Gällivare!$B$6:$J$36,MATCH($C25,Gällivare!$B$6:$B$36,0),FALSE)="No Impact"),HLOOKUP(LEFT(BA$3,4),Global!$B$6:$J$36,MATCH($C25,Global!$B$6:$B$36,0),FALSE),IF(AND(HLOOKUP(MID(BA$3,FIND(".",BA$3)+1,FIND(".",BA$3,FIND(".",BA$3)+1)-FIND(".",BA$3)-1),Gällivare!$B$6:$J$36,MATCH($C25,Gällivare!$B$6:$B$36,0),FALSE)="No Impact",HLOOKUP(LEFT(BA$3,4),Global!$B$6:$J$36,MATCH($C25,Global!$B$6:$B$36,0),FALSE)="No Impact"),HLOOKUP(RIGHT(BA$3,LEN(BA$3)-FIND(".",BA$3,FIND(".",BA$3)+1)),Gällivare!$B$6:$J$36,MATCH($C25,Gällivare!$B$6:$B$36,0),FALSE),"Global: "&amp;HLOOKUP(LEFT(BA$3,4),Global!$B$6:$J$36,MATCH($C25,Global!$B$6:$B$36,0),FALSE)&amp;CHAR(10)&amp;"Local Trend: "&amp;HLOOKUP(MID(BA$3,FIND(".",BA$3)+1,FIND(".",BA$3,FIND(".",BA$3)+1)-FIND(".",BA$3)-1),Gällivare!$B$6:$J$36,MATCH($C25,Gällivare!$B$6:$B$36,0),FALSE)&amp;CHAR(10)&amp;"Local Target: "&amp;HLOOKUP(RIGHT(BA$3,LEN(BA$3)-FIND(".",BA$3,FIND(".",BA$3)+1)),Gällivare!$B$6:$J$36,MATCH($C25,Gällivare!$B$6:$B$36,0),FALSE)))</f>
        <v>Low</v>
      </c>
      <c r="BB25" s="177" t="str">
        <f>IF(AND(HLOOKUP(MID(BB$3,FIND(".",BB$3)+1,FIND(".",BB$3,FIND(".",BB$3)+1)-FIND(".",BB$3)-1),Gällivare!$B$6:$J$36,MATCH($C25,Gällivare!$B$6:$B$36,0),FALSE)="No Impact",HLOOKUP(RIGHT(BB$3,LEN(BB$3)-FIND(".",BB$3,FIND(".",BB$3)+1)),Gällivare!$B$6:$J$36,MATCH($C25,Gällivare!$B$6:$B$36,0),FALSE)="No Impact"),HLOOKUP(LEFT(BB$3,4),Global!$B$6:$J$36,MATCH($C25,Global!$B$6:$B$36,0),FALSE),IF(AND(HLOOKUP(MID(BB$3,FIND(".",BB$3)+1,FIND(".",BB$3,FIND(".",BB$3)+1)-FIND(".",BB$3)-1),Gällivare!$B$6:$J$36,MATCH($C25,Gällivare!$B$6:$B$36,0),FALSE)="No Impact",HLOOKUP(LEFT(BB$3,4),Global!$B$6:$J$36,MATCH($C25,Global!$B$6:$B$36,0),FALSE)="No Impact"),HLOOKUP(RIGHT(BB$3,LEN(BB$3)-FIND(".",BB$3,FIND(".",BB$3)+1)),Gällivare!$B$6:$J$36,MATCH($C25,Gällivare!$B$6:$B$36,0),FALSE),"Global: "&amp;HLOOKUP(LEFT(BB$3,4),Global!$B$6:$J$36,MATCH($C25,Global!$B$6:$B$36,0),FALSE)&amp;CHAR(10)&amp;"Local Trend: "&amp;HLOOKUP(MID(BB$3,FIND(".",BB$3)+1,FIND(".",BB$3,FIND(".",BB$3)+1)-FIND(".",BB$3)-1),Gällivare!$B$6:$J$36,MATCH($C25,Gällivare!$B$6:$B$36,0),FALSE)&amp;CHAR(10)&amp;"Local Target: "&amp;HLOOKUP(RIGHT(BB$3,LEN(BB$3)-FIND(".",BB$3,FIND(".",BB$3)+1)),Gällivare!$B$6:$J$36,MATCH($C25,Gällivare!$B$6:$B$36,0),FALSE)))</f>
        <v>Low</v>
      </c>
      <c r="BC25" s="177" t="str">
        <f>IF(AND(HLOOKUP(MID(BC$3,FIND(".",BC$3)+1,FIND(".",BC$3,FIND(".",BC$3)+1)-FIND(".",BC$3)-1),Gällivare!$B$6:$J$36,MATCH($C25,Gällivare!$B$6:$B$36,0),FALSE)="No Impact",HLOOKUP(RIGHT(BC$3,LEN(BC$3)-FIND(".",BC$3,FIND(".",BC$3)+1)),Gällivare!$B$6:$J$36,MATCH($C25,Gällivare!$B$6:$B$36,0),FALSE)="No Impact"),HLOOKUP(LEFT(BC$3,4),Global!$B$6:$J$36,MATCH($C25,Global!$B$6:$B$36,0),FALSE),IF(AND(HLOOKUP(MID(BC$3,FIND(".",BC$3)+1,FIND(".",BC$3,FIND(".",BC$3)+1)-FIND(".",BC$3)-1),Gällivare!$B$6:$J$36,MATCH($C25,Gällivare!$B$6:$B$36,0),FALSE)="No Impact",HLOOKUP(LEFT(BC$3,4),Global!$B$6:$J$36,MATCH($C25,Global!$B$6:$B$36,0),FALSE)="No Impact"),HLOOKUP(RIGHT(BC$3,LEN(BC$3)-FIND(".",BC$3,FIND(".",BC$3)+1)),Gällivare!$B$6:$J$36,MATCH($C25,Gällivare!$B$6:$B$36,0),FALSE),"Global: "&amp;HLOOKUP(LEFT(BC$3,4),Global!$B$6:$J$36,MATCH($C25,Global!$B$6:$B$36,0),FALSE)&amp;CHAR(10)&amp;"Local Trend: "&amp;HLOOKUP(MID(BC$3,FIND(".",BC$3)+1,FIND(".",BC$3,FIND(".",BC$3)+1)-FIND(".",BC$3)-1),Gällivare!$B$6:$J$36,MATCH($C25,Gällivare!$B$6:$B$36,0),FALSE)&amp;CHAR(10)&amp;"Local Target: "&amp;HLOOKUP(RIGHT(BC$3,LEN(BC$3)-FIND(".",BC$3,FIND(".",BC$3)+1)),Gällivare!$B$6:$J$36,MATCH($C25,Gällivare!$B$6:$B$36,0),FALSE)))</f>
        <v>Low</v>
      </c>
      <c r="BD25" s="177" t="str">
        <f>IF(AND(HLOOKUP(MID(BD$3,FIND(".",BD$3)+1,FIND(".",BD$3,FIND(".",BD$3)+1)-FIND(".",BD$3)-1),Gällivare!$B$6:$J$36,MATCH($C25,Gällivare!$B$6:$B$36,0),FALSE)="No Impact",HLOOKUP(RIGHT(BD$3,LEN(BD$3)-FIND(".",BD$3,FIND(".",BD$3)+1)),Gällivare!$B$6:$J$36,MATCH($C25,Gällivare!$B$6:$B$36,0),FALSE)="No Impact"),HLOOKUP(LEFT(BD$3,4),Global!$B$6:$J$36,MATCH($C25,Global!$B$6:$B$36,0),FALSE),IF(AND(HLOOKUP(MID(BD$3,FIND(".",BD$3)+1,FIND(".",BD$3,FIND(".",BD$3)+1)-FIND(".",BD$3)-1),Gällivare!$B$6:$J$36,MATCH($C25,Gällivare!$B$6:$B$36,0),FALSE)="No Impact",HLOOKUP(LEFT(BD$3,4),Global!$B$6:$J$36,MATCH($C25,Global!$B$6:$B$36,0),FALSE)="No Impact"),HLOOKUP(RIGHT(BD$3,LEN(BD$3)-FIND(".",BD$3,FIND(".",BD$3)+1)),Gällivare!$B$6:$J$36,MATCH($C25,Gällivare!$B$6:$B$36,0),FALSE),"Global: "&amp;HLOOKUP(LEFT(BD$3,4),Global!$B$6:$J$36,MATCH($C25,Global!$B$6:$B$36,0),FALSE)&amp;CHAR(10)&amp;"Local Trend: "&amp;HLOOKUP(MID(BD$3,FIND(".",BD$3)+1,FIND(".",BD$3,FIND(".",BD$3)+1)-FIND(".",BD$3)-1),Gällivare!$B$6:$J$36,MATCH($C25,Gällivare!$B$6:$B$36,0),FALSE)&amp;CHAR(10)&amp;"Local Target: "&amp;HLOOKUP(RIGHT(BD$3,LEN(BD$3)-FIND(".",BD$3,FIND(".",BD$3)+1)),Gällivare!$B$6:$J$36,MATCH($C25,Gällivare!$B$6:$B$36,0),FALSE)))</f>
        <v>Low</v>
      </c>
      <c r="BE25" s="177" t="str">
        <f>IF(AND(HLOOKUP(MID(BE$3,FIND(".",BE$3)+1,FIND(".",BE$3,FIND(".",BE$3)+1)-FIND(".",BE$3)-1),Gällivare!$B$6:$J$36,MATCH($C25,Gällivare!$B$6:$B$36,0),FALSE)="No Impact",HLOOKUP(RIGHT(BE$3,LEN(BE$3)-FIND(".",BE$3,FIND(".",BE$3)+1)),Gällivare!$B$6:$J$36,MATCH($C25,Gällivare!$B$6:$B$36,0),FALSE)="No Impact"),HLOOKUP(LEFT(BE$3,4),Global!$B$6:$J$36,MATCH($C25,Global!$B$6:$B$36,0),FALSE),IF(AND(HLOOKUP(MID(BE$3,FIND(".",BE$3)+1,FIND(".",BE$3,FIND(".",BE$3)+1)-FIND(".",BE$3)-1),Gällivare!$B$6:$J$36,MATCH($C25,Gällivare!$B$6:$B$36,0),FALSE)="No Impact",HLOOKUP(LEFT(BE$3,4),Global!$B$6:$J$36,MATCH($C25,Global!$B$6:$B$36,0),FALSE)="No Impact"),HLOOKUP(RIGHT(BE$3,LEN(BE$3)-FIND(".",BE$3,FIND(".",BE$3)+1)),Gällivare!$B$6:$J$36,MATCH($C25,Gällivare!$B$6:$B$36,0),FALSE),"Global: "&amp;HLOOKUP(LEFT(BE$3,4),Global!$B$6:$J$36,MATCH($C25,Global!$B$6:$B$36,0),FALSE)&amp;CHAR(10)&amp;"Local Trend: "&amp;HLOOKUP(MID(BE$3,FIND(".",BE$3)+1,FIND(".",BE$3,FIND(".",BE$3)+1)-FIND(".",BE$3)-1),Gällivare!$B$6:$J$36,MATCH($C25,Gällivare!$B$6:$B$36,0),FALSE)&amp;CHAR(10)&amp;"Local Target: "&amp;HLOOKUP(RIGHT(BE$3,LEN(BE$3)-FIND(".",BE$3,FIND(".",BE$3)+1)),Gällivare!$B$6:$J$36,MATCH($C25,Gällivare!$B$6:$B$36,0),FALSE)))</f>
        <v>Medium</v>
      </c>
      <c r="BF25" s="177" t="str">
        <f>IF(AND(HLOOKUP(MID(BF$3,FIND(".",BF$3)+1,FIND(".",BF$3,FIND(".",BF$3)+1)-FIND(".",BF$3)-1),Gällivare!$B$6:$J$36,MATCH($C25,Gällivare!$B$6:$B$36,0),FALSE)="No Impact",HLOOKUP(RIGHT(BF$3,LEN(BF$3)-FIND(".",BF$3,FIND(".",BF$3)+1)),Gällivare!$B$6:$J$36,MATCH($C25,Gällivare!$B$6:$B$36,0),FALSE)="No Impact"),HLOOKUP(LEFT(BF$3,4),Global!$B$6:$J$36,MATCH($C25,Global!$B$6:$B$36,0),FALSE),IF(AND(HLOOKUP(MID(BF$3,FIND(".",BF$3)+1,FIND(".",BF$3,FIND(".",BF$3)+1)-FIND(".",BF$3)-1),Gällivare!$B$6:$J$36,MATCH($C25,Gällivare!$B$6:$B$36,0),FALSE)="No Impact",HLOOKUP(LEFT(BF$3,4),Global!$B$6:$J$36,MATCH($C25,Global!$B$6:$B$36,0),FALSE)="No Impact"),HLOOKUP(RIGHT(BF$3,LEN(BF$3)-FIND(".",BF$3,FIND(".",BF$3)+1)),Gällivare!$B$6:$J$36,MATCH($C25,Gällivare!$B$6:$B$36,0),FALSE),"Global: "&amp;HLOOKUP(LEFT(BF$3,4),Global!$B$6:$J$36,MATCH($C25,Global!$B$6:$B$36,0),FALSE)&amp;CHAR(10)&amp;"Local Trend: "&amp;HLOOKUP(MID(BF$3,FIND(".",BF$3)+1,FIND(".",BF$3,FIND(".",BF$3)+1)-FIND(".",BF$3)-1),Gällivare!$B$6:$J$36,MATCH($C25,Gällivare!$B$6:$B$36,0),FALSE)&amp;CHAR(10)&amp;"Local Target: "&amp;HLOOKUP(RIGHT(BF$3,LEN(BF$3)-FIND(".",BF$3,FIND(".",BF$3)+1)),Gällivare!$B$6:$J$36,MATCH($C25,Gällivare!$B$6:$B$36,0),FALSE)))</f>
        <v>Medium</v>
      </c>
      <c r="BG25" s="177" t="str">
        <f>IF(AND(HLOOKUP(MID(BG$3,FIND(".",BG$3)+1,FIND(".",BG$3,FIND(".",BG$3)+1)-FIND(".",BG$3)-1),Gällivare!$B$6:$J$36,MATCH($C25,Gällivare!$B$6:$B$36,0),FALSE)="No Impact",HLOOKUP(RIGHT(BG$3,LEN(BG$3)-FIND(".",BG$3,FIND(".",BG$3)+1)),Gällivare!$B$6:$J$36,MATCH($C25,Gällivare!$B$6:$B$36,0),FALSE)="No Impact"),HLOOKUP(LEFT(BG$3,4),Global!$B$6:$J$36,MATCH($C25,Global!$B$6:$B$36,0),FALSE),IF(AND(HLOOKUP(MID(BG$3,FIND(".",BG$3)+1,FIND(".",BG$3,FIND(".",BG$3)+1)-FIND(".",BG$3)-1),Gällivare!$B$6:$J$36,MATCH($C25,Gällivare!$B$6:$B$36,0),FALSE)="No Impact",HLOOKUP(LEFT(BG$3,4),Global!$B$6:$J$36,MATCH($C25,Global!$B$6:$B$36,0),FALSE)="No Impact"),HLOOKUP(RIGHT(BG$3,LEN(BG$3)-FIND(".",BG$3,FIND(".",BG$3)+1)),Gällivare!$B$6:$J$36,MATCH($C25,Gällivare!$B$6:$B$36,0),FALSE),"Global: "&amp;HLOOKUP(LEFT(BG$3,4),Global!$B$6:$J$36,MATCH($C25,Global!$B$6:$B$36,0),FALSE)&amp;CHAR(10)&amp;"Local Trend: "&amp;HLOOKUP(MID(BG$3,FIND(".",BG$3)+1,FIND(".",BG$3,FIND(".",BG$3)+1)-FIND(".",BG$3)-1),Gällivare!$B$6:$J$36,MATCH($C25,Gällivare!$B$6:$B$36,0),FALSE)&amp;CHAR(10)&amp;"Local Target: "&amp;HLOOKUP(RIGHT(BG$3,LEN(BG$3)-FIND(".",BG$3,FIND(".",BG$3)+1)),Gällivare!$B$6:$J$36,MATCH($C25,Gällivare!$B$6:$B$36,0),FALSE)))</f>
        <v>Medium</v>
      </c>
      <c r="BH25" s="177" t="str">
        <f>IF(AND(HLOOKUP(MID(BH$3,FIND(".",BH$3)+1,FIND(".",BH$3,FIND(".",BH$3)+1)-FIND(".",BH$3)-1),Gällivare!$B$6:$J$36,MATCH($C25,Gällivare!$B$6:$B$36,0),FALSE)="No Impact",HLOOKUP(RIGHT(BH$3,LEN(BH$3)-FIND(".",BH$3,FIND(".",BH$3)+1)),Gällivare!$B$6:$J$36,MATCH($C25,Gällivare!$B$6:$B$36,0),FALSE)="No Impact"),HLOOKUP(LEFT(BH$3,4),Global!$B$6:$J$36,MATCH($C25,Global!$B$6:$B$36,0),FALSE),IF(AND(HLOOKUP(MID(BH$3,FIND(".",BH$3)+1,FIND(".",BH$3,FIND(".",BH$3)+1)-FIND(".",BH$3)-1),Gällivare!$B$6:$J$36,MATCH($C25,Gällivare!$B$6:$B$36,0),FALSE)="No Impact",HLOOKUP(LEFT(BH$3,4),Global!$B$6:$J$36,MATCH($C25,Global!$B$6:$B$36,0),FALSE)="No Impact"),HLOOKUP(RIGHT(BH$3,LEN(BH$3)-FIND(".",BH$3,FIND(".",BH$3)+1)),Gällivare!$B$6:$J$36,MATCH($C25,Gällivare!$B$6:$B$36,0),FALSE),"Global: "&amp;HLOOKUP(LEFT(BH$3,4),Global!$B$6:$J$36,MATCH($C25,Global!$B$6:$B$36,0),FALSE)&amp;CHAR(10)&amp;"Local Trend: "&amp;HLOOKUP(MID(BH$3,FIND(".",BH$3)+1,FIND(".",BH$3,FIND(".",BH$3)+1)-FIND(".",BH$3)-1),Gällivare!$B$6:$J$36,MATCH($C25,Gällivare!$B$6:$B$36,0),FALSE)&amp;CHAR(10)&amp;"Local Target: "&amp;HLOOKUP(RIGHT(BH$3,LEN(BH$3)-FIND(".",BH$3,FIND(".",BH$3)+1)),Gällivare!$B$6:$J$36,MATCH($C25,Gällivare!$B$6:$B$36,0),FALSE)))</f>
        <v>Medium</v>
      </c>
      <c r="BI25" s="177" t="str">
        <f>IF(AND(HLOOKUP(MID(BI$3,FIND(".",BI$3)+1,FIND(".",BI$3,FIND(".",BI$3)+1)-FIND(".",BI$3)-1),Gällivare!$B$6:$J$36,MATCH($C25,Gällivare!$B$6:$B$36,0),FALSE)="No Impact",HLOOKUP(RIGHT(BI$3,LEN(BI$3)-FIND(".",BI$3,FIND(".",BI$3)+1)),Gällivare!$B$6:$J$36,MATCH($C25,Gällivare!$B$6:$B$36,0),FALSE)="No Impact"),HLOOKUP(LEFT(BI$3,4),Global!$B$6:$J$36,MATCH($C25,Global!$B$6:$B$36,0),FALSE),IF(AND(HLOOKUP(MID(BI$3,FIND(".",BI$3)+1,FIND(".",BI$3,FIND(".",BI$3)+1)-FIND(".",BI$3)-1),Gällivare!$B$6:$J$36,MATCH($C25,Gällivare!$B$6:$B$36,0),FALSE)="No Impact",HLOOKUP(LEFT(BI$3,4),Global!$B$6:$J$36,MATCH($C25,Global!$B$6:$B$36,0),FALSE)="No Impact"),HLOOKUP(RIGHT(BI$3,LEN(BI$3)-FIND(".",BI$3,FIND(".",BI$3)+1)),Gällivare!$B$6:$J$36,MATCH($C25,Gällivare!$B$6:$B$36,0),FALSE),"Global: "&amp;HLOOKUP(LEFT(BI$3,4),Global!$B$6:$J$36,MATCH($C25,Global!$B$6:$B$36,0),FALSE)&amp;CHAR(10)&amp;"Local Trend: "&amp;HLOOKUP(MID(BI$3,FIND(".",BI$3)+1,FIND(".",BI$3,FIND(".",BI$3)+1)-FIND(".",BI$3)-1),Gällivare!$B$6:$J$36,MATCH($C25,Gällivare!$B$6:$B$36,0),FALSE)&amp;CHAR(10)&amp;"Local Target: "&amp;HLOOKUP(RIGHT(BI$3,LEN(BI$3)-FIND(".",BI$3,FIND(".",BI$3)+1)),Gällivare!$B$6:$J$36,MATCH($C25,Gällivare!$B$6:$B$36,0),FALSE)))</f>
        <v>Medium</v>
      </c>
      <c r="BJ25" s="177" t="str">
        <f>IF(AND(HLOOKUP(MID(BJ$3,FIND(".",BJ$3)+1,FIND(".",BJ$3,FIND(".",BJ$3)+1)-FIND(".",BJ$3)-1),Gällivare!$B$6:$J$36,MATCH($C25,Gällivare!$B$6:$B$36,0),FALSE)="No Impact",HLOOKUP(RIGHT(BJ$3,LEN(BJ$3)-FIND(".",BJ$3,FIND(".",BJ$3)+1)),Gällivare!$B$6:$J$36,MATCH($C25,Gällivare!$B$6:$B$36,0),FALSE)="No Impact"),HLOOKUP(LEFT(BJ$3,4),Global!$B$6:$J$36,MATCH($C25,Global!$B$6:$B$36,0),FALSE),IF(AND(HLOOKUP(MID(BJ$3,FIND(".",BJ$3)+1,FIND(".",BJ$3,FIND(".",BJ$3)+1)-FIND(".",BJ$3)-1),Gällivare!$B$6:$J$36,MATCH($C25,Gällivare!$B$6:$B$36,0),FALSE)="No Impact",HLOOKUP(LEFT(BJ$3,4),Global!$B$6:$J$36,MATCH($C25,Global!$B$6:$B$36,0),FALSE)="No Impact"),HLOOKUP(RIGHT(BJ$3,LEN(BJ$3)-FIND(".",BJ$3,FIND(".",BJ$3)+1)),Gällivare!$B$6:$J$36,MATCH($C25,Gällivare!$B$6:$B$36,0),FALSE),"Global: "&amp;HLOOKUP(LEFT(BJ$3,4),Global!$B$6:$J$36,MATCH($C25,Global!$B$6:$B$36,0),FALSE)&amp;CHAR(10)&amp;"Local Trend: "&amp;HLOOKUP(MID(BJ$3,FIND(".",BJ$3)+1,FIND(".",BJ$3,FIND(".",BJ$3)+1)-FIND(".",BJ$3)-1),Gällivare!$B$6:$J$36,MATCH($C25,Gällivare!$B$6:$B$36,0),FALSE)&amp;CHAR(10)&amp;"Local Target: "&amp;HLOOKUP(RIGHT(BJ$3,LEN(BJ$3)-FIND(".",BJ$3,FIND(".",BJ$3)+1)),Gällivare!$B$6:$J$36,MATCH($C25,Gällivare!$B$6:$B$36,0),FALSE)))</f>
        <v>Medium</v>
      </c>
      <c r="BK25" s="177" t="str">
        <f>IF(AND(HLOOKUP(MID(BK$3,FIND(".",BK$3)+1,FIND(".",BK$3,FIND(".",BK$3)+1)-FIND(".",BK$3)-1),Gällivare!$B$6:$J$36,MATCH($C25,Gällivare!$B$6:$B$36,0),FALSE)="No Impact",HLOOKUP(RIGHT(BK$3,LEN(BK$3)-FIND(".",BK$3,FIND(".",BK$3)+1)),Gällivare!$B$6:$J$36,MATCH($C25,Gällivare!$B$6:$B$36,0),FALSE)="No Impact"),HLOOKUP(LEFT(BK$3,4),Global!$B$6:$J$36,MATCH($C25,Global!$B$6:$B$36,0),FALSE),IF(AND(HLOOKUP(MID(BK$3,FIND(".",BK$3)+1,FIND(".",BK$3,FIND(".",BK$3)+1)-FIND(".",BK$3)-1),Gällivare!$B$6:$J$36,MATCH($C25,Gällivare!$B$6:$B$36,0),FALSE)="No Impact",HLOOKUP(LEFT(BK$3,4),Global!$B$6:$J$36,MATCH($C25,Global!$B$6:$B$36,0),FALSE)="No Impact"),HLOOKUP(RIGHT(BK$3,LEN(BK$3)-FIND(".",BK$3,FIND(".",BK$3)+1)),Gällivare!$B$6:$J$36,MATCH($C25,Gällivare!$B$6:$B$36,0),FALSE),"Global: "&amp;HLOOKUP(LEFT(BK$3,4),Global!$B$6:$J$36,MATCH($C25,Global!$B$6:$B$36,0),FALSE)&amp;CHAR(10)&amp;"Local Trend: "&amp;HLOOKUP(MID(BK$3,FIND(".",BK$3)+1,FIND(".",BK$3,FIND(".",BK$3)+1)-FIND(".",BK$3)-1),Gällivare!$B$6:$J$36,MATCH($C25,Gällivare!$B$6:$B$36,0),FALSE)&amp;CHAR(10)&amp;"Local Target: "&amp;HLOOKUP(RIGHT(BK$3,LEN(BK$3)-FIND(".",BK$3,FIND(".",BK$3)+1)),Gällivare!$B$6:$J$36,MATCH($C25,Gällivare!$B$6:$B$36,0),FALSE)))</f>
        <v>Low</v>
      </c>
      <c r="BL25" s="177" t="str">
        <f>IF(AND(HLOOKUP(MID(BL$3,FIND(".",BL$3)+1,FIND(".",BL$3,FIND(".",BL$3)+1)-FIND(".",BL$3)-1),Gällivare!$B$6:$J$36,MATCH($C25,Gällivare!$B$6:$B$36,0),FALSE)="No Impact",HLOOKUP(RIGHT(BL$3,LEN(BL$3)-FIND(".",BL$3,FIND(".",BL$3)+1)),Gällivare!$B$6:$J$36,MATCH($C25,Gällivare!$B$6:$B$36,0),FALSE)="No Impact"),HLOOKUP(LEFT(BL$3,4),Global!$B$6:$J$36,MATCH($C25,Global!$B$6:$B$36,0),FALSE),IF(AND(HLOOKUP(MID(BL$3,FIND(".",BL$3)+1,FIND(".",BL$3,FIND(".",BL$3)+1)-FIND(".",BL$3)-1),Gällivare!$B$6:$J$36,MATCH($C25,Gällivare!$B$6:$B$36,0),FALSE)="No Impact",HLOOKUP(LEFT(BL$3,4),Global!$B$6:$J$36,MATCH($C25,Global!$B$6:$B$36,0),FALSE)="No Impact"),HLOOKUP(RIGHT(BL$3,LEN(BL$3)-FIND(".",BL$3,FIND(".",BL$3)+1)),Gällivare!$B$6:$J$36,MATCH($C25,Gällivare!$B$6:$B$36,0),FALSE),"Global: "&amp;HLOOKUP(LEFT(BL$3,4),Global!$B$6:$J$36,MATCH($C25,Global!$B$6:$B$36,0),FALSE)&amp;CHAR(10)&amp;"Local Trend: "&amp;HLOOKUP(MID(BL$3,FIND(".",BL$3)+1,FIND(".",BL$3,FIND(".",BL$3)+1)-FIND(".",BL$3)-1),Gällivare!$B$6:$J$36,MATCH($C25,Gällivare!$B$6:$B$36,0),FALSE)&amp;CHAR(10)&amp;"Local Target: "&amp;HLOOKUP(RIGHT(BL$3,LEN(BL$3)-FIND(".",BL$3,FIND(".",BL$3)+1)),Gällivare!$B$6:$J$36,MATCH($C25,Gällivare!$B$6:$B$36,0),FALSE)))</f>
        <v>Low</v>
      </c>
      <c r="BM25" s="177" t="str">
        <f>IF(AND(HLOOKUP(MID(BM$3,FIND(".",BM$3)+1,FIND(".",BM$3,FIND(".",BM$3)+1)-FIND(".",BM$3)-1),Gällivare!$B$6:$J$36,MATCH($C25,Gällivare!$B$6:$B$36,0),FALSE)="No Impact",HLOOKUP(RIGHT(BM$3,LEN(BM$3)-FIND(".",BM$3,FIND(".",BM$3)+1)),Gällivare!$B$6:$J$36,MATCH($C25,Gällivare!$B$6:$B$36,0),FALSE)="No Impact"),HLOOKUP(LEFT(BM$3,4),Global!$B$6:$J$36,MATCH($C25,Global!$B$6:$B$36,0),FALSE),IF(AND(HLOOKUP(MID(BM$3,FIND(".",BM$3)+1,FIND(".",BM$3,FIND(".",BM$3)+1)-FIND(".",BM$3)-1),Gällivare!$B$6:$J$36,MATCH($C25,Gällivare!$B$6:$B$36,0),FALSE)="No Impact",HLOOKUP(LEFT(BM$3,4),Global!$B$6:$J$36,MATCH($C25,Global!$B$6:$B$36,0),FALSE)="No Impact"),HLOOKUP(RIGHT(BM$3,LEN(BM$3)-FIND(".",BM$3,FIND(".",BM$3)+1)),Gällivare!$B$6:$J$36,MATCH($C25,Gällivare!$B$6:$B$36,0),FALSE),"Global: "&amp;HLOOKUP(LEFT(BM$3,4),Global!$B$6:$J$36,MATCH($C25,Global!$B$6:$B$36,0),FALSE)&amp;CHAR(10)&amp;"Local Trend: "&amp;HLOOKUP(MID(BM$3,FIND(".",BM$3)+1,FIND(".",BM$3,FIND(".",BM$3)+1)-FIND(".",BM$3)-1),Gällivare!$B$6:$J$36,MATCH($C25,Gällivare!$B$6:$B$36,0),FALSE)&amp;CHAR(10)&amp;"Local Target: "&amp;HLOOKUP(RIGHT(BM$3,LEN(BM$3)-FIND(".",BM$3,FIND(".",BM$3)+1)),Gällivare!$B$6:$J$36,MATCH($C25,Gällivare!$B$6:$B$36,0),FALSE)))</f>
        <v>Low</v>
      </c>
      <c r="BN25" s="177" t="str">
        <f>IF(AND(HLOOKUP(MID(BN$3,FIND(".",BN$3)+1,FIND(".",BN$3,FIND(".",BN$3)+1)-FIND(".",BN$3)-1),Gällivare!$B$6:$J$36,MATCH($C25,Gällivare!$B$6:$B$36,0),FALSE)="No Impact",HLOOKUP(RIGHT(BN$3,LEN(BN$3)-FIND(".",BN$3,FIND(".",BN$3)+1)),Gällivare!$B$6:$J$36,MATCH($C25,Gällivare!$B$6:$B$36,0),FALSE)="No Impact"),HLOOKUP(LEFT(BN$3,4),Global!$B$6:$J$36,MATCH($C25,Global!$B$6:$B$36,0),FALSE),IF(AND(HLOOKUP(MID(BN$3,FIND(".",BN$3)+1,FIND(".",BN$3,FIND(".",BN$3)+1)-FIND(".",BN$3)-1),Gällivare!$B$6:$J$36,MATCH($C25,Gällivare!$B$6:$B$36,0),FALSE)="No Impact",HLOOKUP(LEFT(BN$3,4),Global!$B$6:$J$36,MATCH($C25,Global!$B$6:$B$36,0),FALSE)="No Impact"),HLOOKUP(RIGHT(BN$3,LEN(BN$3)-FIND(".",BN$3,FIND(".",BN$3)+1)),Gällivare!$B$6:$J$36,MATCH($C25,Gällivare!$B$6:$B$36,0),FALSE),"Global: "&amp;HLOOKUP(LEFT(BN$3,4),Global!$B$6:$J$36,MATCH($C25,Global!$B$6:$B$36,0),FALSE)&amp;CHAR(10)&amp;"Local Trend: "&amp;HLOOKUP(MID(BN$3,FIND(".",BN$3)+1,FIND(".",BN$3,FIND(".",BN$3)+1)-FIND(".",BN$3)-1),Gällivare!$B$6:$J$36,MATCH($C25,Gällivare!$B$6:$B$36,0),FALSE)&amp;CHAR(10)&amp;"Local Target: "&amp;HLOOKUP(RIGHT(BN$3,LEN(BN$3)-FIND(".",BN$3,FIND(".",BN$3)+1)),Gällivare!$B$6:$J$36,MATCH($C25,Gällivare!$B$6:$B$36,0),FALSE)))</f>
        <v>Low</v>
      </c>
      <c r="BO25" s="177" t="str">
        <f>IF(AND(HLOOKUP(MID(BO$3,FIND(".",BO$3)+1,FIND(".",BO$3,FIND(".",BO$3)+1)-FIND(".",BO$3)-1),Gällivare!$B$6:$J$36,MATCH($C25,Gällivare!$B$6:$B$36,0),FALSE)="No Impact",HLOOKUP(RIGHT(BO$3,LEN(BO$3)-FIND(".",BO$3,FIND(".",BO$3)+1)),Gällivare!$B$6:$J$36,MATCH($C25,Gällivare!$B$6:$B$36,0),FALSE)="No Impact"),HLOOKUP(LEFT(BO$3,4),Global!$B$6:$J$36,MATCH($C25,Global!$B$6:$B$36,0),FALSE),IF(AND(HLOOKUP(MID(BO$3,FIND(".",BO$3)+1,FIND(".",BO$3,FIND(".",BO$3)+1)-FIND(".",BO$3)-1),Gällivare!$B$6:$J$36,MATCH($C25,Gällivare!$B$6:$B$36,0),FALSE)="No Impact",HLOOKUP(LEFT(BO$3,4),Global!$B$6:$J$36,MATCH($C25,Global!$B$6:$B$36,0),FALSE)="No Impact"),HLOOKUP(RIGHT(BO$3,LEN(BO$3)-FIND(".",BO$3,FIND(".",BO$3)+1)),Gällivare!$B$6:$J$36,MATCH($C25,Gällivare!$B$6:$B$36,0),FALSE),"Global: "&amp;HLOOKUP(LEFT(BO$3,4),Global!$B$6:$J$36,MATCH($C25,Global!$B$6:$B$36,0),FALSE)&amp;CHAR(10)&amp;"Local Trend: "&amp;HLOOKUP(MID(BO$3,FIND(".",BO$3)+1,FIND(".",BO$3,FIND(".",BO$3)+1)-FIND(".",BO$3)-1),Gällivare!$B$6:$J$36,MATCH($C25,Gällivare!$B$6:$B$36,0),FALSE)&amp;CHAR(10)&amp;"Local Target: "&amp;HLOOKUP(RIGHT(BO$3,LEN(BO$3)-FIND(".",BO$3,FIND(".",BO$3)+1)),Gällivare!$B$6:$J$36,MATCH($C25,Gällivare!$B$6:$B$36,0),FALSE)))</f>
        <v>Low</v>
      </c>
      <c r="BP25" s="177" t="str">
        <f>IF(AND(HLOOKUP(MID(BP$3,FIND(".",BP$3)+1,FIND(".",BP$3,FIND(".",BP$3)+1)-FIND(".",BP$3)-1),Gällivare!$B$6:$J$36,MATCH($C25,Gällivare!$B$6:$B$36,0),FALSE)="No Impact",HLOOKUP(RIGHT(BP$3,LEN(BP$3)-FIND(".",BP$3,FIND(".",BP$3)+1)),Gällivare!$B$6:$J$36,MATCH($C25,Gällivare!$B$6:$B$36,0),FALSE)="No Impact"),HLOOKUP(LEFT(BP$3,4),Global!$B$6:$J$36,MATCH($C25,Global!$B$6:$B$36,0),FALSE),IF(AND(HLOOKUP(MID(BP$3,FIND(".",BP$3)+1,FIND(".",BP$3,FIND(".",BP$3)+1)-FIND(".",BP$3)-1),Gällivare!$B$6:$J$36,MATCH($C25,Gällivare!$B$6:$B$36,0),FALSE)="No Impact",HLOOKUP(LEFT(BP$3,4),Global!$B$6:$J$36,MATCH($C25,Global!$B$6:$B$36,0),FALSE)="No Impact"),HLOOKUP(RIGHT(BP$3,LEN(BP$3)-FIND(".",BP$3,FIND(".",BP$3)+1)),Gällivare!$B$6:$J$36,MATCH($C25,Gällivare!$B$6:$B$36,0),FALSE),"Global: "&amp;HLOOKUP(LEFT(BP$3,4),Global!$B$6:$J$36,MATCH($C25,Global!$B$6:$B$36,0),FALSE)&amp;CHAR(10)&amp;"Local Trend: "&amp;HLOOKUP(MID(BP$3,FIND(".",BP$3)+1,FIND(".",BP$3,FIND(".",BP$3)+1)-FIND(".",BP$3)-1),Gällivare!$B$6:$J$36,MATCH($C25,Gällivare!$B$6:$B$36,0),FALSE)&amp;CHAR(10)&amp;"Local Target: "&amp;HLOOKUP(RIGHT(BP$3,LEN(BP$3)-FIND(".",BP$3,FIND(".",BP$3)+1)),Gällivare!$B$6:$J$36,MATCH($C25,Gällivare!$B$6:$B$36,0),FALSE)))</f>
        <v>Low</v>
      </c>
    </row>
    <row r="26" spans="2:74" ht="28.8" x14ac:dyDescent="0.3">
      <c r="B26" s="248"/>
      <c r="C26" s="175" t="s">
        <v>208</v>
      </c>
      <c r="D26" s="175" t="s">
        <v>201</v>
      </c>
      <c r="E26" s="175" t="s">
        <v>209</v>
      </c>
      <c r="F26" s="175" t="s">
        <v>198</v>
      </c>
      <c r="G26" s="175"/>
      <c r="H26" s="175" t="str">
        <f t="shared" si="1"/>
        <v>High</v>
      </c>
      <c r="I26" s="175" t="str">
        <f t="shared" si="1"/>
        <v>High</v>
      </c>
      <c r="J26" s="175" t="str">
        <f t="shared" si="1"/>
        <v>High</v>
      </c>
      <c r="K26" s="175" t="str">
        <f t="shared" si="1"/>
        <v>High</v>
      </c>
      <c r="L26" s="175" t="str">
        <f t="shared" si="1"/>
        <v>High</v>
      </c>
      <c r="M26" s="175" t="str">
        <f t="shared" si="1"/>
        <v>High</v>
      </c>
      <c r="N26" s="175" t="str">
        <f t="shared" si="1"/>
        <v>Medium</v>
      </c>
      <c r="O26" s="175" t="str">
        <f t="shared" si="1"/>
        <v>Medium</v>
      </c>
      <c r="P26" s="175" t="str">
        <f t="shared" si="1"/>
        <v>Medium</v>
      </c>
      <c r="Q26" s="175" t="str">
        <f t="shared" si="1"/>
        <v>Medium</v>
      </c>
      <c r="R26" s="175" t="str">
        <f t="shared" si="1"/>
        <v>Medium</v>
      </c>
      <c r="S26" s="175" t="str">
        <f t="shared" si="1"/>
        <v>Medium</v>
      </c>
      <c r="T26" s="175" t="str">
        <f t="shared" si="1"/>
        <v>Low</v>
      </c>
      <c r="U26" s="175" t="str">
        <f t="shared" si="1"/>
        <v>Low</v>
      </c>
      <c r="V26" s="175" t="str">
        <f t="shared" si="1"/>
        <v>Low</v>
      </c>
      <c r="W26" s="175" t="str">
        <f t="shared" si="1"/>
        <v>Low</v>
      </c>
      <c r="X26" s="175" t="str">
        <f t="shared" si="5"/>
        <v>Low</v>
      </c>
      <c r="Y26" s="175" t="str">
        <f t="shared" si="5"/>
        <v>Low</v>
      </c>
      <c r="Z26" s="175" t="str">
        <f t="shared" si="5"/>
        <v>Medium</v>
      </c>
      <c r="AA26" s="175" t="str">
        <f t="shared" si="5"/>
        <v>Medium</v>
      </c>
      <c r="AB26" s="175" t="str">
        <f t="shared" si="5"/>
        <v>Medium</v>
      </c>
      <c r="AC26" s="175" t="str">
        <f t="shared" si="5"/>
        <v>Medium</v>
      </c>
      <c r="AD26" s="175" t="str">
        <f t="shared" si="5"/>
        <v>Medium</v>
      </c>
      <c r="AE26" s="175" t="str">
        <f t="shared" si="5"/>
        <v>Medium</v>
      </c>
      <c r="AF26" s="175" t="str">
        <f t="shared" si="4"/>
        <v>Low</v>
      </c>
      <c r="AG26" s="175" t="str">
        <f t="shared" si="4"/>
        <v>Low</v>
      </c>
      <c r="AH26" s="175" t="str">
        <f t="shared" si="4"/>
        <v>Low</v>
      </c>
      <c r="AI26" s="175" t="str">
        <f t="shared" si="4"/>
        <v>Low</v>
      </c>
      <c r="AJ26" s="175" t="str">
        <f t="shared" si="4"/>
        <v>Low</v>
      </c>
      <c r="AK26" s="175" t="str">
        <f t="shared" si="4"/>
        <v>Low</v>
      </c>
      <c r="AL26" s="175"/>
      <c r="AM26" s="177" t="str">
        <f>IF(AND(HLOOKUP(MID(AM$3,FIND(".",AM$3)+1,FIND(".",AM$3,FIND(".",AM$3)+1)-FIND(".",AM$3)-1),Gällivare!$B$6:$J$36,MATCH($C26,Gällivare!$B$6:$B$36,0),FALSE)="No Impact",HLOOKUP(RIGHT(AM$3,LEN(AM$3)-FIND(".",AM$3,FIND(".",AM$3)+1)),Gällivare!$B$6:$J$36,MATCH($C26,Gällivare!$B$6:$B$36,0),FALSE)="No Impact"),HLOOKUP(LEFT(AM$3,4),Global!$B$6:$J$36,MATCH($C26,Global!$B$6:$B$36,0),FALSE),IF(AND(HLOOKUP(MID(AM$3,FIND(".",AM$3)+1,FIND(".",AM$3,FIND(".",AM$3)+1)-FIND(".",AM$3)-1),Gällivare!$B$6:$J$36,MATCH($C26,Gällivare!$B$6:$B$36,0),FALSE)="No Impact",HLOOKUP(LEFT(AM$3,4),Global!$B$6:$J$36,MATCH($C26,Global!$B$6:$B$36,0),FALSE)="No Impact"),HLOOKUP(RIGHT(AM$3,LEN(AM$3)-FIND(".",AM$3,FIND(".",AM$3)+1)),Gällivare!$B$6:$J$36,MATCH($C26,Gällivare!$B$6:$B$36,0),FALSE),"Global: "&amp;HLOOKUP(LEFT(AM$3,4),Global!$B$6:$J$36,MATCH($C26,Global!$B$6:$B$36,0),FALSE)&amp;CHAR(10)&amp;"Local Trend: "&amp;HLOOKUP(MID(AM$3,FIND(".",AM$3)+1,FIND(".",AM$3,FIND(".",AM$3)+1)-FIND(".",AM$3)-1),Gällivare!$B$6:$J$36,MATCH($C26,Gällivare!$B$6:$B$36,0),FALSE)&amp;CHAR(10)&amp;"Local Target: "&amp;HLOOKUP(RIGHT(AM$3,LEN(AM$3)-FIND(".",AM$3,FIND(".",AM$3)+1)),Gällivare!$B$6:$J$36,MATCH($C26,Gällivare!$B$6:$B$36,0),FALSE)))</f>
        <v>High</v>
      </c>
      <c r="AN26" s="177" t="str">
        <f>IF(AND(HLOOKUP(MID(AN$3,FIND(".",AN$3)+1,FIND(".",AN$3,FIND(".",AN$3)+1)-FIND(".",AN$3)-1),Gällivare!$B$6:$J$36,MATCH($C26,Gällivare!$B$6:$B$36,0),FALSE)="No Impact",HLOOKUP(RIGHT(AN$3,LEN(AN$3)-FIND(".",AN$3,FIND(".",AN$3)+1)),Gällivare!$B$6:$J$36,MATCH($C26,Gällivare!$B$6:$B$36,0),FALSE)="No Impact"),HLOOKUP(LEFT(AN$3,4),Global!$B$6:$J$36,MATCH($C26,Global!$B$6:$B$36,0),FALSE),IF(AND(HLOOKUP(MID(AN$3,FIND(".",AN$3)+1,FIND(".",AN$3,FIND(".",AN$3)+1)-FIND(".",AN$3)-1),Gällivare!$B$6:$J$36,MATCH($C26,Gällivare!$B$6:$B$36,0),FALSE)="No Impact",HLOOKUP(LEFT(AN$3,4),Global!$B$6:$J$36,MATCH($C26,Global!$B$6:$B$36,0),FALSE)="No Impact"),HLOOKUP(RIGHT(AN$3,LEN(AN$3)-FIND(".",AN$3,FIND(".",AN$3)+1)),Gällivare!$B$6:$J$36,MATCH($C26,Gällivare!$B$6:$B$36,0),FALSE),"Global: "&amp;HLOOKUP(LEFT(AN$3,4),Global!$B$6:$J$36,MATCH($C26,Global!$B$6:$B$36,0),FALSE)&amp;CHAR(10)&amp;"Local Trend: "&amp;HLOOKUP(MID(AN$3,FIND(".",AN$3)+1,FIND(".",AN$3,FIND(".",AN$3)+1)-FIND(".",AN$3)-1),Gällivare!$B$6:$J$36,MATCH($C26,Gällivare!$B$6:$B$36,0),FALSE)&amp;CHAR(10)&amp;"Local Target: "&amp;HLOOKUP(RIGHT(AN$3,LEN(AN$3)-FIND(".",AN$3,FIND(".",AN$3)+1)),Gällivare!$B$6:$J$36,MATCH($C26,Gällivare!$B$6:$B$36,0),FALSE)))</f>
        <v>High</v>
      </c>
      <c r="AO26" s="177" t="str">
        <f>IF(AND(HLOOKUP(MID(AO$3,FIND(".",AO$3)+1,FIND(".",AO$3,FIND(".",AO$3)+1)-FIND(".",AO$3)-1),Gällivare!$B$6:$J$36,MATCH($C26,Gällivare!$B$6:$B$36,0),FALSE)="No Impact",HLOOKUP(RIGHT(AO$3,LEN(AO$3)-FIND(".",AO$3,FIND(".",AO$3)+1)),Gällivare!$B$6:$J$36,MATCH($C26,Gällivare!$B$6:$B$36,0),FALSE)="No Impact"),HLOOKUP(LEFT(AO$3,4),Global!$B$6:$J$36,MATCH($C26,Global!$B$6:$B$36,0),FALSE),IF(AND(HLOOKUP(MID(AO$3,FIND(".",AO$3)+1,FIND(".",AO$3,FIND(".",AO$3)+1)-FIND(".",AO$3)-1),Gällivare!$B$6:$J$36,MATCH($C26,Gällivare!$B$6:$B$36,0),FALSE)="No Impact",HLOOKUP(LEFT(AO$3,4),Global!$B$6:$J$36,MATCH($C26,Global!$B$6:$B$36,0),FALSE)="No Impact"),HLOOKUP(RIGHT(AO$3,LEN(AO$3)-FIND(".",AO$3,FIND(".",AO$3)+1)),Gällivare!$B$6:$J$36,MATCH($C26,Gällivare!$B$6:$B$36,0),FALSE),"Global: "&amp;HLOOKUP(LEFT(AO$3,4),Global!$B$6:$J$36,MATCH($C26,Global!$B$6:$B$36,0),FALSE)&amp;CHAR(10)&amp;"Local Trend: "&amp;HLOOKUP(MID(AO$3,FIND(".",AO$3)+1,FIND(".",AO$3,FIND(".",AO$3)+1)-FIND(".",AO$3)-1),Gällivare!$B$6:$J$36,MATCH($C26,Gällivare!$B$6:$B$36,0),FALSE)&amp;CHAR(10)&amp;"Local Target: "&amp;HLOOKUP(RIGHT(AO$3,LEN(AO$3)-FIND(".",AO$3,FIND(".",AO$3)+1)),Gällivare!$B$6:$J$36,MATCH($C26,Gällivare!$B$6:$B$36,0),FALSE)))</f>
        <v>High</v>
      </c>
      <c r="AP26" s="177" t="str">
        <f>IF(AND(HLOOKUP(MID(AP$3,FIND(".",AP$3)+1,FIND(".",AP$3,FIND(".",AP$3)+1)-FIND(".",AP$3)-1),Gällivare!$B$6:$J$36,MATCH($C26,Gällivare!$B$6:$B$36,0),FALSE)="No Impact",HLOOKUP(RIGHT(AP$3,LEN(AP$3)-FIND(".",AP$3,FIND(".",AP$3)+1)),Gällivare!$B$6:$J$36,MATCH($C26,Gällivare!$B$6:$B$36,0),FALSE)="No Impact"),HLOOKUP(LEFT(AP$3,4),Global!$B$6:$J$36,MATCH($C26,Global!$B$6:$B$36,0),FALSE),IF(AND(HLOOKUP(MID(AP$3,FIND(".",AP$3)+1,FIND(".",AP$3,FIND(".",AP$3)+1)-FIND(".",AP$3)-1),Gällivare!$B$6:$J$36,MATCH($C26,Gällivare!$B$6:$B$36,0),FALSE)="No Impact",HLOOKUP(LEFT(AP$3,4),Global!$B$6:$J$36,MATCH($C26,Global!$B$6:$B$36,0),FALSE)="No Impact"),HLOOKUP(RIGHT(AP$3,LEN(AP$3)-FIND(".",AP$3,FIND(".",AP$3)+1)),Gällivare!$B$6:$J$36,MATCH($C26,Gällivare!$B$6:$B$36,0),FALSE),"Global: "&amp;HLOOKUP(LEFT(AP$3,4),Global!$B$6:$J$36,MATCH($C26,Global!$B$6:$B$36,0),FALSE)&amp;CHAR(10)&amp;"Local Trend: "&amp;HLOOKUP(MID(AP$3,FIND(".",AP$3)+1,FIND(".",AP$3,FIND(".",AP$3)+1)-FIND(".",AP$3)-1),Gällivare!$B$6:$J$36,MATCH($C26,Gällivare!$B$6:$B$36,0),FALSE)&amp;CHAR(10)&amp;"Local Target: "&amp;HLOOKUP(RIGHT(AP$3,LEN(AP$3)-FIND(".",AP$3,FIND(".",AP$3)+1)),Gällivare!$B$6:$J$36,MATCH($C26,Gällivare!$B$6:$B$36,0),FALSE)))</f>
        <v>High</v>
      </c>
      <c r="AQ26" s="177" t="str">
        <f>IF(AND(HLOOKUP(MID(AQ$3,FIND(".",AQ$3)+1,FIND(".",AQ$3,FIND(".",AQ$3)+1)-FIND(".",AQ$3)-1),Gällivare!$B$6:$J$36,MATCH($C26,Gällivare!$B$6:$B$36,0),FALSE)="No Impact",HLOOKUP(RIGHT(AQ$3,LEN(AQ$3)-FIND(".",AQ$3,FIND(".",AQ$3)+1)),Gällivare!$B$6:$J$36,MATCH($C26,Gällivare!$B$6:$B$36,0),FALSE)="No Impact"),HLOOKUP(LEFT(AQ$3,4),Global!$B$6:$J$36,MATCH($C26,Global!$B$6:$B$36,0),FALSE),IF(AND(HLOOKUP(MID(AQ$3,FIND(".",AQ$3)+1,FIND(".",AQ$3,FIND(".",AQ$3)+1)-FIND(".",AQ$3)-1),Gällivare!$B$6:$J$36,MATCH($C26,Gällivare!$B$6:$B$36,0),FALSE)="No Impact",HLOOKUP(LEFT(AQ$3,4),Global!$B$6:$J$36,MATCH($C26,Global!$B$6:$B$36,0),FALSE)="No Impact"),HLOOKUP(RIGHT(AQ$3,LEN(AQ$3)-FIND(".",AQ$3,FIND(".",AQ$3)+1)),Gällivare!$B$6:$J$36,MATCH($C26,Gällivare!$B$6:$B$36,0),FALSE),"Global: "&amp;HLOOKUP(LEFT(AQ$3,4),Global!$B$6:$J$36,MATCH($C26,Global!$B$6:$B$36,0),FALSE)&amp;CHAR(10)&amp;"Local Trend: "&amp;HLOOKUP(MID(AQ$3,FIND(".",AQ$3)+1,FIND(".",AQ$3,FIND(".",AQ$3)+1)-FIND(".",AQ$3)-1),Gällivare!$B$6:$J$36,MATCH($C26,Gällivare!$B$6:$B$36,0),FALSE)&amp;CHAR(10)&amp;"Local Target: "&amp;HLOOKUP(RIGHT(AQ$3,LEN(AQ$3)-FIND(".",AQ$3,FIND(".",AQ$3)+1)),Gällivare!$B$6:$J$36,MATCH($C26,Gällivare!$B$6:$B$36,0),FALSE)))</f>
        <v>High</v>
      </c>
      <c r="AR26" s="177" t="str">
        <f>IF(AND(HLOOKUP(MID(AR$3,FIND(".",AR$3)+1,FIND(".",AR$3,FIND(".",AR$3)+1)-FIND(".",AR$3)-1),Gällivare!$B$6:$J$36,MATCH($C26,Gällivare!$B$6:$B$36,0),FALSE)="No Impact",HLOOKUP(RIGHT(AR$3,LEN(AR$3)-FIND(".",AR$3,FIND(".",AR$3)+1)),Gällivare!$B$6:$J$36,MATCH($C26,Gällivare!$B$6:$B$36,0),FALSE)="No Impact"),HLOOKUP(LEFT(AR$3,4),Global!$B$6:$J$36,MATCH($C26,Global!$B$6:$B$36,0),FALSE),IF(AND(HLOOKUP(MID(AR$3,FIND(".",AR$3)+1,FIND(".",AR$3,FIND(".",AR$3)+1)-FIND(".",AR$3)-1),Gällivare!$B$6:$J$36,MATCH($C26,Gällivare!$B$6:$B$36,0),FALSE)="No Impact",HLOOKUP(LEFT(AR$3,4),Global!$B$6:$J$36,MATCH($C26,Global!$B$6:$B$36,0),FALSE)="No Impact"),HLOOKUP(RIGHT(AR$3,LEN(AR$3)-FIND(".",AR$3,FIND(".",AR$3)+1)),Gällivare!$B$6:$J$36,MATCH($C26,Gällivare!$B$6:$B$36,0),FALSE),"Global: "&amp;HLOOKUP(LEFT(AR$3,4),Global!$B$6:$J$36,MATCH($C26,Global!$B$6:$B$36,0),FALSE)&amp;CHAR(10)&amp;"Local Trend: "&amp;HLOOKUP(MID(AR$3,FIND(".",AR$3)+1,FIND(".",AR$3,FIND(".",AR$3)+1)-FIND(".",AR$3)-1),Gällivare!$B$6:$J$36,MATCH($C26,Gällivare!$B$6:$B$36,0),FALSE)&amp;CHAR(10)&amp;"Local Target: "&amp;HLOOKUP(RIGHT(AR$3,LEN(AR$3)-FIND(".",AR$3,FIND(".",AR$3)+1)),Gällivare!$B$6:$J$36,MATCH($C26,Gällivare!$B$6:$B$36,0),FALSE)))</f>
        <v>High</v>
      </c>
      <c r="AS26" s="177" t="str">
        <f>IF(AND(HLOOKUP(MID(AS$3,FIND(".",AS$3)+1,FIND(".",AS$3,FIND(".",AS$3)+1)-FIND(".",AS$3)-1),Gällivare!$B$6:$J$36,MATCH($C26,Gällivare!$B$6:$B$36,0),FALSE)="No Impact",HLOOKUP(RIGHT(AS$3,LEN(AS$3)-FIND(".",AS$3,FIND(".",AS$3)+1)),Gällivare!$B$6:$J$36,MATCH($C26,Gällivare!$B$6:$B$36,0),FALSE)="No Impact"),HLOOKUP(LEFT(AS$3,4),Global!$B$6:$J$36,MATCH($C26,Global!$B$6:$B$36,0),FALSE),IF(AND(HLOOKUP(MID(AS$3,FIND(".",AS$3)+1,FIND(".",AS$3,FIND(".",AS$3)+1)-FIND(".",AS$3)-1),Gällivare!$B$6:$J$36,MATCH($C26,Gällivare!$B$6:$B$36,0),FALSE)="No Impact",HLOOKUP(LEFT(AS$3,4),Global!$B$6:$J$36,MATCH($C26,Global!$B$6:$B$36,0),FALSE)="No Impact"),HLOOKUP(RIGHT(AS$3,LEN(AS$3)-FIND(".",AS$3,FIND(".",AS$3)+1)),Gällivare!$B$6:$J$36,MATCH($C26,Gällivare!$B$6:$B$36,0),FALSE),"Global: "&amp;HLOOKUP(LEFT(AS$3,4),Global!$B$6:$J$36,MATCH($C26,Global!$B$6:$B$36,0),FALSE)&amp;CHAR(10)&amp;"Local Trend: "&amp;HLOOKUP(MID(AS$3,FIND(".",AS$3)+1,FIND(".",AS$3,FIND(".",AS$3)+1)-FIND(".",AS$3)-1),Gällivare!$B$6:$J$36,MATCH($C26,Gällivare!$B$6:$B$36,0),FALSE)&amp;CHAR(10)&amp;"Local Target: "&amp;HLOOKUP(RIGHT(AS$3,LEN(AS$3)-FIND(".",AS$3,FIND(".",AS$3)+1)),Gällivare!$B$6:$J$36,MATCH($C26,Gällivare!$B$6:$B$36,0),FALSE)))</f>
        <v>Medium</v>
      </c>
      <c r="AT26" s="177" t="str">
        <f>IF(AND(HLOOKUP(MID(AT$3,FIND(".",AT$3)+1,FIND(".",AT$3,FIND(".",AT$3)+1)-FIND(".",AT$3)-1),Gällivare!$B$6:$J$36,MATCH($C26,Gällivare!$B$6:$B$36,0),FALSE)="No Impact",HLOOKUP(RIGHT(AT$3,LEN(AT$3)-FIND(".",AT$3,FIND(".",AT$3)+1)),Gällivare!$B$6:$J$36,MATCH($C26,Gällivare!$B$6:$B$36,0),FALSE)="No Impact"),HLOOKUP(LEFT(AT$3,4),Global!$B$6:$J$36,MATCH($C26,Global!$B$6:$B$36,0),FALSE),IF(AND(HLOOKUP(MID(AT$3,FIND(".",AT$3)+1,FIND(".",AT$3,FIND(".",AT$3)+1)-FIND(".",AT$3)-1),Gällivare!$B$6:$J$36,MATCH($C26,Gällivare!$B$6:$B$36,0),FALSE)="No Impact",HLOOKUP(LEFT(AT$3,4),Global!$B$6:$J$36,MATCH($C26,Global!$B$6:$B$36,0),FALSE)="No Impact"),HLOOKUP(RIGHT(AT$3,LEN(AT$3)-FIND(".",AT$3,FIND(".",AT$3)+1)),Gällivare!$B$6:$J$36,MATCH($C26,Gällivare!$B$6:$B$36,0),FALSE),"Global: "&amp;HLOOKUP(LEFT(AT$3,4),Global!$B$6:$J$36,MATCH($C26,Global!$B$6:$B$36,0),FALSE)&amp;CHAR(10)&amp;"Local Trend: "&amp;HLOOKUP(MID(AT$3,FIND(".",AT$3)+1,FIND(".",AT$3,FIND(".",AT$3)+1)-FIND(".",AT$3)-1),Gällivare!$B$6:$J$36,MATCH($C26,Gällivare!$B$6:$B$36,0),FALSE)&amp;CHAR(10)&amp;"Local Target: "&amp;HLOOKUP(RIGHT(AT$3,LEN(AT$3)-FIND(".",AT$3,FIND(".",AT$3)+1)),Gällivare!$B$6:$J$36,MATCH($C26,Gällivare!$B$6:$B$36,0),FALSE)))</f>
        <v>Medium</v>
      </c>
      <c r="AU26" s="177" t="str">
        <f>IF(AND(HLOOKUP(MID(AU$3,FIND(".",AU$3)+1,FIND(".",AU$3,FIND(".",AU$3)+1)-FIND(".",AU$3)-1),Gällivare!$B$6:$J$36,MATCH($C26,Gällivare!$B$6:$B$36,0),FALSE)="No Impact",HLOOKUP(RIGHT(AU$3,LEN(AU$3)-FIND(".",AU$3,FIND(".",AU$3)+1)),Gällivare!$B$6:$J$36,MATCH($C26,Gällivare!$B$6:$B$36,0),FALSE)="No Impact"),HLOOKUP(LEFT(AU$3,4),Global!$B$6:$J$36,MATCH($C26,Global!$B$6:$B$36,0),FALSE),IF(AND(HLOOKUP(MID(AU$3,FIND(".",AU$3)+1,FIND(".",AU$3,FIND(".",AU$3)+1)-FIND(".",AU$3)-1),Gällivare!$B$6:$J$36,MATCH($C26,Gällivare!$B$6:$B$36,0),FALSE)="No Impact",HLOOKUP(LEFT(AU$3,4),Global!$B$6:$J$36,MATCH($C26,Global!$B$6:$B$36,0),FALSE)="No Impact"),HLOOKUP(RIGHT(AU$3,LEN(AU$3)-FIND(".",AU$3,FIND(".",AU$3)+1)),Gällivare!$B$6:$J$36,MATCH($C26,Gällivare!$B$6:$B$36,0),FALSE),"Global: "&amp;HLOOKUP(LEFT(AU$3,4),Global!$B$6:$J$36,MATCH($C26,Global!$B$6:$B$36,0),FALSE)&amp;CHAR(10)&amp;"Local Trend: "&amp;HLOOKUP(MID(AU$3,FIND(".",AU$3)+1,FIND(".",AU$3,FIND(".",AU$3)+1)-FIND(".",AU$3)-1),Gällivare!$B$6:$J$36,MATCH($C26,Gällivare!$B$6:$B$36,0),FALSE)&amp;CHAR(10)&amp;"Local Target: "&amp;HLOOKUP(RIGHT(AU$3,LEN(AU$3)-FIND(".",AU$3,FIND(".",AU$3)+1)),Gällivare!$B$6:$J$36,MATCH($C26,Gällivare!$B$6:$B$36,0),FALSE)))</f>
        <v>Medium</v>
      </c>
      <c r="AV26" s="177" t="str">
        <f>IF(AND(HLOOKUP(MID(AV$3,FIND(".",AV$3)+1,FIND(".",AV$3,FIND(".",AV$3)+1)-FIND(".",AV$3)-1),Gällivare!$B$6:$J$36,MATCH($C26,Gällivare!$B$6:$B$36,0),FALSE)="No Impact",HLOOKUP(RIGHT(AV$3,LEN(AV$3)-FIND(".",AV$3,FIND(".",AV$3)+1)),Gällivare!$B$6:$J$36,MATCH($C26,Gällivare!$B$6:$B$36,0),FALSE)="No Impact"),HLOOKUP(LEFT(AV$3,4),Global!$B$6:$J$36,MATCH($C26,Global!$B$6:$B$36,0),FALSE),IF(AND(HLOOKUP(MID(AV$3,FIND(".",AV$3)+1,FIND(".",AV$3,FIND(".",AV$3)+1)-FIND(".",AV$3)-1),Gällivare!$B$6:$J$36,MATCH($C26,Gällivare!$B$6:$B$36,0),FALSE)="No Impact",HLOOKUP(LEFT(AV$3,4),Global!$B$6:$J$36,MATCH($C26,Global!$B$6:$B$36,0),FALSE)="No Impact"),HLOOKUP(RIGHT(AV$3,LEN(AV$3)-FIND(".",AV$3,FIND(".",AV$3)+1)),Gällivare!$B$6:$J$36,MATCH($C26,Gällivare!$B$6:$B$36,0),FALSE),"Global: "&amp;HLOOKUP(LEFT(AV$3,4),Global!$B$6:$J$36,MATCH($C26,Global!$B$6:$B$36,0),FALSE)&amp;CHAR(10)&amp;"Local Trend: "&amp;HLOOKUP(MID(AV$3,FIND(".",AV$3)+1,FIND(".",AV$3,FIND(".",AV$3)+1)-FIND(".",AV$3)-1),Gällivare!$B$6:$J$36,MATCH($C26,Gällivare!$B$6:$B$36,0),FALSE)&amp;CHAR(10)&amp;"Local Target: "&amp;HLOOKUP(RIGHT(AV$3,LEN(AV$3)-FIND(".",AV$3,FIND(".",AV$3)+1)),Gällivare!$B$6:$J$36,MATCH($C26,Gällivare!$B$6:$B$36,0),FALSE)))</f>
        <v>Medium</v>
      </c>
      <c r="AW26" s="177" t="str">
        <f>IF(AND(HLOOKUP(MID(AW$3,FIND(".",AW$3)+1,FIND(".",AW$3,FIND(".",AW$3)+1)-FIND(".",AW$3)-1),Gällivare!$B$6:$J$36,MATCH($C26,Gällivare!$B$6:$B$36,0),FALSE)="No Impact",HLOOKUP(RIGHT(AW$3,LEN(AW$3)-FIND(".",AW$3,FIND(".",AW$3)+1)),Gällivare!$B$6:$J$36,MATCH($C26,Gällivare!$B$6:$B$36,0),FALSE)="No Impact"),HLOOKUP(LEFT(AW$3,4),Global!$B$6:$J$36,MATCH($C26,Global!$B$6:$B$36,0),FALSE),IF(AND(HLOOKUP(MID(AW$3,FIND(".",AW$3)+1,FIND(".",AW$3,FIND(".",AW$3)+1)-FIND(".",AW$3)-1),Gällivare!$B$6:$J$36,MATCH($C26,Gällivare!$B$6:$B$36,0),FALSE)="No Impact",HLOOKUP(LEFT(AW$3,4),Global!$B$6:$J$36,MATCH($C26,Global!$B$6:$B$36,0),FALSE)="No Impact"),HLOOKUP(RIGHT(AW$3,LEN(AW$3)-FIND(".",AW$3,FIND(".",AW$3)+1)),Gällivare!$B$6:$J$36,MATCH($C26,Gällivare!$B$6:$B$36,0),FALSE),"Global: "&amp;HLOOKUP(LEFT(AW$3,4),Global!$B$6:$J$36,MATCH($C26,Global!$B$6:$B$36,0),FALSE)&amp;CHAR(10)&amp;"Local Trend: "&amp;HLOOKUP(MID(AW$3,FIND(".",AW$3)+1,FIND(".",AW$3,FIND(".",AW$3)+1)-FIND(".",AW$3)-1),Gällivare!$B$6:$J$36,MATCH($C26,Gällivare!$B$6:$B$36,0),FALSE)&amp;CHAR(10)&amp;"Local Target: "&amp;HLOOKUP(RIGHT(AW$3,LEN(AW$3)-FIND(".",AW$3,FIND(".",AW$3)+1)),Gällivare!$B$6:$J$36,MATCH($C26,Gällivare!$B$6:$B$36,0),FALSE)))</f>
        <v>Medium</v>
      </c>
      <c r="AX26" s="177" t="str">
        <f>IF(AND(HLOOKUP(MID(AX$3,FIND(".",AX$3)+1,FIND(".",AX$3,FIND(".",AX$3)+1)-FIND(".",AX$3)-1),Gällivare!$B$6:$J$36,MATCH($C26,Gällivare!$B$6:$B$36,0),FALSE)="No Impact",HLOOKUP(RIGHT(AX$3,LEN(AX$3)-FIND(".",AX$3,FIND(".",AX$3)+1)),Gällivare!$B$6:$J$36,MATCH($C26,Gällivare!$B$6:$B$36,0),FALSE)="No Impact"),HLOOKUP(LEFT(AX$3,4),Global!$B$6:$J$36,MATCH($C26,Global!$B$6:$B$36,0),FALSE),IF(AND(HLOOKUP(MID(AX$3,FIND(".",AX$3)+1,FIND(".",AX$3,FIND(".",AX$3)+1)-FIND(".",AX$3)-1),Gällivare!$B$6:$J$36,MATCH($C26,Gällivare!$B$6:$B$36,0),FALSE)="No Impact",HLOOKUP(LEFT(AX$3,4),Global!$B$6:$J$36,MATCH($C26,Global!$B$6:$B$36,0),FALSE)="No Impact"),HLOOKUP(RIGHT(AX$3,LEN(AX$3)-FIND(".",AX$3,FIND(".",AX$3)+1)),Gällivare!$B$6:$J$36,MATCH($C26,Gällivare!$B$6:$B$36,0),FALSE),"Global: "&amp;HLOOKUP(LEFT(AX$3,4),Global!$B$6:$J$36,MATCH($C26,Global!$B$6:$B$36,0),FALSE)&amp;CHAR(10)&amp;"Local Trend: "&amp;HLOOKUP(MID(AX$3,FIND(".",AX$3)+1,FIND(".",AX$3,FIND(".",AX$3)+1)-FIND(".",AX$3)-1),Gällivare!$B$6:$J$36,MATCH($C26,Gällivare!$B$6:$B$36,0),FALSE)&amp;CHAR(10)&amp;"Local Target: "&amp;HLOOKUP(RIGHT(AX$3,LEN(AX$3)-FIND(".",AX$3,FIND(".",AX$3)+1)),Gällivare!$B$6:$J$36,MATCH($C26,Gällivare!$B$6:$B$36,0),FALSE)))</f>
        <v>Medium</v>
      </c>
      <c r="AY26" s="177" t="str">
        <f>IF(AND(HLOOKUP(MID(AY$3,FIND(".",AY$3)+1,FIND(".",AY$3,FIND(".",AY$3)+1)-FIND(".",AY$3)-1),Gällivare!$B$6:$J$36,MATCH($C26,Gällivare!$B$6:$B$36,0),FALSE)="No Impact",HLOOKUP(RIGHT(AY$3,LEN(AY$3)-FIND(".",AY$3,FIND(".",AY$3)+1)),Gällivare!$B$6:$J$36,MATCH($C26,Gällivare!$B$6:$B$36,0),FALSE)="No Impact"),HLOOKUP(LEFT(AY$3,4),Global!$B$6:$J$36,MATCH($C26,Global!$B$6:$B$36,0),FALSE),IF(AND(HLOOKUP(MID(AY$3,FIND(".",AY$3)+1,FIND(".",AY$3,FIND(".",AY$3)+1)-FIND(".",AY$3)-1),Gällivare!$B$6:$J$36,MATCH($C26,Gällivare!$B$6:$B$36,0),FALSE)="No Impact",HLOOKUP(LEFT(AY$3,4),Global!$B$6:$J$36,MATCH($C26,Global!$B$6:$B$36,0),FALSE)="No Impact"),HLOOKUP(RIGHT(AY$3,LEN(AY$3)-FIND(".",AY$3,FIND(".",AY$3)+1)),Gällivare!$B$6:$J$36,MATCH($C26,Gällivare!$B$6:$B$36,0),FALSE),"Global: "&amp;HLOOKUP(LEFT(AY$3,4),Global!$B$6:$J$36,MATCH($C26,Global!$B$6:$B$36,0),FALSE)&amp;CHAR(10)&amp;"Local Trend: "&amp;HLOOKUP(MID(AY$3,FIND(".",AY$3)+1,FIND(".",AY$3,FIND(".",AY$3)+1)-FIND(".",AY$3)-1),Gällivare!$B$6:$J$36,MATCH($C26,Gällivare!$B$6:$B$36,0),FALSE)&amp;CHAR(10)&amp;"Local Target: "&amp;HLOOKUP(RIGHT(AY$3,LEN(AY$3)-FIND(".",AY$3,FIND(".",AY$3)+1)),Gällivare!$B$6:$J$36,MATCH($C26,Gällivare!$B$6:$B$36,0),FALSE)))</f>
        <v>Low</v>
      </c>
      <c r="AZ26" s="177" t="str">
        <f>IF(AND(HLOOKUP(MID(AZ$3,FIND(".",AZ$3)+1,FIND(".",AZ$3,FIND(".",AZ$3)+1)-FIND(".",AZ$3)-1),Gällivare!$B$6:$J$36,MATCH($C26,Gällivare!$B$6:$B$36,0),FALSE)="No Impact",HLOOKUP(RIGHT(AZ$3,LEN(AZ$3)-FIND(".",AZ$3,FIND(".",AZ$3)+1)),Gällivare!$B$6:$J$36,MATCH($C26,Gällivare!$B$6:$B$36,0),FALSE)="No Impact"),HLOOKUP(LEFT(AZ$3,4),Global!$B$6:$J$36,MATCH($C26,Global!$B$6:$B$36,0),FALSE),IF(AND(HLOOKUP(MID(AZ$3,FIND(".",AZ$3)+1,FIND(".",AZ$3,FIND(".",AZ$3)+1)-FIND(".",AZ$3)-1),Gällivare!$B$6:$J$36,MATCH($C26,Gällivare!$B$6:$B$36,0),FALSE)="No Impact",HLOOKUP(LEFT(AZ$3,4),Global!$B$6:$J$36,MATCH($C26,Global!$B$6:$B$36,0),FALSE)="No Impact"),HLOOKUP(RIGHT(AZ$3,LEN(AZ$3)-FIND(".",AZ$3,FIND(".",AZ$3)+1)),Gällivare!$B$6:$J$36,MATCH($C26,Gällivare!$B$6:$B$36,0),FALSE),"Global: "&amp;HLOOKUP(LEFT(AZ$3,4),Global!$B$6:$J$36,MATCH($C26,Global!$B$6:$B$36,0),FALSE)&amp;CHAR(10)&amp;"Local Trend: "&amp;HLOOKUP(MID(AZ$3,FIND(".",AZ$3)+1,FIND(".",AZ$3,FIND(".",AZ$3)+1)-FIND(".",AZ$3)-1),Gällivare!$B$6:$J$36,MATCH($C26,Gällivare!$B$6:$B$36,0),FALSE)&amp;CHAR(10)&amp;"Local Target: "&amp;HLOOKUP(RIGHT(AZ$3,LEN(AZ$3)-FIND(".",AZ$3,FIND(".",AZ$3)+1)),Gällivare!$B$6:$J$36,MATCH($C26,Gällivare!$B$6:$B$36,0),FALSE)))</f>
        <v>Low</v>
      </c>
      <c r="BA26" s="177" t="str">
        <f>IF(AND(HLOOKUP(MID(BA$3,FIND(".",BA$3)+1,FIND(".",BA$3,FIND(".",BA$3)+1)-FIND(".",BA$3)-1),Gällivare!$B$6:$J$36,MATCH($C26,Gällivare!$B$6:$B$36,0),FALSE)="No Impact",HLOOKUP(RIGHT(BA$3,LEN(BA$3)-FIND(".",BA$3,FIND(".",BA$3)+1)),Gällivare!$B$6:$J$36,MATCH($C26,Gällivare!$B$6:$B$36,0),FALSE)="No Impact"),HLOOKUP(LEFT(BA$3,4),Global!$B$6:$J$36,MATCH($C26,Global!$B$6:$B$36,0),FALSE),IF(AND(HLOOKUP(MID(BA$3,FIND(".",BA$3)+1,FIND(".",BA$3,FIND(".",BA$3)+1)-FIND(".",BA$3)-1),Gällivare!$B$6:$J$36,MATCH($C26,Gällivare!$B$6:$B$36,0),FALSE)="No Impact",HLOOKUP(LEFT(BA$3,4),Global!$B$6:$J$36,MATCH($C26,Global!$B$6:$B$36,0),FALSE)="No Impact"),HLOOKUP(RIGHT(BA$3,LEN(BA$3)-FIND(".",BA$3,FIND(".",BA$3)+1)),Gällivare!$B$6:$J$36,MATCH($C26,Gällivare!$B$6:$B$36,0),FALSE),"Global: "&amp;HLOOKUP(LEFT(BA$3,4),Global!$B$6:$J$36,MATCH($C26,Global!$B$6:$B$36,0),FALSE)&amp;CHAR(10)&amp;"Local Trend: "&amp;HLOOKUP(MID(BA$3,FIND(".",BA$3)+1,FIND(".",BA$3,FIND(".",BA$3)+1)-FIND(".",BA$3)-1),Gällivare!$B$6:$J$36,MATCH($C26,Gällivare!$B$6:$B$36,0),FALSE)&amp;CHAR(10)&amp;"Local Target: "&amp;HLOOKUP(RIGHT(BA$3,LEN(BA$3)-FIND(".",BA$3,FIND(".",BA$3)+1)),Gällivare!$B$6:$J$36,MATCH($C26,Gällivare!$B$6:$B$36,0),FALSE)))</f>
        <v>Low</v>
      </c>
      <c r="BB26" s="177" t="str">
        <f>IF(AND(HLOOKUP(MID(BB$3,FIND(".",BB$3)+1,FIND(".",BB$3,FIND(".",BB$3)+1)-FIND(".",BB$3)-1),Gällivare!$B$6:$J$36,MATCH($C26,Gällivare!$B$6:$B$36,0),FALSE)="No Impact",HLOOKUP(RIGHT(BB$3,LEN(BB$3)-FIND(".",BB$3,FIND(".",BB$3)+1)),Gällivare!$B$6:$J$36,MATCH($C26,Gällivare!$B$6:$B$36,0),FALSE)="No Impact"),HLOOKUP(LEFT(BB$3,4),Global!$B$6:$J$36,MATCH($C26,Global!$B$6:$B$36,0),FALSE),IF(AND(HLOOKUP(MID(BB$3,FIND(".",BB$3)+1,FIND(".",BB$3,FIND(".",BB$3)+1)-FIND(".",BB$3)-1),Gällivare!$B$6:$J$36,MATCH($C26,Gällivare!$B$6:$B$36,0),FALSE)="No Impact",HLOOKUP(LEFT(BB$3,4),Global!$B$6:$J$36,MATCH($C26,Global!$B$6:$B$36,0),FALSE)="No Impact"),HLOOKUP(RIGHT(BB$3,LEN(BB$3)-FIND(".",BB$3,FIND(".",BB$3)+1)),Gällivare!$B$6:$J$36,MATCH($C26,Gällivare!$B$6:$B$36,0),FALSE),"Global: "&amp;HLOOKUP(LEFT(BB$3,4),Global!$B$6:$J$36,MATCH($C26,Global!$B$6:$B$36,0),FALSE)&amp;CHAR(10)&amp;"Local Trend: "&amp;HLOOKUP(MID(BB$3,FIND(".",BB$3)+1,FIND(".",BB$3,FIND(".",BB$3)+1)-FIND(".",BB$3)-1),Gällivare!$B$6:$J$36,MATCH($C26,Gällivare!$B$6:$B$36,0),FALSE)&amp;CHAR(10)&amp;"Local Target: "&amp;HLOOKUP(RIGHT(BB$3,LEN(BB$3)-FIND(".",BB$3,FIND(".",BB$3)+1)),Gällivare!$B$6:$J$36,MATCH($C26,Gällivare!$B$6:$B$36,0),FALSE)))</f>
        <v>Low</v>
      </c>
      <c r="BC26" s="177" t="str">
        <f>IF(AND(HLOOKUP(MID(BC$3,FIND(".",BC$3)+1,FIND(".",BC$3,FIND(".",BC$3)+1)-FIND(".",BC$3)-1),Gällivare!$B$6:$J$36,MATCH($C26,Gällivare!$B$6:$B$36,0),FALSE)="No Impact",HLOOKUP(RIGHT(BC$3,LEN(BC$3)-FIND(".",BC$3,FIND(".",BC$3)+1)),Gällivare!$B$6:$J$36,MATCH($C26,Gällivare!$B$6:$B$36,0),FALSE)="No Impact"),HLOOKUP(LEFT(BC$3,4),Global!$B$6:$J$36,MATCH($C26,Global!$B$6:$B$36,0),FALSE),IF(AND(HLOOKUP(MID(BC$3,FIND(".",BC$3)+1,FIND(".",BC$3,FIND(".",BC$3)+1)-FIND(".",BC$3)-1),Gällivare!$B$6:$J$36,MATCH($C26,Gällivare!$B$6:$B$36,0),FALSE)="No Impact",HLOOKUP(LEFT(BC$3,4),Global!$B$6:$J$36,MATCH($C26,Global!$B$6:$B$36,0),FALSE)="No Impact"),HLOOKUP(RIGHT(BC$3,LEN(BC$3)-FIND(".",BC$3,FIND(".",BC$3)+1)),Gällivare!$B$6:$J$36,MATCH($C26,Gällivare!$B$6:$B$36,0),FALSE),"Global: "&amp;HLOOKUP(LEFT(BC$3,4),Global!$B$6:$J$36,MATCH($C26,Global!$B$6:$B$36,0),FALSE)&amp;CHAR(10)&amp;"Local Trend: "&amp;HLOOKUP(MID(BC$3,FIND(".",BC$3)+1,FIND(".",BC$3,FIND(".",BC$3)+1)-FIND(".",BC$3)-1),Gällivare!$B$6:$J$36,MATCH($C26,Gällivare!$B$6:$B$36,0),FALSE)&amp;CHAR(10)&amp;"Local Target: "&amp;HLOOKUP(RIGHT(BC$3,LEN(BC$3)-FIND(".",BC$3,FIND(".",BC$3)+1)),Gällivare!$B$6:$J$36,MATCH($C26,Gällivare!$B$6:$B$36,0),FALSE)))</f>
        <v>Low</v>
      </c>
      <c r="BD26" s="177" t="str">
        <f>IF(AND(HLOOKUP(MID(BD$3,FIND(".",BD$3)+1,FIND(".",BD$3,FIND(".",BD$3)+1)-FIND(".",BD$3)-1),Gällivare!$B$6:$J$36,MATCH($C26,Gällivare!$B$6:$B$36,0),FALSE)="No Impact",HLOOKUP(RIGHT(BD$3,LEN(BD$3)-FIND(".",BD$3,FIND(".",BD$3)+1)),Gällivare!$B$6:$J$36,MATCH($C26,Gällivare!$B$6:$B$36,0),FALSE)="No Impact"),HLOOKUP(LEFT(BD$3,4),Global!$B$6:$J$36,MATCH($C26,Global!$B$6:$B$36,0),FALSE),IF(AND(HLOOKUP(MID(BD$3,FIND(".",BD$3)+1,FIND(".",BD$3,FIND(".",BD$3)+1)-FIND(".",BD$3)-1),Gällivare!$B$6:$J$36,MATCH($C26,Gällivare!$B$6:$B$36,0),FALSE)="No Impact",HLOOKUP(LEFT(BD$3,4),Global!$B$6:$J$36,MATCH($C26,Global!$B$6:$B$36,0),FALSE)="No Impact"),HLOOKUP(RIGHT(BD$3,LEN(BD$3)-FIND(".",BD$3,FIND(".",BD$3)+1)),Gällivare!$B$6:$J$36,MATCH($C26,Gällivare!$B$6:$B$36,0),FALSE),"Global: "&amp;HLOOKUP(LEFT(BD$3,4),Global!$B$6:$J$36,MATCH($C26,Global!$B$6:$B$36,0),FALSE)&amp;CHAR(10)&amp;"Local Trend: "&amp;HLOOKUP(MID(BD$3,FIND(".",BD$3)+1,FIND(".",BD$3,FIND(".",BD$3)+1)-FIND(".",BD$3)-1),Gällivare!$B$6:$J$36,MATCH($C26,Gällivare!$B$6:$B$36,0),FALSE)&amp;CHAR(10)&amp;"Local Target: "&amp;HLOOKUP(RIGHT(BD$3,LEN(BD$3)-FIND(".",BD$3,FIND(".",BD$3)+1)),Gällivare!$B$6:$J$36,MATCH($C26,Gällivare!$B$6:$B$36,0),FALSE)))</f>
        <v>Low</v>
      </c>
      <c r="BE26" s="177" t="str">
        <f>IF(AND(HLOOKUP(MID(BE$3,FIND(".",BE$3)+1,FIND(".",BE$3,FIND(".",BE$3)+1)-FIND(".",BE$3)-1),Gällivare!$B$6:$J$36,MATCH($C26,Gällivare!$B$6:$B$36,0),FALSE)="No Impact",HLOOKUP(RIGHT(BE$3,LEN(BE$3)-FIND(".",BE$3,FIND(".",BE$3)+1)),Gällivare!$B$6:$J$36,MATCH($C26,Gällivare!$B$6:$B$36,0),FALSE)="No Impact"),HLOOKUP(LEFT(BE$3,4),Global!$B$6:$J$36,MATCH($C26,Global!$B$6:$B$36,0),FALSE),IF(AND(HLOOKUP(MID(BE$3,FIND(".",BE$3)+1,FIND(".",BE$3,FIND(".",BE$3)+1)-FIND(".",BE$3)-1),Gällivare!$B$6:$J$36,MATCH($C26,Gällivare!$B$6:$B$36,0),FALSE)="No Impact",HLOOKUP(LEFT(BE$3,4),Global!$B$6:$J$36,MATCH($C26,Global!$B$6:$B$36,0),FALSE)="No Impact"),HLOOKUP(RIGHT(BE$3,LEN(BE$3)-FIND(".",BE$3,FIND(".",BE$3)+1)),Gällivare!$B$6:$J$36,MATCH($C26,Gällivare!$B$6:$B$36,0),FALSE),"Global: "&amp;HLOOKUP(LEFT(BE$3,4),Global!$B$6:$J$36,MATCH($C26,Global!$B$6:$B$36,0),FALSE)&amp;CHAR(10)&amp;"Local Trend: "&amp;HLOOKUP(MID(BE$3,FIND(".",BE$3)+1,FIND(".",BE$3,FIND(".",BE$3)+1)-FIND(".",BE$3)-1),Gällivare!$B$6:$J$36,MATCH($C26,Gällivare!$B$6:$B$36,0),FALSE)&amp;CHAR(10)&amp;"Local Target: "&amp;HLOOKUP(RIGHT(BE$3,LEN(BE$3)-FIND(".",BE$3,FIND(".",BE$3)+1)),Gällivare!$B$6:$J$36,MATCH($C26,Gällivare!$B$6:$B$36,0),FALSE)))</f>
        <v>Medium</v>
      </c>
      <c r="BF26" s="177" t="str">
        <f>IF(AND(HLOOKUP(MID(BF$3,FIND(".",BF$3)+1,FIND(".",BF$3,FIND(".",BF$3)+1)-FIND(".",BF$3)-1),Gällivare!$B$6:$J$36,MATCH($C26,Gällivare!$B$6:$B$36,0),FALSE)="No Impact",HLOOKUP(RIGHT(BF$3,LEN(BF$3)-FIND(".",BF$3,FIND(".",BF$3)+1)),Gällivare!$B$6:$J$36,MATCH($C26,Gällivare!$B$6:$B$36,0),FALSE)="No Impact"),HLOOKUP(LEFT(BF$3,4),Global!$B$6:$J$36,MATCH($C26,Global!$B$6:$B$36,0),FALSE),IF(AND(HLOOKUP(MID(BF$3,FIND(".",BF$3)+1,FIND(".",BF$3,FIND(".",BF$3)+1)-FIND(".",BF$3)-1),Gällivare!$B$6:$J$36,MATCH($C26,Gällivare!$B$6:$B$36,0),FALSE)="No Impact",HLOOKUP(LEFT(BF$3,4),Global!$B$6:$J$36,MATCH($C26,Global!$B$6:$B$36,0),FALSE)="No Impact"),HLOOKUP(RIGHT(BF$3,LEN(BF$3)-FIND(".",BF$3,FIND(".",BF$3)+1)),Gällivare!$B$6:$J$36,MATCH($C26,Gällivare!$B$6:$B$36,0),FALSE),"Global: "&amp;HLOOKUP(LEFT(BF$3,4),Global!$B$6:$J$36,MATCH($C26,Global!$B$6:$B$36,0),FALSE)&amp;CHAR(10)&amp;"Local Trend: "&amp;HLOOKUP(MID(BF$3,FIND(".",BF$3)+1,FIND(".",BF$3,FIND(".",BF$3)+1)-FIND(".",BF$3)-1),Gällivare!$B$6:$J$36,MATCH($C26,Gällivare!$B$6:$B$36,0),FALSE)&amp;CHAR(10)&amp;"Local Target: "&amp;HLOOKUP(RIGHT(BF$3,LEN(BF$3)-FIND(".",BF$3,FIND(".",BF$3)+1)),Gällivare!$B$6:$J$36,MATCH($C26,Gällivare!$B$6:$B$36,0),FALSE)))</f>
        <v>Medium</v>
      </c>
      <c r="BG26" s="177" t="str">
        <f>IF(AND(HLOOKUP(MID(BG$3,FIND(".",BG$3)+1,FIND(".",BG$3,FIND(".",BG$3)+1)-FIND(".",BG$3)-1),Gällivare!$B$6:$J$36,MATCH($C26,Gällivare!$B$6:$B$36,0),FALSE)="No Impact",HLOOKUP(RIGHT(BG$3,LEN(BG$3)-FIND(".",BG$3,FIND(".",BG$3)+1)),Gällivare!$B$6:$J$36,MATCH($C26,Gällivare!$B$6:$B$36,0),FALSE)="No Impact"),HLOOKUP(LEFT(BG$3,4),Global!$B$6:$J$36,MATCH($C26,Global!$B$6:$B$36,0),FALSE),IF(AND(HLOOKUP(MID(BG$3,FIND(".",BG$3)+1,FIND(".",BG$3,FIND(".",BG$3)+1)-FIND(".",BG$3)-1),Gällivare!$B$6:$J$36,MATCH($C26,Gällivare!$B$6:$B$36,0),FALSE)="No Impact",HLOOKUP(LEFT(BG$3,4),Global!$B$6:$J$36,MATCH($C26,Global!$B$6:$B$36,0),FALSE)="No Impact"),HLOOKUP(RIGHT(BG$3,LEN(BG$3)-FIND(".",BG$3,FIND(".",BG$3)+1)),Gällivare!$B$6:$J$36,MATCH($C26,Gällivare!$B$6:$B$36,0),FALSE),"Global: "&amp;HLOOKUP(LEFT(BG$3,4),Global!$B$6:$J$36,MATCH($C26,Global!$B$6:$B$36,0),FALSE)&amp;CHAR(10)&amp;"Local Trend: "&amp;HLOOKUP(MID(BG$3,FIND(".",BG$3)+1,FIND(".",BG$3,FIND(".",BG$3)+1)-FIND(".",BG$3)-1),Gällivare!$B$6:$J$36,MATCH($C26,Gällivare!$B$6:$B$36,0),FALSE)&amp;CHAR(10)&amp;"Local Target: "&amp;HLOOKUP(RIGHT(BG$3,LEN(BG$3)-FIND(".",BG$3,FIND(".",BG$3)+1)),Gällivare!$B$6:$J$36,MATCH($C26,Gällivare!$B$6:$B$36,0),FALSE)))</f>
        <v>Medium</v>
      </c>
      <c r="BH26" s="177" t="str">
        <f>IF(AND(HLOOKUP(MID(BH$3,FIND(".",BH$3)+1,FIND(".",BH$3,FIND(".",BH$3)+1)-FIND(".",BH$3)-1),Gällivare!$B$6:$J$36,MATCH($C26,Gällivare!$B$6:$B$36,0),FALSE)="No Impact",HLOOKUP(RIGHT(BH$3,LEN(BH$3)-FIND(".",BH$3,FIND(".",BH$3)+1)),Gällivare!$B$6:$J$36,MATCH($C26,Gällivare!$B$6:$B$36,0),FALSE)="No Impact"),HLOOKUP(LEFT(BH$3,4),Global!$B$6:$J$36,MATCH($C26,Global!$B$6:$B$36,0),FALSE),IF(AND(HLOOKUP(MID(BH$3,FIND(".",BH$3)+1,FIND(".",BH$3,FIND(".",BH$3)+1)-FIND(".",BH$3)-1),Gällivare!$B$6:$J$36,MATCH($C26,Gällivare!$B$6:$B$36,0),FALSE)="No Impact",HLOOKUP(LEFT(BH$3,4),Global!$B$6:$J$36,MATCH($C26,Global!$B$6:$B$36,0),FALSE)="No Impact"),HLOOKUP(RIGHT(BH$3,LEN(BH$3)-FIND(".",BH$3,FIND(".",BH$3)+1)),Gällivare!$B$6:$J$36,MATCH($C26,Gällivare!$B$6:$B$36,0),FALSE),"Global: "&amp;HLOOKUP(LEFT(BH$3,4),Global!$B$6:$J$36,MATCH($C26,Global!$B$6:$B$36,0),FALSE)&amp;CHAR(10)&amp;"Local Trend: "&amp;HLOOKUP(MID(BH$3,FIND(".",BH$3)+1,FIND(".",BH$3,FIND(".",BH$3)+1)-FIND(".",BH$3)-1),Gällivare!$B$6:$J$36,MATCH($C26,Gällivare!$B$6:$B$36,0),FALSE)&amp;CHAR(10)&amp;"Local Target: "&amp;HLOOKUP(RIGHT(BH$3,LEN(BH$3)-FIND(".",BH$3,FIND(".",BH$3)+1)),Gällivare!$B$6:$J$36,MATCH($C26,Gällivare!$B$6:$B$36,0),FALSE)))</f>
        <v>Medium</v>
      </c>
      <c r="BI26" s="177" t="str">
        <f>IF(AND(HLOOKUP(MID(BI$3,FIND(".",BI$3)+1,FIND(".",BI$3,FIND(".",BI$3)+1)-FIND(".",BI$3)-1),Gällivare!$B$6:$J$36,MATCH($C26,Gällivare!$B$6:$B$36,0),FALSE)="No Impact",HLOOKUP(RIGHT(BI$3,LEN(BI$3)-FIND(".",BI$3,FIND(".",BI$3)+1)),Gällivare!$B$6:$J$36,MATCH($C26,Gällivare!$B$6:$B$36,0),FALSE)="No Impact"),HLOOKUP(LEFT(BI$3,4),Global!$B$6:$J$36,MATCH($C26,Global!$B$6:$B$36,0),FALSE),IF(AND(HLOOKUP(MID(BI$3,FIND(".",BI$3)+1,FIND(".",BI$3,FIND(".",BI$3)+1)-FIND(".",BI$3)-1),Gällivare!$B$6:$J$36,MATCH($C26,Gällivare!$B$6:$B$36,0),FALSE)="No Impact",HLOOKUP(LEFT(BI$3,4),Global!$B$6:$J$36,MATCH($C26,Global!$B$6:$B$36,0),FALSE)="No Impact"),HLOOKUP(RIGHT(BI$3,LEN(BI$3)-FIND(".",BI$3,FIND(".",BI$3)+1)),Gällivare!$B$6:$J$36,MATCH($C26,Gällivare!$B$6:$B$36,0),FALSE),"Global: "&amp;HLOOKUP(LEFT(BI$3,4),Global!$B$6:$J$36,MATCH($C26,Global!$B$6:$B$36,0),FALSE)&amp;CHAR(10)&amp;"Local Trend: "&amp;HLOOKUP(MID(BI$3,FIND(".",BI$3)+1,FIND(".",BI$3,FIND(".",BI$3)+1)-FIND(".",BI$3)-1),Gällivare!$B$6:$J$36,MATCH($C26,Gällivare!$B$6:$B$36,0),FALSE)&amp;CHAR(10)&amp;"Local Target: "&amp;HLOOKUP(RIGHT(BI$3,LEN(BI$3)-FIND(".",BI$3,FIND(".",BI$3)+1)),Gällivare!$B$6:$J$36,MATCH($C26,Gällivare!$B$6:$B$36,0),FALSE)))</f>
        <v>Medium</v>
      </c>
      <c r="BJ26" s="177" t="str">
        <f>IF(AND(HLOOKUP(MID(BJ$3,FIND(".",BJ$3)+1,FIND(".",BJ$3,FIND(".",BJ$3)+1)-FIND(".",BJ$3)-1),Gällivare!$B$6:$J$36,MATCH($C26,Gällivare!$B$6:$B$36,0),FALSE)="No Impact",HLOOKUP(RIGHT(BJ$3,LEN(BJ$3)-FIND(".",BJ$3,FIND(".",BJ$3)+1)),Gällivare!$B$6:$J$36,MATCH($C26,Gällivare!$B$6:$B$36,0),FALSE)="No Impact"),HLOOKUP(LEFT(BJ$3,4),Global!$B$6:$J$36,MATCH($C26,Global!$B$6:$B$36,0),FALSE),IF(AND(HLOOKUP(MID(BJ$3,FIND(".",BJ$3)+1,FIND(".",BJ$3,FIND(".",BJ$3)+1)-FIND(".",BJ$3)-1),Gällivare!$B$6:$J$36,MATCH($C26,Gällivare!$B$6:$B$36,0),FALSE)="No Impact",HLOOKUP(LEFT(BJ$3,4),Global!$B$6:$J$36,MATCH($C26,Global!$B$6:$B$36,0),FALSE)="No Impact"),HLOOKUP(RIGHT(BJ$3,LEN(BJ$3)-FIND(".",BJ$3,FIND(".",BJ$3)+1)),Gällivare!$B$6:$J$36,MATCH($C26,Gällivare!$B$6:$B$36,0),FALSE),"Global: "&amp;HLOOKUP(LEFT(BJ$3,4),Global!$B$6:$J$36,MATCH($C26,Global!$B$6:$B$36,0),FALSE)&amp;CHAR(10)&amp;"Local Trend: "&amp;HLOOKUP(MID(BJ$3,FIND(".",BJ$3)+1,FIND(".",BJ$3,FIND(".",BJ$3)+1)-FIND(".",BJ$3)-1),Gällivare!$B$6:$J$36,MATCH($C26,Gällivare!$B$6:$B$36,0),FALSE)&amp;CHAR(10)&amp;"Local Target: "&amp;HLOOKUP(RIGHT(BJ$3,LEN(BJ$3)-FIND(".",BJ$3,FIND(".",BJ$3)+1)),Gällivare!$B$6:$J$36,MATCH($C26,Gällivare!$B$6:$B$36,0),FALSE)))</f>
        <v>Medium</v>
      </c>
      <c r="BK26" s="177" t="str">
        <f>IF(AND(HLOOKUP(MID(BK$3,FIND(".",BK$3)+1,FIND(".",BK$3,FIND(".",BK$3)+1)-FIND(".",BK$3)-1),Gällivare!$B$6:$J$36,MATCH($C26,Gällivare!$B$6:$B$36,0),FALSE)="No Impact",HLOOKUP(RIGHT(BK$3,LEN(BK$3)-FIND(".",BK$3,FIND(".",BK$3)+1)),Gällivare!$B$6:$J$36,MATCH($C26,Gällivare!$B$6:$B$36,0),FALSE)="No Impact"),HLOOKUP(LEFT(BK$3,4),Global!$B$6:$J$36,MATCH($C26,Global!$B$6:$B$36,0),FALSE),IF(AND(HLOOKUP(MID(BK$3,FIND(".",BK$3)+1,FIND(".",BK$3,FIND(".",BK$3)+1)-FIND(".",BK$3)-1),Gällivare!$B$6:$J$36,MATCH($C26,Gällivare!$B$6:$B$36,0),FALSE)="No Impact",HLOOKUP(LEFT(BK$3,4),Global!$B$6:$J$36,MATCH($C26,Global!$B$6:$B$36,0),FALSE)="No Impact"),HLOOKUP(RIGHT(BK$3,LEN(BK$3)-FIND(".",BK$3,FIND(".",BK$3)+1)),Gällivare!$B$6:$J$36,MATCH($C26,Gällivare!$B$6:$B$36,0),FALSE),"Global: "&amp;HLOOKUP(LEFT(BK$3,4),Global!$B$6:$J$36,MATCH($C26,Global!$B$6:$B$36,0),FALSE)&amp;CHAR(10)&amp;"Local Trend: "&amp;HLOOKUP(MID(BK$3,FIND(".",BK$3)+1,FIND(".",BK$3,FIND(".",BK$3)+1)-FIND(".",BK$3)-1),Gällivare!$B$6:$J$36,MATCH($C26,Gällivare!$B$6:$B$36,0),FALSE)&amp;CHAR(10)&amp;"Local Target: "&amp;HLOOKUP(RIGHT(BK$3,LEN(BK$3)-FIND(".",BK$3,FIND(".",BK$3)+1)),Gällivare!$B$6:$J$36,MATCH($C26,Gällivare!$B$6:$B$36,0),FALSE)))</f>
        <v>Low</v>
      </c>
      <c r="BL26" s="177" t="str">
        <f>IF(AND(HLOOKUP(MID(BL$3,FIND(".",BL$3)+1,FIND(".",BL$3,FIND(".",BL$3)+1)-FIND(".",BL$3)-1),Gällivare!$B$6:$J$36,MATCH($C26,Gällivare!$B$6:$B$36,0),FALSE)="No Impact",HLOOKUP(RIGHT(BL$3,LEN(BL$3)-FIND(".",BL$3,FIND(".",BL$3)+1)),Gällivare!$B$6:$J$36,MATCH($C26,Gällivare!$B$6:$B$36,0),FALSE)="No Impact"),HLOOKUP(LEFT(BL$3,4),Global!$B$6:$J$36,MATCH($C26,Global!$B$6:$B$36,0),FALSE),IF(AND(HLOOKUP(MID(BL$3,FIND(".",BL$3)+1,FIND(".",BL$3,FIND(".",BL$3)+1)-FIND(".",BL$3)-1),Gällivare!$B$6:$J$36,MATCH($C26,Gällivare!$B$6:$B$36,0),FALSE)="No Impact",HLOOKUP(LEFT(BL$3,4),Global!$B$6:$J$36,MATCH($C26,Global!$B$6:$B$36,0),FALSE)="No Impact"),HLOOKUP(RIGHT(BL$3,LEN(BL$3)-FIND(".",BL$3,FIND(".",BL$3)+1)),Gällivare!$B$6:$J$36,MATCH($C26,Gällivare!$B$6:$B$36,0),FALSE),"Global: "&amp;HLOOKUP(LEFT(BL$3,4),Global!$B$6:$J$36,MATCH($C26,Global!$B$6:$B$36,0),FALSE)&amp;CHAR(10)&amp;"Local Trend: "&amp;HLOOKUP(MID(BL$3,FIND(".",BL$3)+1,FIND(".",BL$3,FIND(".",BL$3)+1)-FIND(".",BL$3)-1),Gällivare!$B$6:$J$36,MATCH($C26,Gällivare!$B$6:$B$36,0),FALSE)&amp;CHAR(10)&amp;"Local Target: "&amp;HLOOKUP(RIGHT(BL$3,LEN(BL$3)-FIND(".",BL$3,FIND(".",BL$3)+1)),Gällivare!$B$6:$J$36,MATCH($C26,Gällivare!$B$6:$B$36,0),FALSE)))</f>
        <v>Low</v>
      </c>
      <c r="BM26" s="177" t="str">
        <f>IF(AND(HLOOKUP(MID(BM$3,FIND(".",BM$3)+1,FIND(".",BM$3,FIND(".",BM$3)+1)-FIND(".",BM$3)-1),Gällivare!$B$6:$J$36,MATCH($C26,Gällivare!$B$6:$B$36,0),FALSE)="No Impact",HLOOKUP(RIGHT(BM$3,LEN(BM$3)-FIND(".",BM$3,FIND(".",BM$3)+1)),Gällivare!$B$6:$J$36,MATCH($C26,Gällivare!$B$6:$B$36,0),FALSE)="No Impact"),HLOOKUP(LEFT(BM$3,4),Global!$B$6:$J$36,MATCH($C26,Global!$B$6:$B$36,0),FALSE),IF(AND(HLOOKUP(MID(BM$3,FIND(".",BM$3)+1,FIND(".",BM$3,FIND(".",BM$3)+1)-FIND(".",BM$3)-1),Gällivare!$B$6:$J$36,MATCH($C26,Gällivare!$B$6:$B$36,0),FALSE)="No Impact",HLOOKUP(LEFT(BM$3,4),Global!$B$6:$J$36,MATCH($C26,Global!$B$6:$B$36,0),FALSE)="No Impact"),HLOOKUP(RIGHT(BM$3,LEN(BM$3)-FIND(".",BM$3,FIND(".",BM$3)+1)),Gällivare!$B$6:$J$36,MATCH($C26,Gällivare!$B$6:$B$36,0),FALSE),"Global: "&amp;HLOOKUP(LEFT(BM$3,4),Global!$B$6:$J$36,MATCH($C26,Global!$B$6:$B$36,0),FALSE)&amp;CHAR(10)&amp;"Local Trend: "&amp;HLOOKUP(MID(BM$3,FIND(".",BM$3)+1,FIND(".",BM$3,FIND(".",BM$3)+1)-FIND(".",BM$3)-1),Gällivare!$B$6:$J$36,MATCH($C26,Gällivare!$B$6:$B$36,0),FALSE)&amp;CHAR(10)&amp;"Local Target: "&amp;HLOOKUP(RIGHT(BM$3,LEN(BM$3)-FIND(".",BM$3,FIND(".",BM$3)+1)),Gällivare!$B$6:$J$36,MATCH($C26,Gällivare!$B$6:$B$36,0),FALSE)))</f>
        <v>Low</v>
      </c>
      <c r="BN26" s="177" t="str">
        <f>IF(AND(HLOOKUP(MID(BN$3,FIND(".",BN$3)+1,FIND(".",BN$3,FIND(".",BN$3)+1)-FIND(".",BN$3)-1),Gällivare!$B$6:$J$36,MATCH($C26,Gällivare!$B$6:$B$36,0),FALSE)="No Impact",HLOOKUP(RIGHT(BN$3,LEN(BN$3)-FIND(".",BN$3,FIND(".",BN$3)+1)),Gällivare!$B$6:$J$36,MATCH($C26,Gällivare!$B$6:$B$36,0),FALSE)="No Impact"),HLOOKUP(LEFT(BN$3,4),Global!$B$6:$J$36,MATCH($C26,Global!$B$6:$B$36,0),FALSE),IF(AND(HLOOKUP(MID(BN$3,FIND(".",BN$3)+1,FIND(".",BN$3,FIND(".",BN$3)+1)-FIND(".",BN$3)-1),Gällivare!$B$6:$J$36,MATCH($C26,Gällivare!$B$6:$B$36,0),FALSE)="No Impact",HLOOKUP(LEFT(BN$3,4),Global!$B$6:$J$36,MATCH($C26,Global!$B$6:$B$36,0),FALSE)="No Impact"),HLOOKUP(RIGHT(BN$3,LEN(BN$3)-FIND(".",BN$3,FIND(".",BN$3)+1)),Gällivare!$B$6:$J$36,MATCH($C26,Gällivare!$B$6:$B$36,0),FALSE),"Global: "&amp;HLOOKUP(LEFT(BN$3,4),Global!$B$6:$J$36,MATCH($C26,Global!$B$6:$B$36,0),FALSE)&amp;CHAR(10)&amp;"Local Trend: "&amp;HLOOKUP(MID(BN$3,FIND(".",BN$3)+1,FIND(".",BN$3,FIND(".",BN$3)+1)-FIND(".",BN$3)-1),Gällivare!$B$6:$J$36,MATCH($C26,Gällivare!$B$6:$B$36,0),FALSE)&amp;CHAR(10)&amp;"Local Target: "&amp;HLOOKUP(RIGHT(BN$3,LEN(BN$3)-FIND(".",BN$3,FIND(".",BN$3)+1)),Gällivare!$B$6:$J$36,MATCH($C26,Gällivare!$B$6:$B$36,0),FALSE)))</f>
        <v>Low</v>
      </c>
      <c r="BO26" s="177" t="str">
        <f>IF(AND(HLOOKUP(MID(BO$3,FIND(".",BO$3)+1,FIND(".",BO$3,FIND(".",BO$3)+1)-FIND(".",BO$3)-1),Gällivare!$B$6:$J$36,MATCH($C26,Gällivare!$B$6:$B$36,0),FALSE)="No Impact",HLOOKUP(RIGHT(BO$3,LEN(BO$3)-FIND(".",BO$3,FIND(".",BO$3)+1)),Gällivare!$B$6:$J$36,MATCH($C26,Gällivare!$B$6:$B$36,0),FALSE)="No Impact"),HLOOKUP(LEFT(BO$3,4),Global!$B$6:$J$36,MATCH($C26,Global!$B$6:$B$36,0),FALSE),IF(AND(HLOOKUP(MID(BO$3,FIND(".",BO$3)+1,FIND(".",BO$3,FIND(".",BO$3)+1)-FIND(".",BO$3)-1),Gällivare!$B$6:$J$36,MATCH($C26,Gällivare!$B$6:$B$36,0),FALSE)="No Impact",HLOOKUP(LEFT(BO$3,4),Global!$B$6:$J$36,MATCH($C26,Global!$B$6:$B$36,0),FALSE)="No Impact"),HLOOKUP(RIGHT(BO$3,LEN(BO$3)-FIND(".",BO$3,FIND(".",BO$3)+1)),Gällivare!$B$6:$J$36,MATCH($C26,Gällivare!$B$6:$B$36,0),FALSE),"Global: "&amp;HLOOKUP(LEFT(BO$3,4),Global!$B$6:$J$36,MATCH($C26,Global!$B$6:$B$36,0),FALSE)&amp;CHAR(10)&amp;"Local Trend: "&amp;HLOOKUP(MID(BO$3,FIND(".",BO$3)+1,FIND(".",BO$3,FIND(".",BO$3)+1)-FIND(".",BO$3)-1),Gällivare!$B$6:$J$36,MATCH($C26,Gällivare!$B$6:$B$36,0),FALSE)&amp;CHAR(10)&amp;"Local Target: "&amp;HLOOKUP(RIGHT(BO$3,LEN(BO$3)-FIND(".",BO$3,FIND(".",BO$3)+1)),Gällivare!$B$6:$J$36,MATCH($C26,Gällivare!$B$6:$B$36,0),FALSE)))</f>
        <v>Low</v>
      </c>
      <c r="BP26" s="177" t="str">
        <f>IF(AND(HLOOKUP(MID(BP$3,FIND(".",BP$3)+1,FIND(".",BP$3,FIND(".",BP$3)+1)-FIND(".",BP$3)-1),Gällivare!$B$6:$J$36,MATCH($C26,Gällivare!$B$6:$B$36,0),FALSE)="No Impact",HLOOKUP(RIGHT(BP$3,LEN(BP$3)-FIND(".",BP$3,FIND(".",BP$3)+1)),Gällivare!$B$6:$J$36,MATCH($C26,Gällivare!$B$6:$B$36,0),FALSE)="No Impact"),HLOOKUP(LEFT(BP$3,4),Global!$B$6:$J$36,MATCH($C26,Global!$B$6:$B$36,0),FALSE),IF(AND(HLOOKUP(MID(BP$3,FIND(".",BP$3)+1,FIND(".",BP$3,FIND(".",BP$3)+1)-FIND(".",BP$3)-1),Gällivare!$B$6:$J$36,MATCH($C26,Gällivare!$B$6:$B$36,0),FALSE)="No Impact",HLOOKUP(LEFT(BP$3,4),Global!$B$6:$J$36,MATCH($C26,Global!$B$6:$B$36,0),FALSE)="No Impact"),HLOOKUP(RIGHT(BP$3,LEN(BP$3)-FIND(".",BP$3,FIND(".",BP$3)+1)),Gällivare!$B$6:$J$36,MATCH($C26,Gällivare!$B$6:$B$36,0),FALSE),"Global: "&amp;HLOOKUP(LEFT(BP$3,4),Global!$B$6:$J$36,MATCH($C26,Global!$B$6:$B$36,0),FALSE)&amp;CHAR(10)&amp;"Local Trend: "&amp;HLOOKUP(MID(BP$3,FIND(".",BP$3)+1,FIND(".",BP$3,FIND(".",BP$3)+1)-FIND(".",BP$3)-1),Gällivare!$B$6:$J$36,MATCH($C26,Gällivare!$B$6:$B$36,0),FALSE)&amp;CHAR(10)&amp;"Local Target: "&amp;HLOOKUP(RIGHT(BP$3,LEN(BP$3)-FIND(".",BP$3,FIND(".",BP$3)+1)),Gällivare!$B$6:$J$36,MATCH($C26,Gällivare!$B$6:$B$36,0),FALSE)))</f>
        <v>Low</v>
      </c>
    </row>
    <row r="27" spans="2:74" ht="43.2" x14ac:dyDescent="0.3">
      <c r="B27" s="248"/>
      <c r="C27" s="175" t="s">
        <v>210</v>
      </c>
      <c r="D27" s="175" t="s">
        <v>204</v>
      </c>
      <c r="E27" s="175" t="s">
        <v>211</v>
      </c>
      <c r="F27" s="176" t="s">
        <v>165</v>
      </c>
      <c r="G27" s="176"/>
      <c r="H27" s="175" t="str">
        <f t="shared" si="1"/>
        <v>Medium</v>
      </c>
      <c r="I27" s="175" t="str">
        <f t="shared" si="1"/>
        <v>High</v>
      </c>
      <c r="J27" s="175" t="str">
        <f t="shared" si="1"/>
        <v>Low in begining
High around 2040</v>
      </c>
      <c r="K27" s="175" t="str">
        <f t="shared" si="1"/>
        <v>Medium</v>
      </c>
      <c r="L27" s="175" t="str">
        <f t="shared" si="1"/>
        <v>High</v>
      </c>
      <c r="M27" s="175" t="str">
        <f t="shared" si="1"/>
        <v>Low in begining
High around 2040</v>
      </c>
      <c r="N27" s="175" t="str">
        <f t="shared" si="1"/>
        <v>Medium</v>
      </c>
      <c r="O27" s="175" t="str">
        <f t="shared" si="1"/>
        <v>High</v>
      </c>
      <c r="P27" s="175" t="str">
        <f t="shared" si="1"/>
        <v>Low in begining
High around 2040</v>
      </c>
      <c r="Q27" s="175" t="str">
        <f t="shared" si="1"/>
        <v>Medium</v>
      </c>
      <c r="R27" s="175" t="str">
        <f t="shared" si="1"/>
        <v>High</v>
      </c>
      <c r="S27" s="175" t="str">
        <f t="shared" si="1"/>
        <v>Low in begining
High around 2040</v>
      </c>
      <c r="T27" s="175" t="str">
        <f t="shared" si="1"/>
        <v>Medium</v>
      </c>
      <c r="U27" s="175" t="str">
        <f t="shared" si="1"/>
        <v>High</v>
      </c>
      <c r="V27" s="175" t="str">
        <f t="shared" si="1"/>
        <v>Low in begining
High around 2040</v>
      </c>
      <c r="W27" s="175" t="str">
        <f t="shared" si="1"/>
        <v>Medium</v>
      </c>
      <c r="X27" s="175" t="str">
        <f t="shared" si="5"/>
        <v>High</v>
      </c>
      <c r="Y27" s="175" t="str">
        <f t="shared" si="5"/>
        <v>Low in begining
High around 2040</v>
      </c>
      <c r="Z27" s="175" t="str">
        <f t="shared" si="5"/>
        <v>Medium</v>
      </c>
      <c r="AA27" s="175" t="str">
        <f t="shared" si="5"/>
        <v>High</v>
      </c>
      <c r="AB27" s="175" t="str">
        <f t="shared" si="5"/>
        <v>Low in begining
High around 2040</v>
      </c>
      <c r="AC27" s="175" t="str">
        <f t="shared" si="5"/>
        <v>Medium</v>
      </c>
      <c r="AD27" s="175" t="str">
        <f t="shared" si="5"/>
        <v>High</v>
      </c>
      <c r="AE27" s="175" t="str">
        <f t="shared" si="5"/>
        <v>Low in begining
High around 2040</v>
      </c>
      <c r="AF27" s="175" t="str">
        <f t="shared" si="4"/>
        <v>Medium</v>
      </c>
      <c r="AG27" s="175" t="str">
        <f t="shared" si="4"/>
        <v>High</v>
      </c>
      <c r="AH27" s="175" t="str">
        <f t="shared" si="4"/>
        <v>Low in begining
High around 2040</v>
      </c>
      <c r="AI27" s="175" t="str">
        <f t="shared" si="4"/>
        <v>Medium</v>
      </c>
      <c r="AJ27" s="175" t="str">
        <f t="shared" si="4"/>
        <v>High</v>
      </c>
      <c r="AK27" s="175" t="str">
        <f t="shared" si="4"/>
        <v>Low in begining
High around 2040</v>
      </c>
      <c r="AL27" s="176"/>
      <c r="AM27" s="177" t="str">
        <f>IF(AND(HLOOKUP(MID(AM$3,FIND(".",AM$3)+1,FIND(".",AM$3,FIND(".",AM$3)+1)-FIND(".",AM$3)-1),Gällivare!$B$6:$J$36,MATCH($C27,Gällivare!$B$6:$B$36,0),FALSE)="No Impact",HLOOKUP(RIGHT(AM$3,LEN(AM$3)-FIND(".",AM$3,FIND(".",AM$3)+1)),Gällivare!$B$6:$J$36,MATCH($C27,Gällivare!$B$6:$B$36,0),FALSE)="No Impact"),HLOOKUP(LEFT(AM$3,4),Global!$B$6:$J$36,MATCH($C27,Global!$B$6:$B$36,0),FALSE),IF(AND(HLOOKUP(MID(AM$3,FIND(".",AM$3)+1,FIND(".",AM$3,FIND(".",AM$3)+1)-FIND(".",AM$3)-1),Gällivare!$B$6:$J$36,MATCH($C27,Gällivare!$B$6:$B$36,0),FALSE)="No Impact",HLOOKUP(LEFT(AM$3,4),Global!$B$6:$J$36,MATCH($C27,Global!$B$6:$B$36,0),FALSE)="No Impact"),HLOOKUP(RIGHT(AM$3,LEN(AM$3)-FIND(".",AM$3,FIND(".",AM$3)+1)),Gällivare!$B$6:$J$36,MATCH($C27,Gällivare!$B$6:$B$36,0),FALSE),"Global: "&amp;HLOOKUP(LEFT(AM$3,4),Global!$B$6:$J$36,MATCH($C27,Global!$B$6:$B$36,0),FALSE)&amp;CHAR(10)&amp;"Local Trend: "&amp;HLOOKUP(MID(AM$3,FIND(".",AM$3)+1,FIND(".",AM$3,FIND(".",AM$3)+1)-FIND(".",AM$3)-1),Gällivare!$B$6:$J$36,MATCH($C27,Gällivare!$B$6:$B$36,0),FALSE)&amp;CHAR(10)&amp;"Local Target: "&amp;HLOOKUP(RIGHT(AM$3,LEN(AM$3)-FIND(".",AM$3,FIND(".",AM$3)+1)),Gällivare!$B$6:$J$36,MATCH($C27,Gällivare!$B$6:$B$36,0),FALSE)))</f>
        <v>Medium</v>
      </c>
      <c r="AN27" s="177" t="str">
        <f>IF(AND(HLOOKUP(MID(AN$3,FIND(".",AN$3)+1,FIND(".",AN$3,FIND(".",AN$3)+1)-FIND(".",AN$3)-1),Gällivare!$B$6:$J$36,MATCH($C27,Gällivare!$B$6:$B$36,0),FALSE)="No Impact",HLOOKUP(RIGHT(AN$3,LEN(AN$3)-FIND(".",AN$3,FIND(".",AN$3)+1)),Gällivare!$B$6:$J$36,MATCH($C27,Gällivare!$B$6:$B$36,0),FALSE)="No Impact"),HLOOKUP(LEFT(AN$3,4),Global!$B$6:$J$36,MATCH($C27,Global!$B$6:$B$36,0),FALSE),IF(AND(HLOOKUP(MID(AN$3,FIND(".",AN$3)+1,FIND(".",AN$3,FIND(".",AN$3)+1)-FIND(".",AN$3)-1),Gällivare!$B$6:$J$36,MATCH($C27,Gällivare!$B$6:$B$36,0),FALSE)="No Impact",HLOOKUP(LEFT(AN$3,4),Global!$B$6:$J$36,MATCH($C27,Global!$B$6:$B$36,0),FALSE)="No Impact"),HLOOKUP(RIGHT(AN$3,LEN(AN$3)-FIND(".",AN$3,FIND(".",AN$3)+1)),Gällivare!$B$6:$J$36,MATCH($C27,Gällivare!$B$6:$B$36,0),FALSE),"Global: "&amp;HLOOKUP(LEFT(AN$3,4),Global!$B$6:$J$36,MATCH($C27,Global!$B$6:$B$36,0),FALSE)&amp;CHAR(10)&amp;"Local Trend: "&amp;HLOOKUP(MID(AN$3,FIND(".",AN$3)+1,FIND(".",AN$3,FIND(".",AN$3)+1)-FIND(".",AN$3)-1),Gällivare!$B$6:$J$36,MATCH($C27,Gällivare!$B$6:$B$36,0),FALSE)&amp;CHAR(10)&amp;"Local Target: "&amp;HLOOKUP(RIGHT(AN$3,LEN(AN$3)-FIND(".",AN$3,FIND(".",AN$3)+1)),Gällivare!$B$6:$J$36,MATCH($C27,Gällivare!$B$6:$B$36,0),FALSE)))</f>
        <v>High</v>
      </c>
      <c r="AO27" s="177" t="str">
        <f>IF(AND(HLOOKUP(MID(AO$3,FIND(".",AO$3)+1,FIND(".",AO$3,FIND(".",AO$3)+1)-FIND(".",AO$3)-1),Gällivare!$B$6:$J$36,MATCH($C27,Gällivare!$B$6:$B$36,0),FALSE)="No Impact",HLOOKUP(RIGHT(AO$3,LEN(AO$3)-FIND(".",AO$3,FIND(".",AO$3)+1)),Gällivare!$B$6:$J$36,MATCH($C27,Gällivare!$B$6:$B$36,0),FALSE)="No Impact"),HLOOKUP(LEFT(AO$3,4),Global!$B$6:$J$36,MATCH($C27,Global!$B$6:$B$36,0),FALSE),IF(AND(HLOOKUP(MID(AO$3,FIND(".",AO$3)+1,FIND(".",AO$3,FIND(".",AO$3)+1)-FIND(".",AO$3)-1),Gällivare!$B$6:$J$36,MATCH($C27,Gällivare!$B$6:$B$36,0),FALSE)="No Impact",HLOOKUP(LEFT(AO$3,4),Global!$B$6:$J$36,MATCH($C27,Global!$B$6:$B$36,0),FALSE)="No Impact"),HLOOKUP(RIGHT(AO$3,LEN(AO$3)-FIND(".",AO$3,FIND(".",AO$3)+1)),Gällivare!$B$6:$J$36,MATCH($C27,Gällivare!$B$6:$B$36,0),FALSE),"Global: "&amp;HLOOKUP(LEFT(AO$3,4),Global!$B$6:$J$36,MATCH($C27,Global!$B$6:$B$36,0),FALSE)&amp;CHAR(10)&amp;"Local Trend: "&amp;HLOOKUP(MID(AO$3,FIND(".",AO$3)+1,FIND(".",AO$3,FIND(".",AO$3)+1)-FIND(".",AO$3)-1),Gällivare!$B$6:$J$36,MATCH($C27,Gällivare!$B$6:$B$36,0),FALSE)&amp;CHAR(10)&amp;"Local Target: "&amp;HLOOKUP(RIGHT(AO$3,LEN(AO$3)-FIND(".",AO$3,FIND(".",AO$3)+1)),Gällivare!$B$6:$J$36,MATCH($C27,Gällivare!$B$6:$B$36,0),FALSE)))</f>
        <v>Low in begining
High around 2040</v>
      </c>
      <c r="AP27" s="177" t="str">
        <f>IF(AND(HLOOKUP(MID(AP$3,FIND(".",AP$3)+1,FIND(".",AP$3,FIND(".",AP$3)+1)-FIND(".",AP$3)-1),Gällivare!$B$6:$J$36,MATCH($C27,Gällivare!$B$6:$B$36,0),FALSE)="No Impact",HLOOKUP(RIGHT(AP$3,LEN(AP$3)-FIND(".",AP$3,FIND(".",AP$3)+1)),Gällivare!$B$6:$J$36,MATCH($C27,Gällivare!$B$6:$B$36,0),FALSE)="No Impact"),HLOOKUP(LEFT(AP$3,4),Global!$B$6:$J$36,MATCH($C27,Global!$B$6:$B$36,0),FALSE),IF(AND(HLOOKUP(MID(AP$3,FIND(".",AP$3)+1,FIND(".",AP$3,FIND(".",AP$3)+1)-FIND(".",AP$3)-1),Gällivare!$B$6:$J$36,MATCH($C27,Gällivare!$B$6:$B$36,0),FALSE)="No Impact",HLOOKUP(LEFT(AP$3,4),Global!$B$6:$J$36,MATCH($C27,Global!$B$6:$B$36,0),FALSE)="No Impact"),HLOOKUP(RIGHT(AP$3,LEN(AP$3)-FIND(".",AP$3,FIND(".",AP$3)+1)),Gällivare!$B$6:$J$36,MATCH($C27,Gällivare!$B$6:$B$36,0),FALSE),"Global: "&amp;HLOOKUP(LEFT(AP$3,4),Global!$B$6:$J$36,MATCH($C27,Global!$B$6:$B$36,0),FALSE)&amp;CHAR(10)&amp;"Local Trend: "&amp;HLOOKUP(MID(AP$3,FIND(".",AP$3)+1,FIND(".",AP$3,FIND(".",AP$3)+1)-FIND(".",AP$3)-1),Gällivare!$B$6:$J$36,MATCH($C27,Gällivare!$B$6:$B$36,0),FALSE)&amp;CHAR(10)&amp;"Local Target: "&amp;HLOOKUP(RIGHT(AP$3,LEN(AP$3)-FIND(".",AP$3,FIND(".",AP$3)+1)),Gällivare!$B$6:$J$36,MATCH($C27,Gällivare!$B$6:$B$36,0),FALSE)))</f>
        <v>Medium</v>
      </c>
      <c r="AQ27" s="177" t="str">
        <f>IF(AND(HLOOKUP(MID(AQ$3,FIND(".",AQ$3)+1,FIND(".",AQ$3,FIND(".",AQ$3)+1)-FIND(".",AQ$3)-1),Gällivare!$B$6:$J$36,MATCH($C27,Gällivare!$B$6:$B$36,0),FALSE)="No Impact",HLOOKUP(RIGHT(AQ$3,LEN(AQ$3)-FIND(".",AQ$3,FIND(".",AQ$3)+1)),Gällivare!$B$6:$J$36,MATCH($C27,Gällivare!$B$6:$B$36,0),FALSE)="No Impact"),HLOOKUP(LEFT(AQ$3,4),Global!$B$6:$J$36,MATCH($C27,Global!$B$6:$B$36,0),FALSE),IF(AND(HLOOKUP(MID(AQ$3,FIND(".",AQ$3)+1,FIND(".",AQ$3,FIND(".",AQ$3)+1)-FIND(".",AQ$3)-1),Gällivare!$B$6:$J$36,MATCH($C27,Gällivare!$B$6:$B$36,0),FALSE)="No Impact",HLOOKUP(LEFT(AQ$3,4),Global!$B$6:$J$36,MATCH($C27,Global!$B$6:$B$36,0),FALSE)="No Impact"),HLOOKUP(RIGHT(AQ$3,LEN(AQ$3)-FIND(".",AQ$3,FIND(".",AQ$3)+1)),Gällivare!$B$6:$J$36,MATCH($C27,Gällivare!$B$6:$B$36,0),FALSE),"Global: "&amp;HLOOKUP(LEFT(AQ$3,4),Global!$B$6:$J$36,MATCH($C27,Global!$B$6:$B$36,0),FALSE)&amp;CHAR(10)&amp;"Local Trend: "&amp;HLOOKUP(MID(AQ$3,FIND(".",AQ$3)+1,FIND(".",AQ$3,FIND(".",AQ$3)+1)-FIND(".",AQ$3)-1),Gällivare!$B$6:$J$36,MATCH($C27,Gällivare!$B$6:$B$36,0),FALSE)&amp;CHAR(10)&amp;"Local Target: "&amp;HLOOKUP(RIGHT(AQ$3,LEN(AQ$3)-FIND(".",AQ$3,FIND(".",AQ$3)+1)),Gällivare!$B$6:$J$36,MATCH($C27,Gällivare!$B$6:$B$36,0),FALSE)))</f>
        <v>High</v>
      </c>
      <c r="AR27" s="177" t="str">
        <f>IF(AND(HLOOKUP(MID(AR$3,FIND(".",AR$3)+1,FIND(".",AR$3,FIND(".",AR$3)+1)-FIND(".",AR$3)-1),Gällivare!$B$6:$J$36,MATCH($C27,Gällivare!$B$6:$B$36,0),FALSE)="No Impact",HLOOKUP(RIGHT(AR$3,LEN(AR$3)-FIND(".",AR$3,FIND(".",AR$3)+1)),Gällivare!$B$6:$J$36,MATCH($C27,Gällivare!$B$6:$B$36,0),FALSE)="No Impact"),HLOOKUP(LEFT(AR$3,4),Global!$B$6:$J$36,MATCH($C27,Global!$B$6:$B$36,0),FALSE),IF(AND(HLOOKUP(MID(AR$3,FIND(".",AR$3)+1,FIND(".",AR$3,FIND(".",AR$3)+1)-FIND(".",AR$3)-1),Gällivare!$B$6:$J$36,MATCH($C27,Gällivare!$B$6:$B$36,0),FALSE)="No Impact",HLOOKUP(LEFT(AR$3,4),Global!$B$6:$J$36,MATCH($C27,Global!$B$6:$B$36,0),FALSE)="No Impact"),HLOOKUP(RIGHT(AR$3,LEN(AR$3)-FIND(".",AR$3,FIND(".",AR$3)+1)),Gällivare!$B$6:$J$36,MATCH($C27,Gällivare!$B$6:$B$36,0),FALSE),"Global: "&amp;HLOOKUP(LEFT(AR$3,4),Global!$B$6:$J$36,MATCH($C27,Global!$B$6:$B$36,0),FALSE)&amp;CHAR(10)&amp;"Local Trend: "&amp;HLOOKUP(MID(AR$3,FIND(".",AR$3)+1,FIND(".",AR$3,FIND(".",AR$3)+1)-FIND(".",AR$3)-1),Gällivare!$B$6:$J$36,MATCH($C27,Gällivare!$B$6:$B$36,0),FALSE)&amp;CHAR(10)&amp;"Local Target: "&amp;HLOOKUP(RIGHT(AR$3,LEN(AR$3)-FIND(".",AR$3,FIND(".",AR$3)+1)),Gällivare!$B$6:$J$36,MATCH($C27,Gällivare!$B$6:$B$36,0),FALSE)))</f>
        <v>Low in begining
High around 2040</v>
      </c>
      <c r="AS27" s="177" t="str">
        <f>IF(AND(HLOOKUP(MID(AS$3,FIND(".",AS$3)+1,FIND(".",AS$3,FIND(".",AS$3)+1)-FIND(".",AS$3)-1),Gällivare!$B$6:$J$36,MATCH($C27,Gällivare!$B$6:$B$36,0),FALSE)="No Impact",HLOOKUP(RIGHT(AS$3,LEN(AS$3)-FIND(".",AS$3,FIND(".",AS$3)+1)),Gällivare!$B$6:$J$36,MATCH($C27,Gällivare!$B$6:$B$36,0),FALSE)="No Impact"),HLOOKUP(LEFT(AS$3,4),Global!$B$6:$J$36,MATCH($C27,Global!$B$6:$B$36,0),FALSE),IF(AND(HLOOKUP(MID(AS$3,FIND(".",AS$3)+1,FIND(".",AS$3,FIND(".",AS$3)+1)-FIND(".",AS$3)-1),Gällivare!$B$6:$J$36,MATCH($C27,Gällivare!$B$6:$B$36,0),FALSE)="No Impact",HLOOKUP(LEFT(AS$3,4),Global!$B$6:$J$36,MATCH($C27,Global!$B$6:$B$36,0),FALSE)="No Impact"),HLOOKUP(RIGHT(AS$3,LEN(AS$3)-FIND(".",AS$3,FIND(".",AS$3)+1)),Gällivare!$B$6:$J$36,MATCH($C27,Gällivare!$B$6:$B$36,0),FALSE),"Global: "&amp;HLOOKUP(LEFT(AS$3,4),Global!$B$6:$J$36,MATCH($C27,Global!$B$6:$B$36,0),FALSE)&amp;CHAR(10)&amp;"Local Trend: "&amp;HLOOKUP(MID(AS$3,FIND(".",AS$3)+1,FIND(".",AS$3,FIND(".",AS$3)+1)-FIND(".",AS$3)-1),Gällivare!$B$6:$J$36,MATCH($C27,Gällivare!$B$6:$B$36,0),FALSE)&amp;CHAR(10)&amp;"Local Target: "&amp;HLOOKUP(RIGHT(AS$3,LEN(AS$3)-FIND(".",AS$3,FIND(".",AS$3)+1)),Gällivare!$B$6:$J$36,MATCH($C27,Gällivare!$B$6:$B$36,0),FALSE)))</f>
        <v>Medium</v>
      </c>
      <c r="AT27" s="177" t="str">
        <f>IF(AND(HLOOKUP(MID(AT$3,FIND(".",AT$3)+1,FIND(".",AT$3,FIND(".",AT$3)+1)-FIND(".",AT$3)-1),Gällivare!$B$6:$J$36,MATCH($C27,Gällivare!$B$6:$B$36,0),FALSE)="No Impact",HLOOKUP(RIGHT(AT$3,LEN(AT$3)-FIND(".",AT$3,FIND(".",AT$3)+1)),Gällivare!$B$6:$J$36,MATCH($C27,Gällivare!$B$6:$B$36,0),FALSE)="No Impact"),HLOOKUP(LEFT(AT$3,4),Global!$B$6:$J$36,MATCH($C27,Global!$B$6:$B$36,0),FALSE),IF(AND(HLOOKUP(MID(AT$3,FIND(".",AT$3)+1,FIND(".",AT$3,FIND(".",AT$3)+1)-FIND(".",AT$3)-1),Gällivare!$B$6:$J$36,MATCH($C27,Gällivare!$B$6:$B$36,0),FALSE)="No Impact",HLOOKUP(LEFT(AT$3,4),Global!$B$6:$J$36,MATCH($C27,Global!$B$6:$B$36,0),FALSE)="No Impact"),HLOOKUP(RIGHT(AT$3,LEN(AT$3)-FIND(".",AT$3,FIND(".",AT$3)+1)),Gällivare!$B$6:$J$36,MATCH($C27,Gällivare!$B$6:$B$36,0),FALSE),"Global: "&amp;HLOOKUP(LEFT(AT$3,4),Global!$B$6:$J$36,MATCH($C27,Global!$B$6:$B$36,0),FALSE)&amp;CHAR(10)&amp;"Local Trend: "&amp;HLOOKUP(MID(AT$3,FIND(".",AT$3)+1,FIND(".",AT$3,FIND(".",AT$3)+1)-FIND(".",AT$3)-1),Gällivare!$B$6:$J$36,MATCH($C27,Gällivare!$B$6:$B$36,0),FALSE)&amp;CHAR(10)&amp;"Local Target: "&amp;HLOOKUP(RIGHT(AT$3,LEN(AT$3)-FIND(".",AT$3,FIND(".",AT$3)+1)),Gällivare!$B$6:$J$36,MATCH($C27,Gällivare!$B$6:$B$36,0),FALSE)))</f>
        <v>High</v>
      </c>
      <c r="AU27" s="177" t="str">
        <f>IF(AND(HLOOKUP(MID(AU$3,FIND(".",AU$3)+1,FIND(".",AU$3,FIND(".",AU$3)+1)-FIND(".",AU$3)-1),Gällivare!$B$6:$J$36,MATCH($C27,Gällivare!$B$6:$B$36,0),FALSE)="No Impact",HLOOKUP(RIGHT(AU$3,LEN(AU$3)-FIND(".",AU$3,FIND(".",AU$3)+1)),Gällivare!$B$6:$J$36,MATCH($C27,Gällivare!$B$6:$B$36,0),FALSE)="No Impact"),HLOOKUP(LEFT(AU$3,4),Global!$B$6:$J$36,MATCH($C27,Global!$B$6:$B$36,0),FALSE),IF(AND(HLOOKUP(MID(AU$3,FIND(".",AU$3)+1,FIND(".",AU$3,FIND(".",AU$3)+1)-FIND(".",AU$3)-1),Gällivare!$B$6:$J$36,MATCH($C27,Gällivare!$B$6:$B$36,0),FALSE)="No Impact",HLOOKUP(LEFT(AU$3,4),Global!$B$6:$J$36,MATCH($C27,Global!$B$6:$B$36,0),FALSE)="No Impact"),HLOOKUP(RIGHT(AU$3,LEN(AU$3)-FIND(".",AU$3,FIND(".",AU$3)+1)),Gällivare!$B$6:$J$36,MATCH($C27,Gällivare!$B$6:$B$36,0),FALSE),"Global: "&amp;HLOOKUP(LEFT(AU$3,4),Global!$B$6:$J$36,MATCH($C27,Global!$B$6:$B$36,0),FALSE)&amp;CHAR(10)&amp;"Local Trend: "&amp;HLOOKUP(MID(AU$3,FIND(".",AU$3)+1,FIND(".",AU$3,FIND(".",AU$3)+1)-FIND(".",AU$3)-1),Gällivare!$B$6:$J$36,MATCH($C27,Gällivare!$B$6:$B$36,0),FALSE)&amp;CHAR(10)&amp;"Local Target: "&amp;HLOOKUP(RIGHT(AU$3,LEN(AU$3)-FIND(".",AU$3,FIND(".",AU$3)+1)),Gällivare!$B$6:$J$36,MATCH($C27,Gällivare!$B$6:$B$36,0),FALSE)))</f>
        <v>Low in begining
High around 2040</v>
      </c>
      <c r="AV27" s="177" t="str">
        <f>IF(AND(HLOOKUP(MID(AV$3,FIND(".",AV$3)+1,FIND(".",AV$3,FIND(".",AV$3)+1)-FIND(".",AV$3)-1),Gällivare!$B$6:$J$36,MATCH($C27,Gällivare!$B$6:$B$36,0),FALSE)="No Impact",HLOOKUP(RIGHT(AV$3,LEN(AV$3)-FIND(".",AV$3,FIND(".",AV$3)+1)),Gällivare!$B$6:$J$36,MATCH($C27,Gällivare!$B$6:$B$36,0),FALSE)="No Impact"),HLOOKUP(LEFT(AV$3,4),Global!$B$6:$J$36,MATCH($C27,Global!$B$6:$B$36,0),FALSE),IF(AND(HLOOKUP(MID(AV$3,FIND(".",AV$3)+1,FIND(".",AV$3,FIND(".",AV$3)+1)-FIND(".",AV$3)-1),Gällivare!$B$6:$J$36,MATCH($C27,Gällivare!$B$6:$B$36,0),FALSE)="No Impact",HLOOKUP(LEFT(AV$3,4),Global!$B$6:$J$36,MATCH($C27,Global!$B$6:$B$36,0),FALSE)="No Impact"),HLOOKUP(RIGHT(AV$3,LEN(AV$3)-FIND(".",AV$3,FIND(".",AV$3)+1)),Gällivare!$B$6:$J$36,MATCH($C27,Gällivare!$B$6:$B$36,0),FALSE),"Global: "&amp;HLOOKUP(LEFT(AV$3,4),Global!$B$6:$J$36,MATCH($C27,Global!$B$6:$B$36,0),FALSE)&amp;CHAR(10)&amp;"Local Trend: "&amp;HLOOKUP(MID(AV$3,FIND(".",AV$3)+1,FIND(".",AV$3,FIND(".",AV$3)+1)-FIND(".",AV$3)-1),Gällivare!$B$6:$J$36,MATCH($C27,Gällivare!$B$6:$B$36,0),FALSE)&amp;CHAR(10)&amp;"Local Target: "&amp;HLOOKUP(RIGHT(AV$3,LEN(AV$3)-FIND(".",AV$3,FIND(".",AV$3)+1)),Gällivare!$B$6:$J$36,MATCH($C27,Gällivare!$B$6:$B$36,0),FALSE)))</f>
        <v>Medium</v>
      </c>
      <c r="AW27" s="177" t="str">
        <f>IF(AND(HLOOKUP(MID(AW$3,FIND(".",AW$3)+1,FIND(".",AW$3,FIND(".",AW$3)+1)-FIND(".",AW$3)-1),Gällivare!$B$6:$J$36,MATCH($C27,Gällivare!$B$6:$B$36,0),FALSE)="No Impact",HLOOKUP(RIGHT(AW$3,LEN(AW$3)-FIND(".",AW$3,FIND(".",AW$3)+1)),Gällivare!$B$6:$J$36,MATCH($C27,Gällivare!$B$6:$B$36,0),FALSE)="No Impact"),HLOOKUP(LEFT(AW$3,4),Global!$B$6:$J$36,MATCH($C27,Global!$B$6:$B$36,0),FALSE),IF(AND(HLOOKUP(MID(AW$3,FIND(".",AW$3)+1,FIND(".",AW$3,FIND(".",AW$3)+1)-FIND(".",AW$3)-1),Gällivare!$B$6:$J$36,MATCH($C27,Gällivare!$B$6:$B$36,0),FALSE)="No Impact",HLOOKUP(LEFT(AW$3,4),Global!$B$6:$J$36,MATCH($C27,Global!$B$6:$B$36,0),FALSE)="No Impact"),HLOOKUP(RIGHT(AW$3,LEN(AW$3)-FIND(".",AW$3,FIND(".",AW$3)+1)),Gällivare!$B$6:$J$36,MATCH($C27,Gällivare!$B$6:$B$36,0),FALSE),"Global: "&amp;HLOOKUP(LEFT(AW$3,4),Global!$B$6:$J$36,MATCH($C27,Global!$B$6:$B$36,0),FALSE)&amp;CHAR(10)&amp;"Local Trend: "&amp;HLOOKUP(MID(AW$3,FIND(".",AW$3)+1,FIND(".",AW$3,FIND(".",AW$3)+1)-FIND(".",AW$3)-1),Gällivare!$B$6:$J$36,MATCH($C27,Gällivare!$B$6:$B$36,0),FALSE)&amp;CHAR(10)&amp;"Local Target: "&amp;HLOOKUP(RIGHT(AW$3,LEN(AW$3)-FIND(".",AW$3,FIND(".",AW$3)+1)),Gällivare!$B$6:$J$36,MATCH($C27,Gällivare!$B$6:$B$36,0),FALSE)))</f>
        <v>High</v>
      </c>
      <c r="AX27" s="177" t="str">
        <f>IF(AND(HLOOKUP(MID(AX$3,FIND(".",AX$3)+1,FIND(".",AX$3,FIND(".",AX$3)+1)-FIND(".",AX$3)-1),Gällivare!$B$6:$J$36,MATCH($C27,Gällivare!$B$6:$B$36,0),FALSE)="No Impact",HLOOKUP(RIGHT(AX$3,LEN(AX$3)-FIND(".",AX$3,FIND(".",AX$3)+1)),Gällivare!$B$6:$J$36,MATCH($C27,Gällivare!$B$6:$B$36,0),FALSE)="No Impact"),HLOOKUP(LEFT(AX$3,4),Global!$B$6:$J$36,MATCH($C27,Global!$B$6:$B$36,0),FALSE),IF(AND(HLOOKUP(MID(AX$3,FIND(".",AX$3)+1,FIND(".",AX$3,FIND(".",AX$3)+1)-FIND(".",AX$3)-1),Gällivare!$B$6:$J$36,MATCH($C27,Gällivare!$B$6:$B$36,0),FALSE)="No Impact",HLOOKUP(LEFT(AX$3,4),Global!$B$6:$J$36,MATCH($C27,Global!$B$6:$B$36,0),FALSE)="No Impact"),HLOOKUP(RIGHT(AX$3,LEN(AX$3)-FIND(".",AX$3,FIND(".",AX$3)+1)),Gällivare!$B$6:$J$36,MATCH($C27,Gällivare!$B$6:$B$36,0),FALSE),"Global: "&amp;HLOOKUP(LEFT(AX$3,4),Global!$B$6:$J$36,MATCH($C27,Global!$B$6:$B$36,0),FALSE)&amp;CHAR(10)&amp;"Local Trend: "&amp;HLOOKUP(MID(AX$3,FIND(".",AX$3)+1,FIND(".",AX$3,FIND(".",AX$3)+1)-FIND(".",AX$3)-1),Gällivare!$B$6:$J$36,MATCH($C27,Gällivare!$B$6:$B$36,0),FALSE)&amp;CHAR(10)&amp;"Local Target: "&amp;HLOOKUP(RIGHT(AX$3,LEN(AX$3)-FIND(".",AX$3,FIND(".",AX$3)+1)),Gällivare!$B$6:$J$36,MATCH($C27,Gällivare!$B$6:$B$36,0),FALSE)))</f>
        <v>Low in begining
High around 2040</v>
      </c>
      <c r="AY27" s="177" t="str">
        <f>IF(AND(HLOOKUP(MID(AY$3,FIND(".",AY$3)+1,FIND(".",AY$3,FIND(".",AY$3)+1)-FIND(".",AY$3)-1),Gällivare!$B$6:$J$36,MATCH($C27,Gällivare!$B$6:$B$36,0),FALSE)="No Impact",HLOOKUP(RIGHT(AY$3,LEN(AY$3)-FIND(".",AY$3,FIND(".",AY$3)+1)),Gällivare!$B$6:$J$36,MATCH($C27,Gällivare!$B$6:$B$36,0),FALSE)="No Impact"),HLOOKUP(LEFT(AY$3,4),Global!$B$6:$J$36,MATCH($C27,Global!$B$6:$B$36,0),FALSE),IF(AND(HLOOKUP(MID(AY$3,FIND(".",AY$3)+1,FIND(".",AY$3,FIND(".",AY$3)+1)-FIND(".",AY$3)-1),Gällivare!$B$6:$J$36,MATCH($C27,Gällivare!$B$6:$B$36,0),FALSE)="No Impact",HLOOKUP(LEFT(AY$3,4),Global!$B$6:$J$36,MATCH($C27,Global!$B$6:$B$36,0),FALSE)="No Impact"),HLOOKUP(RIGHT(AY$3,LEN(AY$3)-FIND(".",AY$3,FIND(".",AY$3)+1)),Gällivare!$B$6:$J$36,MATCH($C27,Gällivare!$B$6:$B$36,0),FALSE),"Global: "&amp;HLOOKUP(LEFT(AY$3,4),Global!$B$6:$J$36,MATCH($C27,Global!$B$6:$B$36,0),FALSE)&amp;CHAR(10)&amp;"Local Trend: "&amp;HLOOKUP(MID(AY$3,FIND(".",AY$3)+1,FIND(".",AY$3,FIND(".",AY$3)+1)-FIND(".",AY$3)-1),Gällivare!$B$6:$J$36,MATCH($C27,Gällivare!$B$6:$B$36,0),FALSE)&amp;CHAR(10)&amp;"Local Target: "&amp;HLOOKUP(RIGHT(AY$3,LEN(AY$3)-FIND(".",AY$3,FIND(".",AY$3)+1)),Gällivare!$B$6:$J$36,MATCH($C27,Gällivare!$B$6:$B$36,0),FALSE)))</f>
        <v>Medium</v>
      </c>
      <c r="AZ27" s="177" t="str">
        <f>IF(AND(HLOOKUP(MID(AZ$3,FIND(".",AZ$3)+1,FIND(".",AZ$3,FIND(".",AZ$3)+1)-FIND(".",AZ$3)-1),Gällivare!$B$6:$J$36,MATCH($C27,Gällivare!$B$6:$B$36,0),FALSE)="No Impact",HLOOKUP(RIGHT(AZ$3,LEN(AZ$3)-FIND(".",AZ$3,FIND(".",AZ$3)+1)),Gällivare!$B$6:$J$36,MATCH($C27,Gällivare!$B$6:$B$36,0),FALSE)="No Impact"),HLOOKUP(LEFT(AZ$3,4),Global!$B$6:$J$36,MATCH($C27,Global!$B$6:$B$36,0),FALSE),IF(AND(HLOOKUP(MID(AZ$3,FIND(".",AZ$3)+1,FIND(".",AZ$3,FIND(".",AZ$3)+1)-FIND(".",AZ$3)-1),Gällivare!$B$6:$J$36,MATCH($C27,Gällivare!$B$6:$B$36,0),FALSE)="No Impact",HLOOKUP(LEFT(AZ$3,4),Global!$B$6:$J$36,MATCH($C27,Global!$B$6:$B$36,0),FALSE)="No Impact"),HLOOKUP(RIGHT(AZ$3,LEN(AZ$3)-FIND(".",AZ$3,FIND(".",AZ$3)+1)),Gällivare!$B$6:$J$36,MATCH($C27,Gällivare!$B$6:$B$36,0),FALSE),"Global: "&amp;HLOOKUP(LEFT(AZ$3,4),Global!$B$6:$J$36,MATCH($C27,Global!$B$6:$B$36,0),FALSE)&amp;CHAR(10)&amp;"Local Trend: "&amp;HLOOKUP(MID(AZ$3,FIND(".",AZ$3)+1,FIND(".",AZ$3,FIND(".",AZ$3)+1)-FIND(".",AZ$3)-1),Gällivare!$B$6:$J$36,MATCH($C27,Gällivare!$B$6:$B$36,0),FALSE)&amp;CHAR(10)&amp;"Local Target: "&amp;HLOOKUP(RIGHT(AZ$3,LEN(AZ$3)-FIND(".",AZ$3,FIND(".",AZ$3)+1)),Gällivare!$B$6:$J$36,MATCH($C27,Gällivare!$B$6:$B$36,0),FALSE)))</f>
        <v>High</v>
      </c>
      <c r="BA27" s="177" t="str">
        <f>IF(AND(HLOOKUP(MID(BA$3,FIND(".",BA$3)+1,FIND(".",BA$3,FIND(".",BA$3)+1)-FIND(".",BA$3)-1),Gällivare!$B$6:$J$36,MATCH($C27,Gällivare!$B$6:$B$36,0),FALSE)="No Impact",HLOOKUP(RIGHT(BA$3,LEN(BA$3)-FIND(".",BA$3,FIND(".",BA$3)+1)),Gällivare!$B$6:$J$36,MATCH($C27,Gällivare!$B$6:$B$36,0),FALSE)="No Impact"),HLOOKUP(LEFT(BA$3,4),Global!$B$6:$J$36,MATCH($C27,Global!$B$6:$B$36,0),FALSE),IF(AND(HLOOKUP(MID(BA$3,FIND(".",BA$3)+1,FIND(".",BA$3,FIND(".",BA$3)+1)-FIND(".",BA$3)-1),Gällivare!$B$6:$J$36,MATCH($C27,Gällivare!$B$6:$B$36,0),FALSE)="No Impact",HLOOKUP(LEFT(BA$3,4),Global!$B$6:$J$36,MATCH($C27,Global!$B$6:$B$36,0),FALSE)="No Impact"),HLOOKUP(RIGHT(BA$3,LEN(BA$3)-FIND(".",BA$3,FIND(".",BA$3)+1)),Gällivare!$B$6:$J$36,MATCH($C27,Gällivare!$B$6:$B$36,0),FALSE),"Global: "&amp;HLOOKUP(LEFT(BA$3,4),Global!$B$6:$J$36,MATCH($C27,Global!$B$6:$B$36,0),FALSE)&amp;CHAR(10)&amp;"Local Trend: "&amp;HLOOKUP(MID(BA$3,FIND(".",BA$3)+1,FIND(".",BA$3,FIND(".",BA$3)+1)-FIND(".",BA$3)-1),Gällivare!$B$6:$J$36,MATCH($C27,Gällivare!$B$6:$B$36,0),FALSE)&amp;CHAR(10)&amp;"Local Target: "&amp;HLOOKUP(RIGHT(BA$3,LEN(BA$3)-FIND(".",BA$3,FIND(".",BA$3)+1)),Gällivare!$B$6:$J$36,MATCH($C27,Gällivare!$B$6:$B$36,0),FALSE)))</f>
        <v>Low in begining
High around 2040</v>
      </c>
      <c r="BB27" s="177" t="str">
        <f>IF(AND(HLOOKUP(MID(BB$3,FIND(".",BB$3)+1,FIND(".",BB$3,FIND(".",BB$3)+1)-FIND(".",BB$3)-1),Gällivare!$B$6:$J$36,MATCH($C27,Gällivare!$B$6:$B$36,0),FALSE)="No Impact",HLOOKUP(RIGHT(BB$3,LEN(BB$3)-FIND(".",BB$3,FIND(".",BB$3)+1)),Gällivare!$B$6:$J$36,MATCH($C27,Gällivare!$B$6:$B$36,0),FALSE)="No Impact"),HLOOKUP(LEFT(BB$3,4),Global!$B$6:$J$36,MATCH($C27,Global!$B$6:$B$36,0),FALSE),IF(AND(HLOOKUP(MID(BB$3,FIND(".",BB$3)+1,FIND(".",BB$3,FIND(".",BB$3)+1)-FIND(".",BB$3)-1),Gällivare!$B$6:$J$36,MATCH($C27,Gällivare!$B$6:$B$36,0),FALSE)="No Impact",HLOOKUP(LEFT(BB$3,4),Global!$B$6:$J$36,MATCH($C27,Global!$B$6:$B$36,0),FALSE)="No Impact"),HLOOKUP(RIGHT(BB$3,LEN(BB$3)-FIND(".",BB$3,FIND(".",BB$3)+1)),Gällivare!$B$6:$J$36,MATCH($C27,Gällivare!$B$6:$B$36,0),FALSE),"Global: "&amp;HLOOKUP(LEFT(BB$3,4),Global!$B$6:$J$36,MATCH($C27,Global!$B$6:$B$36,0),FALSE)&amp;CHAR(10)&amp;"Local Trend: "&amp;HLOOKUP(MID(BB$3,FIND(".",BB$3)+1,FIND(".",BB$3,FIND(".",BB$3)+1)-FIND(".",BB$3)-1),Gällivare!$B$6:$J$36,MATCH($C27,Gällivare!$B$6:$B$36,0),FALSE)&amp;CHAR(10)&amp;"Local Target: "&amp;HLOOKUP(RIGHT(BB$3,LEN(BB$3)-FIND(".",BB$3,FIND(".",BB$3)+1)),Gällivare!$B$6:$J$36,MATCH($C27,Gällivare!$B$6:$B$36,0),FALSE)))</f>
        <v>Medium</v>
      </c>
      <c r="BC27" s="177" t="str">
        <f>IF(AND(HLOOKUP(MID(BC$3,FIND(".",BC$3)+1,FIND(".",BC$3,FIND(".",BC$3)+1)-FIND(".",BC$3)-1),Gällivare!$B$6:$J$36,MATCH($C27,Gällivare!$B$6:$B$36,0),FALSE)="No Impact",HLOOKUP(RIGHT(BC$3,LEN(BC$3)-FIND(".",BC$3,FIND(".",BC$3)+1)),Gällivare!$B$6:$J$36,MATCH($C27,Gällivare!$B$6:$B$36,0),FALSE)="No Impact"),HLOOKUP(LEFT(BC$3,4),Global!$B$6:$J$36,MATCH($C27,Global!$B$6:$B$36,0),FALSE),IF(AND(HLOOKUP(MID(BC$3,FIND(".",BC$3)+1,FIND(".",BC$3,FIND(".",BC$3)+1)-FIND(".",BC$3)-1),Gällivare!$B$6:$J$36,MATCH($C27,Gällivare!$B$6:$B$36,0),FALSE)="No Impact",HLOOKUP(LEFT(BC$3,4),Global!$B$6:$J$36,MATCH($C27,Global!$B$6:$B$36,0),FALSE)="No Impact"),HLOOKUP(RIGHT(BC$3,LEN(BC$3)-FIND(".",BC$3,FIND(".",BC$3)+1)),Gällivare!$B$6:$J$36,MATCH($C27,Gällivare!$B$6:$B$36,0),FALSE),"Global: "&amp;HLOOKUP(LEFT(BC$3,4),Global!$B$6:$J$36,MATCH($C27,Global!$B$6:$B$36,0),FALSE)&amp;CHAR(10)&amp;"Local Trend: "&amp;HLOOKUP(MID(BC$3,FIND(".",BC$3)+1,FIND(".",BC$3,FIND(".",BC$3)+1)-FIND(".",BC$3)-1),Gällivare!$B$6:$J$36,MATCH($C27,Gällivare!$B$6:$B$36,0),FALSE)&amp;CHAR(10)&amp;"Local Target: "&amp;HLOOKUP(RIGHT(BC$3,LEN(BC$3)-FIND(".",BC$3,FIND(".",BC$3)+1)),Gällivare!$B$6:$J$36,MATCH($C27,Gällivare!$B$6:$B$36,0),FALSE)))</f>
        <v>High</v>
      </c>
      <c r="BD27" s="177" t="str">
        <f>IF(AND(HLOOKUP(MID(BD$3,FIND(".",BD$3)+1,FIND(".",BD$3,FIND(".",BD$3)+1)-FIND(".",BD$3)-1),Gällivare!$B$6:$J$36,MATCH($C27,Gällivare!$B$6:$B$36,0),FALSE)="No Impact",HLOOKUP(RIGHT(BD$3,LEN(BD$3)-FIND(".",BD$3,FIND(".",BD$3)+1)),Gällivare!$B$6:$J$36,MATCH($C27,Gällivare!$B$6:$B$36,0),FALSE)="No Impact"),HLOOKUP(LEFT(BD$3,4),Global!$B$6:$J$36,MATCH($C27,Global!$B$6:$B$36,0),FALSE),IF(AND(HLOOKUP(MID(BD$3,FIND(".",BD$3)+1,FIND(".",BD$3,FIND(".",BD$3)+1)-FIND(".",BD$3)-1),Gällivare!$B$6:$J$36,MATCH($C27,Gällivare!$B$6:$B$36,0),FALSE)="No Impact",HLOOKUP(LEFT(BD$3,4),Global!$B$6:$J$36,MATCH($C27,Global!$B$6:$B$36,0),FALSE)="No Impact"),HLOOKUP(RIGHT(BD$3,LEN(BD$3)-FIND(".",BD$3,FIND(".",BD$3)+1)),Gällivare!$B$6:$J$36,MATCH($C27,Gällivare!$B$6:$B$36,0),FALSE),"Global: "&amp;HLOOKUP(LEFT(BD$3,4),Global!$B$6:$J$36,MATCH($C27,Global!$B$6:$B$36,0),FALSE)&amp;CHAR(10)&amp;"Local Trend: "&amp;HLOOKUP(MID(BD$3,FIND(".",BD$3)+1,FIND(".",BD$3,FIND(".",BD$3)+1)-FIND(".",BD$3)-1),Gällivare!$B$6:$J$36,MATCH($C27,Gällivare!$B$6:$B$36,0),FALSE)&amp;CHAR(10)&amp;"Local Target: "&amp;HLOOKUP(RIGHT(BD$3,LEN(BD$3)-FIND(".",BD$3,FIND(".",BD$3)+1)),Gällivare!$B$6:$J$36,MATCH($C27,Gällivare!$B$6:$B$36,0),FALSE)))</f>
        <v>Low in begining
High around 2040</v>
      </c>
      <c r="BE27" s="177" t="str">
        <f>IF(AND(HLOOKUP(MID(BE$3,FIND(".",BE$3)+1,FIND(".",BE$3,FIND(".",BE$3)+1)-FIND(".",BE$3)-1),Gällivare!$B$6:$J$36,MATCH($C27,Gällivare!$B$6:$B$36,0),FALSE)="No Impact",HLOOKUP(RIGHT(BE$3,LEN(BE$3)-FIND(".",BE$3,FIND(".",BE$3)+1)),Gällivare!$B$6:$J$36,MATCH($C27,Gällivare!$B$6:$B$36,0),FALSE)="No Impact"),HLOOKUP(LEFT(BE$3,4),Global!$B$6:$J$36,MATCH($C27,Global!$B$6:$B$36,0),FALSE),IF(AND(HLOOKUP(MID(BE$3,FIND(".",BE$3)+1,FIND(".",BE$3,FIND(".",BE$3)+1)-FIND(".",BE$3)-1),Gällivare!$B$6:$J$36,MATCH($C27,Gällivare!$B$6:$B$36,0),FALSE)="No Impact",HLOOKUP(LEFT(BE$3,4),Global!$B$6:$J$36,MATCH($C27,Global!$B$6:$B$36,0),FALSE)="No Impact"),HLOOKUP(RIGHT(BE$3,LEN(BE$3)-FIND(".",BE$3,FIND(".",BE$3)+1)),Gällivare!$B$6:$J$36,MATCH($C27,Gällivare!$B$6:$B$36,0),FALSE),"Global: "&amp;HLOOKUP(LEFT(BE$3,4),Global!$B$6:$J$36,MATCH($C27,Global!$B$6:$B$36,0),FALSE)&amp;CHAR(10)&amp;"Local Trend: "&amp;HLOOKUP(MID(BE$3,FIND(".",BE$3)+1,FIND(".",BE$3,FIND(".",BE$3)+1)-FIND(".",BE$3)-1),Gällivare!$B$6:$J$36,MATCH($C27,Gällivare!$B$6:$B$36,0),FALSE)&amp;CHAR(10)&amp;"Local Target: "&amp;HLOOKUP(RIGHT(BE$3,LEN(BE$3)-FIND(".",BE$3,FIND(".",BE$3)+1)),Gällivare!$B$6:$J$36,MATCH($C27,Gällivare!$B$6:$B$36,0),FALSE)))</f>
        <v>Medium</v>
      </c>
      <c r="BF27" s="177" t="str">
        <f>IF(AND(HLOOKUP(MID(BF$3,FIND(".",BF$3)+1,FIND(".",BF$3,FIND(".",BF$3)+1)-FIND(".",BF$3)-1),Gällivare!$B$6:$J$36,MATCH($C27,Gällivare!$B$6:$B$36,0),FALSE)="No Impact",HLOOKUP(RIGHT(BF$3,LEN(BF$3)-FIND(".",BF$3,FIND(".",BF$3)+1)),Gällivare!$B$6:$J$36,MATCH($C27,Gällivare!$B$6:$B$36,0),FALSE)="No Impact"),HLOOKUP(LEFT(BF$3,4),Global!$B$6:$J$36,MATCH($C27,Global!$B$6:$B$36,0),FALSE),IF(AND(HLOOKUP(MID(BF$3,FIND(".",BF$3)+1,FIND(".",BF$3,FIND(".",BF$3)+1)-FIND(".",BF$3)-1),Gällivare!$B$6:$J$36,MATCH($C27,Gällivare!$B$6:$B$36,0),FALSE)="No Impact",HLOOKUP(LEFT(BF$3,4),Global!$B$6:$J$36,MATCH($C27,Global!$B$6:$B$36,0),FALSE)="No Impact"),HLOOKUP(RIGHT(BF$3,LEN(BF$3)-FIND(".",BF$3,FIND(".",BF$3)+1)),Gällivare!$B$6:$J$36,MATCH($C27,Gällivare!$B$6:$B$36,0),FALSE),"Global: "&amp;HLOOKUP(LEFT(BF$3,4),Global!$B$6:$J$36,MATCH($C27,Global!$B$6:$B$36,0),FALSE)&amp;CHAR(10)&amp;"Local Trend: "&amp;HLOOKUP(MID(BF$3,FIND(".",BF$3)+1,FIND(".",BF$3,FIND(".",BF$3)+1)-FIND(".",BF$3)-1),Gällivare!$B$6:$J$36,MATCH($C27,Gällivare!$B$6:$B$36,0),FALSE)&amp;CHAR(10)&amp;"Local Target: "&amp;HLOOKUP(RIGHT(BF$3,LEN(BF$3)-FIND(".",BF$3,FIND(".",BF$3)+1)),Gällivare!$B$6:$J$36,MATCH($C27,Gällivare!$B$6:$B$36,0),FALSE)))</f>
        <v>High</v>
      </c>
      <c r="BG27" s="177" t="str">
        <f>IF(AND(HLOOKUP(MID(BG$3,FIND(".",BG$3)+1,FIND(".",BG$3,FIND(".",BG$3)+1)-FIND(".",BG$3)-1),Gällivare!$B$6:$J$36,MATCH($C27,Gällivare!$B$6:$B$36,0),FALSE)="No Impact",HLOOKUP(RIGHT(BG$3,LEN(BG$3)-FIND(".",BG$3,FIND(".",BG$3)+1)),Gällivare!$B$6:$J$36,MATCH($C27,Gällivare!$B$6:$B$36,0),FALSE)="No Impact"),HLOOKUP(LEFT(BG$3,4),Global!$B$6:$J$36,MATCH($C27,Global!$B$6:$B$36,0),FALSE),IF(AND(HLOOKUP(MID(BG$3,FIND(".",BG$3)+1,FIND(".",BG$3,FIND(".",BG$3)+1)-FIND(".",BG$3)-1),Gällivare!$B$6:$J$36,MATCH($C27,Gällivare!$B$6:$B$36,0),FALSE)="No Impact",HLOOKUP(LEFT(BG$3,4),Global!$B$6:$J$36,MATCH($C27,Global!$B$6:$B$36,0),FALSE)="No Impact"),HLOOKUP(RIGHT(BG$3,LEN(BG$3)-FIND(".",BG$3,FIND(".",BG$3)+1)),Gällivare!$B$6:$J$36,MATCH($C27,Gällivare!$B$6:$B$36,0),FALSE),"Global: "&amp;HLOOKUP(LEFT(BG$3,4),Global!$B$6:$J$36,MATCH($C27,Global!$B$6:$B$36,0),FALSE)&amp;CHAR(10)&amp;"Local Trend: "&amp;HLOOKUP(MID(BG$3,FIND(".",BG$3)+1,FIND(".",BG$3,FIND(".",BG$3)+1)-FIND(".",BG$3)-1),Gällivare!$B$6:$J$36,MATCH($C27,Gällivare!$B$6:$B$36,0),FALSE)&amp;CHAR(10)&amp;"Local Target: "&amp;HLOOKUP(RIGHT(BG$3,LEN(BG$3)-FIND(".",BG$3,FIND(".",BG$3)+1)),Gällivare!$B$6:$J$36,MATCH($C27,Gällivare!$B$6:$B$36,0),FALSE)))</f>
        <v>Low in begining
High around 2040</v>
      </c>
      <c r="BH27" s="177" t="str">
        <f>IF(AND(HLOOKUP(MID(BH$3,FIND(".",BH$3)+1,FIND(".",BH$3,FIND(".",BH$3)+1)-FIND(".",BH$3)-1),Gällivare!$B$6:$J$36,MATCH($C27,Gällivare!$B$6:$B$36,0),FALSE)="No Impact",HLOOKUP(RIGHT(BH$3,LEN(BH$3)-FIND(".",BH$3,FIND(".",BH$3)+1)),Gällivare!$B$6:$J$36,MATCH($C27,Gällivare!$B$6:$B$36,0),FALSE)="No Impact"),HLOOKUP(LEFT(BH$3,4),Global!$B$6:$J$36,MATCH($C27,Global!$B$6:$B$36,0),FALSE),IF(AND(HLOOKUP(MID(BH$3,FIND(".",BH$3)+1,FIND(".",BH$3,FIND(".",BH$3)+1)-FIND(".",BH$3)-1),Gällivare!$B$6:$J$36,MATCH($C27,Gällivare!$B$6:$B$36,0),FALSE)="No Impact",HLOOKUP(LEFT(BH$3,4),Global!$B$6:$J$36,MATCH($C27,Global!$B$6:$B$36,0),FALSE)="No Impact"),HLOOKUP(RIGHT(BH$3,LEN(BH$3)-FIND(".",BH$3,FIND(".",BH$3)+1)),Gällivare!$B$6:$J$36,MATCH($C27,Gällivare!$B$6:$B$36,0),FALSE),"Global: "&amp;HLOOKUP(LEFT(BH$3,4),Global!$B$6:$J$36,MATCH($C27,Global!$B$6:$B$36,0),FALSE)&amp;CHAR(10)&amp;"Local Trend: "&amp;HLOOKUP(MID(BH$3,FIND(".",BH$3)+1,FIND(".",BH$3,FIND(".",BH$3)+1)-FIND(".",BH$3)-1),Gällivare!$B$6:$J$36,MATCH($C27,Gällivare!$B$6:$B$36,0),FALSE)&amp;CHAR(10)&amp;"Local Target: "&amp;HLOOKUP(RIGHT(BH$3,LEN(BH$3)-FIND(".",BH$3,FIND(".",BH$3)+1)),Gällivare!$B$6:$J$36,MATCH($C27,Gällivare!$B$6:$B$36,0),FALSE)))</f>
        <v>Medium</v>
      </c>
      <c r="BI27" s="177" t="str">
        <f>IF(AND(HLOOKUP(MID(BI$3,FIND(".",BI$3)+1,FIND(".",BI$3,FIND(".",BI$3)+1)-FIND(".",BI$3)-1),Gällivare!$B$6:$J$36,MATCH($C27,Gällivare!$B$6:$B$36,0),FALSE)="No Impact",HLOOKUP(RIGHT(BI$3,LEN(BI$3)-FIND(".",BI$3,FIND(".",BI$3)+1)),Gällivare!$B$6:$J$36,MATCH($C27,Gällivare!$B$6:$B$36,0),FALSE)="No Impact"),HLOOKUP(LEFT(BI$3,4),Global!$B$6:$J$36,MATCH($C27,Global!$B$6:$B$36,0),FALSE),IF(AND(HLOOKUP(MID(BI$3,FIND(".",BI$3)+1,FIND(".",BI$3,FIND(".",BI$3)+1)-FIND(".",BI$3)-1),Gällivare!$B$6:$J$36,MATCH($C27,Gällivare!$B$6:$B$36,0),FALSE)="No Impact",HLOOKUP(LEFT(BI$3,4),Global!$B$6:$J$36,MATCH($C27,Global!$B$6:$B$36,0),FALSE)="No Impact"),HLOOKUP(RIGHT(BI$3,LEN(BI$3)-FIND(".",BI$3,FIND(".",BI$3)+1)),Gällivare!$B$6:$J$36,MATCH($C27,Gällivare!$B$6:$B$36,0),FALSE),"Global: "&amp;HLOOKUP(LEFT(BI$3,4),Global!$B$6:$J$36,MATCH($C27,Global!$B$6:$B$36,0),FALSE)&amp;CHAR(10)&amp;"Local Trend: "&amp;HLOOKUP(MID(BI$3,FIND(".",BI$3)+1,FIND(".",BI$3,FIND(".",BI$3)+1)-FIND(".",BI$3)-1),Gällivare!$B$6:$J$36,MATCH($C27,Gällivare!$B$6:$B$36,0),FALSE)&amp;CHAR(10)&amp;"Local Target: "&amp;HLOOKUP(RIGHT(BI$3,LEN(BI$3)-FIND(".",BI$3,FIND(".",BI$3)+1)),Gällivare!$B$6:$J$36,MATCH($C27,Gällivare!$B$6:$B$36,0),FALSE)))</f>
        <v>High</v>
      </c>
      <c r="BJ27" s="177" t="str">
        <f>IF(AND(HLOOKUP(MID(BJ$3,FIND(".",BJ$3)+1,FIND(".",BJ$3,FIND(".",BJ$3)+1)-FIND(".",BJ$3)-1),Gällivare!$B$6:$J$36,MATCH($C27,Gällivare!$B$6:$B$36,0),FALSE)="No Impact",HLOOKUP(RIGHT(BJ$3,LEN(BJ$3)-FIND(".",BJ$3,FIND(".",BJ$3)+1)),Gällivare!$B$6:$J$36,MATCH($C27,Gällivare!$B$6:$B$36,0),FALSE)="No Impact"),HLOOKUP(LEFT(BJ$3,4),Global!$B$6:$J$36,MATCH($C27,Global!$B$6:$B$36,0),FALSE),IF(AND(HLOOKUP(MID(BJ$3,FIND(".",BJ$3)+1,FIND(".",BJ$3,FIND(".",BJ$3)+1)-FIND(".",BJ$3)-1),Gällivare!$B$6:$J$36,MATCH($C27,Gällivare!$B$6:$B$36,0),FALSE)="No Impact",HLOOKUP(LEFT(BJ$3,4),Global!$B$6:$J$36,MATCH($C27,Global!$B$6:$B$36,0),FALSE)="No Impact"),HLOOKUP(RIGHT(BJ$3,LEN(BJ$3)-FIND(".",BJ$3,FIND(".",BJ$3)+1)),Gällivare!$B$6:$J$36,MATCH($C27,Gällivare!$B$6:$B$36,0),FALSE),"Global: "&amp;HLOOKUP(LEFT(BJ$3,4),Global!$B$6:$J$36,MATCH($C27,Global!$B$6:$B$36,0),FALSE)&amp;CHAR(10)&amp;"Local Trend: "&amp;HLOOKUP(MID(BJ$3,FIND(".",BJ$3)+1,FIND(".",BJ$3,FIND(".",BJ$3)+1)-FIND(".",BJ$3)-1),Gällivare!$B$6:$J$36,MATCH($C27,Gällivare!$B$6:$B$36,0),FALSE)&amp;CHAR(10)&amp;"Local Target: "&amp;HLOOKUP(RIGHT(BJ$3,LEN(BJ$3)-FIND(".",BJ$3,FIND(".",BJ$3)+1)),Gällivare!$B$6:$J$36,MATCH($C27,Gällivare!$B$6:$B$36,0),FALSE)))</f>
        <v>Low in begining
High around 2040</v>
      </c>
      <c r="BK27" s="177" t="str">
        <f>IF(AND(HLOOKUP(MID(BK$3,FIND(".",BK$3)+1,FIND(".",BK$3,FIND(".",BK$3)+1)-FIND(".",BK$3)-1),Gällivare!$B$6:$J$36,MATCH($C27,Gällivare!$B$6:$B$36,0),FALSE)="No Impact",HLOOKUP(RIGHT(BK$3,LEN(BK$3)-FIND(".",BK$3,FIND(".",BK$3)+1)),Gällivare!$B$6:$J$36,MATCH($C27,Gällivare!$B$6:$B$36,0),FALSE)="No Impact"),HLOOKUP(LEFT(BK$3,4),Global!$B$6:$J$36,MATCH($C27,Global!$B$6:$B$36,0),FALSE),IF(AND(HLOOKUP(MID(BK$3,FIND(".",BK$3)+1,FIND(".",BK$3,FIND(".",BK$3)+1)-FIND(".",BK$3)-1),Gällivare!$B$6:$J$36,MATCH($C27,Gällivare!$B$6:$B$36,0),FALSE)="No Impact",HLOOKUP(LEFT(BK$3,4),Global!$B$6:$J$36,MATCH($C27,Global!$B$6:$B$36,0),FALSE)="No Impact"),HLOOKUP(RIGHT(BK$3,LEN(BK$3)-FIND(".",BK$3,FIND(".",BK$3)+1)),Gällivare!$B$6:$J$36,MATCH($C27,Gällivare!$B$6:$B$36,0),FALSE),"Global: "&amp;HLOOKUP(LEFT(BK$3,4),Global!$B$6:$J$36,MATCH($C27,Global!$B$6:$B$36,0),FALSE)&amp;CHAR(10)&amp;"Local Trend: "&amp;HLOOKUP(MID(BK$3,FIND(".",BK$3)+1,FIND(".",BK$3,FIND(".",BK$3)+1)-FIND(".",BK$3)-1),Gällivare!$B$6:$J$36,MATCH($C27,Gällivare!$B$6:$B$36,0),FALSE)&amp;CHAR(10)&amp;"Local Target: "&amp;HLOOKUP(RIGHT(BK$3,LEN(BK$3)-FIND(".",BK$3,FIND(".",BK$3)+1)),Gällivare!$B$6:$J$36,MATCH($C27,Gällivare!$B$6:$B$36,0),FALSE)))</f>
        <v>Medium</v>
      </c>
      <c r="BL27" s="177" t="str">
        <f>IF(AND(HLOOKUP(MID(BL$3,FIND(".",BL$3)+1,FIND(".",BL$3,FIND(".",BL$3)+1)-FIND(".",BL$3)-1),Gällivare!$B$6:$J$36,MATCH($C27,Gällivare!$B$6:$B$36,0),FALSE)="No Impact",HLOOKUP(RIGHT(BL$3,LEN(BL$3)-FIND(".",BL$3,FIND(".",BL$3)+1)),Gällivare!$B$6:$J$36,MATCH($C27,Gällivare!$B$6:$B$36,0),FALSE)="No Impact"),HLOOKUP(LEFT(BL$3,4),Global!$B$6:$J$36,MATCH($C27,Global!$B$6:$B$36,0),FALSE),IF(AND(HLOOKUP(MID(BL$3,FIND(".",BL$3)+1,FIND(".",BL$3,FIND(".",BL$3)+1)-FIND(".",BL$3)-1),Gällivare!$B$6:$J$36,MATCH($C27,Gällivare!$B$6:$B$36,0),FALSE)="No Impact",HLOOKUP(LEFT(BL$3,4),Global!$B$6:$J$36,MATCH($C27,Global!$B$6:$B$36,0),FALSE)="No Impact"),HLOOKUP(RIGHT(BL$3,LEN(BL$3)-FIND(".",BL$3,FIND(".",BL$3)+1)),Gällivare!$B$6:$J$36,MATCH($C27,Gällivare!$B$6:$B$36,0),FALSE),"Global: "&amp;HLOOKUP(LEFT(BL$3,4),Global!$B$6:$J$36,MATCH($C27,Global!$B$6:$B$36,0),FALSE)&amp;CHAR(10)&amp;"Local Trend: "&amp;HLOOKUP(MID(BL$3,FIND(".",BL$3)+1,FIND(".",BL$3,FIND(".",BL$3)+1)-FIND(".",BL$3)-1),Gällivare!$B$6:$J$36,MATCH($C27,Gällivare!$B$6:$B$36,0),FALSE)&amp;CHAR(10)&amp;"Local Target: "&amp;HLOOKUP(RIGHT(BL$3,LEN(BL$3)-FIND(".",BL$3,FIND(".",BL$3)+1)),Gällivare!$B$6:$J$36,MATCH($C27,Gällivare!$B$6:$B$36,0),FALSE)))</f>
        <v>High</v>
      </c>
      <c r="BM27" s="177" t="str">
        <f>IF(AND(HLOOKUP(MID(BM$3,FIND(".",BM$3)+1,FIND(".",BM$3,FIND(".",BM$3)+1)-FIND(".",BM$3)-1),Gällivare!$B$6:$J$36,MATCH($C27,Gällivare!$B$6:$B$36,0),FALSE)="No Impact",HLOOKUP(RIGHT(BM$3,LEN(BM$3)-FIND(".",BM$3,FIND(".",BM$3)+1)),Gällivare!$B$6:$J$36,MATCH($C27,Gällivare!$B$6:$B$36,0),FALSE)="No Impact"),HLOOKUP(LEFT(BM$3,4),Global!$B$6:$J$36,MATCH($C27,Global!$B$6:$B$36,0),FALSE),IF(AND(HLOOKUP(MID(BM$3,FIND(".",BM$3)+1,FIND(".",BM$3,FIND(".",BM$3)+1)-FIND(".",BM$3)-1),Gällivare!$B$6:$J$36,MATCH($C27,Gällivare!$B$6:$B$36,0),FALSE)="No Impact",HLOOKUP(LEFT(BM$3,4),Global!$B$6:$J$36,MATCH($C27,Global!$B$6:$B$36,0),FALSE)="No Impact"),HLOOKUP(RIGHT(BM$3,LEN(BM$3)-FIND(".",BM$3,FIND(".",BM$3)+1)),Gällivare!$B$6:$J$36,MATCH($C27,Gällivare!$B$6:$B$36,0),FALSE),"Global: "&amp;HLOOKUP(LEFT(BM$3,4),Global!$B$6:$J$36,MATCH($C27,Global!$B$6:$B$36,0),FALSE)&amp;CHAR(10)&amp;"Local Trend: "&amp;HLOOKUP(MID(BM$3,FIND(".",BM$3)+1,FIND(".",BM$3,FIND(".",BM$3)+1)-FIND(".",BM$3)-1),Gällivare!$B$6:$J$36,MATCH($C27,Gällivare!$B$6:$B$36,0),FALSE)&amp;CHAR(10)&amp;"Local Target: "&amp;HLOOKUP(RIGHT(BM$3,LEN(BM$3)-FIND(".",BM$3,FIND(".",BM$3)+1)),Gällivare!$B$6:$J$36,MATCH($C27,Gällivare!$B$6:$B$36,0),FALSE)))</f>
        <v>Low in begining
High around 2040</v>
      </c>
      <c r="BN27" s="177" t="str">
        <f>IF(AND(HLOOKUP(MID(BN$3,FIND(".",BN$3)+1,FIND(".",BN$3,FIND(".",BN$3)+1)-FIND(".",BN$3)-1),Gällivare!$B$6:$J$36,MATCH($C27,Gällivare!$B$6:$B$36,0),FALSE)="No Impact",HLOOKUP(RIGHT(BN$3,LEN(BN$3)-FIND(".",BN$3,FIND(".",BN$3)+1)),Gällivare!$B$6:$J$36,MATCH($C27,Gällivare!$B$6:$B$36,0),FALSE)="No Impact"),HLOOKUP(LEFT(BN$3,4),Global!$B$6:$J$36,MATCH($C27,Global!$B$6:$B$36,0),FALSE),IF(AND(HLOOKUP(MID(BN$3,FIND(".",BN$3)+1,FIND(".",BN$3,FIND(".",BN$3)+1)-FIND(".",BN$3)-1),Gällivare!$B$6:$J$36,MATCH($C27,Gällivare!$B$6:$B$36,0),FALSE)="No Impact",HLOOKUP(LEFT(BN$3,4),Global!$B$6:$J$36,MATCH($C27,Global!$B$6:$B$36,0),FALSE)="No Impact"),HLOOKUP(RIGHT(BN$3,LEN(BN$3)-FIND(".",BN$3,FIND(".",BN$3)+1)),Gällivare!$B$6:$J$36,MATCH($C27,Gällivare!$B$6:$B$36,0),FALSE),"Global: "&amp;HLOOKUP(LEFT(BN$3,4),Global!$B$6:$J$36,MATCH($C27,Global!$B$6:$B$36,0),FALSE)&amp;CHAR(10)&amp;"Local Trend: "&amp;HLOOKUP(MID(BN$3,FIND(".",BN$3)+1,FIND(".",BN$3,FIND(".",BN$3)+1)-FIND(".",BN$3)-1),Gällivare!$B$6:$J$36,MATCH($C27,Gällivare!$B$6:$B$36,0),FALSE)&amp;CHAR(10)&amp;"Local Target: "&amp;HLOOKUP(RIGHT(BN$3,LEN(BN$3)-FIND(".",BN$3,FIND(".",BN$3)+1)),Gällivare!$B$6:$J$36,MATCH($C27,Gällivare!$B$6:$B$36,0),FALSE)))</f>
        <v>Medium</v>
      </c>
      <c r="BO27" s="177" t="str">
        <f>IF(AND(HLOOKUP(MID(BO$3,FIND(".",BO$3)+1,FIND(".",BO$3,FIND(".",BO$3)+1)-FIND(".",BO$3)-1),Gällivare!$B$6:$J$36,MATCH($C27,Gällivare!$B$6:$B$36,0),FALSE)="No Impact",HLOOKUP(RIGHT(BO$3,LEN(BO$3)-FIND(".",BO$3,FIND(".",BO$3)+1)),Gällivare!$B$6:$J$36,MATCH($C27,Gällivare!$B$6:$B$36,0),FALSE)="No Impact"),HLOOKUP(LEFT(BO$3,4),Global!$B$6:$J$36,MATCH($C27,Global!$B$6:$B$36,0),FALSE),IF(AND(HLOOKUP(MID(BO$3,FIND(".",BO$3)+1,FIND(".",BO$3,FIND(".",BO$3)+1)-FIND(".",BO$3)-1),Gällivare!$B$6:$J$36,MATCH($C27,Gällivare!$B$6:$B$36,0),FALSE)="No Impact",HLOOKUP(LEFT(BO$3,4),Global!$B$6:$J$36,MATCH($C27,Global!$B$6:$B$36,0),FALSE)="No Impact"),HLOOKUP(RIGHT(BO$3,LEN(BO$3)-FIND(".",BO$3,FIND(".",BO$3)+1)),Gällivare!$B$6:$J$36,MATCH($C27,Gällivare!$B$6:$B$36,0),FALSE),"Global: "&amp;HLOOKUP(LEFT(BO$3,4),Global!$B$6:$J$36,MATCH($C27,Global!$B$6:$B$36,0),FALSE)&amp;CHAR(10)&amp;"Local Trend: "&amp;HLOOKUP(MID(BO$3,FIND(".",BO$3)+1,FIND(".",BO$3,FIND(".",BO$3)+1)-FIND(".",BO$3)-1),Gällivare!$B$6:$J$36,MATCH($C27,Gällivare!$B$6:$B$36,0),FALSE)&amp;CHAR(10)&amp;"Local Target: "&amp;HLOOKUP(RIGHT(BO$3,LEN(BO$3)-FIND(".",BO$3,FIND(".",BO$3)+1)),Gällivare!$B$6:$J$36,MATCH($C27,Gällivare!$B$6:$B$36,0),FALSE)))</f>
        <v>High</v>
      </c>
      <c r="BP27" s="177" t="str">
        <f>IF(AND(HLOOKUP(MID(BP$3,FIND(".",BP$3)+1,FIND(".",BP$3,FIND(".",BP$3)+1)-FIND(".",BP$3)-1),Gällivare!$B$6:$J$36,MATCH($C27,Gällivare!$B$6:$B$36,0),FALSE)="No Impact",HLOOKUP(RIGHT(BP$3,LEN(BP$3)-FIND(".",BP$3,FIND(".",BP$3)+1)),Gällivare!$B$6:$J$36,MATCH($C27,Gällivare!$B$6:$B$36,0),FALSE)="No Impact"),HLOOKUP(LEFT(BP$3,4),Global!$B$6:$J$36,MATCH($C27,Global!$B$6:$B$36,0),FALSE),IF(AND(HLOOKUP(MID(BP$3,FIND(".",BP$3)+1,FIND(".",BP$3,FIND(".",BP$3)+1)-FIND(".",BP$3)-1),Gällivare!$B$6:$J$36,MATCH($C27,Gällivare!$B$6:$B$36,0),FALSE)="No Impact",HLOOKUP(LEFT(BP$3,4),Global!$B$6:$J$36,MATCH($C27,Global!$B$6:$B$36,0),FALSE)="No Impact"),HLOOKUP(RIGHT(BP$3,LEN(BP$3)-FIND(".",BP$3,FIND(".",BP$3)+1)),Gällivare!$B$6:$J$36,MATCH($C27,Gällivare!$B$6:$B$36,0),FALSE),"Global: "&amp;HLOOKUP(LEFT(BP$3,4),Global!$B$6:$J$36,MATCH($C27,Global!$B$6:$B$36,0),FALSE)&amp;CHAR(10)&amp;"Local Trend: "&amp;HLOOKUP(MID(BP$3,FIND(".",BP$3)+1,FIND(".",BP$3,FIND(".",BP$3)+1)-FIND(".",BP$3)-1),Gällivare!$B$6:$J$36,MATCH($C27,Gällivare!$B$6:$B$36,0),FALSE)&amp;CHAR(10)&amp;"Local Target: "&amp;HLOOKUP(RIGHT(BP$3,LEN(BP$3)-FIND(".",BP$3,FIND(".",BP$3)+1)),Gällivare!$B$6:$J$36,MATCH($C27,Gällivare!$B$6:$B$36,0),FALSE)))</f>
        <v>Low in begining
High around 2040</v>
      </c>
    </row>
    <row r="28" spans="2:74" ht="28.8" x14ac:dyDescent="0.3">
      <c r="B28" s="248"/>
      <c r="C28" s="175" t="s">
        <v>212</v>
      </c>
      <c r="D28" s="175" t="s">
        <v>172</v>
      </c>
      <c r="E28" s="175" t="s">
        <v>207</v>
      </c>
      <c r="F28" s="176" t="s">
        <v>165</v>
      </c>
      <c r="G28" s="176"/>
      <c r="H28" s="175" t="str">
        <f t="shared" si="1"/>
        <v>High</v>
      </c>
      <c r="I28" s="175" t="str">
        <f t="shared" si="1"/>
        <v>High</v>
      </c>
      <c r="J28" s="175" t="str">
        <f t="shared" si="1"/>
        <v>High</v>
      </c>
      <c r="K28" s="175" t="str">
        <f t="shared" si="1"/>
        <v>High</v>
      </c>
      <c r="L28" s="175" t="str">
        <f t="shared" si="1"/>
        <v>High</v>
      </c>
      <c r="M28" s="175" t="str">
        <f t="shared" si="1"/>
        <v>High</v>
      </c>
      <c r="N28" s="175" t="str">
        <f t="shared" si="1"/>
        <v>Medium</v>
      </c>
      <c r="O28" s="175" t="str">
        <f t="shared" si="1"/>
        <v>Medium</v>
      </c>
      <c r="P28" s="175" t="str">
        <f t="shared" si="1"/>
        <v>Medium</v>
      </c>
      <c r="Q28" s="175" t="str">
        <f t="shared" si="1"/>
        <v>Medium</v>
      </c>
      <c r="R28" s="175" t="str">
        <f t="shared" si="1"/>
        <v>Medium</v>
      </c>
      <c r="S28" s="175" t="str">
        <f t="shared" si="1"/>
        <v>Medium</v>
      </c>
      <c r="T28" s="175" t="str">
        <f t="shared" si="1"/>
        <v>Low</v>
      </c>
      <c r="U28" s="175" t="str">
        <f t="shared" si="1"/>
        <v>Low</v>
      </c>
      <c r="V28" s="175" t="str">
        <f t="shared" si="1"/>
        <v>Low</v>
      </c>
      <c r="W28" s="175" t="str">
        <f t="shared" si="1"/>
        <v>Low</v>
      </c>
      <c r="X28" s="175" t="str">
        <f t="shared" si="5"/>
        <v>Low</v>
      </c>
      <c r="Y28" s="175" t="str">
        <f t="shared" si="5"/>
        <v>Low</v>
      </c>
      <c r="Z28" s="175" t="str">
        <f t="shared" si="5"/>
        <v>Medium</v>
      </c>
      <c r="AA28" s="175" t="str">
        <f t="shared" si="5"/>
        <v>Medium</v>
      </c>
      <c r="AB28" s="175" t="str">
        <f t="shared" si="5"/>
        <v>Medium</v>
      </c>
      <c r="AC28" s="175" t="str">
        <f t="shared" si="5"/>
        <v>Medium</v>
      </c>
      <c r="AD28" s="175" t="str">
        <f t="shared" si="5"/>
        <v>Medium</v>
      </c>
      <c r="AE28" s="175" t="str">
        <f t="shared" si="5"/>
        <v>Medium</v>
      </c>
      <c r="AF28" s="175" t="str">
        <f t="shared" si="4"/>
        <v>Low</v>
      </c>
      <c r="AG28" s="175" t="str">
        <f t="shared" si="4"/>
        <v>Low</v>
      </c>
      <c r="AH28" s="175" t="str">
        <f t="shared" si="4"/>
        <v>Low</v>
      </c>
      <c r="AI28" s="175" t="str">
        <f t="shared" si="4"/>
        <v>Low</v>
      </c>
      <c r="AJ28" s="175" t="str">
        <f t="shared" si="4"/>
        <v>Low</v>
      </c>
      <c r="AK28" s="175" t="str">
        <f t="shared" si="4"/>
        <v>Low</v>
      </c>
      <c r="AL28" s="176"/>
      <c r="AM28" s="177" t="str">
        <f>IF(AND(HLOOKUP(MID(AM$3,FIND(".",AM$3)+1,FIND(".",AM$3,FIND(".",AM$3)+1)-FIND(".",AM$3)-1),Gällivare!$B$6:$J$36,MATCH($C28,Gällivare!$B$6:$B$36,0),FALSE)="No Impact",HLOOKUP(RIGHT(AM$3,LEN(AM$3)-FIND(".",AM$3,FIND(".",AM$3)+1)),Gällivare!$B$6:$J$36,MATCH($C28,Gällivare!$B$6:$B$36,0),FALSE)="No Impact"),HLOOKUP(LEFT(AM$3,4),Global!$B$6:$J$36,MATCH($C28,Global!$B$6:$B$36,0),FALSE),IF(AND(HLOOKUP(MID(AM$3,FIND(".",AM$3)+1,FIND(".",AM$3,FIND(".",AM$3)+1)-FIND(".",AM$3)-1),Gällivare!$B$6:$J$36,MATCH($C28,Gällivare!$B$6:$B$36,0),FALSE)="No Impact",HLOOKUP(LEFT(AM$3,4),Global!$B$6:$J$36,MATCH($C28,Global!$B$6:$B$36,0),FALSE)="No Impact"),HLOOKUP(RIGHT(AM$3,LEN(AM$3)-FIND(".",AM$3,FIND(".",AM$3)+1)),Gällivare!$B$6:$J$36,MATCH($C28,Gällivare!$B$6:$B$36,0),FALSE),"Global: "&amp;HLOOKUP(LEFT(AM$3,4),Global!$B$6:$J$36,MATCH($C28,Global!$B$6:$B$36,0),FALSE)&amp;CHAR(10)&amp;"Local Trend: "&amp;HLOOKUP(MID(AM$3,FIND(".",AM$3)+1,FIND(".",AM$3,FIND(".",AM$3)+1)-FIND(".",AM$3)-1),Gällivare!$B$6:$J$36,MATCH($C28,Gällivare!$B$6:$B$36,0),FALSE)&amp;CHAR(10)&amp;"Local Target: "&amp;HLOOKUP(RIGHT(AM$3,LEN(AM$3)-FIND(".",AM$3,FIND(".",AM$3)+1)),Gällivare!$B$6:$J$36,MATCH($C28,Gällivare!$B$6:$B$36,0),FALSE)))</f>
        <v>High</v>
      </c>
      <c r="AN28" s="177" t="str">
        <f>IF(AND(HLOOKUP(MID(AN$3,FIND(".",AN$3)+1,FIND(".",AN$3,FIND(".",AN$3)+1)-FIND(".",AN$3)-1),Gällivare!$B$6:$J$36,MATCH($C28,Gällivare!$B$6:$B$36,0),FALSE)="No Impact",HLOOKUP(RIGHT(AN$3,LEN(AN$3)-FIND(".",AN$3,FIND(".",AN$3)+1)),Gällivare!$B$6:$J$36,MATCH($C28,Gällivare!$B$6:$B$36,0),FALSE)="No Impact"),HLOOKUP(LEFT(AN$3,4),Global!$B$6:$J$36,MATCH($C28,Global!$B$6:$B$36,0),FALSE),IF(AND(HLOOKUP(MID(AN$3,FIND(".",AN$3)+1,FIND(".",AN$3,FIND(".",AN$3)+1)-FIND(".",AN$3)-1),Gällivare!$B$6:$J$36,MATCH($C28,Gällivare!$B$6:$B$36,0),FALSE)="No Impact",HLOOKUP(LEFT(AN$3,4),Global!$B$6:$J$36,MATCH($C28,Global!$B$6:$B$36,0),FALSE)="No Impact"),HLOOKUP(RIGHT(AN$3,LEN(AN$3)-FIND(".",AN$3,FIND(".",AN$3)+1)),Gällivare!$B$6:$J$36,MATCH($C28,Gällivare!$B$6:$B$36,0),FALSE),"Global: "&amp;HLOOKUP(LEFT(AN$3,4),Global!$B$6:$J$36,MATCH($C28,Global!$B$6:$B$36,0),FALSE)&amp;CHAR(10)&amp;"Local Trend: "&amp;HLOOKUP(MID(AN$3,FIND(".",AN$3)+1,FIND(".",AN$3,FIND(".",AN$3)+1)-FIND(".",AN$3)-1),Gällivare!$B$6:$J$36,MATCH($C28,Gällivare!$B$6:$B$36,0),FALSE)&amp;CHAR(10)&amp;"Local Target: "&amp;HLOOKUP(RIGHT(AN$3,LEN(AN$3)-FIND(".",AN$3,FIND(".",AN$3)+1)),Gällivare!$B$6:$J$36,MATCH($C28,Gällivare!$B$6:$B$36,0),FALSE)))</f>
        <v>High</v>
      </c>
      <c r="AO28" s="177" t="str">
        <f>IF(AND(HLOOKUP(MID(AO$3,FIND(".",AO$3)+1,FIND(".",AO$3,FIND(".",AO$3)+1)-FIND(".",AO$3)-1),Gällivare!$B$6:$J$36,MATCH($C28,Gällivare!$B$6:$B$36,0),FALSE)="No Impact",HLOOKUP(RIGHT(AO$3,LEN(AO$3)-FIND(".",AO$3,FIND(".",AO$3)+1)),Gällivare!$B$6:$J$36,MATCH($C28,Gällivare!$B$6:$B$36,0),FALSE)="No Impact"),HLOOKUP(LEFT(AO$3,4),Global!$B$6:$J$36,MATCH($C28,Global!$B$6:$B$36,0),FALSE),IF(AND(HLOOKUP(MID(AO$3,FIND(".",AO$3)+1,FIND(".",AO$3,FIND(".",AO$3)+1)-FIND(".",AO$3)-1),Gällivare!$B$6:$J$36,MATCH($C28,Gällivare!$B$6:$B$36,0),FALSE)="No Impact",HLOOKUP(LEFT(AO$3,4),Global!$B$6:$J$36,MATCH($C28,Global!$B$6:$B$36,0),FALSE)="No Impact"),HLOOKUP(RIGHT(AO$3,LEN(AO$3)-FIND(".",AO$3,FIND(".",AO$3)+1)),Gällivare!$B$6:$J$36,MATCH($C28,Gällivare!$B$6:$B$36,0),FALSE),"Global: "&amp;HLOOKUP(LEFT(AO$3,4),Global!$B$6:$J$36,MATCH($C28,Global!$B$6:$B$36,0),FALSE)&amp;CHAR(10)&amp;"Local Trend: "&amp;HLOOKUP(MID(AO$3,FIND(".",AO$3)+1,FIND(".",AO$3,FIND(".",AO$3)+1)-FIND(".",AO$3)-1),Gällivare!$B$6:$J$36,MATCH($C28,Gällivare!$B$6:$B$36,0),FALSE)&amp;CHAR(10)&amp;"Local Target: "&amp;HLOOKUP(RIGHT(AO$3,LEN(AO$3)-FIND(".",AO$3,FIND(".",AO$3)+1)),Gällivare!$B$6:$J$36,MATCH($C28,Gällivare!$B$6:$B$36,0),FALSE)))</f>
        <v>High</v>
      </c>
      <c r="AP28" s="177" t="str">
        <f>IF(AND(HLOOKUP(MID(AP$3,FIND(".",AP$3)+1,FIND(".",AP$3,FIND(".",AP$3)+1)-FIND(".",AP$3)-1),Gällivare!$B$6:$J$36,MATCH($C28,Gällivare!$B$6:$B$36,0),FALSE)="No Impact",HLOOKUP(RIGHT(AP$3,LEN(AP$3)-FIND(".",AP$3,FIND(".",AP$3)+1)),Gällivare!$B$6:$J$36,MATCH($C28,Gällivare!$B$6:$B$36,0),FALSE)="No Impact"),HLOOKUP(LEFT(AP$3,4),Global!$B$6:$J$36,MATCH($C28,Global!$B$6:$B$36,0),FALSE),IF(AND(HLOOKUP(MID(AP$3,FIND(".",AP$3)+1,FIND(".",AP$3,FIND(".",AP$3)+1)-FIND(".",AP$3)-1),Gällivare!$B$6:$J$36,MATCH($C28,Gällivare!$B$6:$B$36,0),FALSE)="No Impact",HLOOKUP(LEFT(AP$3,4),Global!$B$6:$J$36,MATCH($C28,Global!$B$6:$B$36,0),FALSE)="No Impact"),HLOOKUP(RIGHT(AP$3,LEN(AP$3)-FIND(".",AP$3,FIND(".",AP$3)+1)),Gällivare!$B$6:$J$36,MATCH($C28,Gällivare!$B$6:$B$36,0),FALSE),"Global: "&amp;HLOOKUP(LEFT(AP$3,4),Global!$B$6:$J$36,MATCH($C28,Global!$B$6:$B$36,0),FALSE)&amp;CHAR(10)&amp;"Local Trend: "&amp;HLOOKUP(MID(AP$3,FIND(".",AP$3)+1,FIND(".",AP$3,FIND(".",AP$3)+1)-FIND(".",AP$3)-1),Gällivare!$B$6:$J$36,MATCH($C28,Gällivare!$B$6:$B$36,0),FALSE)&amp;CHAR(10)&amp;"Local Target: "&amp;HLOOKUP(RIGHT(AP$3,LEN(AP$3)-FIND(".",AP$3,FIND(".",AP$3)+1)),Gällivare!$B$6:$J$36,MATCH($C28,Gällivare!$B$6:$B$36,0),FALSE)))</f>
        <v>High</v>
      </c>
      <c r="AQ28" s="177" t="str">
        <f>IF(AND(HLOOKUP(MID(AQ$3,FIND(".",AQ$3)+1,FIND(".",AQ$3,FIND(".",AQ$3)+1)-FIND(".",AQ$3)-1),Gällivare!$B$6:$J$36,MATCH($C28,Gällivare!$B$6:$B$36,0),FALSE)="No Impact",HLOOKUP(RIGHT(AQ$3,LEN(AQ$3)-FIND(".",AQ$3,FIND(".",AQ$3)+1)),Gällivare!$B$6:$J$36,MATCH($C28,Gällivare!$B$6:$B$36,0),FALSE)="No Impact"),HLOOKUP(LEFT(AQ$3,4),Global!$B$6:$J$36,MATCH($C28,Global!$B$6:$B$36,0),FALSE),IF(AND(HLOOKUP(MID(AQ$3,FIND(".",AQ$3)+1,FIND(".",AQ$3,FIND(".",AQ$3)+1)-FIND(".",AQ$3)-1),Gällivare!$B$6:$J$36,MATCH($C28,Gällivare!$B$6:$B$36,0),FALSE)="No Impact",HLOOKUP(LEFT(AQ$3,4),Global!$B$6:$J$36,MATCH($C28,Global!$B$6:$B$36,0),FALSE)="No Impact"),HLOOKUP(RIGHT(AQ$3,LEN(AQ$3)-FIND(".",AQ$3,FIND(".",AQ$3)+1)),Gällivare!$B$6:$J$36,MATCH($C28,Gällivare!$B$6:$B$36,0),FALSE),"Global: "&amp;HLOOKUP(LEFT(AQ$3,4),Global!$B$6:$J$36,MATCH($C28,Global!$B$6:$B$36,0),FALSE)&amp;CHAR(10)&amp;"Local Trend: "&amp;HLOOKUP(MID(AQ$3,FIND(".",AQ$3)+1,FIND(".",AQ$3,FIND(".",AQ$3)+1)-FIND(".",AQ$3)-1),Gällivare!$B$6:$J$36,MATCH($C28,Gällivare!$B$6:$B$36,0),FALSE)&amp;CHAR(10)&amp;"Local Target: "&amp;HLOOKUP(RIGHT(AQ$3,LEN(AQ$3)-FIND(".",AQ$3,FIND(".",AQ$3)+1)),Gällivare!$B$6:$J$36,MATCH($C28,Gällivare!$B$6:$B$36,0),FALSE)))</f>
        <v>High</v>
      </c>
      <c r="AR28" s="177" t="str">
        <f>IF(AND(HLOOKUP(MID(AR$3,FIND(".",AR$3)+1,FIND(".",AR$3,FIND(".",AR$3)+1)-FIND(".",AR$3)-1),Gällivare!$B$6:$J$36,MATCH($C28,Gällivare!$B$6:$B$36,0),FALSE)="No Impact",HLOOKUP(RIGHT(AR$3,LEN(AR$3)-FIND(".",AR$3,FIND(".",AR$3)+1)),Gällivare!$B$6:$J$36,MATCH($C28,Gällivare!$B$6:$B$36,0),FALSE)="No Impact"),HLOOKUP(LEFT(AR$3,4),Global!$B$6:$J$36,MATCH($C28,Global!$B$6:$B$36,0),FALSE),IF(AND(HLOOKUP(MID(AR$3,FIND(".",AR$3)+1,FIND(".",AR$3,FIND(".",AR$3)+1)-FIND(".",AR$3)-1),Gällivare!$B$6:$J$36,MATCH($C28,Gällivare!$B$6:$B$36,0),FALSE)="No Impact",HLOOKUP(LEFT(AR$3,4),Global!$B$6:$J$36,MATCH($C28,Global!$B$6:$B$36,0),FALSE)="No Impact"),HLOOKUP(RIGHT(AR$3,LEN(AR$3)-FIND(".",AR$3,FIND(".",AR$3)+1)),Gällivare!$B$6:$J$36,MATCH($C28,Gällivare!$B$6:$B$36,0),FALSE),"Global: "&amp;HLOOKUP(LEFT(AR$3,4),Global!$B$6:$J$36,MATCH($C28,Global!$B$6:$B$36,0),FALSE)&amp;CHAR(10)&amp;"Local Trend: "&amp;HLOOKUP(MID(AR$3,FIND(".",AR$3)+1,FIND(".",AR$3,FIND(".",AR$3)+1)-FIND(".",AR$3)-1),Gällivare!$B$6:$J$36,MATCH($C28,Gällivare!$B$6:$B$36,0),FALSE)&amp;CHAR(10)&amp;"Local Target: "&amp;HLOOKUP(RIGHT(AR$3,LEN(AR$3)-FIND(".",AR$3,FIND(".",AR$3)+1)),Gällivare!$B$6:$J$36,MATCH($C28,Gällivare!$B$6:$B$36,0),FALSE)))</f>
        <v>High</v>
      </c>
      <c r="AS28" s="177" t="str">
        <f>IF(AND(HLOOKUP(MID(AS$3,FIND(".",AS$3)+1,FIND(".",AS$3,FIND(".",AS$3)+1)-FIND(".",AS$3)-1),Gällivare!$B$6:$J$36,MATCH($C28,Gällivare!$B$6:$B$36,0),FALSE)="No Impact",HLOOKUP(RIGHT(AS$3,LEN(AS$3)-FIND(".",AS$3,FIND(".",AS$3)+1)),Gällivare!$B$6:$J$36,MATCH($C28,Gällivare!$B$6:$B$36,0),FALSE)="No Impact"),HLOOKUP(LEFT(AS$3,4),Global!$B$6:$J$36,MATCH($C28,Global!$B$6:$B$36,0),FALSE),IF(AND(HLOOKUP(MID(AS$3,FIND(".",AS$3)+1,FIND(".",AS$3,FIND(".",AS$3)+1)-FIND(".",AS$3)-1),Gällivare!$B$6:$J$36,MATCH($C28,Gällivare!$B$6:$B$36,0),FALSE)="No Impact",HLOOKUP(LEFT(AS$3,4),Global!$B$6:$J$36,MATCH($C28,Global!$B$6:$B$36,0),FALSE)="No Impact"),HLOOKUP(RIGHT(AS$3,LEN(AS$3)-FIND(".",AS$3,FIND(".",AS$3)+1)),Gällivare!$B$6:$J$36,MATCH($C28,Gällivare!$B$6:$B$36,0),FALSE),"Global: "&amp;HLOOKUP(LEFT(AS$3,4),Global!$B$6:$J$36,MATCH($C28,Global!$B$6:$B$36,0),FALSE)&amp;CHAR(10)&amp;"Local Trend: "&amp;HLOOKUP(MID(AS$3,FIND(".",AS$3)+1,FIND(".",AS$3,FIND(".",AS$3)+1)-FIND(".",AS$3)-1),Gällivare!$B$6:$J$36,MATCH($C28,Gällivare!$B$6:$B$36,0),FALSE)&amp;CHAR(10)&amp;"Local Target: "&amp;HLOOKUP(RIGHT(AS$3,LEN(AS$3)-FIND(".",AS$3,FIND(".",AS$3)+1)),Gällivare!$B$6:$J$36,MATCH($C28,Gällivare!$B$6:$B$36,0),FALSE)))</f>
        <v>Medium</v>
      </c>
      <c r="AT28" s="177" t="str">
        <f>IF(AND(HLOOKUP(MID(AT$3,FIND(".",AT$3)+1,FIND(".",AT$3,FIND(".",AT$3)+1)-FIND(".",AT$3)-1),Gällivare!$B$6:$J$36,MATCH($C28,Gällivare!$B$6:$B$36,0),FALSE)="No Impact",HLOOKUP(RIGHT(AT$3,LEN(AT$3)-FIND(".",AT$3,FIND(".",AT$3)+1)),Gällivare!$B$6:$J$36,MATCH($C28,Gällivare!$B$6:$B$36,0),FALSE)="No Impact"),HLOOKUP(LEFT(AT$3,4),Global!$B$6:$J$36,MATCH($C28,Global!$B$6:$B$36,0),FALSE),IF(AND(HLOOKUP(MID(AT$3,FIND(".",AT$3)+1,FIND(".",AT$3,FIND(".",AT$3)+1)-FIND(".",AT$3)-1),Gällivare!$B$6:$J$36,MATCH($C28,Gällivare!$B$6:$B$36,0),FALSE)="No Impact",HLOOKUP(LEFT(AT$3,4),Global!$B$6:$J$36,MATCH($C28,Global!$B$6:$B$36,0),FALSE)="No Impact"),HLOOKUP(RIGHT(AT$3,LEN(AT$3)-FIND(".",AT$3,FIND(".",AT$3)+1)),Gällivare!$B$6:$J$36,MATCH($C28,Gällivare!$B$6:$B$36,0),FALSE),"Global: "&amp;HLOOKUP(LEFT(AT$3,4),Global!$B$6:$J$36,MATCH($C28,Global!$B$6:$B$36,0),FALSE)&amp;CHAR(10)&amp;"Local Trend: "&amp;HLOOKUP(MID(AT$3,FIND(".",AT$3)+1,FIND(".",AT$3,FIND(".",AT$3)+1)-FIND(".",AT$3)-1),Gällivare!$B$6:$J$36,MATCH($C28,Gällivare!$B$6:$B$36,0),FALSE)&amp;CHAR(10)&amp;"Local Target: "&amp;HLOOKUP(RIGHT(AT$3,LEN(AT$3)-FIND(".",AT$3,FIND(".",AT$3)+1)),Gällivare!$B$6:$J$36,MATCH($C28,Gällivare!$B$6:$B$36,0),FALSE)))</f>
        <v>Medium</v>
      </c>
      <c r="AU28" s="177" t="str">
        <f>IF(AND(HLOOKUP(MID(AU$3,FIND(".",AU$3)+1,FIND(".",AU$3,FIND(".",AU$3)+1)-FIND(".",AU$3)-1),Gällivare!$B$6:$J$36,MATCH($C28,Gällivare!$B$6:$B$36,0),FALSE)="No Impact",HLOOKUP(RIGHT(AU$3,LEN(AU$3)-FIND(".",AU$3,FIND(".",AU$3)+1)),Gällivare!$B$6:$J$36,MATCH($C28,Gällivare!$B$6:$B$36,0),FALSE)="No Impact"),HLOOKUP(LEFT(AU$3,4),Global!$B$6:$J$36,MATCH($C28,Global!$B$6:$B$36,0),FALSE),IF(AND(HLOOKUP(MID(AU$3,FIND(".",AU$3)+1,FIND(".",AU$3,FIND(".",AU$3)+1)-FIND(".",AU$3)-1),Gällivare!$B$6:$J$36,MATCH($C28,Gällivare!$B$6:$B$36,0),FALSE)="No Impact",HLOOKUP(LEFT(AU$3,4),Global!$B$6:$J$36,MATCH($C28,Global!$B$6:$B$36,0),FALSE)="No Impact"),HLOOKUP(RIGHT(AU$3,LEN(AU$3)-FIND(".",AU$3,FIND(".",AU$3)+1)),Gällivare!$B$6:$J$36,MATCH($C28,Gällivare!$B$6:$B$36,0),FALSE),"Global: "&amp;HLOOKUP(LEFT(AU$3,4),Global!$B$6:$J$36,MATCH($C28,Global!$B$6:$B$36,0),FALSE)&amp;CHAR(10)&amp;"Local Trend: "&amp;HLOOKUP(MID(AU$3,FIND(".",AU$3)+1,FIND(".",AU$3,FIND(".",AU$3)+1)-FIND(".",AU$3)-1),Gällivare!$B$6:$J$36,MATCH($C28,Gällivare!$B$6:$B$36,0),FALSE)&amp;CHAR(10)&amp;"Local Target: "&amp;HLOOKUP(RIGHT(AU$3,LEN(AU$3)-FIND(".",AU$3,FIND(".",AU$3)+1)),Gällivare!$B$6:$J$36,MATCH($C28,Gällivare!$B$6:$B$36,0),FALSE)))</f>
        <v>Medium</v>
      </c>
      <c r="AV28" s="177" t="str">
        <f>IF(AND(HLOOKUP(MID(AV$3,FIND(".",AV$3)+1,FIND(".",AV$3,FIND(".",AV$3)+1)-FIND(".",AV$3)-1),Gällivare!$B$6:$J$36,MATCH($C28,Gällivare!$B$6:$B$36,0),FALSE)="No Impact",HLOOKUP(RIGHT(AV$3,LEN(AV$3)-FIND(".",AV$3,FIND(".",AV$3)+1)),Gällivare!$B$6:$J$36,MATCH($C28,Gällivare!$B$6:$B$36,0),FALSE)="No Impact"),HLOOKUP(LEFT(AV$3,4),Global!$B$6:$J$36,MATCH($C28,Global!$B$6:$B$36,0),FALSE),IF(AND(HLOOKUP(MID(AV$3,FIND(".",AV$3)+1,FIND(".",AV$3,FIND(".",AV$3)+1)-FIND(".",AV$3)-1),Gällivare!$B$6:$J$36,MATCH($C28,Gällivare!$B$6:$B$36,0),FALSE)="No Impact",HLOOKUP(LEFT(AV$3,4),Global!$B$6:$J$36,MATCH($C28,Global!$B$6:$B$36,0),FALSE)="No Impact"),HLOOKUP(RIGHT(AV$3,LEN(AV$3)-FIND(".",AV$3,FIND(".",AV$3)+1)),Gällivare!$B$6:$J$36,MATCH($C28,Gällivare!$B$6:$B$36,0),FALSE),"Global: "&amp;HLOOKUP(LEFT(AV$3,4),Global!$B$6:$J$36,MATCH($C28,Global!$B$6:$B$36,0),FALSE)&amp;CHAR(10)&amp;"Local Trend: "&amp;HLOOKUP(MID(AV$3,FIND(".",AV$3)+1,FIND(".",AV$3,FIND(".",AV$3)+1)-FIND(".",AV$3)-1),Gällivare!$B$6:$J$36,MATCH($C28,Gällivare!$B$6:$B$36,0),FALSE)&amp;CHAR(10)&amp;"Local Target: "&amp;HLOOKUP(RIGHT(AV$3,LEN(AV$3)-FIND(".",AV$3,FIND(".",AV$3)+1)),Gällivare!$B$6:$J$36,MATCH($C28,Gällivare!$B$6:$B$36,0),FALSE)))</f>
        <v>Medium</v>
      </c>
      <c r="AW28" s="177" t="str">
        <f>IF(AND(HLOOKUP(MID(AW$3,FIND(".",AW$3)+1,FIND(".",AW$3,FIND(".",AW$3)+1)-FIND(".",AW$3)-1),Gällivare!$B$6:$J$36,MATCH($C28,Gällivare!$B$6:$B$36,0),FALSE)="No Impact",HLOOKUP(RIGHT(AW$3,LEN(AW$3)-FIND(".",AW$3,FIND(".",AW$3)+1)),Gällivare!$B$6:$J$36,MATCH($C28,Gällivare!$B$6:$B$36,0),FALSE)="No Impact"),HLOOKUP(LEFT(AW$3,4),Global!$B$6:$J$36,MATCH($C28,Global!$B$6:$B$36,0),FALSE),IF(AND(HLOOKUP(MID(AW$3,FIND(".",AW$3)+1,FIND(".",AW$3,FIND(".",AW$3)+1)-FIND(".",AW$3)-1),Gällivare!$B$6:$J$36,MATCH($C28,Gällivare!$B$6:$B$36,0),FALSE)="No Impact",HLOOKUP(LEFT(AW$3,4),Global!$B$6:$J$36,MATCH($C28,Global!$B$6:$B$36,0),FALSE)="No Impact"),HLOOKUP(RIGHT(AW$3,LEN(AW$3)-FIND(".",AW$3,FIND(".",AW$3)+1)),Gällivare!$B$6:$J$36,MATCH($C28,Gällivare!$B$6:$B$36,0),FALSE),"Global: "&amp;HLOOKUP(LEFT(AW$3,4),Global!$B$6:$J$36,MATCH($C28,Global!$B$6:$B$36,0),FALSE)&amp;CHAR(10)&amp;"Local Trend: "&amp;HLOOKUP(MID(AW$3,FIND(".",AW$3)+1,FIND(".",AW$3,FIND(".",AW$3)+1)-FIND(".",AW$3)-1),Gällivare!$B$6:$J$36,MATCH($C28,Gällivare!$B$6:$B$36,0),FALSE)&amp;CHAR(10)&amp;"Local Target: "&amp;HLOOKUP(RIGHT(AW$3,LEN(AW$3)-FIND(".",AW$3,FIND(".",AW$3)+1)),Gällivare!$B$6:$J$36,MATCH($C28,Gällivare!$B$6:$B$36,0),FALSE)))</f>
        <v>Medium</v>
      </c>
      <c r="AX28" s="177" t="str">
        <f>IF(AND(HLOOKUP(MID(AX$3,FIND(".",AX$3)+1,FIND(".",AX$3,FIND(".",AX$3)+1)-FIND(".",AX$3)-1),Gällivare!$B$6:$J$36,MATCH($C28,Gällivare!$B$6:$B$36,0),FALSE)="No Impact",HLOOKUP(RIGHT(AX$3,LEN(AX$3)-FIND(".",AX$3,FIND(".",AX$3)+1)),Gällivare!$B$6:$J$36,MATCH($C28,Gällivare!$B$6:$B$36,0),FALSE)="No Impact"),HLOOKUP(LEFT(AX$3,4),Global!$B$6:$J$36,MATCH($C28,Global!$B$6:$B$36,0),FALSE),IF(AND(HLOOKUP(MID(AX$3,FIND(".",AX$3)+1,FIND(".",AX$3,FIND(".",AX$3)+1)-FIND(".",AX$3)-1),Gällivare!$B$6:$J$36,MATCH($C28,Gällivare!$B$6:$B$36,0),FALSE)="No Impact",HLOOKUP(LEFT(AX$3,4),Global!$B$6:$J$36,MATCH($C28,Global!$B$6:$B$36,0),FALSE)="No Impact"),HLOOKUP(RIGHT(AX$3,LEN(AX$3)-FIND(".",AX$3,FIND(".",AX$3)+1)),Gällivare!$B$6:$J$36,MATCH($C28,Gällivare!$B$6:$B$36,0),FALSE),"Global: "&amp;HLOOKUP(LEFT(AX$3,4),Global!$B$6:$J$36,MATCH($C28,Global!$B$6:$B$36,0),FALSE)&amp;CHAR(10)&amp;"Local Trend: "&amp;HLOOKUP(MID(AX$3,FIND(".",AX$3)+1,FIND(".",AX$3,FIND(".",AX$3)+1)-FIND(".",AX$3)-1),Gällivare!$B$6:$J$36,MATCH($C28,Gällivare!$B$6:$B$36,0),FALSE)&amp;CHAR(10)&amp;"Local Target: "&amp;HLOOKUP(RIGHT(AX$3,LEN(AX$3)-FIND(".",AX$3,FIND(".",AX$3)+1)),Gällivare!$B$6:$J$36,MATCH($C28,Gällivare!$B$6:$B$36,0),FALSE)))</f>
        <v>Medium</v>
      </c>
      <c r="AY28" s="177" t="str">
        <f>IF(AND(HLOOKUP(MID(AY$3,FIND(".",AY$3)+1,FIND(".",AY$3,FIND(".",AY$3)+1)-FIND(".",AY$3)-1),Gällivare!$B$6:$J$36,MATCH($C28,Gällivare!$B$6:$B$36,0),FALSE)="No Impact",HLOOKUP(RIGHT(AY$3,LEN(AY$3)-FIND(".",AY$3,FIND(".",AY$3)+1)),Gällivare!$B$6:$J$36,MATCH($C28,Gällivare!$B$6:$B$36,0),FALSE)="No Impact"),HLOOKUP(LEFT(AY$3,4),Global!$B$6:$J$36,MATCH($C28,Global!$B$6:$B$36,0),FALSE),IF(AND(HLOOKUP(MID(AY$3,FIND(".",AY$3)+1,FIND(".",AY$3,FIND(".",AY$3)+1)-FIND(".",AY$3)-1),Gällivare!$B$6:$J$36,MATCH($C28,Gällivare!$B$6:$B$36,0),FALSE)="No Impact",HLOOKUP(LEFT(AY$3,4),Global!$B$6:$J$36,MATCH($C28,Global!$B$6:$B$36,0),FALSE)="No Impact"),HLOOKUP(RIGHT(AY$3,LEN(AY$3)-FIND(".",AY$3,FIND(".",AY$3)+1)),Gällivare!$B$6:$J$36,MATCH($C28,Gällivare!$B$6:$B$36,0),FALSE),"Global: "&amp;HLOOKUP(LEFT(AY$3,4),Global!$B$6:$J$36,MATCH($C28,Global!$B$6:$B$36,0),FALSE)&amp;CHAR(10)&amp;"Local Trend: "&amp;HLOOKUP(MID(AY$3,FIND(".",AY$3)+1,FIND(".",AY$3,FIND(".",AY$3)+1)-FIND(".",AY$3)-1),Gällivare!$B$6:$J$36,MATCH($C28,Gällivare!$B$6:$B$36,0),FALSE)&amp;CHAR(10)&amp;"Local Target: "&amp;HLOOKUP(RIGHT(AY$3,LEN(AY$3)-FIND(".",AY$3,FIND(".",AY$3)+1)),Gällivare!$B$6:$J$36,MATCH($C28,Gällivare!$B$6:$B$36,0),FALSE)))</f>
        <v>Low</v>
      </c>
      <c r="AZ28" s="177" t="str">
        <f>IF(AND(HLOOKUP(MID(AZ$3,FIND(".",AZ$3)+1,FIND(".",AZ$3,FIND(".",AZ$3)+1)-FIND(".",AZ$3)-1),Gällivare!$B$6:$J$36,MATCH($C28,Gällivare!$B$6:$B$36,0),FALSE)="No Impact",HLOOKUP(RIGHT(AZ$3,LEN(AZ$3)-FIND(".",AZ$3,FIND(".",AZ$3)+1)),Gällivare!$B$6:$J$36,MATCH($C28,Gällivare!$B$6:$B$36,0),FALSE)="No Impact"),HLOOKUP(LEFT(AZ$3,4),Global!$B$6:$J$36,MATCH($C28,Global!$B$6:$B$36,0),FALSE),IF(AND(HLOOKUP(MID(AZ$3,FIND(".",AZ$3)+1,FIND(".",AZ$3,FIND(".",AZ$3)+1)-FIND(".",AZ$3)-1),Gällivare!$B$6:$J$36,MATCH($C28,Gällivare!$B$6:$B$36,0),FALSE)="No Impact",HLOOKUP(LEFT(AZ$3,4),Global!$B$6:$J$36,MATCH($C28,Global!$B$6:$B$36,0),FALSE)="No Impact"),HLOOKUP(RIGHT(AZ$3,LEN(AZ$3)-FIND(".",AZ$3,FIND(".",AZ$3)+1)),Gällivare!$B$6:$J$36,MATCH($C28,Gällivare!$B$6:$B$36,0),FALSE),"Global: "&amp;HLOOKUP(LEFT(AZ$3,4),Global!$B$6:$J$36,MATCH($C28,Global!$B$6:$B$36,0),FALSE)&amp;CHAR(10)&amp;"Local Trend: "&amp;HLOOKUP(MID(AZ$3,FIND(".",AZ$3)+1,FIND(".",AZ$3,FIND(".",AZ$3)+1)-FIND(".",AZ$3)-1),Gällivare!$B$6:$J$36,MATCH($C28,Gällivare!$B$6:$B$36,0),FALSE)&amp;CHAR(10)&amp;"Local Target: "&amp;HLOOKUP(RIGHT(AZ$3,LEN(AZ$3)-FIND(".",AZ$3,FIND(".",AZ$3)+1)),Gällivare!$B$6:$J$36,MATCH($C28,Gällivare!$B$6:$B$36,0),FALSE)))</f>
        <v>Low</v>
      </c>
      <c r="BA28" s="177" t="str">
        <f>IF(AND(HLOOKUP(MID(BA$3,FIND(".",BA$3)+1,FIND(".",BA$3,FIND(".",BA$3)+1)-FIND(".",BA$3)-1),Gällivare!$B$6:$J$36,MATCH($C28,Gällivare!$B$6:$B$36,0),FALSE)="No Impact",HLOOKUP(RIGHT(BA$3,LEN(BA$3)-FIND(".",BA$3,FIND(".",BA$3)+1)),Gällivare!$B$6:$J$36,MATCH($C28,Gällivare!$B$6:$B$36,0),FALSE)="No Impact"),HLOOKUP(LEFT(BA$3,4),Global!$B$6:$J$36,MATCH($C28,Global!$B$6:$B$36,0),FALSE),IF(AND(HLOOKUP(MID(BA$3,FIND(".",BA$3)+1,FIND(".",BA$3,FIND(".",BA$3)+1)-FIND(".",BA$3)-1),Gällivare!$B$6:$J$36,MATCH($C28,Gällivare!$B$6:$B$36,0),FALSE)="No Impact",HLOOKUP(LEFT(BA$3,4),Global!$B$6:$J$36,MATCH($C28,Global!$B$6:$B$36,0),FALSE)="No Impact"),HLOOKUP(RIGHT(BA$3,LEN(BA$3)-FIND(".",BA$3,FIND(".",BA$3)+1)),Gällivare!$B$6:$J$36,MATCH($C28,Gällivare!$B$6:$B$36,0),FALSE),"Global: "&amp;HLOOKUP(LEFT(BA$3,4),Global!$B$6:$J$36,MATCH($C28,Global!$B$6:$B$36,0),FALSE)&amp;CHAR(10)&amp;"Local Trend: "&amp;HLOOKUP(MID(BA$3,FIND(".",BA$3)+1,FIND(".",BA$3,FIND(".",BA$3)+1)-FIND(".",BA$3)-1),Gällivare!$B$6:$J$36,MATCH($C28,Gällivare!$B$6:$B$36,0),FALSE)&amp;CHAR(10)&amp;"Local Target: "&amp;HLOOKUP(RIGHT(BA$3,LEN(BA$3)-FIND(".",BA$3,FIND(".",BA$3)+1)),Gällivare!$B$6:$J$36,MATCH($C28,Gällivare!$B$6:$B$36,0),FALSE)))</f>
        <v>Low</v>
      </c>
      <c r="BB28" s="177" t="str">
        <f>IF(AND(HLOOKUP(MID(BB$3,FIND(".",BB$3)+1,FIND(".",BB$3,FIND(".",BB$3)+1)-FIND(".",BB$3)-1),Gällivare!$B$6:$J$36,MATCH($C28,Gällivare!$B$6:$B$36,0),FALSE)="No Impact",HLOOKUP(RIGHT(BB$3,LEN(BB$3)-FIND(".",BB$3,FIND(".",BB$3)+1)),Gällivare!$B$6:$J$36,MATCH($C28,Gällivare!$B$6:$B$36,0),FALSE)="No Impact"),HLOOKUP(LEFT(BB$3,4),Global!$B$6:$J$36,MATCH($C28,Global!$B$6:$B$36,0),FALSE),IF(AND(HLOOKUP(MID(BB$3,FIND(".",BB$3)+1,FIND(".",BB$3,FIND(".",BB$3)+1)-FIND(".",BB$3)-1),Gällivare!$B$6:$J$36,MATCH($C28,Gällivare!$B$6:$B$36,0),FALSE)="No Impact",HLOOKUP(LEFT(BB$3,4),Global!$B$6:$J$36,MATCH($C28,Global!$B$6:$B$36,0),FALSE)="No Impact"),HLOOKUP(RIGHT(BB$3,LEN(BB$3)-FIND(".",BB$3,FIND(".",BB$3)+1)),Gällivare!$B$6:$J$36,MATCH($C28,Gällivare!$B$6:$B$36,0),FALSE),"Global: "&amp;HLOOKUP(LEFT(BB$3,4),Global!$B$6:$J$36,MATCH($C28,Global!$B$6:$B$36,0),FALSE)&amp;CHAR(10)&amp;"Local Trend: "&amp;HLOOKUP(MID(BB$3,FIND(".",BB$3)+1,FIND(".",BB$3,FIND(".",BB$3)+1)-FIND(".",BB$3)-1),Gällivare!$B$6:$J$36,MATCH($C28,Gällivare!$B$6:$B$36,0),FALSE)&amp;CHAR(10)&amp;"Local Target: "&amp;HLOOKUP(RIGHT(BB$3,LEN(BB$3)-FIND(".",BB$3,FIND(".",BB$3)+1)),Gällivare!$B$6:$J$36,MATCH($C28,Gällivare!$B$6:$B$36,0),FALSE)))</f>
        <v>Low</v>
      </c>
      <c r="BC28" s="177" t="str">
        <f>IF(AND(HLOOKUP(MID(BC$3,FIND(".",BC$3)+1,FIND(".",BC$3,FIND(".",BC$3)+1)-FIND(".",BC$3)-1),Gällivare!$B$6:$J$36,MATCH($C28,Gällivare!$B$6:$B$36,0),FALSE)="No Impact",HLOOKUP(RIGHT(BC$3,LEN(BC$3)-FIND(".",BC$3,FIND(".",BC$3)+1)),Gällivare!$B$6:$J$36,MATCH($C28,Gällivare!$B$6:$B$36,0),FALSE)="No Impact"),HLOOKUP(LEFT(BC$3,4),Global!$B$6:$J$36,MATCH($C28,Global!$B$6:$B$36,0),FALSE),IF(AND(HLOOKUP(MID(BC$3,FIND(".",BC$3)+1,FIND(".",BC$3,FIND(".",BC$3)+1)-FIND(".",BC$3)-1),Gällivare!$B$6:$J$36,MATCH($C28,Gällivare!$B$6:$B$36,0),FALSE)="No Impact",HLOOKUP(LEFT(BC$3,4),Global!$B$6:$J$36,MATCH($C28,Global!$B$6:$B$36,0),FALSE)="No Impact"),HLOOKUP(RIGHT(BC$3,LEN(BC$3)-FIND(".",BC$3,FIND(".",BC$3)+1)),Gällivare!$B$6:$J$36,MATCH($C28,Gällivare!$B$6:$B$36,0),FALSE),"Global: "&amp;HLOOKUP(LEFT(BC$3,4),Global!$B$6:$J$36,MATCH($C28,Global!$B$6:$B$36,0),FALSE)&amp;CHAR(10)&amp;"Local Trend: "&amp;HLOOKUP(MID(BC$3,FIND(".",BC$3)+1,FIND(".",BC$3,FIND(".",BC$3)+1)-FIND(".",BC$3)-1),Gällivare!$B$6:$J$36,MATCH($C28,Gällivare!$B$6:$B$36,0),FALSE)&amp;CHAR(10)&amp;"Local Target: "&amp;HLOOKUP(RIGHT(BC$3,LEN(BC$3)-FIND(".",BC$3,FIND(".",BC$3)+1)),Gällivare!$B$6:$J$36,MATCH($C28,Gällivare!$B$6:$B$36,0),FALSE)))</f>
        <v>Low</v>
      </c>
      <c r="BD28" s="177" t="str">
        <f>IF(AND(HLOOKUP(MID(BD$3,FIND(".",BD$3)+1,FIND(".",BD$3,FIND(".",BD$3)+1)-FIND(".",BD$3)-1),Gällivare!$B$6:$J$36,MATCH($C28,Gällivare!$B$6:$B$36,0),FALSE)="No Impact",HLOOKUP(RIGHT(BD$3,LEN(BD$3)-FIND(".",BD$3,FIND(".",BD$3)+1)),Gällivare!$B$6:$J$36,MATCH($C28,Gällivare!$B$6:$B$36,0),FALSE)="No Impact"),HLOOKUP(LEFT(BD$3,4),Global!$B$6:$J$36,MATCH($C28,Global!$B$6:$B$36,0),FALSE),IF(AND(HLOOKUP(MID(BD$3,FIND(".",BD$3)+1,FIND(".",BD$3,FIND(".",BD$3)+1)-FIND(".",BD$3)-1),Gällivare!$B$6:$J$36,MATCH($C28,Gällivare!$B$6:$B$36,0),FALSE)="No Impact",HLOOKUP(LEFT(BD$3,4),Global!$B$6:$J$36,MATCH($C28,Global!$B$6:$B$36,0),FALSE)="No Impact"),HLOOKUP(RIGHT(BD$3,LEN(BD$3)-FIND(".",BD$3,FIND(".",BD$3)+1)),Gällivare!$B$6:$J$36,MATCH($C28,Gällivare!$B$6:$B$36,0),FALSE),"Global: "&amp;HLOOKUP(LEFT(BD$3,4),Global!$B$6:$J$36,MATCH($C28,Global!$B$6:$B$36,0),FALSE)&amp;CHAR(10)&amp;"Local Trend: "&amp;HLOOKUP(MID(BD$3,FIND(".",BD$3)+1,FIND(".",BD$3,FIND(".",BD$3)+1)-FIND(".",BD$3)-1),Gällivare!$B$6:$J$36,MATCH($C28,Gällivare!$B$6:$B$36,0),FALSE)&amp;CHAR(10)&amp;"Local Target: "&amp;HLOOKUP(RIGHT(BD$3,LEN(BD$3)-FIND(".",BD$3,FIND(".",BD$3)+1)),Gällivare!$B$6:$J$36,MATCH($C28,Gällivare!$B$6:$B$36,0),FALSE)))</f>
        <v>Low</v>
      </c>
      <c r="BE28" s="177" t="str">
        <f>IF(AND(HLOOKUP(MID(BE$3,FIND(".",BE$3)+1,FIND(".",BE$3,FIND(".",BE$3)+1)-FIND(".",BE$3)-1),Gällivare!$B$6:$J$36,MATCH($C28,Gällivare!$B$6:$B$36,0),FALSE)="No Impact",HLOOKUP(RIGHT(BE$3,LEN(BE$3)-FIND(".",BE$3,FIND(".",BE$3)+1)),Gällivare!$B$6:$J$36,MATCH($C28,Gällivare!$B$6:$B$36,0),FALSE)="No Impact"),HLOOKUP(LEFT(BE$3,4),Global!$B$6:$J$36,MATCH($C28,Global!$B$6:$B$36,0),FALSE),IF(AND(HLOOKUP(MID(BE$3,FIND(".",BE$3)+1,FIND(".",BE$3,FIND(".",BE$3)+1)-FIND(".",BE$3)-1),Gällivare!$B$6:$J$36,MATCH($C28,Gällivare!$B$6:$B$36,0),FALSE)="No Impact",HLOOKUP(LEFT(BE$3,4),Global!$B$6:$J$36,MATCH($C28,Global!$B$6:$B$36,0),FALSE)="No Impact"),HLOOKUP(RIGHT(BE$3,LEN(BE$3)-FIND(".",BE$3,FIND(".",BE$3)+1)),Gällivare!$B$6:$J$36,MATCH($C28,Gällivare!$B$6:$B$36,0),FALSE),"Global: "&amp;HLOOKUP(LEFT(BE$3,4),Global!$B$6:$J$36,MATCH($C28,Global!$B$6:$B$36,0),FALSE)&amp;CHAR(10)&amp;"Local Trend: "&amp;HLOOKUP(MID(BE$3,FIND(".",BE$3)+1,FIND(".",BE$3,FIND(".",BE$3)+1)-FIND(".",BE$3)-1),Gällivare!$B$6:$J$36,MATCH($C28,Gällivare!$B$6:$B$36,0),FALSE)&amp;CHAR(10)&amp;"Local Target: "&amp;HLOOKUP(RIGHT(BE$3,LEN(BE$3)-FIND(".",BE$3,FIND(".",BE$3)+1)),Gällivare!$B$6:$J$36,MATCH($C28,Gällivare!$B$6:$B$36,0),FALSE)))</f>
        <v>Medium</v>
      </c>
      <c r="BF28" s="177" t="str">
        <f>IF(AND(HLOOKUP(MID(BF$3,FIND(".",BF$3)+1,FIND(".",BF$3,FIND(".",BF$3)+1)-FIND(".",BF$3)-1),Gällivare!$B$6:$J$36,MATCH($C28,Gällivare!$B$6:$B$36,0),FALSE)="No Impact",HLOOKUP(RIGHT(BF$3,LEN(BF$3)-FIND(".",BF$3,FIND(".",BF$3)+1)),Gällivare!$B$6:$J$36,MATCH($C28,Gällivare!$B$6:$B$36,0),FALSE)="No Impact"),HLOOKUP(LEFT(BF$3,4),Global!$B$6:$J$36,MATCH($C28,Global!$B$6:$B$36,0),FALSE),IF(AND(HLOOKUP(MID(BF$3,FIND(".",BF$3)+1,FIND(".",BF$3,FIND(".",BF$3)+1)-FIND(".",BF$3)-1),Gällivare!$B$6:$J$36,MATCH($C28,Gällivare!$B$6:$B$36,0),FALSE)="No Impact",HLOOKUP(LEFT(BF$3,4),Global!$B$6:$J$36,MATCH($C28,Global!$B$6:$B$36,0),FALSE)="No Impact"),HLOOKUP(RIGHT(BF$3,LEN(BF$3)-FIND(".",BF$3,FIND(".",BF$3)+1)),Gällivare!$B$6:$J$36,MATCH($C28,Gällivare!$B$6:$B$36,0),FALSE),"Global: "&amp;HLOOKUP(LEFT(BF$3,4),Global!$B$6:$J$36,MATCH($C28,Global!$B$6:$B$36,0),FALSE)&amp;CHAR(10)&amp;"Local Trend: "&amp;HLOOKUP(MID(BF$3,FIND(".",BF$3)+1,FIND(".",BF$3,FIND(".",BF$3)+1)-FIND(".",BF$3)-1),Gällivare!$B$6:$J$36,MATCH($C28,Gällivare!$B$6:$B$36,0),FALSE)&amp;CHAR(10)&amp;"Local Target: "&amp;HLOOKUP(RIGHT(BF$3,LEN(BF$3)-FIND(".",BF$3,FIND(".",BF$3)+1)),Gällivare!$B$6:$J$36,MATCH($C28,Gällivare!$B$6:$B$36,0),FALSE)))</f>
        <v>Medium</v>
      </c>
      <c r="BG28" s="177" t="str">
        <f>IF(AND(HLOOKUP(MID(BG$3,FIND(".",BG$3)+1,FIND(".",BG$3,FIND(".",BG$3)+1)-FIND(".",BG$3)-1),Gällivare!$B$6:$J$36,MATCH($C28,Gällivare!$B$6:$B$36,0),FALSE)="No Impact",HLOOKUP(RIGHT(BG$3,LEN(BG$3)-FIND(".",BG$3,FIND(".",BG$3)+1)),Gällivare!$B$6:$J$36,MATCH($C28,Gällivare!$B$6:$B$36,0),FALSE)="No Impact"),HLOOKUP(LEFT(BG$3,4),Global!$B$6:$J$36,MATCH($C28,Global!$B$6:$B$36,0),FALSE),IF(AND(HLOOKUP(MID(BG$3,FIND(".",BG$3)+1,FIND(".",BG$3,FIND(".",BG$3)+1)-FIND(".",BG$3)-1),Gällivare!$B$6:$J$36,MATCH($C28,Gällivare!$B$6:$B$36,0),FALSE)="No Impact",HLOOKUP(LEFT(BG$3,4),Global!$B$6:$J$36,MATCH($C28,Global!$B$6:$B$36,0),FALSE)="No Impact"),HLOOKUP(RIGHT(BG$3,LEN(BG$3)-FIND(".",BG$3,FIND(".",BG$3)+1)),Gällivare!$B$6:$J$36,MATCH($C28,Gällivare!$B$6:$B$36,0),FALSE),"Global: "&amp;HLOOKUP(LEFT(BG$3,4),Global!$B$6:$J$36,MATCH($C28,Global!$B$6:$B$36,0),FALSE)&amp;CHAR(10)&amp;"Local Trend: "&amp;HLOOKUP(MID(BG$3,FIND(".",BG$3)+1,FIND(".",BG$3,FIND(".",BG$3)+1)-FIND(".",BG$3)-1),Gällivare!$B$6:$J$36,MATCH($C28,Gällivare!$B$6:$B$36,0),FALSE)&amp;CHAR(10)&amp;"Local Target: "&amp;HLOOKUP(RIGHT(BG$3,LEN(BG$3)-FIND(".",BG$3,FIND(".",BG$3)+1)),Gällivare!$B$6:$J$36,MATCH($C28,Gällivare!$B$6:$B$36,0),FALSE)))</f>
        <v>Medium</v>
      </c>
      <c r="BH28" s="177" t="str">
        <f>IF(AND(HLOOKUP(MID(BH$3,FIND(".",BH$3)+1,FIND(".",BH$3,FIND(".",BH$3)+1)-FIND(".",BH$3)-1),Gällivare!$B$6:$J$36,MATCH($C28,Gällivare!$B$6:$B$36,0),FALSE)="No Impact",HLOOKUP(RIGHT(BH$3,LEN(BH$3)-FIND(".",BH$3,FIND(".",BH$3)+1)),Gällivare!$B$6:$J$36,MATCH($C28,Gällivare!$B$6:$B$36,0),FALSE)="No Impact"),HLOOKUP(LEFT(BH$3,4),Global!$B$6:$J$36,MATCH($C28,Global!$B$6:$B$36,0),FALSE),IF(AND(HLOOKUP(MID(BH$3,FIND(".",BH$3)+1,FIND(".",BH$3,FIND(".",BH$3)+1)-FIND(".",BH$3)-1),Gällivare!$B$6:$J$36,MATCH($C28,Gällivare!$B$6:$B$36,0),FALSE)="No Impact",HLOOKUP(LEFT(BH$3,4),Global!$B$6:$J$36,MATCH($C28,Global!$B$6:$B$36,0),FALSE)="No Impact"),HLOOKUP(RIGHT(BH$3,LEN(BH$3)-FIND(".",BH$3,FIND(".",BH$3)+1)),Gällivare!$B$6:$J$36,MATCH($C28,Gällivare!$B$6:$B$36,0),FALSE),"Global: "&amp;HLOOKUP(LEFT(BH$3,4),Global!$B$6:$J$36,MATCH($C28,Global!$B$6:$B$36,0),FALSE)&amp;CHAR(10)&amp;"Local Trend: "&amp;HLOOKUP(MID(BH$3,FIND(".",BH$3)+1,FIND(".",BH$3,FIND(".",BH$3)+1)-FIND(".",BH$3)-1),Gällivare!$B$6:$J$36,MATCH($C28,Gällivare!$B$6:$B$36,0),FALSE)&amp;CHAR(10)&amp;"Local Target: "&amp;HLOOKUP(RIGHT(BH$3,LEN(BH$3)-FIND(".",BH$3,FIND(".",BH$3)+1)),Gällivare!$B$6:$J$36,MATCH($C28,Gällivare!$B$6:$B$36,0),FALSE)))</f>
        <v>Medium</v>
      </c>
      <c r="BI28" s="177" t="str">
        <f>IF(AND(HLOOKUP(MID(BI$3,FIND(".",BI$3)+1,FIND(".",BI$3,FIND(".",BI$3)+1)-FIND(".",BI$3)-1),Gällivare!$B$6:$J$36,MATCH($C28,Gällivare!$B$6:$B$36,0),FALSE)="No Impact",HLOOKUP(RIGHT(BI$3,LEN(BI$3)-FIND(".",BI$3,FIND(".",BI$3)+1)),Gällivare!$B$6:$J$36,MATCH($C28,Gällivare!$B$6:$B$36,0),FALSE)="No Impact"),HLOOKUP(LEFT(BI$3,4),Global!$B$6:$J$36,MATCH($C28,Global!$B$6:$B$36,0),FALSE),IF(AND(HLOOKUP(MID(BI$3,FIND(".",BI$3)+1,FIND(".",BI$3,FIND(".",BI$3)+1)-FIND(".",BI$3)-1),Gällivare!$B$6:$J$36,MATCH($C28,Gällivare!$B$6:$B$36,0),FALSE)="No Impact",HLOOKUP(LEFT(BI$3,4),Global!$B$6:$J$36,MATCH($C28,Global!$B$6:$B$36,0),FALSE)="No Impact"),HLOOKUP(RIGHT(BI$3,LEN(BI$3)-FIND(".",BI$3,FIND(".",BI$3)+1)),Gällivare!$B$6:$J$36,MATCH($C28,Gällivare!$B$6:$B$36,0),FALSE),"Global: "&amp;HLOOKUP(LEFT(BI$3,4),Global!$B$6:$J$36,MATCH($C28,Global!$B$6:$B$36,0),FALSE)&amp;CHAR(10)&amp;"Local Trend: "&amp;HLOOKUP(MID(BI$3,FIND(".",BI$3)+1,FIND(".",BI$3,FIND(".",BI$3)+1)-FIND(".",BI$3)-1),Gällivare!$B$6:$J$36,MATCH($C28,Gällivare!$B$6:$B$36,0),FALSE)&amp;CHAR(10)&amp;"Local Target: "&amp;HLOOKUP(RIGHT(BI$3,LEN(BI$3)-FIND(".",BI$3,FIND(".",BI$3)+1)),Gällivare!$B$6:$J$36,MATCH($C28,Gällivare!$B$6:$B$36,0),FALSE)))</f>
        <v>Medium</v>
      </c>
      <c r="BJ28" s="177" t="str">
        <f>IF(AND(HLOOKUP(MID(BJ$3,FIND(".",BJ$3)+1,FIND(".",BJ$3,FIND(".",BJ$3)+1)-FIND(".",BJ$3)-1),Gällivare!$B$6:$J$36,MATCH($C28,Gällivare!$B$6:$B$36,0),FALSE)="No Impact",HLOOKUP(RIGHT(BJ$3,LEN(BJ$3)-FIND(".",BJ$3,FIND(".",BJ$3)+1)),Gällivare!$B$6:$J$36,MATCH($C28,Gällivare!$B$6:$B$36,0),FALSE)="No Impact"),HLOOKUP(LEFT(BJ$3,4),Global!$B$6:$J$36,MATCH($C28,Global!$B$6:$B$36,0),FALSE),IF(AND(HLOOKUP(MID(BJ$3,FIND(".",BJ$3)+1,FIND(".",BJ$3,FIND(".",BJ$3)+1)-FIND(".",BJ$3)-1),Gällivare!$B$6:$J$36,MATCH($C28,Gällivare!$B$6:$B$36,0),FALSE)="No Impact",HLOOKUP(LEFT(BJ$3,4),Global!$B$6:$J$36,MATCH($C28,Global!$B$6:$B$36,0),FALSE)="No Impact"),HLOOKUP(RIGHT(BJ$3,LEN(BJ$3)-FIND(".",BJ$3,FIND(".",BJ$3)+1)),Gällivare!$B$6:$J$36,MATCH($C28,Gällivare!$B$6:$B$36,0),FALSE),"Global: "&amp;HLOOKUP(LEFT(BJ$3,4),Global!$B$6:$J$36,MATCH($C28,Global!$B$6:$B$36,0),FALSE)&amp;CHAR(10)&amp;"Local Trend: "&amp;HLOOKUP(MID(BJ$3,FIND(".",BJ$3)+1,FIND(".",BJ$3,FIND(".",BJ$3)+1)-FIND(".",BJ$3)-1),Gällivare!$B$6:$J$36,MATCH($C28,Gällivare!$B$6:$B$36,0),FALSE)&amp;CHAR(10)&amp;"Local Target: "&amp;HLOOKUP(RIGHT(BJ$3,LEN(BJ$3)-FIND(".",BJ$3,FIND(".",BJ$3)+1)),Gällivare!$B$6:$J$36,MATCH($C28,Gällivare!$B$6:$B$36,0),FALSE)))</f>
        <v>Medium</v>
      </c>
      <c r="BK28" s="177" t="str">
        <f>IF(AND(HLOOKUP(MID(BK$3,FIND(".",BK$3)+1,FIND(".",BK$3,FIND(".",BK$3)+1)-FIND(".",BK$3)-1),Gällivare!$B$6:$J$36,MATCH($C28,Gällivare!$B$6:$B$36,0),FALSE)="No Impact",HLOOKUP(RIGHT(BK$3,LEN(BK$3)-FIND(".",BK$3,FIND(".",BK$3)+1)),Gällivare!$B$6:$J$36,MATCH($C28,Gällivare!$B$6:$B$36,0),FALSE)="No Impact"),HLOOKUP(LEFT(BK$3,4),Global!$B$6:$J$36,MATCH($C28,Global!$B$6:$B$36,0),FALSE),IF(AND(HLOOKUP(MID(BK$3,FIND(".",BK$3)+1,FIND(".",BK$3,FIND(".",BK$3)+1)-FIND(".",BK$3)-1),Gällivare!$B$6:$J$36,MATCH($C28,Gällivare!$B$6:$B$36,0),FALSE)="No Impact",HLOOKUP(LEFT(BK$3,4),Global!$B$6:$J$36,MATCH($C28,Global!$B$6:$B$36,0),FALSE)="No Impact"),HLOOKUP(RIGHT(BK$3,LEN(BK$3)-FIND(".",BK$3,FIND(".",BK$3)+1)),Gällivare!$B$6:$J$36,MATCH($C28,Gällivare!$B$6:$B$36,0),FALSE),"Global: "&amp;HLOOKUP(LEFT(BK$3,4),Global!$B$6:$J$36,MATCH($C28,Global!$B$6:$B$36,0),FALSE)&amp;CHAR(10)&amp;"Local Trend: "&amp;HLOOKUP(MID(BK$3,FIND(".",BK$3)+1,FIND(".",BK$3,FIND(".",BK$3)+1)-FIND(".",BK$3)-1),Gällivare!$B$6:$J$36,MATCH($C28,Gällivare!$B$6:$B$36,0),FALSE)&amp;CHAR(10)&amp;"Local Target: "&amp;HLOOKUP(RIGHT(BK$3,LEN(BK$3)-FIND(".",BK$3,FIND(".",BK$3)+1)),Gällivare!$B$6:$J$36,MATCH($C28,Gällivare!$B$6:$B$36,0),FALSE)))</f>
        <v>Low</v>
      </c>
      <c r="BL28" s="177" t="str">
        <f>IF(AND(HLOOKUP(MID(BL$3,FIND(".",BL$3)+1,FIND(".",BL$3,FIND(".",BL$3)+1)-FIND(".",BL$3)-1),Gällivare!$B$6:$J$36,MATCH($C28,Gällivare!$B$6:$B$36,0),FALSE)="No Impact",HLOOKUP(RIGHT(BL$3,LEN(BL$3)-FIND(".",BL$3,FIND(".",BL$3)+1)),Gällivare!$B$6:$J$36,MATCH($C28,Gällivare!$B$6:$B$36,0),FALSE)="No Impact"),HLOOKUP(LEFT(BL$3,4),Global!$B$6:$J$36,MATCH($C28,Global!$B$6:$B$36,0),FALSE),IF(AND(HLOOKUP(MID(BL$3,FIND(".",BL$3)+1,FIND(".",BL$3,FIND(".",BL$3)+1)-FIND(".",BL$3)-1),Gällivare!$B$6:$J$36,MATCH($C28,Gällivare!$B$6:$B$36,0),FALSE)="No Impact",HLOOKUP(LEFT(BL$3,4),Global!$B$6:$J$36,MATCH($C28,Global!$B$6:$B$36,0),FALSE)="No Impact"),HLOOKUP(RIGHT(BL$3,LEN(BL$3)-FIND(".",BL$3,FIND(".",BL$3)+1)),Gällivare!$B$6:$J$36,MATCH($C28,Gällivare!$B$6:$B$36,0),FALSE),"Global: "&amp;HLOOKUP(LEFT(BL$3,4),Global!$B$6:$J$36,MATCH($C28,Global!$B$6:$B$36,0),FALSE)&amp;CHAR(10)&amp;"Local Trend: "&amp;HLOOKUP(MID(BL$3,FIND(".",BL$3)+1,FIND(".",BL$3,FIND(".",BL$3)+1)-FIND(".",BL$3)-1),Gällivare!$B$6:$J$36,MATCH($C28,Gällivare!$B$6:$B$36,0),FALSE)&amp;CHAR(10)&amp;"Local Target: "&amp;HLOOKUP(RIGHT(BL$3,LEN(BL$3)-FIND(".",BL$3,FIND(".",BL$3)+1)),Gällivare!$B$6:$J$36,MATCH($C28,Gällivare!$B$6:$B$36,0),FALSE)))</f>
        <v>Low</v>
      </c>
      <c r="BM28" s="177" t="str">
        <f>IF(AND(HLOOKUP(MID(BM$3,FIND(".",BM$3)+1,FIND(".",BM$3,FIND(".",BM$3)+1)-FIND(".",BM$3)-1),Gällivare!$B$6:$J$36,MATCH($C28,Gällivare!$B$6:$B$36,0),FALSE)="No Impact",HLOOKUP(RIGHT(BM$3,LEN(BM$3)-FIND(".",BM$3,FIND(".",BM$3)+1)),Gällivare!$B$6:$J$36,MATCH($C28,Gällivare!$B$6:$B$36,0),FALSE)="No Impact"),HLOOKUP(LEFT(BM$3,4),Global!$B$6:$J$36,MATCH($C28,Global!$B$6:$B$36,0),FALSE),IF(AND(HLOOKUP(MID(BM$3,FIND(".",BM$3)+1,FIND(".",BM$3,FIND(".",BM$3)+1)-FIND(".",BM$3)-1),Gällivare!$B$6:$J$36,MATCH($C28,Gällivare!$B$6:$B$36,0),FALSE)="No Impact",HLOOKUP(LEFT(BM$3,4),Global!$B$6:$J$36,MATCH($C28,Global!$B$6:$B$36,0),FALSE)="No Impact"),HLOOKUP(RIGHT(BM$3,LEN(BM$3)-FIND(".",BM$3,FIND(".",BM$3)+1)),Gällivare!$B$6:$J$36,MATCH($C28,Gällivare!$B$6:$B$36,0),FALSE),"Global: "&amp;HLOOKUP(LEFT(BM$3,4),Global!$B$6:$J$36,MATCH($C28,Global!$B$6:$B$36,0),FALSE)&amp;CHAR(10)&amp;"Local Trend: "&amp;HLOOKUP(MID(BM$3,FIND(".",BM$3)+1,FIND(".",BM$3,FIND(".",BM$3)+1)-FIND(".",BM$3)-1),Gällivare!$B$6:$J$36,MATCH($C28,Gällivare!$B$6:$B$36,0),FALSE)&amp;CHAR(10)&amp;"Local Target: "&amp;HLOOKUP(RIGHT(BM$3,LEN(BM$3)-FIND(".",BM$3,FIND(".",BM$3)+1)),Gällivare!$B$6:$J$36,MATCH($C28,Gällivare!$B$6:$B$36,0),FALSE)))</f>
        <v>Low</v>
      </c>
      <c r="BN28" s="177" t="str">
        <f>IF(AND(HLOOKUP(MID(BN$3,FIND(".",BN$3)+1,FIND(".",BN$3,FIND(".",BN$3)+1)-FIND(".",BN$3)-1),Gällivare!$B$6:$J$36,MATCH($C28,Gällivare!$B$6:$B$36,0),FALSE)="No Impact",HLOOKUP(RIGHT(BN$3,LEN(BN$3)-FIND(".",BN$3,FIND(".",BN$3)+1)),Gällivare!$B$6:$J$36,MATCH($C28,Gällivare!$B$6:$B$36,0),FALSE)="No Impact"),HLOOKUP(LEFT(BN$3,4),Global!$B$6:$J$36,MATCH($C28,Global!$B$6:$B$36,0),FALSE),IF(AND(HLOOKUP(MID(BN$3,FIND(".",BN$3)+1,FIND(".",BN$3,FIND(".",BN$3)+1)-FIND(".",BN$3)-1),Gällivare!$B$6:$J$36,MATCH($C28,Gällivare!$B$6:$B$36,0),FALSE)="No Impact",HLOOKUP(LEFT(BN$3,4),Global!$B$6:$J$36,MATCH($C28,Global!$B$6:$B$36,0),FALSE)="No Impact"),HLOOKUP(RIGHT(BN$3,LEN(BN$3)-FIND(".",BN$3,FIND(".",BN$3)+1)),Gällivare!$B$6:$J$36,MATCH($C28,Gällivare!$B$6:$B$36,0),FALSE),"Global: "&amp;HLOOKUP(LEFT(BN$3,4),Global!$B$6:$J$36,MATCH($C28,Global!$B$6:$B$36,0),FALSE)&amp;CHAR(10)&amp;"Local Trend: "&amp;HLOOKUP(MID(BN$3,FIND(".",BN$3)+1,FIND(".",BN$3,FIND(".",BN$3)+1)-FIND(".",BN$3)-1),Gällivare!$B$6:$J$36,MATCH($C28,Gällivare!$B$6:$B$36,0),FALSE)&amp;CHAR(10)&amp;"Local Target: "&amp;HLOOKUP(RIGHT(BN$3,LEN(BN$3)-FIND(".",BN$3,FIND(".",BN$3)+1)),Gällivare!$B$6:$J$36,MATCH($C28,Gällivare!$B$6:$B$36,0),FALSE)))</f>
        <v>Low</v>
      </c>
      <c r="BO28" s="177" t="str">
        <f>IF(AND(HLOOKUP(MID(BO$3,FIND(".",BO$3)+1,FIND(".",BO$3,FIND(".",BO$3)+1)-FIND(".",BO$3)-1),Gällivare!$B$6:$J$36,MATCH($C28,Gällivare!$B$6:$B$36,0),FALSE)="No Impact",HLOOKUP(RIGHT(BO$3,LEN(BO$3)-FIND(".",BO$3,FIND(".",BO$3)+1)),Gällivare!$B$6:$J$36,MATCH($C28,Gällivare!$B$6:$B$36,0),FALSE)="No Impact"),HLOOKUP(LEFT(BO$3,4),Global!$B$6:$J$36,MATCH($C28,Global!$B$6:$B$36,0),FALSE),IF(AND(HLOOKUP(MID(BO$3,FIND(".",BO$3)+1,FIND(".",BO$3,FIND(".",BO$3)+1)-FIND(".",BO$3)-1),Gällivare!$B$6:$J$36,MATCH($C28,Gällivare!$B$6:$B$36,0),FALSE)="No Impact",HLOOKUP(LEFT(BO$3,4),Global!$B$6:$J$36,MATCH($C28,Global!$B$6:$B$36,0),FALSE)="No Impact"),HLOOKUP(RIGHT(BO$3,LEN(BO$3)-FIND(".",BO$3,FIND(".",BO$3)+1)),Gällivare!$B$6:$J$36,MATCH($C28,Gällivare!$B$6:$B$36,0),FALSE),"Global: "&amp;HLOOKUP(LEFT(BO$3,4),Global!$B$6:$J$36,MATCH($C28,Global!$B$6:$B$36,0),FALSE)&amp;CHAR(10)&amp;"Local Trend: "&amp;HLOOKUP(MID(BO$3,FIND(".",BO$3)+1,FIND(".",BO$3,FIND(".",BO$3)+1)-FIND(".",BO$3)-1),Gällivare!$B$6:$J$36,MATCH($C28,Gällivare!$B$6:$B$36,0),FALSE)&amp;CHAR(10)&amp;"Local Target: "&amp;HLOOKUP(RIGHT(BO$3,LEN(BO$3)-FIND(".",BO$3,FIND(".",BO$3)+1)),Gällivare!$B$6:$J$36,MATCH($C28,Gällivare!$B$6:$B$36,0),FALSE)))</f>
        <v>Low</v>
      </c>
      <c r="BP28" s="177" t="str">
        <f>IF(AND(HLOOKUP(MID(BP$3,FIND(".",BP$3)+1,FIND(".",BP$3,FIND(".",BP$3)+1)-FIND(".",BP$3)-1),Gällivare!$B$6:$J$36,MATCH($C28,Gällivare!$B$6:$B$36,0),FALSE)="No Impact",HLOOKUP(RIGHT(BP$3,LEN(BP$3)-FIND(".",BP$3,FIND(".",BP$3)+1)),Gällivare!$B$6:$J$36,MATCH($C28,Gällivare!$B$6:$B$36,0),FALSE)="No Impact"),HLOOKUP(LEFT(BP$3,4),Global!$B$6:$J$36,MATCH($C28,Global!$B$6:$B$36,0),FALSE),IF(AND(HLOOKUP(MID(BP$3,FIND(".",BP$3)+1,FIND(".",BP$3,FIND(".",BP$3)+1)-FIND(".",BP$3)-1),Gällivare!$B$6:$J$36,MATCH($C28,Gällivare!$B$6:$B$36,0),FALSE)="No Impact",HLOOKUP(LEFT(BP$3,4),Global!$B$6:$J$36,MATCH($C28,Global!$B$6:$B$36,0),FALSE)="No Impact"),HLOOKUP(RIGHT(BP$3,LEN(BP$3)-FIND(".",BP$3,FIND(".",BP$3)+1)),Gällivare!$B$6:$J$36,MATCH($C28,Gällivare!$B$6:$B$36,0),FALSE),"Global: "&amp;HLOOKUP(LEFT(BP$3,4),Global!$B$6:$J$36,MATCH($C28,Global!$B$6:$B$36,0),FALSE)&amp;CHAR(10)&amp;"Local Trend: "&amp;HLOOKUP(MID(BP$3,FIND(".",BP$3)+1,FIND(".",BP$3,FIND(".",BP$3)+1)-FIND(".",BP$3)-1),Gällivare!$B$6:$J$36,MATCH($C28,Gällivare!$B$6:$B$36,0),FALSE)&amp;CHAR(10)&amp;"Local Target: "&amp;HLOOKUP(RIGHT(BP$3,LEN(BP$3)-FIND(".",BP$3,FIND(".",BP$3)+1)),Gällivare!$B$6:$J$36,MATCH($C28,Gällivare!$B$6:$B$36,0),FALSE)))</f>
        <v>Low</v>
      </c>
    </row>
    <row r="29" spans="2:74" ht="28.8" x14ac:dyDescent="0.3">
      <c r="B29" s="248"/>
      <c r="C29" s="175" t="s">
        <v>213</v>
      </c>
      <c r="D29" s="175" t="s">
        <v>172</v>
      </c>
      <c r="E29" s="175" t="s">
        <v>214</v>
      </c>
      <c r="F29" s="176" t="s">
        <v>165</v>
      </c>
      <c r="G29" s="176"/>
      <c r="H29" s="175" t="str">
        <f t="shared" si="1"/>
        <v>High</v>
      </c>
      <c r="I29" s="175" t="str">
        <f t="shared" si="1"/>
        <v>High</v>
      </c>
      <c r="J29" s="175" t="str">
        <f t="shared" si="1"/>
        <v>High</v>
      </c>
      <c r="K29" s="175" t="str">
        <f t="shared" si="1"/>
        <v>High</v>
      </c>
      <c r="L29" s="175" t="str">
        <f t="shared" si="1"/>
        <v>High</v>
      </c>
      <c r="M29" s="175" t="str">
        <f t="shared" si="1"/>
        <v>High</v>
      </c>
      <c r="N29" s="175" t="str">
        <f t="shared" si="1"/>
        <v>Medium</v>
      </c>
      <c r="O29" s="175" t="str">
        <f t="shared" si="1"/>
        <v>Medium</v>
      </c>
      <c r="P29" s="175" t="str">
        <f t="shared" si="1"/>
        <v>Medium</v>
      </c>
      <c r="Q29" s="175" t="str">
        <f t="shared" si="1"/>
        <v>Medium</v>
      </c>
      <c r="R29" s="175" t="str">
        <f t="shared" si="1"/>
        <v>Medium</v>
      </c>
      <c r="S29" s="175" t="str">
        <f t="shared" si="1"/>
        <v>Medium</v>
      </c>
      <c r="T29" s="175" t="str">
        <f t="shared" si="1"/>
        <v>Low</v>
      </c>
      <c r="U29" s="175" t="str">
        <f t="shared" si="1"/>
        <v>Low</v>
      </c>
      <c r="V29" s="175" t="str">
        <f t="shared" si="1"/>
        <v>Low</v>
      </c>
      <c r="W29" s="175" t="str">
        <f t="shared" si="1"/>
        <v>Low</v>
      </c>
      <c r="X29" s="175" t="str">
        <f t="shared" si="5"/>
        <v>Low</v>
      </c>
      <c r="Y29" s="175" t="str">
        <f t="shared" si="5"/>
        <v>Low</v>
      </c>
      <c r="Z29" s="175" t="str">
        <f t="shared" si="5"/>
        <v>Medium</v>
      </c>
      <c r="AA29" s="175" t="str">
        <f t="shared" si="5"/>
        <v>Medium</v>
      </c>
      <c r="AB29" s="175" t="str">
        <f t="shared" si="5"/>
        <v>Medium</v>
      </c>
      <c r="AC29" s="175" t="str">
        <f t="shared" si="5"/>
        <v>Medium</v>
      </c>
      <c r="AD29" s="175" t="str">
        <f t="shared" si="5"/>
        <v>Medium</v>
      </c>
      <c r="AE29" s="175" t="str">
        <f t="shared" si="5"/>
        <v>Medium</v>
      </c>
      <c r="AF29" s="175" t="str">
        <f t="shared" si="4"/>
        <v>Low</v>
      </c>
      <c r="AG29" s="175" t="str">
        <f t="shared" si="4"/>
        <v>Low</v>
      </c>
      <c r="AH29" s="175" t="str">
        <f t="shared" si="4"/>
        <v>Low</v>
      </c>
      <c r="AI29" s="175" t="str">
        <f t="shared" si="4"/>
        <v>Low</v>
      </c>
      <c r="AJ29" s="175" t="str">
        <f t="shared" si="4"/>
        <v>Low</v>
      </c>
      <c r="AK29" s="175" t="str">
        <f t="shared" si="4"/>
        <v>Low</v>
      </c>
      <c r="AL29" s="176"/>
      <c r="AM29" s="177" t="str">
        <f>IF(AND(HLOOKUP(MID(AM$3,FIND(".",AM$3)+1,FIND(".",AM$3,FIND(".",AM$3)+1)-FIND(".",AM$3)-1),Gällivare!$B$6:$J$36,MATCH($C29,Gällivare!$B$6:$B$36,0),FALSE)="No Impact",HLOOKUP(RIGHT(AM$3,LEN(AM$3)-FIND(".",AM$3,FIND(".",AM$3)+1)),Gällivare!$B$6:$J$36,MATCH($C29,Gällivare!$B$6:$B$36,0),FALSE)="No Impact"),HLOOKUP(LEFT(AM$3,4),Global!$B$6:$J$36,MATCH($C29,Global!$B$6:$B$36,0),FALSE),IF(AND(HLOOKUP(MID(AM$3,FIND(".",AM$3)+1,FIND(".",AM$3,FIND(".",AM$3)+1)-FIND(".",AM$3)-1),Gällivare!$B$6:$J$36,MATCH($C29,Gällivare!$B$6:$B$36,0),FALSE)="No Impact",HLOOKUP(LEFT(AM$3,4),Global!$B$6:$J$36,MATCH($C29,Global!$B$6:$B$36,0),FALSE)="No Impact"),HLOOKUP(RIGHT(AM$3,LEN(AM$3)-FIND(".",AM$3,FIND(".",AM$3)+1)),Gällivare!$B$6:$J$36,MATCH($C29,Gällivare!$B$6:$B$36,0),FALSE),"Global: "&amp;HLOOKUP(LEFT(AM$3,4),Global!$B$6:$J$36,MATCH($C29,Global!$B$6:$B$36,0),FALSE)&amp;CHAR(10)&amp;"Local Trend: "&amp;HLOOKUP(MID(AM$3,FIND(".",AM$3)+1,FIND(".",AM$3,FIND(".",AM$3)+1)-FIND(".",AM$3)-1),Gällivare!$B$6:$J$36,MATCH($C29,Gällivare!$B$6:$B$36,0),FALSE)&amp;CHAR(10)&amp;"Local Target: "&amp;HLOOKUP(RIGHT(AM$3,LEN(AM$3)-FIND(".",AM$3,FIND(".",AM$3)+1)),Gällivare!$B$6:$J$36,MATCH($C29,Gällivare!$B$6:$B$36,0),FALSE)))</f>
        <v>High</v>
      </c>
      <c r="AN29" s="177" t="str">
        <f>IF(AND(HLOOKUP(MID(AN$3,FIND(".",AN$3)+1,FIND(".",AN$3,FIND(".",AN$3)+1)-FIND(".",AN$3)-1),Gällivare!$B$6:$J$36,MATCH($C29,Gällivare!$B$6:$B$36,0),FALSE)="No Impact",HLOOKUP(RIGHT(AN$3,LEN(AN$3)-FIND(".",AN$3,FIND(".",AN$3)+1)),Gällivare!$B$6:$J$36,MATCH($C29,Gällivare!$B$6:$B$36,0),FALSE)="No Impact"),HLOOKUP(LEFT(AN$3,4),Global!$B$6:$J$36,MATCH($C29,Global!$B$6:$B$36,0),FALSE),IF(AND(HLOOKUP(MID(AN$3,FIND(".",AN$3)+1,FIND(".",AN$3,FIND(".",AN$3)+1)-FIND(".",AN$3)-1),Gällivare!$B$6:$J$36,MATCH($C29,Gällivare!$B$6:$B$36,0),FALSE)="No Impact",HLOOKUP(LEFT(AN$3,4),Global!$B$6:$J$36,MATCH($C29,Global!$B$6:$B$36,0),FALSE)="No Impact"),HLOOKUP(RIGHT(AN$3,LEN(AN$3)-FIND(".",AN$3,FIND(".",AN$3)+1)),Gällivare!$B$6:$J$36,MATCH($C29,Gällivare!$B$6:$B$36,0),FALSE),"Global: "&amp;HLOOKUP(LEFT(AN$3,4),Global!$B$6:$J$36,MATCH($C29,Global!$B$6:$B$36,0),FALSE)&amp;CHAR(10)&amp;"Local Trend: "&amp;HLOOKUP(MID(AN$3,FIND(".",AN$3)+1,FIND(".",AN$3,FIND(".",AN$3)+1)-FIND(".",AN$3)-1),Gällivare!$B$6:$J$36,MATCH($C29,Gällivare!$B$6:$B$36,0),FALSE)&amp;CHAR(10)&amp;"Local Target: "&amp;HLOOKUP(RIGHT(AN$3,LEN(AN$3)-FIND(".",AN$3,FIND(".",AN$3)+1)),Gällivare!$B$6:$J$36,MATCH($C29,Gällivare!$B$6:$B$36,0),FALSE)))</f>
        <v>High</v>
      </c>
      <c r="AO29" s="177" t="str">
        <f>IF(AND(HLOOKUP(MID(AO$3,FIND(".",AO$3)+1,FIND(".",AO$3,FIND(".",AO$3)+1)-FIND(".",AO$3)-1),Gällivare!$B$6:$J$36,MATCH($C29,Gällivare!$B$6:$B$36,0),FALSE)="No Impact",HLOOKUP(RIGHT(AO$3,LEN(AO$3)-FIND(".",AO$3,FIND(".",AO$3)+1)),Gällivare!$B$6:$J$36,MATCH($C29,Gällivare!$B$6:$B$36,0),FALSE)="No Impact"),HLOOKUP(LEFT(AO$3,4),Global!$B$6:$J$36,MATCH($C29,Global!$B$6:$B$36,0),FALSE),IF(AND(HLOOKUP(MID(AO$3,FIND(".",AO$3)+1,FIND(".",AO$3,FIND(".",AO$3)+1)-FIND(".",AO$3)-1),Gällivare!$B$6:$J$36,MATCH($C29,Gällivare!$B$6:$B$36,0),FALSE)="No Impact",HLOOKUP(LEFT(AO$3,4),Global!$B$6:$J$36,MATCH($C29,Global!$B$6:$B$36,0),FALSE)="No Impact"),HLOOKUP(RIGHT(AO$3,LEN(AO$3)-FIND(".",AO$3,FIND(".",AO$3)+1)),Gällivare!$B$6:$J$36,MATCH($C29,Gällivare!$B$6:$B$36,0),FALSE),"Global: "&amp;HLOOKUP(LEFT(AO$3,4),Global!$B$6:$J$36,MATCH($C29,Global!$B$6:$B$36,0),FALSE)&amp;CHAR(10)&amp;"Local Trend: "&amp;HLOOKUP(MID(AO$3,FIND(".",AO$3)+1,FIND(".",AO$3,FIND(".",AO$3)+1)-FIND(".",AO$3)-1),Gällivare!$B$6:$J$36,MATCH($C29,Gällivare!$B$6:$B$36,0),FALSE)&amp;CHAR(10)&amp;"Local Target: "&amp;HLOOKUP(RIGHT(AO$3,LEN(AO$3)-FIND(".",AO$3,FIND(".",AO$3)+1)),Gällivare!$B$6:$J$36,MATCH($C29,Gällivare!$B$6:$B$36,0),FALSE)))</f>
        <v>High</v>
      </c>
      <c r="AP29" s="177" t="str">
        <f>IF(AND(HLOOKUP(MID(AP$3,FIND(".",AP$3)+1,FIND(".",AP$3,FIND(".",AP$3)+1)-FIND(".",AP$3)-1),Gällivare!$B$6:$J$36,MATCH($C29,Gällivare!$B$6:$B$36,0),FALSE)="No Impact",HLOOKUP(RIGHT(AP$3,LEN(AP$3)-FIND(".",AP$3,FIND(".",AP$3)+1)),Gällivare!$B$6:$J$36,MATCH($C29,Gällivare!$B$6:$B$36,0),FALSE)="No Impact"),HLOOKUP(LEFT(AP$3,4),Global!$B$6:$J$36,MATCH($C29,Global!$B$6:$B$36,0),FALSE),IF(AND(HLOOKUP(MID(AP$3,FIND(".",AP$3)+1,FIND(".",AP$3,FIND(".",AP$3)+1)-FIND(".",AP$3)-1),Gällivare!$B$6:$J$36,MATCH($C29,Gällivare!$B$6:$B$36,0),FALSE)="No Impact",HLOOKUP(LEFT(AP$3,4),Global!$B$6:$J$36,MATCH($C29,Global!$B$6:$B$36,0),FALSE)="No Impact"),HLOOKUP(RIGHT(AP$3,LEN(AP$3)-FIND(".",AP$3,FIND(".",AP$3)+1)),Gällivare!$B$6:$J$36,MATCH($C29,Gällivare!$B$6:$B$36,0),FALSE),"Global: "&amp;HLOOKUP(LEFT(AP$3,4),Global!$B$6:$J$36,MATCH($C29,Global!$B$6:$B$36,0),FALSE)&amp;CHAR(10)&amp;"Local Trend: "&amp;HLOOKUP(MID(AP$3,FIND(".",AP$3)+1,FIND(".",AP$3,FIND(".",AP$3)+1)-FIND(".",AP$3)-1),Gällivare!$B$6:$J$36,MATCH($C29,Gällivare!$B$6:$B$36,0),FALSE)&amp;CHAR(10)&amp;"Local Target: "&amp;HLOOKUP(RIGHT(AP$3,LEN(AP$3)-FIND(".",AP$3,FIND(".",AP$3)+1)),Gällivare!$B$6:$J$36,MATCH($C29,Gällivare!$B$6:$B$36,0),FALSE)))</f>
        <v>High</v>
      </c>
      <c r="AQ29" s="177" t="str">
        <f>IF(AND(HLOOKUP(MID(AQ$3,FIND(".",AQ$3)+1,FIND(".",AQ$3,FIND(".",AQ$3)+1)-FIND(".",AQ$3)-1),Gällivare!$B$6:$J$36,MATCH($C29,Gällivare!$B$6:$B$36,0),FALSE)="No Impact",HLOOKUP(RIGHT(AQ$3,LEN(AQ$3)-FIND(".",AQ$3,FIND(".",AQ$3)+1)),Gällivare!$B$6:$J$36,MATCH($C29,Gällivare!$B$6:$B$36,0),FALSE)="No Impact"),HLOOKUP(LEFT(AQ$3,4),Global!$B$6:$J$36,MATCH($C29,Global!$B$6:$B$36,0),FALSE),IF(AND(HLOOKUP(MID(AQ$3,FIND(".",AQ$3)+1,FIND(".",AQ$3,FIND(".",AQ$3)+1)-FIND(".",AQ$3)-1),Gällivare!$B$6:$J$36,MATCH($C29,Gällivare!$B$6:$B$36,0),FALSE)="No Impact",HLOOKUP(LEFT(AQ$3,4),Global!$B$6:$J$36,MATCH($C29,Global!$B$6:$B$36,0),FALSE)="No Impact"),HLOOKUP(RIGHT(AQ$3,LEN(AQ$3)-FIND(".",AQ$3,FIND(".",AQ$3)+1)),Gällivare!$B$6:$J$36,MATCH($C29,Gällivare!$B$6:$B$36,0),FALSE),"Global: "&amp;HLOOKUP(LEFT(AQ$3,4),Global!$B$6:$J$36,MATCH($C29,Global!$B$6:$B$36,0),FALSE)&amp;CHAR(10)&amp;"Local Trend: "&amp;HLOOKUP(MID(AQ$3,FIND(".",AQ$3)+1,FIND(".",AQ$3,FIND(".",AQ$3)+1)-FIND(".",AQ$3)-1),Gällivare!$B$6:$J$36,MATCH($C29,Gällivare!$B$6:$B$36,0),FALSE)&amp;CHAR(10)&amp;"Local Target: "&amp;HLOOKUP(RIGHT(AQ$3,LEN(AQ$3)-FIND(".",AQ$3,FIND(".",AQ$3)+1)),Gällivare!$B$6:$J$36,MATCH($C29,Gällivare!$B$6:$B$36,0),FALSE)))</f>
        <v>High</v>
      </c>
      <c r="AR29" s="177" t="str">
        <f>IF(AND(HLOOKUP(MID(AR$3,FIND(".",AR$3)+1,FIND(".",AR$3,FIND(".",AR$3)+1)-FIND(".",AR$3)-1),Gällivare!$B$6:$J$36,MATCH($C29,Gällivare!$B$6:$B$36,0),FALSE)="No Impact",HLOOKUP(RIGHT(AR$3,LEN(AR$3)-FIND(".",AR$3,FIND(".",AR$3)+1)),Gällivare!$B$6:$J$36,MATCH($C29,Gällivare!$B$6:$B$36,0),FALSE)="No Impact"),HLOOKUP(LEFT(AR$3,4),Global!$B$6:$J$36,MATCH($C29,Global!$B$6:$B$36,0),FALSE),IF(AND(HLOOKUP(MID(AR$3,FIND(".",AR$3)+1,FIND(".",AR$3,FIND(".",AR$3)+1)-FIND(".",AR$3)-1),Gällivare!$B$6:$J$36,MATCH($C29,Gällivare!$B$6:$B$36,0),FALSE)="No Impact",HLOOKUP(LEFT(AR$3,4),Global!$B$6:$J$36,MATCH($C29,Global!$B$6:$B$36,0),FALSE)="No Impact"),HLOOKUP(RIGHT(AR$3,LEN(AR$3)-FIND(".",AR$3,FIND(".",AR$3)+1)),Gällivare!$B$6:$J$36,MATCH($C29,Gällivare!$B$6:$B$36,0),FALSE),"Global: "&amp;HLOOKUP(LEFT(AR$3,4),Global!$B$6:$J$36,MATCH($C29,Global!$B$6:$B$36,0),FALSE)&amp;CHAR(10)&amp;"Local Trend: "&amp;HLOOKUP(MID(AR$3,FIND(".",AR$3)+1,FIND(".",AR$3,FIND(".",AR$3)+1)-FIND(".",AR$3)-1),Gällivare!$B$6:$J$36,MATCH($C29,Gällivare!$B$6:$B$36,0),FALSE)&amp;CHAR(10)&amp;"Local Target: "&amp;HLOOKUP(RIGHT(AR$3,LEN(AR$3)-FIND(".",AR$3,FIND(".",AR$3)+1)),Gällivare!$B$6:$J$36,MATCH($C29,Gällivare!$B$6:$B$36,0),FALSE)))</f>
        <v>High</v>
      </c>
      <c r="AS29" s="177" t="str">
        <f>IF(AND(HLOOKUP(MID(AS$3,FIND(".",AS$3)+1,FIND(".",AS$3,FIND(".",AS$3)+1)-FIND(".",AS$3)-1),Gällivare!$B$6:$J$36,MATCH($C29,Gällivare!$B$6:$B$36,0),FALSE)="No Impact",HLOOKUP(RIGHT(AS$3,LEN(AS$3)-FIND(".",AS$3,FIND(".",AS$3)+1)),Gällivare!$B$6:$J$36,MATCH($C29,Gällivare!$B$6:$B$36,0),FALSE)="No Impact"),HLOOKUP(LEFT(AS$3,4),Global!$B$6:$J$36,MATCH($C29,Global!$B$6:$B$36,0),FALSE),IF(AND(HLOOKUP(MID(AS$3,FIND(".",AS$3)+1,FIND(".",AS$3,FIND(".",AS$3)+1)-FIND(".",AS$3)-1),Gällivare!$B$6:$J$36,MATCH($C29,Gällivare!$B$6:$B$36,0),FALSE)="No Impact",HLOOKUP(LEFT(AS$3,4),Global!$B$6:$J$36,MATCH($C29,Global!$B$6:$B$36,0),FALSE)="No Impact"),HLOOKUP(RIGHT(AS$3,LEN(AS$3)-FIND(".",AS$3,FIND(".",AS$3)+1)),Gällivare!$B$6:$J$36,MATCH($C29,Gällivare!$B$6:$B$36,0),FALSE),"Global: "&amp;HLOOKUP(LEFT(AS$3,4),Global!$B$6:$J$36,MATCH($C29,Global!$B$6:$B$36,0),FALSE)&amp;CHAR(10)&amp;"Local Trend: "&amp;HLOOKUP(MID(AS$3,FIND(".",AS$3)+1,FIND(".",AS$3,FIND(".",AS$3)+1)-FIND(".",AS$3)-1),Gällivare!$B$6:$J$36,MATCH($C29,Gällivare!$B$6:$B$36,0),FALSE)&amp;CHAR(10)&amp;"Local Target: "&amp;HLOOKUP(RIGHT(AS$3,LEN(AS$3)-FIND(".",AS$3,FIND(".",AS$3)+1)),Gällivare!$B$6:$J$36,MATCH($C29,Gällivare!$B$6:$B$36,0),FALSE)))</f>
        <v>Medium</v>
      </c>
      <c r="AT29" s="177" t="str">
        <f>IF(AND(HLOOKUP(MID(AT$3,FIND(".",AT$3)+1,FIND(".",AT$3,FIND(".",AT$3)+1)-FIND(".",AT$3)-1),Gällivare!$B$6:$J$36,MATCH($C29,Gällivare!$B$6:$B$36,0),FALSE)="No Impact",HLOOKUP(RIGHT(AT$3,LEN(AT$3)-FIND(".",AT$3,FIND(".",AT$3)+1)),Gällivare!$B$6:$J$36,MATCH($C29,Gällivare!$B$6:$B$36,0),FALSE)="No Impact"),HLOOKUP(LEFT(AT$3,4),Global!$B$6:$J$36,MATCH($C29,Global!$B$6:$B$36,0),FALSE),IF(AND(HLOOKUP(MID(AT$3,FIND(".",AT$3)+1,FIND(".",AT$3,FIND(".",AT$3)+1)-FIND(".",AT$3)-1),Gällivare!$B$6:$J$36,MATCH($C29,Gällivare!$B$6:$B$36,0),FALSE)="No Impact",HLOOKUP(LEFT(AT$3,4),Global!$B$6:$J$36,MATCH($C29,Global!$B$6:$B$36,0),FALSE)="No Impact"),HLOOKUP(RIGHT(AT$3,LEN(AT$3)-FIND(".",AT$3,FIND(".",AT$3)+1)),Gällivare!$B$6:$J$36,MATCH($C29,Gällivare!$B$6:$B$36,0),FALSE),"Global: "&amp;HLOOKUP(LEFT(AT$3,4),Global!$B$6:$J$36,MATCH($C29,Global!$B$6:$B$36,0),FALSE)&amp;CHAR(10)&amp;"Local Trend: "&amp;HLOOKUP(MID(AT$3,FIND(".",AT$3)+1,FIND(".",AT$3,FIND(".",AT$3)+1)-FIND(".",AT$3)-1),Gällivare!$B$6:$J$36,MATCH($C29,Gällivare!$B$6:$B$36,0),FALSE)&amp;CHAR(10)&amp;"Local Target: "&amp;HLOOKUP(RIGHT(AT$3,LEN(AT$3)-FIND(".",AT$3,FIND(".",AT$3)+1)),Gällivare!$B$6:$J$36,MATCH($C29,Gällivare!$B$6:$B$36,0),FALSE)))</f>
        <v>Medium</v>
      </c>
      <c r="AU29" s="177" t="str">
        <f>IF(AND(HLOOKUP(MID(AU$3,FIND(".",AU$3)+1,FIND(".",AU$3,FIND(".",AU$3)+1)-FIND(".",AU$3)-1),Gällivare!$B$6:$J$36,MATCH($C29,Gällivare!$B$6:$B$36,0),FALSE)="No Impact",HLOOKUP(RIGHT(AU$3,LEN(AU$3)-FIND(".",AU$3,FIND(".",AU$3)+1)),Gällivare!$B$6:$J$36,MATCH($C29,Gällivare!$B$6:$B$36,0),FALSE)="No Impact"),HLOOKUP(LEFT(AU$3,4),Global!$B$6:$J$36,MATCH($C29,Global!$B$6:$B$36,0),FALSE),IF(AND(HLOOKUP(MID(AU$3,FIND(".",AU$3)+1,FIND(".",AU$3,FIND(".",AU$3)+1)-FIND(".",AU$3)-1),Gällivare!$B$6:$J$36,MATCH($C29,Gällivare!$B$6:$B$36,0),FALSE)="No Impact",HLOOKUP(LEFT(AU$3,4),Global!$B$6:$J$36,MATCH($C29,Global!$B$6:$B$36,0),FALSE)="No Impact"),HLOOKUP(RIGHT(AU$3,LEN(AU$3)-FIND(".",AU$3,FIND(".",AU$3)+1)),Gällivare!$B$6:$J$36,MATCH($C29,Gällivare!$B$6:$B$36,0),FALSE),"Global: "&amp;HLOOKUP(LEFT(AU$3,4),Global!$B$6:$J$36,MATCH($C29,Global!$B$6:$B$36,0),FALSE)&amp;CHAR(10)&amp;"Local Trend: "&amp;HLOOKUP(MID(AU$3,FIND(".",AU$3)+1,FIND(".",AU$3,FIND(".",AU$3)+1)-FIND(".",AU$3)-1),Gällivare!$B$6:$J$36,MATCH($C29,Gällivare!$B$6:$B$36,0),FALSE)&amp;CHAR(10)&amp;"Local Target: "&amp;HLOOKUP(RIGHT(AU$3,LEN(AU$3)-FIND(".",AU$3,FIND(".",AU$3)+1)),Gällivare!$B$6:$J$36,MATCH($C29,Gällivare!$B$6:$B$36,0),FALSE)))</f>
        <v>Medium</v>
      </c>
      <c r="AV29" s="177" t="str">
        <f>IF(AND(HLOOKUP(MID(AV$3,FIND(".",AV$3)+1,FIND(".",AV$3,FIND(".",AV$3)+1)-FIND(".",AV$3)-1),Gällivare!$B$6:$J$36,MATCH($C29,Gällivare!$B$6:$B$36,0),FALSE)="No Impact",HLOOKUP(RIGHT(AV$3,LEN(AV$3)-FIND(".",AV$3,FIND(".",AV$3)+1)),Gällivare!$B$6:$J$36,MATCH($C29,Gällivare!$B$6:$B$36,0),FALSE)="No Impact"),HLOOKUP(LEFT(AV$3,4),Global!$B$6:$J$36,MATCH($C29,Global!$B$6:$B$36,0),FALSE),IF(AND(HLOOKUP(MID(AV$3,FIND(".",AV$3)+1,FIND(".",AV$3,FIND(".",AV$3)+1)-FIND(".",AV$3)-1),Gällivare!$B$6:$J$36,MATCH($C29,Gällivare!$B$6:$B$36,0),FALSE)="No Impact",HLOOKUP(LEFT(AV$3,4),Global!$B$6:$J$36,MATCH($C29,Global!$B$6:$B$36,0),FALSE)="No Impact"),HLOOKUP(RIGHT(AV$3,LEN(AV$3)-FIND(".",AV$3,FIND(".",AV$3)+1)),Gällivare!$B$6:$J$36,MATCH($C29,Gällivare!$B$6:$B$36,0),FALSE),"Global: "&amp;HLOOKUP(LEFT(AV$3,4),Global!$B$6:$J$36,MATCH($C29,Global!$B$6:$B$36,0),FALSE)&amp;CHAR(10)&amp;"Local Trend: "&amp;HLOOKUP(MID(AV$3,FIND(".",AV$3)+1,FIND(".",AV$3,FIND(".",AV$3)+1)-FIND(".",AV$3)-1),Gällivare!$B$6:$J$36,MATCH($C29,Gällivare!$B$6:$B$36,0),FALSE)&amp;CHAR(10)&amp;"Local Target: "&amp;HLOOKUP(RIGHT(AV$3,LEN(AV$3)-FIND(".",AV$3,FIND(".",AV$3)+1)),Gällivare!$B$6:$J$36,MATCH($C29,Gällivare!$B$6:$B$36,0),FALSE)))</f>
        <v>Medium</v>
      </c>
      <c r="AW29" s="177" t="str">
        <f>IF(AND(HLOOKUP(MID(AW$3,FIND(".",AW$3)+1,FIND(".",AW$3,FIND(".",AW$3)+1)-FIND(".",AW$3)-1),Gällivare!$B$6:$J$36,MATCH($C29,Gällivare!$B$6:$B$36,0),FALSE)="No Impact",HLOOKUP(RIGHT(AW$3,LEN(AW$3)-FIND(".",AW$3,FIND(".",AW$3)+1)),Gällivare!$B$6:$J$36,MATCH($C29,Gällivare!$B$6:$B$36,0),FALSE)="No Impact"),HLOOKUP(LEFT(AW$3,4),Global!$B$6:$J$36,MATCH($C29,Global!$B$6:$B$36,0),FALSE),IF(AND(HLOOKUP(MID(AW$3,FIND(".",AW$3)+1,FIND(".",AW$3,FIND(".",AW$3)+1)-FIND(".",AW$3)-1),Gällivare!$B$6:$J$36,MATCH($C29,Gällivare!$B$6:$B$36,0),FALSE)="No Impact",HLOOKUP(LEFT(AW$3,4),Global!$B$6:$J$36,MATCH($C29,Global!$B$6:$B$36,0),FALSE)="No Impact"),HLOOKUP(RIGHT(AW$3,LEN(AW$3)-FIND(".",AW$3,FIND(".",AW$3)+1)),Gällivare!$B$6:$J$36,MATCH($C29,Gällivare!$B$6:$B$36,0),FALSE),"Global: "&amp;HLOOKUP(LEFT(AW$3,4),Global!$B$6:$J$36,MATCH($C29,Global!$B$6:$B$36,0),FALSE)&amp;CHAR(10)&amp;"Local Trend: "&amp;HLOOKUP(MID(AW$3,FIND(".",AW$3)+1,FIND(".",AW$3,FIND(".",AW$3)+1)-FIND(".",AW$3)-1),Gällivare!$B$6:$J$36,MATCH($C29,Gällivare!$B$6:$B$36,0),FALSE)&amp;CHAR(10)&amp;"Local Target: "&amp;HLOOKUP(RIGHT(AW$3,LEN(AW$3)-FIND(".",AW$3,FIND(".",AW$3)+1)),Gällivare!$B$6:$J$36,MATCH($C29,Gällivare!$B$6:$B$36,0),FALSE)))</f>
        <v>Medium</v>
      </c>
      <c r="AX29" s="177" t="str">
        <f>IF(AND(HLOOKUP(MID(AX$3,FIND(".",AX$3)+1,FIND(".",AX$3,FIND(".",AX$3)+1)-FIND(".",AX$3)-1),Gällivare!$B$6:$J$36,MATCH($C29,Gällivare!$B$6:$B$36,0),FALSE)="No Impact",HLOOKUP(RIGHT(AX$3,LEN(AX$3)-FIND(".",AX$3,FIND(".",AX$3)+1)),Gällivare!$B$6:$J$36,MATCH($C29,Gällivare!$B$6:$B$36,0),FALSE)="No Impact"),HLOOKUP(LEFT(AX$3,4),Global!$B$6:$J$36,MATCH($C29,Global!$B$6:$B$36,0),FALSE),IF(AND(HLOOKUP(MID(AX$3,FIND(".",AX$3)+1,FIND(".",AX$3,FIND(".",AX$3)+1)-FIND(".",AX$3)-1),Gällivare!$B$6:$J$36,MATCH($C29,Gällivare!$B$6:$B$36,0),FALSE)="No Impact",HLOOKUP(LEFT(AX$3,4),Global!$B$6:$J$36,MATCH($C29,Global!$B$6:$B$36,0),FALSE)="No Impact"),HLOOKUP(RIGHT(AX$3,LEN(AX$3)-FIND(".",AX$3,FIND(".",AX$3)+1)),Gällivare!$B$6:$J$36,MATCH($C29,Gällivare!$B$6:$B$36,0),FALSE),"Global: "&amp;HLOOKUP(LEFT(AX$3,4),Global!$B$6:$J$36,MATCH($C29,Global!$B$6:$B$36,0),FALSE)&amp;CHAR(10)&amp;"Local Trend: "&amp;HLOOKUP(MID(AX$3,FIND(".",AX$3)+1,FIND(".",AX$3,FIND(".",AX$3)+1)-FIND(".",AX$3)-1),Gällivare!$B$6:$J$36,MATCH($C29,Gällivare!$B$6:$B$36,0),FALSE)&amp;CHAR(10)&amp;"Local Target: "&amp;HLOOKUP(RIGHT(AX$3,LEN(AX$3)-FIND(".",AX$3,FIND(".",AX$3)+1)),Gällivare!$B$6:$J$36,MATCH($C29,Gällivare!$B$6:$B$36,0),FALSE)))</f>
        <v>Medium</v>
      </c>
      <c r="AY29" s="177" t="str">
        <f>IF(AND(HLOOKUP(MID(AY$3,FIND(".",AY$3)+1,FIND(".",AY$3,FIND(".",AY$3)+1)-FIND(".",AY$3)-1),Gällivare!$B$6:$J$36,MATCH($C29,Gällivare!$B$6:$B$36,0),FALSE)="No Impact",HLOOKUP(RIGHT(AY$3,LEN(AY$3)-FIND(".",AY$3,FIND(".",AY$3)+1)),Gällivare!$B$6:$J$36,MATCH($C29,Gällivare!$B$6:$B$36,0),FALSE)="No Impact"),HLOOKUP(LEFT(AY$3,4),Global!$B$6:$J$36,MATCH($C29,Global!$B$6:$B$36,0),FALSE),IF(AND(HLOOKUP(MID(AY$3,FIND(".",AY$3)+1,FIND(".",AY$3,FIND(".",AY$3)+1)-FIND(".",AY$3)-1),Gällivare!$B$6:$J$36,MATCH($C29,Gällivare!$B$6:$B$36,0),FALSE)="No Impact",HLOOKUP(LEFT(AY$3,4),Global!$B$6:$J$36,MATCH($C29,Global!$B$6:$B$36,0),FALSE)="No Impact"),HLOOKUP(RIGHT(AY$3,LEN(AY$3)-FIND(".",AY$3,FIND(".",AY$3)+1)),Gällivare!$B$6:$J$36,MATCH($C29,Gällivare!$B$6:$B$36,0),FALSE),"Global: "&amp;HLOOKUP(LEFT(AY$3,4),Global!$B$6:$J$36,MATCH($C29,Global!$B$6:$B$36,0),FALSE)&amp;CHAR(10)&amp;"Local Trend: "&amp;HLOOKUP(MID(AY$3,FIND(".",AY$3)+1,FIND(".",AY$3,FIND(".",AY$3)+1)-FIND(".",AY$3)-1),Gällivare!$B$6:$J$36,MATCH($C29,Gällivare!$B$6:$B$36,0),FALSE)&amp;CHAR(10)&amp;"Local Target: "&amp;HLOOKUP(RIGHT(AY$3,LEN(AY$3)-FIND(".",AY$3,FIND(".",AY$3)+1)),Gällivare!$B$6:$J$36,MATCH($C29,Gällivare!$B$6:$B$36,0),FALSE)))</f>
        <v>Low</v>
      </c>
      <c r="AZ29" s="177" t="str">
        <f>IF(AND(HLOOKUP(MID(AZ$3,FIND(".",AZ$3)+1,FIND(".",AZ$3,FIND(".",AZ$3)+1)-FIND(".",AZ$3)-1),Gällivare!$B$6:$J$36,MATCH($C29,Gällivare!$B$6:$B$36,0),FALSE)="No Impact",HLOOKUP(RIGHT(AZ$3,LEN(AZ$3)-FIND(".",AZ$3,FIND(".",AZ$3)+1)),Gällivare!$B$6:$J$36,MATCH($C29,Gällivare!$B$6:$B$36,0),FALSE)="No Impact"),HLOOKUP(LEFT(AZ$3,4),Global!$B$6:$J$36,MATCH($C29,Global!$B$6:$B$36,0),FALSE),IF(AND(HLOOKUP(MID(AZ$3,FIND(".",AZ$3)+1,FIND(".",AZ$3,FIND(".",AZ$3)+1)-FIND(".",AZ$3)-1),Gällivare!$B$6:$J$36,MATCH($C29,Gällivare!$B$6:$B$36,0),FALSE)="No Impact",HLOOKUP(LEFT(AZ$3,4),Global!$B$6:$J$36,MATCH($C29,Global!$B$6:$B$36,0),FALSE)="No Impact"),HLOOKUP(RIGHT(AZ$3,LEN(AZ$3)-FIND(".",AZ$3,FIND(".",AZ$3)+1)),Gällivare!$B$6:$J$36,MATCH($C29,Gällivare!$B$6:$B$36,0),FALSE),"Global: "&amp;HLOOKUP(LEFT(AZ$3,4),Global!$B$6:$J$36,MATCH($C29,Global!$B$6:$B$36,0),FALSE)&amp;CHAR(10)&amp;"Local Trend: "&amp;HLOOKUP(MID(AZ$3,FIND(".",AZ$3)+1,FIND(".",AZ$3,FIND(".",AZ$3)+1)-FIND(".",AZ$3)-1),Gällivare!$B$6:$J$36,MATCH($C29,Gällivare!$B$6:$B$36,0),FALSE)&amp;CHAR(10)&amp;"Local Target: "&amp;HLOOKUP(RIGHT(AZ$3,LEN(AZ$3)-FIND(".",AZ$3,FIND(".",AZ$3)+1)),Gällivare!$B$6:$J$36,MATCH($C29,Gällivare!$B$6:$B$36,0),FALSE)))</f>
        <v>Low</v>
      </c>
      <c r="BA29" s="177" t="str">
        <f>IF(AND(HLOOKUP(MID(BA$3,FIND(".",BA$3)+1,FIND(".",BA$3,FIND(".",BA$3)+1)-FIND(".",BA$3)-1),Gällivare!$B$6:$J$36,MATCH($C29,Gällivare!$B$6:$B$36,0),FALSE)="No Impact",HLOOKUP(RIGHT(BA$3,LEN(BA$3)-FIND(".",BA$3,FIND(".",BA$3)+1)),Gällivare!$B$6:$J$36,MATCH($C29,Gällivare!$B$6:$B$36,0),FALSE)="No Impact"),HLOOKUP(LEFT(BA$3,4),Global!$B$6:$J$36,MATCH($C29,Global!$B$6:$B$36,0),FALSE),IF(AND(HLOOKUP(MID(BA$3,FIND(".",BA$3)+1,FIND(".",BA$3,FIND(".",BA$3)+1)-FIND(".",BA$3)-1),Gällivare!$B$6:$J$36,MATCH($C29,Gällivare!$B$6:$B$36,0),FALSE)="No Impact",HLOOKUP(LEFT(BA$3,4),Global!$B$6:$J$36,MATCH($C29,Global!$B$6:$B$36,0),FALSE)="No Impact"),HLOOKUP(RIGHT(BA$3,LEN(BA$3)-FIND(".",BA$3,FIND(".",BA$3)+1)),Gällivare!$B$6:$J$36,MATCH($C29,Gällivare!$B$6:$B$36,0),FALSE),"Global: "&amp;HLOOKUP(LEFT(BA$3,4),Global!$B$6:$J$36,MATCH($C29,Global!$B$6:$B$36,0),FALSE)&amp;CHAR(10)&amp;"Local Trend: "&amp;HLOOKUP(MID(BA$3,FIND(".",BA$3)+1,FIND(".",BA$3,FIND(".",BA$3)+1)-FIND(".",BA$3)-1),Gällivare!$B$6:$J$36,MATCH($C29,Gällivare!$B$6:$B$36,0),FALSE)&amp;CHAR(10)&amp;"Local Target: "&amp;HLOOKUP(RIGHT(BA$3,LEN(BA$3)-FIND(".",BA$3,FIND(".",BA$3)+1)),Gällivare!$B$6:$J$36,MATCH($C29,Gällivare!$B$6:$B$36,0),FALSE)))</f>
        <v>Low</v>
      </c>
      <c r="BB29" s="177" t="str">
        <f>IF(AND(HLOOKUP(MID(BB$3,FIND(".",BB$3)+1,FIND(".",BB$3,FIND(".",BB$3)+1)-FIND(".",BB$3)-1),Gällivare!$B$6:$J$36,MATCH($C29,Gällivare!$B$6:$B$36,0),FALSE)="No Impact",HLOOKUP(RIGHT(BB$3,LEN(BB$3)-FIND(".",BB$3,FIND(".",BB$3)+1)),Gällivare!$B$6:$J$36,MATCH($C29,Gällivare!$B$6:$B$36,0),FALSE)="No Impact"),HLOOKUP(LEFT(BB$3,4),Global!$B$6:$J$36,MATCH($C29,Global!$B$6:$B$36,0),FALSE),IF(AND(HLOOKUP(MID(BB$3,FIND(".",BB$3)+1,FIND(".",BB$3,FIND(".",BB$3)+1)-FIND(".",BB$3)-1),Gällivare!$B$6:$J$36,MATCH($C29,Gällivare!$B$6:$B$36,0),FALSE)="No Impact",HLOOKUP(LEFT(BB$3,4),Global!$B$6:$J$36,MATCH($C29,Global!$B$6:$B$36,0),FALSE)="No Impact"),HLOOKUP(RIGHT(BB$3,LEN(BB$3)-FIND(".",BB$3,FIND(".",BB$3)+1)),Gällivare!$B$6:$J$36,MATCH($C29,Gällivare!$B$6:$B$36,0),FALSE),"Global: "&amp;HLOOKUP(LEFT(BB$3,4),Global!$B$6:$J$36,MATCH($C29,Global!$B$6:$B$36,0),FALSE)&amp;CHAR(10)&amp;"Local Trend: "&amp;HLOOKUP(MID(BB$3,FIND(".",BB$3)+1,FIND(".",BB$3,FIND(".",BB$3)+1)-FIND(".",BB$3)-1),Gällivare!$B$6:$J$36,MATCH($C29,Gällivare!$B$6:$B$36,0),FALSE)&amp;CHAR(10)&amp;"Local Target: "&amp;HLOOKUP(RIGHT(BB$3,LEN(BB$3)-FIND(".",BB$3,FIND(".",BB$3)+1)),Gällivare!$B$6:$J$36,MATCH($C29,Gällivare!$B$6:$B$36,0),FALSE)))</f>
        <v>Low</v>
      </c>
      <c r="BC29" s="177" t="str">
        <f>IF(AND(HLOOKUP(MID(BC$3,FIND(".",BC$3)+1,FIND(".",BC$3,FIND(".",BC$3)+1)-FIND(".",BC$3)-1),Gällivare!$B$6:$J$36,MATCH($C29,Gällivare!$B$6:$B$36,0),FALSE)="No Impact",HLOOKUP(RIGHT(BC$3,LEN(BC$3)-FIND(".",BC$3,FIND(".",BC$3)+1)),Gällivare!$B$6:$J$36,MATCH($C29,Gällivare!$B$6:$B$36,0),FALSE)="No Impact"),HLOOKUP(LEFT(BC$3,4),Global!$B$6:$J$36,MATCH($C29,Global!$B$6:$B$36,0),FALSE),IF(AND(HLOOKUP(MID(BC$3,FIND(".",BC$3)+1,FIND(".",BC$3,FIND(".",BC$3)+1)-FIND(".",BC$3)-1),Gällivare!$B$6:$J$36,MATCH($C29,Gällivare!$B$6:$B$36,0),FALSE)="No Impact",HLOOKUP(LEFT(BC$3,4),Global!$B$6:$J$36,MATCH($C29,Global!$B$6:$B$36,0),FALSE)="No Impact"),HLOOKUP(RIGHT(BC$3,LEN(BC$3)-FIND(".",BC$3,FIND(".",BC$3)+1)),Gällivare!$B$6:$J$36,MATCH($C29,Gällivare!$B$6:$B$36,0),FALSE),"Global: "&amp;HLOOKUP(LEFT(BC$3,4),Global!$B$6:$J$36,MATCH($C29,Global!$B$6:$B$36,0),FALSE)&amp;CHAR(10)&amp;"Local Trend: "&amp;HLOOKUP(MID(BC$3,FIND(".",BC$3)+1,FIND(".",BC$3,FIND(".",BC$3)+1)-FIND(".",BC$3)-1),Gällivare!$B$6:$J$36,MATCH($C29,Gällivare!$B$6:$B$36,0),FALSE)&amp;CHAR(10)&amp;"Local Target: "&amp;HLOOKUP(RIGHT(BC$3,LEN(BC$3)-FIND(".",BC$3,FIND(".",BC$3)+1)),Gällivare!$B$6:$J$36,MATCH($C29,Gällivare!$B$6:$B$36,0),FALSE)))</f>
        <v>Low</v>
      </c>
      <c r="BD29" s="177" t="str">
        <f>IF(AND(HLOOKUP(MID(BD$3,FIND(".",BD$3)+1,FIND(".",BD$3,FIND(".",BD$3)+1)-FIND(".",BD$3)-1),Gällivare!$B$6:$J$36,MATCH($C29,Gällivare!$B$6:$B$36,0),FALSE)="No Impact",HLOOKUP(RIGHT(BD$3,LEN(BD$3)-FIND(".",BD$3,FIND(".",BD$3)+1)),Gällivare!$B$6:$J$36,MATCH($C29,Gällivare!$B$6:$B$36,0),FALSE)="No Impact"),HLOOKUP(LEFT(BD$3,4),Global!$B$6:$J$36,MATCH($C29,Global!$B$6:$B$36,0),FALSE),IF(AND(HLOOKUP(MID(BD$3,FIND(".",BD$3)+1,FIND(".",BD$3,FIND(".",BD$3)+1)-FIND(".",BD$3)-1),Gällivare!$B$6:$J$36,MATCH($C29,Gällivare!$B$6:$B$36,0),FALSE)="No Impact",HLOOKUP(LEFT(BD$3,4),Global!$B$6:$J$36,MATCH($C29,Global!$B$6:$B$36,0),FALSE)="No Impact"),HLOOKUP(RIGHT(BD$3,LEN(BD$3)-FIND(".",BD$3,FIND(".",BD$3)+1)),Gällivare!$B$6:$J$36,MATCH($C29,Gällivare!$B$6:$B$36,0),FALSE),"Global: "&amp;HLOOKUP(LEFT(BD$3,4),Global!$B$6:$J$36,MATCH($C29,Global!$B$6:$B$36,0),FALSE)&amp;CHAR(10)&amp;"Local Trend: "&amp;HLOOKUP(MID(BD$3,FIND(".",BD$3)+1,FIND(".",BD$3,FIND(".",BD$3)+1)-FIND(".",BD$3)-1),Gällivare!$B$6:$J$36,MATCH($C29,Gällivare!$B$6:$B$36,0),FALSE)&amp;CHAR(10)&amp;"Local Target: "&amp;HLOOKUP(RIGHT(BD$3,LEN(BD$3)-FIND(".",BD$3,FIND(".",BD$3)+1)),Gällivare!$B$6:$J$36,MATCH($C29,Gällivare!$B$6:$B$36,0),FALSE)))</f>
        <v>Low</v>
      </c>
      <c r="BE29" s="177" t="str">
        <f>IF(AND(HLOOKUP(MID(BE$3,FIND(".",BE$3)+1,FIND(".",BE$3,FIND(".",BE$3)+1)-FIND(".",BE$3)-1),Gällivare!$B$6:$J$36,MATCH($C29,Gällivare!$B$6:$B$36,0),FALSE)="No Impact",HLOOKUP(RIGHT(BE$3,LEN(BE$3)-FIND(".",BE$3,FIND(".",BE$3)+1)),Gällivare!$B$6:$J$36,MATCH($C29,Gällivare!$B$6:$B$36,0),FALSE)="No Impact"),HLOOKUP(LEFT(BE$3,4),Global!$B$6:$J$36,MATCH($C29,Global!$B$6:$B$36,0),FALSE),IF(AND(HLOOKUP(MID(BE$3,FIND(".",BE$3)+1,FIND(".",BE$3,FIND(".",BE$3)+1)-FIND(".",BE$3)-1),Gällivare!$B$6:$J$36,MATCH($C29,Gällivare!$B$6:$B$36,0),FALSE)="No Impact",HLOOKUP(LEFT(BE$3,4),Global!$B$6:$J$36,MATCH($C29,Global!$B$6:$B$36,0),FALSE)="No Impact"),HLOOKUP(RIGHT(BE$3,LEN(BE$3)-FIND(".",BE$3,FIND(".",BE$3)+1)),Gällivare!$B$6:$J$36,MATCH($C29,Gällivare!$B$6:$B$36,0),FALSE),"Global: "&amp;HLOOKUP(LEFT(BE$3,4),Global!$B$6:$J$36,MATCH($C29,Global!$B$6:$B$36,0),FALSE)&amp;CHAR(10)&amp;"Local Trend: "&amp;HLOOKUP(MID(BE$3,FIND(".",BE$3)+1,FIND(".",BE$3,FIND(".",BE$3)+1)-FIND(".",BE$3)-1),Gällivare!$B$6:$J$36,MATCH($C29,Gällivare!$B$6:$B$36,0),FALSE)&amp;CHAR(10)&amp;"Local Target: "&amp;HLOOKUP(RIGHT(BE$3,LEN(BE$3)-FIND(".",BE$3,FIND(".",BE$3)+1)),Gällivare!$B$6:$J$36,MATCH($C29,Gällivare!$B$6:$B$36,0),FALSE)))</f>
        <v>Medium</v>
      </c>
      <c r="BF29" s="177" t="str">
        <f>IF(AND(HLOOKUP(MID(BF$3,FIND(".",BF$3)+1,FIND(".",BF$3,FIND(".",BF$3)+1)-FIND(".",BF$3)-1),Gällivare!$B$6:$J$36,MATCH($C29,Gällivare!$B$6:$B$36,0),FALSE)="No Impact",HLOOKUP(RIGHT(BF$3,LEN(BF$3)-FIND(".",BF$3,FIND(".",BF$3)+1)),Gällivare!$B$6:$J$36,MATCH($C29,Gällivare!$B$6:$B$36,0),FALSE)="No Impact"),HLOOKUP(LEFT(BF$3,4),Global!$B$6:$J$36,MATCH($C29,Global!$B$6:$B$36,0),FALSE),IF(AND(HLOOKUP(MID(BF$3,FIND(".",BF$3)+1,FIND(".",BF$3,FIND(".",BF$3)+1)-FIND(".",BF$3)-1),Gällivare!$B$6:$J$36,MATCH($C29,Gällivare!$B$6:$B$36,0),FALSE)="No Impact",HLOOKUP(LEFT(BF$3,4),Global!$B$6:$J$36,MATCH($C29,Global!$B$6:$B$36,0),FALSE)="No Impact"),HLOOKUP(RIGHT(BF$3,LEN(BF$3)-FIND(".",BF$3,FIND(".",BF$3)+1)),Gällivare!$B$6:$J$36,MATCH($C29,Gällivare!$B$6:$B$36,0),FALSE),"Global: "&amp;HLOOKUP(LEFT(BF$3,4),Global!$B$6:$J$36,MATCH($C29,Global!$B$6:$B$36,0),FALSE)&amp;CHAR(10)&amp;"Local Trend: "&amp;HLOOKUP(MID(BF$3,FIND(".",BF$3)+1,FIND(".",BF$3,FIND(".",BF$3)+1)-FIND(".",BF$3)-1),Gällivare!$B$6:$J$36,MATCH($C29,Gällivare!$B$6:$B$36,0),FALSE)&amp;CHAR(10)&amp;"Local Target: "&amp;HLOOKUP(RIGHT(BF$3,LEN(BF$3)-FIND(".",BF$3,FIND(".",BF$3)+1)),Gällivare!$B$6:$J$36,MATCH($C29,Gällivare!$B$6:$B$36,0),FALSE)))</f>
        <v>Medium</v>
      </c>
      <c r="BG29" s="177" t="str">
        <f>IF(AND(HLOOKUP(MID(BG$3,FIND(".",BG$3)+1,FIND(".",BG$3,FIND(".",BG$3)+1)-FIND(".",BG$3)-1),Gällivare!$B$6:$J$36,MATCH($C29,Gällivare!$B$6:$B$36,0),FALSE)="No Impact",HLOOKUP(RIGHT(BG$3,LEN(BG$3)-FIND(".",BG$3,FIND(".",BG$3)+1)),Gällivare!$B$6:$J$36,MATCH($C29,Gällivare!$B$6:$B$36,0),FALSE)="No Impact"),HLOOKUP(LEFT(BG$3,4),Global!$B$6:$J$36,MATCH($C29,Global!$B$6:$B$36,0),FALSE),IF(AND(HLOOKUP(MID(BG$3,FIND(".",BG$3)+1,FIND(".",BG$3,FIND(".",BG$3)+1)-FIND(".",BG$3)-1),Gällivare!$B$6:$J$36,MATCH($C29,Gällivare!$B$6:$B$36,0),FALSE)="No Impact",HLOOKUP(LEFT(BG$3,4),Global!$B$6:$J$36,MATCH($C29,Global!$B$6:$B$36,0),FALSE)="No Impact"),HLOOKUP(RIGHT(BG$3,LEN(BG$3)-FIND(".",BG$3,FIND(".",BG$3)+1)),Gällivare!$B$6:$J$36,MATCH($C29,Gällivare!$B$6:$B$36,0),FALSE),"Global: "&amp;HLOOKUP(LEFT(BG$3,4),Global!$B$6:$J$36,MATCH($C29,Global!$B$6:$B$36,0),FALSE)&amp;CHAR(10)&amp;"Local Trend: "&amp;HLOOKUP(MID(BG$3,FIND(".",BG$3)+1,FIND(".",BG$3,FIND(".",BG$3)+1)-FIND(".",BG$3)-1),Gällivare!$B$6:$J$36,MATCH($C29,Gällivare!$B$6:$B$36,0),FALSE)&amp;CHAR(10)&amp;"Local Target: "&amp;HLOOKUP(RIGHT(BG$3,LEN(BG$3)-FIND(".",BG$3,FIND(".",BG$3)+1)),Gällivare!$B$6:$J$36,MATCH($C29,Gällivare!$B$6:$B$36,0),FALSE)))</f>
        <v>Medium</v>
      </c>
      <c r="BH29" s="177" t="str">
        <f>IF(AND(HLOOKUP(MID(BH$3,FIND(".",BH$3)+1,FIND(".",BH$3,FIND(".",BH$3)+1)-FIND(".",BH$3)-1),Gällivare!$B$6:$J$36,MATCH($C29,Gällivare!$B$6:$B$36,0),FALSE)="No Impact",HLOOKUP(RIGHT(BH$3,LEN(BH$3)-FIND(".",BH$3,FIND(".",BH$3)+1)),Gällivare!$B$6:$J$36,MATCH($C29,Gällivare!$B$6:$B$36,0),FALSE)="No Impact"),HLOOKUP(LEFT(BH$3,4),Global!$B$6:$J$36,MATCH($C29,Global!$B$6:$B$36,0),FALSE),IF(AND(HLOOKUP(MID(BH$3,FIND(".",BH$3)+1,FIND(".",BH$3,FIND(".",BH$3)+1)-FIND(".",BH$3)-1),Gällivare!$B$6:$J$36,MATCH($C29,Gällivare!$B$6:$B$36,0),FALSE)="No Impact",HLOOKUP(LEFT(BH$3,4),Global!$B$6:$J$36,MATCH($C29,Global!$B$6:$B$36,0),FALSE)="No Impact"),HLOOKUP(RIGHT(BH$3,LEN(BH$3)-FIND(".",BH$3,FIND(".",BH$3)+1)),Gällivare!$B$6:$J$36,MATCH($C29,Gällivare!$B$6:$B$36,0),FALSE),"Global: "&amp;HLOOKUP(LEFT(BH$3,4),Global!$B$6:$J$36,MATCH($C29,Global!$B$6:$B$36,0),FALSE)&amp;CHAR(10)&amp;"Local Trend: "&amp;HLOOKUP(MID(BH$3,FIND(".",BH$3)+1,FIND(".",BH$3,FIND(".",BH$3)+1)-FIND(".",BH$3)-1),Gällivare!$B$6:$J$36,MATCH($C29,Gällivare!$B$6:$B$36,0),FALSE)&amp;CHAR(10)&amp;"Local Target: "&amp;HLOOKUP(RIGHT(BH$3,LEN(BH$3)-FIND(".",BH$3,FIND(".",BH$3)+1)),Gällivare!$B$6:$J$36,MATCH($C29,Gällivare!$B$6:$B$36,0),FALSE)))</f>
        <v>Medium</v>
      </c>
      <c r="BI29" s="177" t="str">
        <f>IF(AND(HLOOKUP(MID(BI$3,FIND(".",BI$3)+1,FIND(".",BI$3,FIND(".",BI$3)+1)-FIND(".",BI$3)-1),Gällivare!$B$6:$J$36,MATCH($C29,Gällivare!$B$6:$B$36,0),FALSE)="No Impact",HLOOKUP(RIGHT(BI$3,LEN(BI$3)-FIND(".",BI$3,FIND(".",BI$3)+1)),Gällivare!$B$6:$J$36,MATCH($C29,Gällivare!$B$6:$B$36,0),FALSE)="No Impact"),HLOOKUP(LEFT(BI$3,4),Global!$B$6:$J$36,MATCH($C29,Global!$B$6:$B$36,0),FALSE),IF(AND(HLOOKUP(MID(BI$3,FIND(".",BI$3)+1,FIND(".",BI$3,FIND(".",BI$3)+1)-FIND(".",BI$3)-1),Gällivare!$B$6:$J$36,MATCH($C29,Gällivare!$B$6:$B$36,0),FALSE)="No Impact",HLOOKUP(LEFT(BI$3,4),Global!$B$6:$J$36,MATCH($C29,Global!$B$6:$B$36,0),FALSE)="No Impact"),HLOOKUP(RIGHT(BI$3,LEN(BI$3)-FIND(".",BI$3,FIND(".",BI$3)+1)),Gällivare!$B$6:$J$36,MATCH($C29,Gällivare!$B$6:$B$36,0),FALSE),"Global: "&amp;HLOOKUP(LEFT(BI$3,4),Global!$B$6:$J$36,MATCH($C29,Global!$B$6:$B$36,0),FALSE)&amp;CHAR(10)&amp;"Local Trend: "&amp;HLOOKUP(MID(BI$3,FIND(".",BI$3)+1,FIND(".",BI$3,FIND(".",BI$3)+1)-FIND(".",BI$3)-1),Gällivare!$B$6:$J$36,MATCH($C29,Gällivare!$B$6:$B$36,0),FALSE)&amp;CHAR(10)&amp;"Local Target: "&amp;HLOOKUP(RIGHT(BI$3,LEN(BI$3)-FIND(".",BI$3,FIND(".",BI$3)+1)),Gällivare!$B$6:$J$36,MATCH($C29,Gällivare!$B$6:$B$36,0),FALSE)))</f>
        <v>Medium</v>
      </c>
      <c r="BJ29" s="177" t="str">
        <f>IF(AND(HLOOKUP(MID(BJ$3,FIND(".",BJ$3)+1,FIND(".",BJ$3,FIND(".",BJ$3)+1)-FIND(".",BJ$3)-1),Gällivare!$B$6:$J$36,MATCH($C29,Gällivare!$B$6:$B$36,0),FALSE)="No Impact",HLOOKUP(RIGHT(BJ$3,LEN(BJ$3)-FIND(".",BJ$3,FIND(".",BJ$3)+1)),Gällivare!$B$6:$J$36,MATCH($C29,Gällivare!$B$6:$B$36,0),FALSE)="No Impact"),HLOOKUP(LEFT(BJ$3,4),Global!$B$6:$J$36,MATCH($C29,Global!$B$6:$B$36,0),FALSE),IF(AND(HLOOKUP(MID(BJ$3,FIND(".",BJ$3)+1,FIND(".",BJ$3,FIND(".",BJ$3)+1)-FIND(".",BJ$3)-1),Gällivare!$B$6:$J$36,MATCH($C29,Gällivare!$B$6:$B$36,0),FALSE)="No Impact",HLOOKUP(LEFT(BJ$3,4),Global!$B$6:$J$36,MATCH($C29,Global!$B$6:$B$36,0),FALSE)="No Impact"),HLOOKUP(RIGHT(BJ$3,LEN(BJ$3)-FIND(".",BJ$3,FIND(".",BJ$3)+1)),Gällivare!$B$6:$J$36,MATCH($C29,Gällivare!$B$6:$B$36,0),FALSE),"Global: "&amp;HLOOKUP(LEFT(BJ$3,4),Global!$B$6:$J$36,MATCH($C29,Global!$B$6:$B$36,0),FALSE)&amp;CHAR(10)&amp;"Local Trend: "&amp;HLOOKUP(MID(BJ$3,FIND(".",BJ$3)+1,FIND(".",BJ$3,FIND(".",BJ$3)+1)-FIND(".",BJ$3)-1),Gällivare!$B$6:$J$36,MATCH($C29,Gällivare!$B$6:$B$36,0),FALSE)&amp;CHAR(10)&amp;"Local Target: "&amp;HLOOKUP(RIGHT(BJ$3,LEN(BJ$3)-FIND(".",BJ$3,FIND(".",BJ$3)+1)),Gällivare!$B$6:$J$36,MATCH($C29,Gällivare!$B$6:$B$36,0),FALSE)))</f>
        <v>Medium</v>
      </c>
      <c r="BK29" s="177" t="str">
        <f>IF(AND(HLOOKUP(MID(BK$3,FIND(".",BK$3)+1,FIND(".",BK$3,FIND(".",BK$3)+1)-FIND(".",BK$3)-1),Gällivare!$B$6:$J$36,MATCH($C29,Gällivare!$B$6:$B$36,0),FALSE)="No Impact",HLOOKUP(RIGHT(BK$3,LEN(BK$3)-FIND(".",BK$3,FIND(".",BK$3)+1)),Gällivare!$B$6:$J$36,MATCH($C29,Gällivare!$B$6:$B$36,0),FALSE)="No Impact"),HLOOKUP(LEFT(BK$3,4),Global!$B$6:$J$36,MATCH($C29,Global!$B$6:$B$36,0),FALSE),IF(AND(HLOOKUP(MID(BK$3,FIND(".",BK$3)+1,FIND(".",BK$3,FIND(".",BK$3)+1)-FIND(".",BK$3)-1),Gällivare!$B$6:$J$36,MATCH($C29,Gällivare!$B$6:$B$36,0),FALSE)="No Impact",HLOOKUP(LEFT(BK$3,4),Global!$B$6:$J$36,MATCH($C29,Global!$B$6:$B$36,0),FALSE)="No Impact"),HLOOKUP(RIGHT(BK$3,LEN(BK$3)-FIND(".",BK$3,FIND(".",BK$3)+1)),Gällivare!$B$6:$J$36,MATCH($C29,Gällivare!$B$6:$B$36,0),FALSE),"Global: "&amp;HLOOKUP(LEFT(BK$3,4),Global!$B$6:$J$36,MATCH($C29,Global!$B$6:$B$36,0),FALSE)&amp;CHAR(10)&amp;"Local Trend: "&amp;HLOOKUP(MID(BK$3,FIND(".",BK$3)+1,FIND(".",BK$3,FIND(".",BK$3)+1)-FIND(".",BK$3)-1),Gällivare!$B$6:$J$36,MATCH($C29,Gällivare!$B$6:$B$36,0),FALSE)&amp;CHAR(10)&amp;"Local Target: "&amp;HLOOKUP(RIGHT(BK$3,LEN(BK$3)-FIND(".",BK$3,FIND(".",BK$3)+1)),Gällivare!$B$6:$J$36,MATCH($C29,Gällivare!$B$6:$B$36,0),FALSE)))</f>
        <v>Low</v>
      </c>
      <c r="BL29" s="177" t="str">
        <f>IF(AND(HLOOKUP(MID(BL$3,FIND(".",BL$3)+1,FIND(".",BL$3,FIND(".",BL$3)+1)-FIND(".",BL$3)-1),Gällivare!$B$6:$J$36,MATCH($C29,Gällivare!$B$6:$B$36,0),FALSE)="No Impact",HLOOKUP(RIGHT(BL$3,LEN(BL$3)-FIND(".",BL$3,FIND(".",BL$3)+1)),Gällivare!$B$6:$J$36,MATCH($C29,Gällivare!$B$6:$B$36,0),FALSE)="No Impact"),HLOOKUP(LEFT(BL$3,4),Global!$B$6:$J$36,MATCH($C29,Global!$B$6:$B$36,0),FALSE),IF(AND(HLOOKUP(MID(BL$3,FIND(".",BL$3)+1,FIND(".",BL$3,FIND(".",BL$3)+1)-FIND(".",BL$3)-1),Gällivare!$B$6:$J$36,MATCH($C29,Gällivare!$B$6:$B$36,0),FALSE)="No Impact",HLOOKUP(LEFT(BL$3,4),Global!$B$6:$J$36,MATCH($C29,Global!$B$6:$B$36,0),FALSE)="No Impact"),HLOOKUP(RIGHT(BL$3,LEN(BL$3)-FIND(".",BL$3,FIND(".",BL$3)+1)),Gällivare!$B$6:$J$36,MATCH($C29,Gällivare!$B$6:$B$36,0),FALSE),"Global: "&amp;HLOOKUP(LEFT(BL$3,4),Global!$B$6:$J$36,MATCH($C29,Global!$B$6:$B$36,0),FALSE)&amp;CHAR(10)&amp;"Local Trend: "&amp;HLOOKUP(MID(BL$3,FIND(".",BL$3)+1,FIND(".",BL$3,FIND(".",BL$3)+1)-FIND(".",BL$3)-1),Gällivare!$B$6:$J$36,MATCH($C29,Gällivare!$B$6:$B$36,0),FALSE)&amp;CHAR(10)&amp;"Local Target: "&amp;HLOOKUP(RIGHT(BL$3,LEN(BL$3)-FIND(".",BL$3,FIND(".",BL$3)+1)),Gällivare!$B$6:$J$36,MATCH($C29,Gällivare!$B$6:$B$36,0),FALSE)))</f>
        <v>Low</v>
      </c>
      <c r="BM29" s="177" t="str">
        <f>IF(AND(HLOOKUP(MID(BM$3,FIND(".",BM$3)+1,FIND(".",BM$3,FIND(".",BM$3)+1)-FIND(".",BM$3)-1),Gällivare!$B$6:$J$36,MATCH($C29,Gällivare!$B$6:$B$36,0),FALSE)="No Impact",HLOOKUP(RIGHT(BM$3,LEN(BM$3)-FIND(".",BM$3,FIND(".",BM$3)+1)),Gällivare!$B$6:$J$36,MATCH($C29,Gällivare!$B$6:$B$36,0),FALSE)="No Impact"),HLOOKUP(LEFT(BM$3,4),Global!$B$6:$J$36,MATCH($C29,Global!$B$6:$B$36,0),FALSE),IF(AND(HLOOKUP(MID(BM$3,FIND(".",BM$3)+1,FIND(".",BM$3,FIND(".",BM$3)+1)-FIND(".",BM$3)-1),Gällivare!$B$6:$J$36,MATCH($C29,Gällivare!$B$6:$B$36,0),FALSE)="No Impact",HLOOKUP(LEFT(BM$3,4),Global!$B$6:$J$36,MATCH($C29,Global!$B$6:$B$36,0),FALSE)="No Impact"),HLOOKUP(RIGHT(BM$3,LEN(BM$3)-FIND(".",BM$3,FIND(".",BM$3)+1)),Gällivare!$B$6:$J$36,MATCH($C29,Gällivare!$B$6:$B$36,0),FALSE),"Global: "&amp;HLOOKUP(LEFT(BM$3,4),Global!$B$6:$J$36,MATCH($C29,Global!$B$6:$B$36,0),FALSE)&amp;CHAR(10)&amp;"Local Trend: "&amp;HLOOKUP(MID(BM$3,FIND(".",BM$3)+1,FIND(".",BM$3,FIND(".",BM$3)+1)-FIND(".",BM$3)-1),Gällivare!$B$6:$J$36,MATCH($C29,Gällivare!$B$6:$B$36,0),FALSE)&amp;CHAR(10)&amp;"Local Target: "&amp;HLOOKUP(RIGHT(BM$3,LEN(BM$3)-FIND(".",BM$3,FIND(".",BM$3)+1)),Gällivare!$B$6:$J$36,MATCH($C29,Gällivare!$B$6:$B$36,0),FALSE)))</f>
        <v>Low</v>
      </c>
      <c r="BN29" s="177" t="str">
        <f>IF(AND(HLOOKUP(MID(BN$3,FIND(".",BN$3)+1,FIND(".",BN$3,FIND(".",BN$3)+1)-FIND(".",BN$3)-1),Gällivare!$B$6:$J$36,MATCH($C29,Gällivare!$B$6:$B$36,0),FALSE)="No Impact",HLOOKUP(RIGHT(BN$3,LEN(BN$3)-FIND(".",BN$3,FIND(".",BN$3)+1)),Gällivare!$B$6:$J$36,MATCH($C29,Gällivare!$B$6:$B$36,0),FALSE)="No Impact"),HLOOKUP(LEFT(BN$3,4),Global!$B$6:$J$36,MATCH($C29,Global!$B$6:$B$36,0),FALSE),IF(AND(HLOOKUP(MID(BN$3,FIND(".",BN$3)+1,FIND(".",BN$3,FIND(".",BN$3)+1)-FIND(".",BN$3)-1),Gällivare!$B$6:$J$36,MATCH($C29,Gällivare!$B$6:$B$36,0),FALSE)="No Impact",HLOOKUP(LEFT(BN$3,4),Global!$B$6:$J$36,MATCH($C29,Global!$B$6:$B$36,0),FALSE)="No Impact"),HLOOKUP(RIGHT(BN$3,LEN(BN$3)-FIND(".",BN$3,FIND(".",BN$3)+1)),Gällivare!$B$6:$J$36,MATCH($C29,Gällivare!$B$6:$B$36,0),FALSE),"Global: "&amp;HLOOKUP(LEFT(BN$3,4),Global!$B$6:$J$36,MATCH($C29,Global!$B$6:$B$36,0),FALSE)&amp;CHAR(10)&amp;"Local Trend: "&amp;HLOOKUP(MID(BN$3,FIND(".",BN$3)+1,FIND(".",BN$3,FIND(".",BN$3)+1)-FIND(".",BN$3)-1),Gällivare!$B$6:$J$36,MATCH($C29,Gällivare!$B$6:$B$36,0),FALSE)&amp;CHAR(10)&amp;"Local Target: "&amp;HLOOKUP(RIGHT(BN$3,LEN(BN$3)-FIND(".",BN$3,FIND(".",BN$3)+1)),Gällivare!$B$6:$J$36,MATCH($C29,Gällivare!$B$6:$B$36,0),FALSE)))</f>
        <v>Low</v>
      </c>
      <c r="BO29" s="177" t="str">
        <f>IF(AND(HLOOKUP(MID(BO$3,FIND(".",BO$3)+1,FIND(".",BO$3,FIND(".",BO$3)+1)-FIND(".",BO$3)-1),Gällivare!$B$6:$J$36,MATCH($C29,Gällivare!$B$6:$B$36,0),FALSE)="No Impact",HLOOKUP(RIGHT(BO$3,LEN(BO$3)-FIND(".",BO$3,FIND(".",BO$3)+1)),Gällivare!$B$6:$J$36,MATCH($C29,Gällivare!$B$6:$B$36,0),FALSE)="No Impact"),HLOOKUP(LEFT(BO$3,4),Global!$B$6:$J$36,MATCH($C29,Global!$B$6:$B$36,0),FALSE),IF(AND(HLOOKUP(MID(BO$3,FIND(".",BO$3)+1,FIND(".",BO$3,FIND(".",BO$3)+1)-FIND(".",BO$3)-1),Gällivare!$B$6:$J$36,MATCH($C29,Gällivare!$B$6:$B$36,0),FALSE)="No Impact",HLOOKUP(LEFT(BO$3,4),Global!$B$6:$J$36,MATCH($C29,Global!$B$6:$B$36,0),FALSE)="No Impact"),HLOOKUP(RIGHT(BO$3,LEN(BO$3)-FIND(".",BO$3,FIND(".",BO$3)+1)),Gällivare!$B$6:$J$36,MATCH($C29,Gällivare!$B$6:$B$36,0),FALSE),"Global: "&amp;HLOOKUP(LEFT(BO$3,4),Global!$B$6:$J$36,MATCH($C29,Global!$B$6:$B$36,0),FALSE)&amp;CHAR(10)&amp;"Local Trend: "&amp;HLOOKUP(MID(BO$3,FIND(".",BO$3)+1,FIND(".",BO$3,FIND(".",BO$3)+1)-FIND(".",BO$3)-1),Gällivare!$B$6:$J$36,MATCH($C29,Gällivare!$B$6:$B$36,0),FALSE)&amp;CHAR(10)&amp;"Local Target: "&amp;HLOOKUP(RIGHT(BO$3,LEN(BO$3)-FIND(".",BO$3,FIND(".",BO$3)+1)),Gällivare!$B$6:$J$36,MATCH($C29,Gällivare!$B$6:$B$36,0),FALSE)))</f>
        <v>Low</v>
      </c>
      <c r="BP29" s="177" t="str">
        <f>IF(AND(HLOOKUP(MID(BP$3,FIND(".",BP$3)+1,FIND(".",BP$3,FIND(".",BP$3)+1)-FIND(".",BP$3)-1),Gällivare!$B$6:$J$36,MATCH($C29,Gällivare!$B$6:$B$36,0),FALSE)="No Impact",HLOOKUP(RIGHT(BP$3,LEN(BP$3)-FIND(".",BP$3,FIND(".",BP$3)+1)),Gällivare!$B$6:$J$36,MATCH($C29,Gällivare!$B$6:$B$36,0),FALSE)="No Impact"),HLOOKUP(LEFT(BP$3,4),Global!$B$6:$J$36,MATCH($C29,Global!$B$6:$B$36,0),FALSE),IF(AND(HLOOKUP(MID(BP$3,FIND(".",BP$3)+1,FIND(".",BP$3,FIND(".",BP$3)+1)-FIND(".",BP$3)-1),Gällivare!$B$6:$J$36,MATCH($C29,Gällivare!$B$6:$B$36,0),FALSE)="No Impact",HLOOKUP(LEFT(BP$3,4),Global!$B$6:$J$36,MATCH($C29,Global!$B$6:$B$36,0),FALSE)="No Impact"),HLOOKUP(RIGHT(BP$3,LEN(BP$3)-FIND(".",BP$3,FIND(".",BP$3)+1)),Gällivare!$B$6:$J$36,MATCH($C29,Gällivare!$B$6:$B$36,0),FALSE),"Global: "&amp;HLOOKUP(LEFT(BP$3,4),Global!$B$6:$J$36,MATCH($C29,Global!$B$6:$B$36,0),FALSE)&amp;CHAR(10)&amp;"Local Trend: "&amp;HLOOKUP(MID(BP$3,FIND(".",BP$3)+1,FIND(".",BP$3,FIND(".",BP$3)+1)-FIND(".",BP$3)-1),Gällivare!$B$6:$J$36,MATCH($C29,Gällivare!$B$6:$B$36,0),FALSE)&amp;CHAR(10)&amp;"Local Target: "&amp;HLOOKUP(RIGHT(BP$3,LEN(BP$3)-FIND(".",BP$3,FIND(".",BP$3)+1)),Gällivare!$B$6:$J$36,MATCH($C29,Gällivare!$B$6:$B$36,0),FALSE)))</f>
        <v>Low</v>
      </c>
    </row>
    <row r="30" spans="2:74" ht="28.8" x14ac:dyDescent="0.3">
      <c r="B30" s="248"/>
      <c r="C30" s="175" t="s">
        <v>215</v>
      </c>
      <c r="D30" s="175" t="s">
        <v>172</v>
      </c>
      <c r="E30" s="175" t="s">
        <v>216</v>
      </c>
      <c r="F30" s="176" t="s">
        <v>165</v>
      </c>
      <c r="G30" s="176"/>
      <c r="H30" s="175" t="str">
        <f t="shared" si="1"/>
        <v>High</v>
      </c>
      <c r="I30" s="175" t="str">
        <f t="shared" si="1"/>
        <v>High</v>
      </c>
      <c r="J30" s="175" t="str">
        <f t="shared" si="1"/>
        <v>High</v>
      </c>
      <c r="K30" s="175" t="str">
        <f t="shared" si="1"/>
        <v>High</v>
      </c>
      <c r="L30" s="175" t="str">
        <f t="shared" si="1"/>
        <v>High</v>
      </c>
      <c r="M30" s="175" t="str">
        <f t="shared" si="1"/>
        <v>High</v>
      </c>
      <c r="N30" s="175" t="str">
        <f t="shared" si="1"/>
        <v>Medium</v>
      </c>
      <c r="O30" s="175" t="str">
        <f t="shared" si="1"/>
        <v>Medium</v>
      </c>
      <c r="P30" s="175" t="str">
        <f t="shared" si="1"/>
        <v>Medium</v>
      </c>
      <c r="Q30" s="175" t="str">
        <f t="shared" si="1"/>
        <v>Medium</v>
      </c>
      <c r="R30" s="175" t="str">
        <f t="shared" si="1"/>
        <v>Medium</v>
      </c>
      <c r="S30" s="175" t="str">
        <f t="shared" si="1"/>
        <v>Medium</v>
      </c>
      <c r="T30" s="175" t="str">
        <f t="shared" si="1"/>
        <v>Low</v>
      </c>
      <c r="U30" s="175" t="str">
        <f t="shared" si="1"/>
        <v>Low</v>
      </c>
      <c r="V30" s="175" t="str">
        <f t="shared" si="1"/>
        <v>Low</v>
      </c>
      <c r="W30" s="175" t="str">
        <f t="shared" si="1"/>
        <v>Low</v>
      </c>
      <c r="X30" s="175" t="str">
        <f t="shared" si="5"/>
        <v>Low</v>
      </c>
      <c r="Y30" s="175" t="str">
        <f t="shared" si="5"/>
        <v>Low</v>
      </c>
      <c r="Z30" s="175" t="str">
        <f t="shared" si="5"/>
        <v>Medium</v>
      </c>
      <c r="AA30" s="175" t="str">
        <f t="shared" si="5"/>
        <v>Medium</v>
      </c>
      <c r="AB30" s="175" t="str">
        <f t="shared" si="5"/>
        <v>Medium</v>
      </c>
      <c r="AC30" s="175" t="str">
        <f t="shared" si="5"/>
        <v>Medium</v>
      </c>
      <c r="AD30" s="175" t="str">
        <f t="shared" si="5"/>
        <v>Medium</v>
      </c>
      <c r="AE30" s="175" t="str">
        <f t="shared" si="5"/>
        <v>Medium</v>
      </c>
      <c r="AF30" s="175" t="str">
        <f t="shared" si="4"/>
        <v>Low</v>
      </c>
      <c r="AG30" s="175" t="str">
        <f t="shared" si="4"/>
        <v>Low</v>
      </c>
      <c r="AH30" s="175" t="str">
        <f t="shared" si="4"/>
        <v>Low</v>
      </c>
      <c r="AI30" s="175" t="str">
        <f t="shared" si="4"/>
        <v>Low</v>
      </c>
      <c r="AJ30" s="175" t="str">
        <f t="shared" si="4"/>
        <v>Low</v>
      </c>
      <c r="AK30" s="175" t="str">
        <f t="shared" si="4"/>
        <v>Low</v>
      </c>
      <c r="AL30" s="176"/>
      <c r="AM30" s="177" t="str">
        <f>IF(AND(HLOOKUP(MID(AM$3,FIND(".",AM$3)+1,FIND(".",AM$3,FIND(".",AM$3)+1)-FIND(".",AM$3)-1),Gällivare!$B$6:$J$36,MATCH($C30,Gällivare!$B$6:$B$36,0),FALSE)="No Impact",HLOOKUP(RIGHT(AM$3,LEN(AM$3)-FIND(".",AM$3,FIND(".",AM$3)+1)),Gällivare!$B$6:$J$36,MATCH($C30,Gällivare!$B$6:$B$36,0),FALSE)="No Impact"),HLOOKUP(LEFT(AM$3,4),Global!$B$6:$J$36,MATCH($C30,Global!$B$6:$B$36,0),FALSE),IF(AND(HLOOKUP(MID(AM$3,FIND(".",AM$3)+1,FIND(".",AM$3,FIND(".",AM$3)+1)-FIND(".",AM$3)-1),Gällivare!$B$6:$J$36,MATCH($C30,Gällivare!$B$6:$B$36,0),FALSE)="No Impact",HLOOKUP(LEFT(AM$3,4),Global!$B$6:$J$36,MATCH($C30,Global!$B$6:$B$36,0),FALSE)="No Impact"),HLOOKUP(RIGHT(AM$3,LEN(AM$3)-FIND(".",AM$3,FIND(".",AM$3)+1)),Gällivare!$B$6:$J$36,MATCH($C30,Gällivare!$B$6:$B$36,0),FALSE),"Global: "&amp;HLOOKUP(LEFT(AM$3,4),Global!$B$6:$J$36,MATCH($C30,Global!$B$6:$B$36,0),FALSE)&amp;CHAR(10)&amp;"Local Trend: "&amp;HLOOKUP(MID(AM$3,FIND(".",AM$3)+1,FIND(".",AM$3,FIND(".",AM$3)+1)-FIND(".",AM$3)-1),Gällivare!$B$6:$J$36,MATCH($C30,Gällivare!$B$6:$B$36,0),FALSE)&amp;CHAR(10)&amp;"Local Target: "&amp;HLOOKUP(RIGHT(AM$3,LEN(AM$3)-FIND(".",AM$3,FIND(".",AM$3)+1)),Gällivare!$B$6:$J$36,MATCH($C30,Gällivare!$B$6:$B$36,0),FALSE)))</f>
        <v>High</v>
      </c>
      <c r="AN30" s="177" t="str">
        <f>IF(AND(HLOOKUP(MID(AN$3,FIND(".",AN$3)+1,FIND(".",AN$3,FIND(".",AN$3)+1)-FIND(".",AN$3)-1),Gällivare!$B$6:$J$36,MATCH($C30,Gällivare!$B$6:$B$36,0),FALSE)="No Impact",HLOOKUP(RIGHT(AN$3,LEN(AN$3)-FIND(".",AN$3,FIND(".",AN$3)+1)),Gällivare!$B$6:$J$36,MATCH($C30,Gällivare!$B$6:$B$36,0),FALSE)="No Impact"),HLOOKUP(LEFT(AN$3,4),Global!$B$6:$J$36,MATCH($C30,Global!$B$6:$B$36,0),FALSE),IF(AND(HLOOKUP(MID(AN$3,FIND(".",AN$3)+1,FIND(".",AN$3,FIND(".",AN$3)+1)-FIND(".",AN$3)-1),Gällivare!$B$6:$J$36,MATCH($C30,Gällivare!$B$6:$B$36,0),FALSE)="No Impact",HLOOKUP(LEFT(AN$3,4),Global!$B$6:$J$36,MATCH($C30,Global!$B$6:$B$36,0),FALSE)="No Impact"),HLOOKUP(RIGHT(AN$3,LEN(AN$3)-FIND(".",AN$3,FIND(".",AN$3)+1)),Gällivare!$B$6:$J$36,MATCH($C30,Gällivare!$B$6:$B$36,0),FALSE),"Global: "&amp;HLOOKUP(LEFT(AN$3,4),Global!$B$6:$J$36,MATCH($C30,Global!$B$6:$B$36,0),FALSE)&amp;CHAR(10)&amp;"Local Trend: "&amp;HLOOKUP(MID(AN$3,FIND(".",AN$3)+1,FIND(".",AN$3,FIND(".",AN$3)+1)-FIND(".",AN$3)-1),Gällivare!$B$6:$J$36,MATCH($C30,Gällivare!$B$6:$B$36,0),FALSE)&amp;CHAR(10)&amp;"Local Target: "&amp;HLOOKUP(RIGHT(AN$3,LEN(AN$3)-FIND(".",AN$3,FIND(".",AN$3)+1)),Gällivare!$B$6:$J$36,MATCH($C30,Gällivare!$B$6:$B$36,0),FALSE)))</f>
        <v>High</v>
      </c>
      <c r="AO30" s="177" t="str">
        <f>IF(AND(HLOOKUP(MID(AO$3,FIND(".",AO$3)+1,FIND(".",AO$3,FIND(".",AO$3)+1)-FIND(".",AO$3)-1),Gällivare!$B$6:$J$36,MATCH($C30,Gällivare!$B$6:$B$36,0),FALSE)="No Impact",HLOOKUP(RIGHT(AO$3,LEN(AO$3)-FIND(".",AO$3,FIND(".",AO$3)+1)),Gällivare!$B$6:$J$36,MATCH($C30,Gällivare!$B$6:$B$36,0),FALSE)="No Impact"),HLOOKUP(LEFT(AO$3,4),Global!$B$6:$J$36,MATCH($C30,Global!$B$6:$B$36,0),FALSE),IF(AND(HLOOKUP(MID(AO$3,FIND(".",AO$3)+1,FIND(".",AO$3,FIND(".",AO$3)+1)-FIND(".",AO$3)-1),Gällivare!$B$6:$J$36,MATCH($C30,Gällivare!$B$6:$B$36,0),FALSE)="No Impact",HLOOKUP(LEFT(AO$3,4),Global!$B$6:$J$36,MATCH($C30,Global!$B$6:$B$36,0),FALSE)="No Impact"),HLOOKUP(RIGHT(AO$3,LEN(AO$3)-FIND(".",AO$3,FIND(".",AO$3)+1)),Gällivare!$B$6:$J$36,MATCH($C30,Gällivare!$B$6:$B$36,0),FALSE),"Global: "&amp;HLOOKUP(LEFT(AO$3,4),Global!$B$6:$J$36,MATCH($C30,Global!$B$6:$B$36,0),FALSE)&amp;CHAR(10)&amp;"Local Trend: "&amp;HLOOKUP(MID(AO$3,FIND(".",AO$3)+1,FIND(".",AO$3,FIND(".",AO$3)+1)-FIND(".",AO$3)-1),Gällivare!$B$6:$J$36,MATCH($C30,Gällivare!$B$6:$B$36,0),FALSE)&amp;CHAR(10)&amp;"Local Target: "&amp;HLOOKUP(RIGHT(AO$3,LEN(AO$3)-FIND(".",AO$3,FIND(".",AO$3)+1)),Gällivare!$B$6:$J$36,MATCH($C30,Gällivare!$B$6:$B$36,0),FALSE)))</f>
        <v>High</v>
      </c>
      <c r="AP30" s="177" t="str">
        <f>IF(AND(HLOOKUP(MID(AP$3,FIND(".",AP$3)+1,FIND(".",AP$3,FIND(".",AP$3)+1)-FIND(".",AP$3)-1),Gällivare!$B$6:$J$36,MATCH($C30,Gällivare!$B$6:$B$36,0),FALSE)="No Impact",HLOOKUP(RIGHT(AP$3,LEN(AP$3)-FIND(".",AP$3,FIND(".",AP$3)+1)),Gällivare!$B$6:$J$36,MATCH($C30,Gällivare!$B$6:$B$36,0),FALSE)="No Impact"),HLOOKUP(LEFT(AP$3,4),Global!$B$6:$J$36,MATCH($C30,Global!$B$6:$B$36,0),FALSE),IF(AND(HLOOKUP(MID(AP$3,FIND(".",AP$3)+1,FIND(".",AP$3,FIND(".",AP$3)+1)-FIND(".",AP$3)-1),Gällivare!$B$6:$J$36,MATCH($C30,Gällivare!$B$6:$B$36,0),FALSE)="No Impact",HLOOKUP(LEFT(AP$3,4),Global!$B$6:$J$36,MATCH($C30,Global!$B$6:$B$36,0),FALSE)="No Impact"),HLOOKUP(RIGHT(AP$3,LEN(AP$3)-FIND(".",AP$3,FIND(".",AP$3)+1)),Gällivare!$B$6:$J$36,MATCH($C30,Gällivare!$B$6:$B$36,0),FALSE),"Global: "&amp;HLOOKUP(LEFT(AP$3,4),Global!$B$6:$J$36,MATCH($C30,Global!$B$6:$B$36,0),FALSE)&amp;CHAR(10)&amp;"Local Trend: "&amp;HLOOKUP(MID(AP$3,FIND(".",AP$3)+1,FIND(".",AP$3,FIND(".",AP$3)+1)-FIND(".",AP$3)-1),Gällivare!$B$6:$J$36,MATCH($C30,Gällivare!$B$6:$B$36,0),FALSE)&amp;CHAR(10)&amp;"Local Target: "&amp;HLOOKUP(RIGHT(AP$3,LEN(AP$3)-FIND(".",AP$3,FIND(".",AP$3)+1)),Gällivare!$B$6:$J$36,MATCH($C30,Gällivare!$B$6:$B$36,0),FALSE)))</f>
        <v>High</v>
      </c>
      <c r="AQ30" s="177" t="str">
        <f>IF(AND(HLOOKUP(MID(AQ$3,FIND(".",AQ$3)+1,FIND(".",AQ$3,FIND(".",AQ$3)+1)-FIND(".",AQ$3)-1),Gällivare!$B$6:$J$36,MATCH($C30,Gällivare!$B$6:$B$36,0),FALSE)="No Impact",HLOOKUP(RIGHT(AQ$3,LEN(AQ$3)-FIND(".",AQ$3,FIND(".",AQ$3)+1)),Gällivare!$B$6:$J$36,MATCH($C30,Gällivare!$B$6:$B$36,0),FALSE)="No Impact"),HLOOKUP(LEFT(AQ$3,4),Global!$B$6:$J$36,MATCH($C30,Global!$B$6:$B$36,0),FALSE),IF(AND(HLOOKUP(MID(AQ$3,FIND(".",AQ$3)+1,FIND(".",AQ$3,FIND(".",AQ$3)+1)-FIND(".",AQ$3)-1),Gällivare!$B$6:$J$36,MATCH($C30,Gällivare!$B$6:$B$36,0),FALSE)="No Impact",HLOOKUP(LEFT(AQ$3,4),Global!$B$6:$J$36,MATCH($C30,Global!$B$6:$B$36,0),FALSE)="No Impact"),HLOOKUP(RIGHT(AQ$3,LEN(AQ$3)-FIND(".",AQ$3,FIND(".",AQ$3)+1)),Gällivare!$B$6:$J$36,MATCH($C30,Gällivare!$B$6:$B$36,0),FALSE),"Global: "&amp;HLOOKUP(LEFT(AQ$3,4),Global!$B$6:$J$36,MATCH($C30,Global!$B$6:$B$36,0),FALSE)&amp;CHAR(10)&amp;"Local Trend: "&amp;HLOOKUP(MID(AQ$3,FIND(".",AQ$3)+1,FIND(".",AQ$3,FIND(".",AQ$3)+1)-FIND(".",AQ$3)-1),Gällivare!$B$6:$J$36,MATCH($C30,Gällivare!$B$6:$B$36,0),FALSE)&amp;CHAR(10)&amp;"Local Target: "&amp;HLOOKUP(RIGHT(AQ$3,LEN(AQ$3)-FIND(".",AQ$3,FIND(".",AQ$3)+1)),Gällivare!$B$6:$J$36,MATCH($C30,Gällivare!$B$6:$B$36,0),FALSE)))</f>
        <v>High</v>
      </c>
      <c r="AR30" s="177" t="str">
        <f>IF(AND(HLOOKUP(MID(AR$3,FIND(".",AR$3)+1,FIND(".",AR$3,FIND(".",AR$3)+1)-FIND(".",AR$3)-1),Gällivare!$B$6:$J$36,MATCH($C30,Gällivare!$B$6:$B$36,0),FALSE)="No Impact",HLOOKUP(RIGHT(AR$3,LEN(AR$3)-FIND(".",AR$3,FIND(".",AR$3)+1)),Gällivare!$B$6:$J$36,MATCH($C30,Gällivare!$B$6:$B$36,0),FALSE)="No Impact"),HLOOKUP(LEFT(AR$3,4),Global!$B$6:$J$36,MATCH($C30,Global!$B$6:$B$36,0),FALSE),IF(AND(HLOOKUP(MID(AR$3,FIND(".",AR$3)+1,FIND(".",AR$3,FIND(".",AR$3)+1)-FIND(".",AR$3)-1),Gällivare!$B$6:$J$36,MATCH($C30,Gällivare!$B$6:$B$36,0),FALSE)="No Impact",HLOOKUP(LEFT(AR$3,4),Global!$B$6:$J$36,MATCH($C30,Global!$B$6:$B$36,0),FALSE)="No Impact"),HLOOKUP(RIGHT(AR$3,LEN(AR$3)-FIND(".",AR$3,FIND(".",AR$3)+1)),Gällivare!$B$6:$J$36,MATCH($C30,Gällivare!$B$6:$B$36,0),FALSE),"Global: "&amp;HLOOKUP(LEFT(AR$3,4),Global!$B$6:$J$36,MATCH($C30,Global!$B$6:$B$36,0),FALSE)&amp;CHAR(10)&amp;"Local Trend: "&amp;HLOOKUP(MID(AR$3,FIND(".",AR$3)+1,FIND(".",AR$3,FIND(".",AR$3)+1)-FIND(".",AR$3)-1),Gällivare!$B$6:$J$36,MATCH($C30,Gällivare!$B$6:$B$36,0),FALSE)&amp;CHAR(10)&amp;"Local Target: "&amp;HLOOKUP(RIGHT(AR$3,LEN(AR$3)-FIND(".",AR$3,FIND(".",AR$3)+1)),Gällivare!$B$6:$J$36,MATCH($C30,Gällivare!$B$6:$B$36,0),FALSE)))</f>
        <v>High</v>
      </c>
      <c r="AS30" s="177" t="str">
        <f>IF(AND(HLOOKUP(MID(AS$3,FIND(".",AS$3)+1,FIND(".",AS$3,FIND(".",AS$3)+1)-FIND(".",AS$3)-1),Gällivare!$B$6:$J$36,MATCH($C30,Gällivare!$B$6:$B$36,0),FALSE)="No Impact",HLOOKUP(RIGHT(AS$3,LEN(AS$3)-FIND(".",AS$3,FIND(".",AS$3)+1)),Gällivare!$B$6:$J$36,MATCH($C30,Gällivare!$B$6:$B$36,0),FALSE)="No Impact"),HLOOKUP(LEFT(AS$3,4),Global!$B$6:$J$36,MATCH($C30,Global!$B$6:$B$36,0),FALSE),IF(AND(HLOOKUP(MID(AS$3,FIND(".",AS$3)+1,FIND(".",AS$3,FIND(".",AS$3)+1)-FIND(".",AS$3)-1),Gällivare!$B$6:$J$36,MATCH($C30,Gällivare!$B$6:$B$36,0),FALSE)="No Impact",HLOOKUP(LEFT(AS$3,4),Global!$B$6:$J$36,MATCH($C30,Global!$B$6:$B$36,0),FALSE)="No Impact"),HLOOKUP(RIGHT(AS$3,LEN(AS$3)-FIND(".",AS$3,FIND(".",AS$3)+1)),Gällivare!$B$6:$J$36,MATCH($C30,Gällivare!$B$6:$B$36,0),FALSE),"Global: "&amp;HLOOKUP(LEFT(AS$3,4),Global!$B$6:$J$36,MATCH($C30,Global!$B$6:$B$36,0),FALSE)&amp;CHAR(10)&amp;"Local Trend: "&amp;HLOOKUP(MID(AS$3,FIND(".",AS$3)+1,FIND(".",AS$3,FIND(".",AS$3)+1)-FIND(".",AS$3)-1),Gällivare!$B$6:$J$36,MATCH($C30,Gällivare!$B$6:$B$36,0),FALSE)&amp;CHAR(10)&amp;"Local Target: "&amp;HLOOKUP(RIGHT(AS$3,LEN(AS$3)-FIND(".",AS$3,FIND(".",AS$3)+1)),Gällivare!$B$6:$J$36,MATCH($C30,Gällivare!$B$6:$B$36,0),FALSE)))</f>
        <v>Medium</v>
      </c>
      <c r="AT30" s="177" t="str">
        <f>IF(AND(HLOOKUP(MID(AT$3,FIND(".",AT$3)+1,FIND(".",AT$3,FIND(".",AT$3)+1)-FIND(".",AT$3)-1),Gällivare!$B$6:$J$36,MATCH($C30,Gällivare!$B$6:$B$36,0),FALSE)="No Impact",HLOOKUP(RIGHT(AT$3,LEN(AT$3)-FIND(".",AT$3,FIND(".",AT$3)+1)),Gällivare!$B$6:$J$36,MATCH($C30,Gällivare!$B$6:$B$36,0),FALSE)="No Impact"),HLOOKUP(LEFT(AT$3,4),Global!$B$6:$J$36,MATCH($C30,Global!$B$6:$B$36,0),FALSE),IF(AND(HLOOKUP(MID(AT$3,FIND(".",AT$3)+1,FIND(".",AT$3,FIND(".",AT$3)+1)-FIND(".",AT$3)-1),Gällivare!$B$6:$J$36,MATCH($C30,Gällivare!$B$6:$B$36,0),FALSE)="No Impact",HLOOKUP(LEFT(AT$3,4),Global!$B$6:$J$36,MATCH($C30,Global!$B$6:$B$36,0),FALSE)="No Impact"),HLOOKUP(RIGHT(AT$3,LEN(AT$3)-FIND(".",AT$3,FIND(".",AT$3)+1)),Gällivare!$B$6:$J$36,MATCH($C30,Gällivare!$B$6:$B$36,0),FALSE),"Global: "&amp;HLOOKUP(LEFT(AT$3,4),Global!$B$6:$J$36,MATCH($C30,Global!$B$6:$B$36,0),FALSE)&amp;CHAR(10)&amp;"Local Trend: "&amp;HLOOKUP(MID(AT$3,FIND(".",AT$3)+1,FIND(".",AT$3,FIND(".",AT$3)+1)-FIND(".",AT$3)-1),Gällivare!$B$6:$J$36,MATCH($C30,Gällivare!$B$6:$B$36,0),FALSE)&amp;CHAR(10)&amp;"Local Target: "&amp;HLOOKUP(RIGHT(AT$3,LEN(AT$3)-FIND(".",AT$3,FIND(".",AT$3)+1)),Gällivare!$B$6:$J$36,MATCH($C30,Gällivare!$B$6:$B$36,0),FALSE)))</f>
        <v>Medium</v>
      </c>
      <c r="AU30" s="177" t="str">
        <f>IF(AND(HLOOKUP(MID(AU$3,FIND(".",AU$3)+1,FIND(".",AU$3,FIND(".",AU$3)+1)-FIND(".",AU$3)-1),Gällivare!$B$6:$J$36,MATCH($C30,Gällivare!$B$6:$B$36,0),FALSE)="No Impact",HLOOKUP(RIGHT(AU$3,LEN(AU$3)-FIND(".",AU$3,FIND(".",AU$3)+1)),Gällivare!$B$6:$J$36,MATCH($C30,Gällivare!$B$6:$B$36,0),FALSE)="No Impact"),HLOOKUP(LEFT(AU$3,4),Global!$B$6:$J$36,MATCH($C30,Global!$B$6:$B$36,0),FALSE),IF(AND(HLOOKUP(MID(AU$3,FIND(".",AU$3)+1,FIND(".",AU$3,FIND(".",AU$3)+1)-FIND(".",AU$3)-1),Gällivare!$B$6:$J$36,MATCH($C30,Gällivare!$B$6:$B$36,0),FALSE)="No Impact",HLOOKUP(LEFT(AU$3,4),Global!$B$6:$J$36,MATCH($C30,Global!$B$6:$B$36,0),FALSE)="No Impact"),HLOOKUP(RIGHT(AU$3,LEN(AU$3)-FIND(".",AU$3,FIND(".",AU$3)+1)),Gällivare!$B$6:$J$36,MATCH($C30,Gällivare!$B$6:$B$36,0),FALSE),"Global: "&amp;HLOOKUP(LEFT(AU$3,4),Global!$B$6:$J$36,MATCH($C30,Global!$B$6:$B$36,0),FALSE)&amp;CHAR(10)&amp;"Local Trend: "&amp;HLOOKUP(MID(AU$3,FIND(".",AU$3)+1,FIND(".",AU$3,FIND(".",AU$3)+1)-FIND(".",AU$3)-1),Gällivare!$B$6:$J$36,MATCH($C30,Gällivare!$B$6:$B$36,0),FALSE)&amp;CHAR(10)&amp;"Local Target: "&amp;HLOOKUP(RIGHT(AU$3,LEN(AU$3)-FIND(".",AU$3,FIND(".",AU$3)+1)),Gällivare!$B$6:$J$36,MATCH($C30,Gällivare!$B$6:$B$36,0),FALSE)))</f>
        <v>Medium</v>
      </c>
      <c r="AV30" s="177" t="str">
        <f>IF(AND(HLOOKUP(MID(AV$3,FIND(".",AV$3)+1,FIND(".",AV$3,FIND(".",AV$3)+1)-FIND(".",AV$3)-1),Gällivare!$B$6:$J$36,MATCH($C30,Gällivare!$B$6:$B$36,0),FALSE)="No Impact",HLOOKUP(RIGHT(AV$3,LEN(AV$3)-FIND(".",AV$3,FIND(".",AV$3)+1)),Gällivare!$B$6:$J$36,MATCH($C30,Gällivare!$B$6:$B$36,0),FALSE)="No Impact"),HLOOKUP(LEFT(AV$3,4),Global!$B$6:$J$36,MATCH($C30,Global!$B$6:$B$36,0),FALSE),IF(AND(HLOOKUP(MID(AV$3,FIND(".",AV$3)+1,FIND(".",AV$3,FIND(".",AV$3)+1)-FIND(".",AV$3)-1),Gällivare!$B$6:$J$36,MATCH($C30,Gällivare!$B$6:$B$36,0),FALSE)="No Impact",HLOOKUP(LEFT(AV$3,4),Global!$B$6:$J$36,MATCH($C30,Global!$B$6:$B$36,0),FALSE)="No Impact"),HLOOKUP(RIGHT(AV$3,LEN(AV$3)-FIND(".",AV$3,FIND(".",AV$3)+1)),Gällivare!$B$6:$J$36,MATCH($C30,Gällivare!$B$6:$B$36,0),FALSE),"Global: "&amp;HLOOKUP(LEFT(AV$3,4),Global!$B$6:$J$36,MATCH($C30,Global!$B$6:$B$36,0),FALSE)&amp;CHAR(10)&amp;"Local Trend: "&amp;HLOOKUP(MID(AV$3,FIND(".",AV$3)+1,FIND(".",AV$3,FIND(".",AV$3)+1)-FIND(".",AV$3)-1),Gällivare!$B$6:$J$36,MATCH($C30,Gällivare!$B$6:$B$36,0),FALSE)&amp;CHAR(10)&amp;"Local Target: "&amp;HLOOKUP(RIGHT(AV$3,LEN(AV$3)-FIND(".",AV$3,FIND(".",AV$3)+1)),Gällivare!$B$6:$J$36,MATCH($C30,Gällivare!$B$6:$B$36,0),FALSE)))</f>
        <v>Medium</v>
      </c>
      <c r="AW30" s="177" t="str">
        <f>IF(AND(HLOOKUP(MID(AW$3,FIND(".",AW$3)+1,FIND(".",AW$3,FIND(".",AW$3)+1)-FIND(".",AW$3)-1),Gällivare!$B$6:$J$36,MATCH($C30,Gällivare!$B$6:$B$36,0),FALSE)="No Impact",HLOOKUP(RIGHT(AW$3,LEN(AW$3)-FIND(".",AW$3,FIND(".",AW$3)+1)),Gällivare!$B$6:$J$36,MATCH($C30,Gällivare!$B$6:$B$36,0),FALSE)="No Impact"),HLOOKUP(LEFT(AW$3,4),Global!$B$6:$J$36,MATCH($C30,Global!$B$6:$B$36,0),FALSE),IF(AND(HLOOKUP(MID(AW$3,FIND(".",AW$3)+1,FIND(".",AW$3,FIND(".",AW$3)+1)-FIND(".",AW$3)-1),Gällivare!$B$6:$J$36,MATCH($C30,Gällivare!$B$6:$B$36,0),FALSE)="No Impact",HLOOKUP(LEFT(AW$3,4),Global!$B$6:$J$36,MATCH($C30,Global!$B$6:$B$36,0),FALSE)="No Impact"),HLOOKUP(RIGHT(AW$3,LEN(AW$3)-FIND(".",AW$3,FIND(".",AW$3)+1)),Gällivare!$B$6:$J$36,MATCH($C30,Gällivare!$B$6:$B$36,0),FALSE),"Global: "&amp;HLOOKUP(LEFT(AW$3,4),Global!$B$6:$J$36,MATCH($C30,Global!$B$6:$B$36,0),FALSE)&amp;CHAR(10)&amp;"Local Trend: "&amp;HLOOKUP(MID(AW$3,FIND(".",AW$3)+1,FIND(".",AW$3,FIND(".",AW$3)+1)-FIND(".",AW$3)-1),Gällivare!$B$6:$J$36,MATCH($C30,Gällivare!$B$6:$B$36,0),FALSE)&amp;CHAR(10)&amp;"Local Target: "&amp;HLOOKUP(RIGHT(AW$3,LEN(AW$3)-FIND(".",AW$3,FIND(".",AW$3)+1)),Gällivare!$B$6:$J$36,MATCH($C30,Gällivare!$B$6:$B$36,0),FALSE)))</f>
        <v>Medium</v>
      </c>
      <c r="AX30" s="177" t="str">
        <f>IF(AND(HLOOKUP(MID(AX$3,FIND(".",AX$3)+1,FIND(".",AX$3,FIND(".",AX$3)+1)-FIND(".",AX$3)-1),Gällivare!$B$6:$J$36,MATCH($C30,Gällivare!$B$6:$B$36,0),FALSE)="No Impact",HLOOKUP(RIGHT(AX$3,LEN(AX$3)-FIND(".",AX$3,FIND(".",AX$3)+1)),Gällivare!$B$6:$J$36,MATCH($C30,Gällivare!$B$6:$B$36,0),FALSE)="No Impact"),HLOOKUP(LEFT(AX$3,4),Global!$B$6:$J$36,MATCH($C30,Global!$B$6:$B$36,0),FALSE),IF(AND(HLOOKUP(MID(AX$3,FIND(".",AX$3)+1,FIND(".",AX$3,FIND(".",AX$3)+1)-FIND(".",AX$3)-1),Gällivare!$B$6:$J$36,MATCH($C30,Gällivare!$B$6:$B$36,0),FALSE)="No Impact",HLOOKUP(LEFT(AX$3,4),Global!$B$6:$J$36,MATCH($C30,Global!$B$6:$B$36,0),FALSE)="No Impact"),HLOOKUP(RIGHT(AX$3,LEN(AX$3)-FIND(".",AX$3,FIND(".",AX$3)+1)),Gällivare!$B$6:$J$36,MATCH($C30,Gällivare!$B$6:$B$36,0),FALSE),"Global: "&amp;HLOOKUP(LEFT(AX$3,4),Global!$B$6:$J$36,MATCH($C30,Global!$B$6:$B$36,0),FALSE)&amp;CHAR(10)&amp;"Local Trend: "&amp;HLOOKUP(MID(AX$3,FIND(".",AX$3)+1,FIND(".",AX$3,FIND(".",AX$3)+1)-FIND(".",AX$3)-1),Gällivare!$B$6:$J$36,MATCH($C30,Gällivare!$B$6:$B$36,0),FALSE)&amp;CHAR(10)&amp;"Local Target: "&amp;HLOOKUP(RIGHT(AX$3,LEN(AX$3)-FIND(".",AX$3,FIND(".",AX$3)+1)),Gällivare!$B$6:$J$36,MATCH($C30,Gällivare!$B$6:$B$36,0),FALSE)))</f>
        <v>Medium</v>
      </c>
      <c r="AY30" s="177" t="str">
        <f>IF(AND(HLOOKUP(MID(AY$3,FIND(".",AY$3)+1,FIND(".",AY$3,FIND(".",AY$3)+1)-FIND(".",AY$3)-1),Gällivare!$B$6:$J$36,MATCH($C30,Gällivare!$B$6:$B$36,0),FALSE)="No Impact",HLOOKUP(RIGHT(AY$3,LEN(AY$3)-FIND(".",AY$3,FIND(".",AY$3)+1)),Gällivare!$B$6:$J$36,MATCH($C30,Gällivare!$B$6:$B$36,0),FALSE)="No Impact"),HLOOKUP(LEFT(AY$3,4),Global!$B$6:$J$36,MATCH($C30,Global!$B$6:$B$36,0),FALSE),IF(AND(HLOOKUP(MID(AY$3,FIND(".",AY$3)+1,FIND(".",AY$3,FIND(".",AY$3)+1)-FIND(".",AY$3)-1),Gällivare!$B$6:$J$36,MATCH($C30,Gällivare!$B$6:$B$36,0),FALSE)="No Impact",HLOOKUP(LEFT(AY$3,4),Global!$B$6:$J$36,MATCH($C30,Global!$B$6:$B$36,0),FALSE)="No Impact"),HLOOKUP(RIGHT(AY$3,LEN(AY$3)-FIND(".",AY$3,FIND(".",AY$3)+1)),Gällivare!$B$6:$J$36,MATCH($C30,Gällivare!$B$6:$B$36,0),FALSE),"Global: "&amp;HLOOKUP(LEFT(AY$3,4),Global!$B$6:$J$36,MATCH($C30,Global!$B$6:$B$36,0),FALSE)&amp;CHAR(10)&amp;"Local Trend: "&amp;HLOOKUP(MID(AY$3,FIND(".",AY$3)+1,FIND(".",AY$3,FIND(".",AY$3)+1)-FIND(".",AY$3)-1),Gällivare!$B$6:$J$36,MATCH($C30,Gällivare!$B$6:$B$36,0),FALSE)&amp;CHAR(10)&amp;"Local Target: "&amp;HLOOKUP(RIGHT(AY$3,LEN(AY$3)-FIND(".",AY$3,FIND(".",AY$3)+1)),Gällivare!$B$6:$J$36,MATCH($C30,Gällivare!$B$6:$B$36,0),FALSE)))</f>
        <v>Low</v>
      </c>
      <c r="AZ30" s="177" t="str">
        <f>IF(AND(HLOOKUP(MID(AZ$3,FIND(".",AZ$3)+1,FIND(".",AZ$3,FIND(".",AZ$3)+1)-FIND(".",AZ$3)-1),Gällivare!$B$6:$J$36,MATCH($C30,Gällivare!$B$6:$B$36,0),FALSE)="No Impact",HLOOKUP(RIGHT(AZ$3,LEN(AZ$3)-FIND(".",AZ$3,FIND(".",AZ$3)+1)),Gällivare!$B$6:$J$36,MATCH($C30,Gällivare!$B$6:$B$36,0),FALSE)="No Impact"),HLOOKUP(LEFT(AZ$3,4),Global!$B$6:$J$36,MATCH($C30,Global!$B$6:$B$36,0),FALSE),IF(AND(HLOOKUP(MID(AZ$3,FIND(".",AZ$3)+1,FIND(".",AZ$3,FIND(".",AZ$3)+1)-FIND(".",AZ$3)-1),Gällivare!$B$6:$J$36,MATCH($C30,Gällivare!$B$6:$B$36,0),FALSE)="No Impact",HLOOKUP(LEFT(AZ$3,4),Global!$B$6:$J$36,MATCH($C30,Global!$B$6:$B$36,0),FALSE)="No Impact"),HLOOKUP(RIGHT(AZ$3,LEN(AZ$3)-FIND(".",AZ$3,FIND(".",AZ$3)+1)),Gällivare!$B$6:$J$36,MATCH($C30,Gällivare!$B$6:$B$36,0),FALSE),"Global: "&amp;HLOOKUP(LEFT(AZ$3,4),Global!$B$6:$J$36,MATCH($C30,Global!$B$6:$B$36,0),FALSE)&amp;CHAR(10)&amp;"Local Trend: "&amp;HLOOKUP(MID(AZ$3,FIND(".",AZ$3)+1,FIND(".",AZ$3,FIND(".",AZ$3)+1)-FIND(".",AZ$3)-1),Gällivare!$B$6:$J$36,MATCH($C30,Gällivare!$B$6:$B$36,0),FALSE)&amp;CHAR(10)&amp;"Local Target: "&amp;HLOOKUP(RIGHT(AZ$3,LEN(AZ$3)-FIND(".",AZ$3,FIND(".",AZ$3)+1)),Gällivare!$B$6:$J$36,MATCH($C30,Gällivare!$B$6:$B$36,0),FALSE)))</f>
        <v>Low</v>
      </c>
      <c r="BA30" s="177" t="str">
        <f>IF(AND(HLOOKUP(MID(BA$3,FIND(".",BA$3)+1,FIND(".",BA$3,FIND(".",BA$3)+1)-FIND(".",BA$3)-1),Gällivare!$B$6:$J$36,MATCH($C30,Gällivare!$B$6:$B$36,0),FALSE)="No Impact",HLOOKUP(RIGHT(BA$3,LEN(BA$3)-FIND(".",BA$3,FIND(".",BA$3)+1)),Gällivare!$B$6:$J$36,MATCH($C30,Gällivare!$B$6:$B$36,0),FALSE)="No Impact"),HLOOKUP(LEFT(BA$3,4),Global!$B$6:$J$36,MATCH($C30,Global!$B$6:$B$36,0),FALSE),IF(AND(HLOOKUP(MID(BA$3,FIND(".",BA$3)+1,FIND(".",BA$3,FIND(".",BA$3)+1)-FIND(".",BA$3)-1),Gällivare!$B$6:$J$36,MATCH($C30,Gällivare!$B$6:$B$36,0),FALSE)="No Impact",HLOOKUP(LEFT(BA$3,4),Global!$B$6:$J$36,MATCH($C30,Global!$B$6:$B$36,0),FALSE)="No Impact"),HLOOKUP(RIGHT(BA$3,LEN(BA$3)-FIND(".",BA$3,FIND(".",BA$3)+1)),Gällivare!$B$6:$J$36,MATCH($C30,Gällivare!$B$6:$B$36,0),FALSE),"Global: "&amp;HLOOKUP(LEFT(BA$3,4),Global!$B$6:$J$36,MATCH($C30,Global!$B$6:$B$36,0),FALSE)&amp;CHAR(10)&amp;"Local Trend: "&amp;HLOOKUP(MID(BA$3,FIND(".",BA$3)+1,FIND(".",BA$3,FIND(".",BA$3)+1)-FIND(".",BA$3)-1),Gällivare!$B$6:$J$36,MATCH($C30,Gällivare!$B$6:$B$36,0),FALSE)&amp;CHAR(10)&amp;"Local Target: "&amp;HLOOKUP(RIGHT(BA$3,LEN(BA$3)-FIND(".",BA$3,FIND(".",BA$3)+1)),Gällivare!$B$6:$J$36,MATCH($C30,Gällivare!$B$6:$B$36,0),FALSE)))</f>
        <v>Low</v>
      </c>
      <c r="BB30" s="177" t="str">
        <f>IF(AND(HLOOKUP(MID(BB$3,FIND(".",BB$3)+1,FIND(".",BB$3,FIND(".",BB$3)+1)-FIND(".",BB$3)-1),Gällivare!$B$6:$J$36,MATCH($C30,Gällivare!$B$6:$B$36,0),FALSE)="No Impact",HLOOKUP(RIGHT(BB$3,LEN(BB$3)-FIND(".",BB$3,FIND(".",BB$3)+1)),Gällivare!$B$6:$J$36,MATCH($C30,Gällivare!$B$6:$B$36,0),FALSE)="No Impact"),HLOOKUP(LEFT(BB$3,4),Global!$B$6:$J$36,MATCH($C30,Global!$B$6:$B$36,0),FALSE),IF(AND(HLOOKUP(MID(BB$3,FIND(".",BB$3)+1,FIND(".",BB$3,FIND(".",BB$3)+1)-FIND(".",BB$3)-1),Gällivare!$B$6:$J$36,MATCH($C30,Gällivare!$B$6:$B$36,0),FALSE)="No Impact",HLOOKUP(LEFT(BB$3,4),Global!$B$6:$J$36,MATCH($C30,Global!$B$6:$B$36,0),FALSE)="No Impact"),HLOOKUP(RIGHT(BB$3,LEN(BB$3)-FIND(".",BB$3,FIND(".",BB$3)+1)),Gällivare!$B$6:$J$36,MATCH($C30,Gällivare!$B$6:$B$36,0),FALSE),"Global: "&amp;HLOOKUP(LEFT(BB$3,4),Global!$B$6:$J$36,MATCH($C30,Global!$B$6:$B$36,0),FALSE)&amp;CHAR(10)&amp;"Local Trend: "&amp;HLOOKUP(MID(BB$3,FIND(".",BB$3)+1,FIND(".",BB$3,FIND(".",BB$3)+1)-FIND(".",BB$3)-1),Gällivare!$B$6:$J$36,MATCH($C30,Gällivare!$B$6:$B$36,0),FALSE)&amp;CHAR(10)&amp;"Local Target: "&amp;HLOOKUP(RIGHT(BB$3,LEN(BB$3)-FIND(".",BB$3,FIND(".",BB$3)+1)),Gällivare!$B$6:$J$36,MATCH($C30,Gällivare!$B$6:$B$36,0),FALSE)))</f>
        <v>Low</v>
      </c>
      <c r="BC30" s="177" t="str">
        <f>IF(AND(HLOOKUP(MID(BC$3,FIND(".",BC$3)+1,FIND(".",BC$3,FIND(".",BC$3)+1)-FIND(".",BC$3)-1),Gällivare!$B$6:$J$36,MATCH($C30,Gällivare!$B$6:$B$36,0),FALSE)="No Impact",HLOOKUP(RIGHT(BC$3,LEN(BC$3)-FIND(".",BC$3,FIND(".",BC$3)+1)),Gällivare!$B$6:$J$36,MATCH($C30,Gällivare!$B$6:$B$36,0),FALSE)="No Impact"),HLOOKUP(LEFT(BC$3,4),Global!$B$6:$J$36,MATCH($C30,Global!$B$6:$B$36,0),FALSE),IF(AND(HLOOKUP(MID(BC$3,FIND(".",BC$3)+1,FIND(".",BC$3,FIND(".",BC$3)+1)-FIND(".",BC$3)-1),Gällivare!$B$6:$J$36,MATCH($C30,Gällivare!$B$6:$B$36,0),FALSE)="No Impact",HLOOKUP(LEFT(BC$3,4),Global!$B$6:$J$36,MATCH($C30,Global!$B$6:$B$36,0),FALSE)="No Impact"),HLOOKUP(RIGHT(BC$3,LEN(BC$3)-FIND(".",BC$3,FIND(".",BC$3)+1)),Gällivare!$B$6:$J$36,MATCH($C30,Gällivare!$B$6:$B$36,0),FALSE),"Global: "&amp;HLOOKUP(LEFT(BC$3,4),Global!$B$6:$J$36,MATCH($C30,Global!$B$6:$B$36,0),FALSE)&amp;CHAR(10)&amp;"Local Trend: "&amp;HLOOKUP(MID(BC$3,FIND(".",BC$3)+1,FIND(".",BC$3,FIND(".",BC$3)+1)-FIND(".",BC$3)-1),Gällivare!$B$6:$J$36,MATCH($C30,Gällivare!$B$6:$B$36,0),FALSE)&amp;CHAR(10)&amp;"Local Target: "&amp;HLOOKUP(RIGHT(BC$3,LEN(BC$3)-FIND(".",BC$3,FIND(".",BC$3)+1)),Gällivare!$B$6:$J$36,MATCH($C30,Gällivare!$B$6:$B$36,0),FALSE)))</f>
        <v>Low</v>
      </c>
      <c r="BD30" s="177" t="str">
        <f>IF(AND(HLOOKUP(MID(BD$3,FIND(".",BD$3)+1,FIND(".",BD$3,FIND(".",BD$3)+1)-FIND(".",BD$3)-1),Gällivare!$B$6:$J$36,MATCH($C30,Gällivare!$B$6:$B$36,0),FALSE)="No Impact",HLOOKUP(RIGHT(BD$3,LEN(BD$3)-FIND(".",BD$3,FIND(".",BD$3)+1)),Gällivare!$B$6:$J$36,MATCH($C30,Gällivare!$B$6:$B$36,0),FALSE)="No Impact"),HLOOKUP(LEFT(BD$3,4),Global!$B$6:$J$36,MATCH($C30,Global!$B$6:$B$36,0),FALSE),IF(AND(HLOOKUP(MID(BD$3,FIND(".",BD$3)+1,FIND(".",BD$3,FIND(".",BD$3)+1)-FIND(".",BD$3)-1),Gällivare!$B$6:$J$36,MATCH($C30,Gällivare!$B$6:$B$36,0),FALSE)="No Impact",HLOOKUP(LEFT(BD$3,4),Global!$B$6:$J$36,MATCH($C30,Global!$B$6:$B$36,0),FALSE)="No Impact"),HLOOKUP(RIGHT(BD$3,LEN(BD$3)-FIND(".",BD$3,FIND(".",BD$3)+1)),Gällivare!$B$6:$J$36,MATCH($C30,Gällivare!$B$6:$B$36,0),FALSE),"Global: "&amp;HLOOKUP(LEFT(BD$3,4),Global!$B$6:$J$36,MATCH($C30,Global!$B$6:$B$36,0),FALSE)&amp;CHAR(10)&amp;"Local Trend: "&amp;HLOOKUP(MID(BD$3,FIND(".",BD$3)+1,FIND(".",BD$3,FIND(".",BD$3)+1)-FIND(".",BD$3)-1),Gällivare!$B$6:$J$36,MATCH($C30,Gällivare!$B$6:$B$36,0),FALSE)&amp;CHAR(10)&amp;"Local Target: "&amp;HLOOKUP(RIGHT(BD$3,LEN(BD$3)-FIND(".",BD$3,FIND(".",BD$3)+1)),Gällivare!$B$6:$J$36,MATCH($C30,Gällivare!$B$6:$B$36,0),FALSE)))</f>
        <v>Low</v>
      </c>
      <c r="BE30" s="177" t="str">
        <f>IF(AND(HLOOKUP(MID(BE$3,FIND(".",BE$3)+1,FIND(".",BE$3,FIND(".",BE$3)+1)-FIND(".",BE$3)-1),Gällivare!$B$6:$J$36,MATCH($C30,Gällivare!$B$6:$B$36,0),FALSE)="No Impact",HLOOKUP(RIGHT(BE$3,LEN(BE$3)-FIND(".",BE$3,FIND(".",BE$3)+1)),Gällivare!$B$6:$J$36,MATCH($C30,Gällivare!$B$6:$B$36,0),FALSE)="No Impact"),HLOOKUP(LEFT(BE$3,4),Global!$B$6:$J$36,MATCH($C30,Global!$B$6:$B$36,0),FALSE),IF(AND(HLOOKUP(MID(BE$3,FIND(".",BE$3)+1,FIND(".",BE$3,FIND(".",BE$3)+1)-FIND(".",BE$3)-1),Gällivare!$B$6:$J$36,MATCH($C30,Gällivare!$B$6:$B$36,0),FALSE)="No Impact",HLOOKUP(LEFT(BE$3,4),Global!$B$6:$J$36,MATCH($C30,Global!$B$6:$B$36,0),FALSE)="No Impact"),HLOOKUP(RIGHT(BE$3,LEN(BE$3)-FIND(".",BE$3,FIND(".",BE$3)+1)),Gällivare!$B$6:$J$36,MATCH($C30,Gällivare!$B$6:$B$36,0),FALSE),"Global: "&amp;HLOOKUP(LEFT(BE$3,4),Global!$B$6:$J$36,MATCH($C30,Global!$B$6:$B$36,0),FALSE)&amp;CHAR(10)&amp;"Local Trend: "&amp;HLOOKUP(MID(BE$3,FIND(".",BE$3)+1,FIND(".",BE$3,FIND(".",BE$3)+1)-FIND(".",BE$3)-1),Gällivare!$B$6:$J$36,MATCH($C30,Gällivare!$B$6:$B$36,0),FALSE)&amp;CHAR(10)&amp;"Local Target: "&amp;HLOOKUP(RIGHT(BE$3,LEN(BE$3)-FIND(".",BE$3,FIND(".",BE$3)+1)),Gällivare!$B$6:$J$36,MATCH($C30,Gällivare!$B$6:$B$36,0),FALSE)))</f>
        <v>Medium</v>
      </c>
      <c r="BF30" s="177" t="str">
        <f>IF(AND(HLOOKUP(MID(BF$3,FIND(".",BF$3)+1,FIND(".",BF$3,FIND(".",BF$3)+1)-FIND(".",BF$3)-1),Gällivare!$B$6:$J$36,MATCH($C30,Gällivare!$B$6:$B$36,0),FALSE)="No Impact",HLOOKUP(RIGHT(BF$3,LEN(BF$3)-FIND(".",BF$3,FIND(".",BF$3)+1)),Gällivare!$B$6:$J$36,MATCH($C30,Gällivare!$B$6:$B$36,0),FALSE)="No Impact"),HLOOKUP(LEFT(BF$3,4),Global!$B$6:$J$36,MATCH($C30,Global!$B$6:$B$36,0),FALSE),IF(AND(HLOOKUP(MID(BF$3,FIND(".",BF$3)+1,FIND(".",BF$3,FIND(".",BF$3)+1)-FIND(".",BF$3)-1),Gällivare!$B$6:$J$36,MATCH($C30,Gällivare!$B$6:$B$36,0),FALSE)="No Impact",HLOOKUP(LEFT(BF$3,4),Global!$B$6:$J$36,MATCH($C30,Global!$B$6:$B$36,0),FALSE)="No Impact"),HLOOKUP(RIGHT(BF$3,LEN(BF$3)-FIND(".",BF$3,FIND(".",BF$3)+1)),Gällivare!$B$6:$J$36,MATCH($C30,Gällivare!$B$6:$B$36,0),FALSE),"Global: "&amp;HLOOKUP(LEFT(BF$3,4),Global!$B$6:$J$36,MATCH($C30,Global!$B$6:$B$36,0),FALSE)&amp;CHAR(10)&amp;"Local Trend: "&amp;HLOOKUP(MID(BF$3,FIND(".",BF$3)+1,FIND(".",BF$3,FIND(".",BF$3)+1)-FIND(".",BF$3)-1),Gällivare!$B$6:$J$36,MATCH($C30,Gällivare!$B$6:$B$36,0),FALSE)&amp;CHAR(10)&amp;"Local Target: "&amp;HLOOKUP(RIGHT(BF$3,LEN(BF$3)-FIND(".",BF$3,FIND(".",BF$3)+1)),Gällivare!$B$6:$J$36,MATCH($C30,Gällivare!$B$6:$B$36,0),FALSE)))</f>
        <v>Medium</v>
      </c>
      <c r="BG30" s="177" t="str">
        <f>IF(AND(HLOOKUP(MID(BG$3,FIND(".",BG$3)+1,FIND(".",BG$3,FIND(".",BG$3)+1)-FIND(".",BG$3)-1),Gällivare!$B$6:$J$36,MATCH($C30,Gällivare!$B$6:$B$36,0),FALSE)="No Impact",HLOOKUP(RIGHT(BG$3,LEN(BG$3)-FIND(".",BG$3,FIND(".",BG$3)+1)),Gällivare!$B$6:$J$36,MATCH($C30,Gällivare!$B$6:$B$36,0),FALSE)="No Impact"),HLOOKUP(LEFT(BG$3,4),Global!$B$6:$J$36,MATCH($C30,Global!$B$6:$B$36,0),FALSE),IF(AND(HLOOKUP(MID(BG$3,FIND(".",BG$3)+1,FIND(".",BG$3,FIND(".",BG$3)+1)-FIND(".",BG$3)-1),Gällivare!$B$6:$J$36,MATCH($C30,Gällivare!$B$6:$B$36,0),FALSE)="No Impact",HLOOKUP(LEFT(BG$3,4),Global!$B$6:$J$36,MATCH($C30,Global!$B$6:$B$36,0),FALSE)="No Impact"),HLOOKUP(RIGHT(BG$3,LEN(BG$3)-FIND(".",BG$3,FIND(".",BG$3)+1)),Gällivare!$B$6:$J$36,MATCH($C30,Gällivare!$B$6:$B$36,0),FALSE),"Global: "&amp;HLOOKUP(LEFT(BG$3,4),Global!$B$6:$J$36,MATCH($C30,Global!$B$6:$B$36,0),FALSE)&amp;CHAR(10)&amp;"Local Trend: "&amp;HLOOKUP(MID(BG$3,FIND(".",BG$3)+1,FIND(".",BG$3,FIND(".",BG$3)+1)-FIND(".",BG$3)-1),Gällivare!$B$6:$J$36,MATCH($C30,Gällivare!$B$6:$B$36,0),FALSE)&amp;CHAR(10)&amp;"Local Target: "&amp;HLOOKUP(RIGHT(BG$3,LEN(BG$3)-FIND(".",BG$3,FIND(".",BG$3)+1)),Gällivare!$B$6:$J$36,MATCH($C30,Gällivare!$B$6:$B$36,0),FALSE)))</f>
        <v>Medium</v>
      </c>
      <c r="BH30" s="177" t="str">
        <f>IF(AND(HLOOKUP(MID(BH$3,FIND(".",BH$3)+1,FIND(".",BH$3,FIND(".",BH$3)+1)-FIND(".",BH$3)-1),Gällivare!$B$6:$J$36,MATCH($C30,Gällivare!$B$6:$B$36,0),FALSE)="No Impact",HLOOKUP(RIGHT(BH$3,LEN(BH$3)-FIND(".",BH$3,FIND(".",BH$3)+1)),Gällivare!$B$6:$J$36,MATCH($C30,Gällivare!$B$6:$B$36,0),FALSE)="No Impact"),HLOOKUP(LEFT(BH$3,4),Global!$B$6:$J$36,MATCH($C30,Global!$B$6:$B$36,0),FALSE),IF(AND(HLOOKUP(MID(BH$3,FIND(".",BH$3)+1,FIND(".",BH$3,FIND(".",BH$3)+1)-FIND(".",BH$3)-1),Gällivare!$B$6:$J$36,MATCH($C30,Gällivare!$B$6:$B$36,0),FALSE)="No Impact",HLOOKUP(LEFT(BH$3,4),Global!$B$6:$J$36,MATCH($C30,Global!$B$6:$B$36,0),FALSE)="No Impact"),HLOOKUP(RIGHT(BH$3,LEN(BH$3)-FIND(".",BH$3,FIND(".",BH$3)+1)),Gällivare!$B$6:$J$36,MATCH($C30,Gällivare!$B$6:$B$36,0),FALSE),"Global: "&amp;HLOOKUP(LEFT(BH$3,4),Global!$B$6:$J$36,MATCH($C30,Global!$B$6:$B$36,0),FALSE)&amp;CHAR(10)&amp;"Local Trend: "&amp;HLOOKUP(MID(BH$3,FIND(".",BH$3)+1,FIND(".",BH$3,FIND(".",BH$3)+1)-FIND(".",BH$3)-1),Gällivare!$B$6:$J$36,MATCH($C30,Gällivare!$B$6:$B$36,0),FALSE)&amp;CHAR(10)&amp;"Local Target: "&amp;HLOOKUP(RIGHT(BH$3,LEN(BH$3)-FIND(".",BH$3,FIND(".",BH$3)+1)),Gällivare!$B$6:$J$36,MATCH($C30,Gällivare!$B$6:$B$36,0),FALSE)))</f>
        <v>Medium</v>
      </c>
      <c r="BI30" s="177" t="str">
        <f>IF(AND(HLOOKUP(MID(BI$3,FIND(".",BI$3)+1,FIND(".",BI$3,FIND(".",BI$3)+1)-FIND(".",BI$3)-1),Gällivare!$B$6:$J$36,MATCH($C30,Gällivare!$B$6:$B$36,0),FALSE)="No Impact",HLOOKUP(RIGHT(BI$3,LEN(BI$3)-FIND(".",BI$3,FIND(".",BI$3)+1)),Gällivare!$B$6:$J$36,MATCH($C30,Gällivare!$B$6:$B$36,0),FALSE)="No Impact"),HLOOKUP(LEFT(BI$3,4),Global!$B$6:$J$36,MATCH($C30,Global!$B$6:$B$36,0),FALSE),IF(AND(HLOOKUP(MID(BI$3,FIND(".",BI$3)+1,FIND(".",BI$3,FIND(".",BI$3)+1)-FIND(".",BI$3)-1),Gällivare!$B$6:$J$36,MATCH($C30,Gällivare!$B$6:$B$36,0),FALSE)="No Impact",HLOOKUP(LEFT(BI$3,4),Global!$B$6:$J$36,MATCH($C30,Global!$B$6:$B$36,0),FALSE)="No Impact"),HLOOKUP(RIGHT(BI$3,LEN(BI$3)-FIND(".",BI$3,FIND(".",BI$3)+1)),Gällivare!$B$6:$J$36,MATCH($C30,Gällivare!$B$6:$B$36,0),FALSE),"Global: "&amp;HLOOKUP(LEFT(BI$3,4),Global!$B$6:$J$36,MATCH($C30,Global!$B$6:$B$36,0),FALSE)&amp;CHAR(10)&amp;"Local Trend: "&amp;HLOOKUP(MID(BI$3,FIND(".",BI$3)+1,FIND(".",BI$3,FIND(".",BI$3)+1)-FIND(".",BI$3)-1),Gällivare!$B$6:$J$36,MATCH($C30,Gällivare!$B$6:$B$36,0),FALSE)&amp;CHAR(10)&amp;"Local Target: "&amp;HLOOKUP(RIGHT(BI$3,LEN(BI$3)-FIND(".",BI$3,FIND(".",BI$3)+1)),Gällivare!$B$6:$J$36,MATCH($C30,Gällivare!$B$6:$B$36,0),FALSE)))</f>
        <v>Medium</v>
      </c>
      <c r="BJ30" s="177" t="str">
        <f>IF(AND(HLOOKUP(MID(BJ$3,FIND(".",BJ$3)+1,FIND(".",BJ$3,FIND(".",BJ$3)+1)-FIND(".",BJ$3)-1),Gällivare!$B$6:$J$36,MATCH($C30,Gällivare!$B$6:$B$36,0),FALSE)="No Impact",HLOOKUP(RIGHT(BJ$3,LEN(BJ$3)-FIND(".",BJ$3,FIND(".",BJ$3)+1)),Gällivare!$B$6:$J$36,MATCH($C30,Gällivare!$B$6:$B$36,0),FALSE)="No Impact"),HLOOKUP(LEFT(BJ$3,4),Global!$B$6:$J$36,MATCH($C30,Global!$B$6:$B$36,0),FALSE),IF(AND(HLOOKUP(MID(BJ$3,FIND(".",BJ$3)+1,FIND(".",BJ$3,FIND(".",BJ$3)+1)-FIND(".",BJ$3)-1),Gällivare!$B$6:$J$36,MATCH($C30,Gällivare!$B$6:$B$36,0),FALSE)="No Impact",HLOOKUP(LEFT(BJ$3,4),Global!$B$6:$J$36,MATCH($C30,Global!$B$6:$B$36,0),FALSE)="No Impact"),HLOOKUP(RIGHT(BJ$3,LEN(BJ$3)-FIND(".",BJ$3,FIND(".",BJ$3)+1)),Gällivare!$B$6:$J$36,MATCH($C30,Gällivare!$B$6:$B$36,0),FALSE),"Global: "&amp;HLOOKUP(LEFT(BJ$3,4),Global!$B$6:$J$36,MATCH($C30,Global!$B$6:$B$36,0),FALSE)&amp;CHAR(10)&amp;"Local Trend: "&amp;HLOOKUP(MID(BJ$3,FIND(".",BJ$3)+1,FIND(".",BJ$3,FIND(".",BJ$3)+1)-FIND(".",BJ$3)-1),Gällivare!$B$6:$J$36,MATCH($C30,Gällivare!$B$6:$B$36,0),FALSE)&amp;CHAR(10)&amp;"Local Target: "&amp;HLOOKUP(RIGHT(BJ$3,LEN(BJ$3)-FIND(".",BJ$3,FIND(".",BJ$3)+1)),Gällivare!$B$6:$J$36,MATCH($C30,Gällivare!$B$6:$B$36,0),FALSE)))</f>
        <v>Medium</v>
      </c>
      <c r="BK30" s="177" t="str">
        <f>IF(AND(HLOOKUP(MID(BK$3,FIND(".",BK$3)+1,FIND(".",BK$3,FIND(".",BK$3)+1)-FIND(".",BK$3)-1),Gällivare!$B$6:$J$36,MATCH($C30,Gällivare!$B$6:$B$36,0),FALSE)="No Impact",HLOOKUP(RIGHT(BK$3,LEN(BK$3)-FIND(".",BK$3,FIND(".",BK$3)+1)),Gällivare!$B$6:$J$36,MATCH($C30,Gällivare!$B$6:$B$36,0),FALSE)="No Impact"),HLOOKUP(LEFT(BK$3,4),Global!$B$6:$J$36,MATCH($C30,Global!$B$6:$B$36,0),FALSE),IF(AND(HLOOKUP(MID(BK$3,FIND(".",BK$3)+1,FIND(".",BK$3,FIND(".",BK$3)+1)-FIND(".",BK$3)-1),Gällivare!$B$6:$J$36,MATCH($C30,Gällivare!$B$6:$B$36,0),FALSE)="No Impact",HLOOKUP(LEFT(BK$3,4),Global!$B$6:$J$36,MATCH($C30,Global!$B$6:$B$36,0),FALSE)="No Impact"),HLOOKUP(RIGHT(BK$3,LEN(BK$3)-FIND(".",BK$3,FIND(".",BK$3)+1)),Gällivare!$B$6:$J$36,MATCH($C30,Gällivare!$B$6:$B$36,0),FALSE),"Global: "&amp;HLOOKUP(LEFT(BK$3,4),Global!$B$6:$J$36,MATCH($C30,Global!$B$6:$B$36,0),FALSE)&amp;CHAR(10)&amp;"Local Trend: "&amp;HLOOKUP(MID(BK$3,FIND(".",BK$3)+1,FIND(".",BK$3,FIND(".",BK$3)+1)-FIND(".",BK$3)-1),Gällivare!$B$6:$J$36,MATCH($C30,Gällivare!$B$6:$B$36,0),FALSE)&amp;CHAR(10)&amp;"Local Target: "&amp;HLOOKUP(RIGHT(BK$3,LEN(BK$3)-FIND(".",BK$3,FIND(".",BK$3)+1)),Gällivare!$B$6:$J$36,MATCH($C30,Gällivare!$B$6:$B$36,0),FALSE)))</f>
        <v>Low</v>
      </c>
      <c r="BL30" s="177" t="str">
        <f>IF(AND(HLOOKUP(MID(BL$3,FIND(".",BL$3)+1,FIND(".",BL$3,FIND(".",BL$3)+1)-FIND(".",BL$3)-1),Gällivare!$B$6:$J$36,MATCH($C30,Gällivare!$B$6:$B$36,0),FALSE)="No Impact",HLOOKUP(RIGHT(BL$3,LEN(BL$3)-FIND(".",BL$3,FIND(".",BL$3)+1)),Gällivare!$B$6:$J$36,MATCH($C30,Gällivare!$B$6:$B$36,0),FALSE)="No Impact"),HLOOKUP(LEFT(BL$3,4),Global!$B$6:$J$36,MATCH($C30,Global!$B$6:$B$36,0),FALSE),IF(AND(HLOOKUP(MID(BL$3,FIND(".",BL$3)+1,FIND(".",BL$3,FIND(".",BL$3)+1)-FIND(".",BL$3)-1),Gällivare!$B$6:$J$36,MATCH($C30,Gällivare!$B$6:$B$36,0),FALSE)="No Impact",HLOOKUP(LEFT(BL$3,4),Global!$B$6:$J$36,MATCH($C30,Global!$B$6:$B$36,0),FALSE)="No Impact"),HLOOKUP(RIGHT(BL$3,LEN(BL$3)-FIND(".",BL$3,FIND(".",BL$3)+1)),Gällivare!$B$6:$J$36,MATCH($C30,Gällivare!$B$6:$B$36,0),FALSE),"Global: "&amp;HLOOKUP(LEFT(BL$3,4),Global!$B$6:$J$36,MATCH($C30,Global!$B$6:$B$36,0),FALSE)&amp;CHAR(10)&amp;"Local Trend: "&amp;HLOOKUP(MID(BL$3,FIND(".",BL$3)+1,FIND(".",BL$3,FIND(".",BL$3)+1)-FIND(".",BL$3)-1),Gällivare!$B$6:$J$36,MATCH($C30,Gällivare!$B$6:$B$36,0),FALSE)&amp;CHAR(10)&amp;"Local Target: "&amp;HLOOKUP(RIGHT(BL$3,LEN(BL$3)-FIND(".",BL$3,FIND(".",BL$3)+1)),Gällivare!$B$6:$J$36,MATCH($C30,Gällivare!$B$6:$B$36,0),FALSE)))</f>
        <v>Low</v>
      </c>
      <c r="BM30" s="177" t="str">
        <f>IF(AND(HLOOKUP(MID(BM$3,FIND(".",BM$3)+1,FIND(".",BM$3,FIND(".",BM$3)+1)-FIND(".",BM$3)-1),Gällivare!$B$6:$J$36,MATCH($C30,Gällivare!$B$6:$B$36,0),FALSE)="No Impact",HLOOKUP(RIGHT(BM$3,LEN(BM$3)-FIND(".",BM$3,FIND(".",BM$3)+1)),Gällivare!$B$6:$J$36,MATCH($C30,Gällivare!$B$6:$B$36,0),FALSE)="No Impact"),HLOOKUP(LEFT(BM$3,4),Global!$B$6:$J$36,MATCH($C30,Global!$B$6:$B$36,0),FALSE),IF(AND(HLOOKUP(MID(BM$3,FIND(".",BM$3)+1,FIND(".",BM$3,FIND(".",BM$3)+1)-FIND(".",BM$3)-1),Gällivare!$B$6:$J$36,MATCH($C30,Gällivare!$B$6:$B$36,0),FALSE)="No Impact",HLOOKUP(LEFT(BM$3,4),Global!$B$6:$J$36,MATCH($C30,Global!$B$6:$B$36,0),FALSE)="No Impact"),HLOOKUP(RIGHT(BM$3,LEN(BM$3)-FIND(".",BM$3,FIND(".",BM$3)+1)),Gällivare!$B$6:$J$36,MATCH($C30,Gällivare!$B$6:$B$36,0),FALSE),"Global: "&amp;HLOOKUP(LEFT(BM$3,4),Global!$B$6:$J$36,MATCH($C30,Global!$B$6:$B$36,0),FALSE)&amp;CHAR(10)&amp;"Local Trend: "&amp;HLOOKUP(MID(BM$3,FIND(".",BM$3)+1,FIND(".",BM$3,FIND(".",BM$3)+1)-FIND(".",BM$3)-1),Gällivare!$B$6:$J$36,MATCH($C30,Gällivare!$B$6:$B$36,0),FALSE)&amp;CHAR(10)&amp;"Local Target: "&amp;HLOOKUP(RIGHT(BM$3,LEN(BM$3)-FIND(".",BM$3,FIND(".",BM$3)+1)),Gällivare!$B$6:$J$36,MATCH($C30,Gällivare!$B$6:$B$36,0),FALSE)))</f>
        <v>Low</v>
      </c>
      <c r="BN30" s="177" t="str">
        <f>IF(AND(HLOOKUP(MID(BN$3,FIND(".",BN$3)+1,FIND(".",BN$3,FIND(".",BN$3)+1)-FIND(".",BN$3)-1),Gällivare!$B$6:$J$36,MATCH($C30,Gällivare!$B$6:$B$36,0),FALSE)="No Impact",HLOOKUP(RIGHT(BN$3,LEN(BN$3)-FIND(".",BN$3,FIND(".",BN$3)+1)),Gällivare!$B$6:$J$36,MATCH($C30,Gällivare!$B$6:$B$36,0),FALSE)="No Impact"),HLOOKUP(LEFT(BN$3,4),Global!$B$6:$J$36,MATCH($C30,Global!$B$6:$B$36,0),FALSE),IF(AND(HLOOKUP(MID(BN$3,FIND(".",BN$3)+1,FIND(".",BN$3,FIND(".",BN$3)+1)-FIND(".",BN$3)-1),Gällivare!$B$6:$J$36,MATCH($C30,Gällivare!$B$6:$B$36,0),FALSE)="No Impact",HLOOKUP(LEFT(BN$3,4),Global!$B$6:$J$36,MATCH($C30,Global!$B$6:$B$36,0),FALSE)="No Impact"),HLOOKUP(RIGHT(BN$3,LEN(BN$3)-FIND(".",BN$3,FIND(".",BN$3)+1)),Gällivare!$B$6:$J$36,MATCH($C30,Gällivare!$B$6:$B$36,0),FALSE),"Global: "&amp;HLOOKUP(LEFT(BN$3,4),Global!$B$6:$J$36,MATCH($C30,Global!$B$6:$B$36,0),FALSE)&amp;CHAR(10)&amp;"Local Trend: "&amp;HLOOKUP(MID(BN$3,FIND(".",BN$3)+1,FIND(".",BN$3,FIND(".",BN$3)+1)-FIND(".",BN$3)-1),Gällivare!$B$6:$J$36,MATCH($C30,Gällivare!$B$6:$B$36,0),FALSE)&amp;CHAR(10)&amp;"Local Target: "&amp;HLOOKUP(RIGHT(BN$3,LEN(BN$3)-FIND(".",BN$3,FIND(".",BN$3)+1)),Gällivare!$B$6:$J$36,MATCH($C30,Gällivare!$B$6:$B$36,0),FALSE)))</f>
        <v>Low</v>
      </c>
      <c r="BO30" s="177" t="str">
        <f>IF(AND(HLOOKUP(MID(BO$3,FIND(".",BO$3)+1,FIND(".",BO$3,FIND(".",BO$3)+1)-FIND(".",BO$3)-1),Gällivare!$B$6:$J$36,MATCH($C30,Gällivare!$B$6:$B$36,0),FALSE)="No Impact",HLOOKUP(RIGHT(BO$3,LEN(BO$3)-FIND(".",BO$3,FIND(".",BO$3)+1)),Gällivare!$B$6:$J$36,MATCH($C30,Gällivare!$B$6:$B$36,0),FALSE)="No Impact"),HLOOKUP(LEFT(BO$3,4),Global!$B$6:$J$36,MATCH($C30,Global!$B$6:$B$36,0),FALSE),IF(AND(HLOOKUP(MID(BO$3,FIND(".",BO$3)+1,FIND(".",BO$3,FIND(".",BO$3)+1)-FIND(".",BO$3)-1),Gällivare!$B$6:$J$36,MATCH($C30,Gällivare!$B$6:$B$36,0),FALSE)="No Impact",HLOOKUP(LEFT(BO$3,4),Global!$B$6:$J$36,MATCH($C30,Global!$B$6:$B$36,0),FALSE)="No Impact"),HLOOKUP(RIGHT(BO$3,LEN(BO$3)-FIND(".",BO$3,FIND(".",BO$3)+1)),Gällivare!$B$6:$J$36,MATCH($C30,Gällivare!$B$6:$B$36,0),FALSE),"Global: "&amp;HLOOKUP(LEFT(BO$3,4),Global!$B$6:$J$36,MATCH($C30,Global!$B$6:$B$36,0),FALSE)&amp;CHAR(10)&amp;"Local Trend: "&amp;HLOOKUP(MID(BO$3,FIND(".",BO$3)+1,FIND(".",BO$3,FIND(".",BO$3)+1)-FIND(".",BO$3)-1),Gällivare!$B$6:$J$36,MATCH($C30,Gällivare!$B$6:$B$36,0),FALSE)&amp;CHAR(10)&amp;"Local Target: "&amp;HLOOKUP(RIGHT(BO$3,LEN(BO$3)-FIND(".",BO$3,FIND(".",BO$3)+1)),Gällivare!$B$6:$J$36,MATCH($C30,Gällivare!$B$6:$B$36,0),FALSE)))</f>
        <v>Low</v>
      </c>
      <c r="BP30" s="177" t="str">
        <f>IF(AND(HLOOKUP(MID(BP$3,FIND(".",BP$3)+1,FIND(".",BP$3,FIND(".",BP$3)+1)-FIND(".",BP$3)-1),Gällivare!$B$6:$J$36,MATCH($C30,Gällivare!$B$6:$B$36,0),FALSE)="No Impact",HLOOKUP(RIGHT(BP$3,LEN(BP$3)-FIND(".",BP$3,FIND(".",BP$3)+1)),Gällivare!$B$6:$J$36,MATCH($C30,Gällivare!$B$6:$B$36,0),FALSE)="No Impact"),HLOOKUP(LEFT(BP$3,4),Global!$B$6:$J$36,MATCH($C30,Global!$B$6:$B$36,0),FALSE),IF(AND(HLOOKUP(MID(BP$3,FIND(".",BP$3)+1,FIND(".",BP$3,FIND(".",BP$3)+1)-FIND(".",BP$3)-1),Gällivare!$B$6:$J$36,MATCH($C30,Gällivare!$B$6:$B$36,0),FALSE)="No Impact",HLOOKUP(LEFT(BP$3,4),Global!$B$6:$J$36,MATCH($C30,Global!$B$6:$B$36,0),FALSE)="No Impact"),HLOOKUP(RIGHT(BP$3,LEN(BP$3)-FIND(".",BP$3,FIND(".",BP$3)+1)),Gällivare!$B$6:$J$36,MATCH($C30,Gällivare!$B$6:$B$36,0),FALSE),"Global: "&amp;HLOOKUP(LEFT(BP$3,4),Global!$B$6:$J$36,MATCH($C30,Global!$B$6:$B$36,0),FALSE)&amp;CHAR(10)&amp;"Local Trend: "&amp;HLOOKUP(MID(BP$3,FIND(".",BP$3)+1,FIND(".",BP$3,FIND(".",BP$3)+1)-FIND(".",BP$3)-1),Gällivare!$B$6:$J$36,MATCH($C30,Gällivare!$B$6:$B$36,0),FALSE)&amp;CHAR(10)&amp;"Local Target: "&amp;HLOOKUP(RIGHT(BP$3,LEN(BP$3)-FIND(".",BP$3,FIND(".",BP$3)+1)),Gällivare!$B$6:$J$36,MATCH($C30,Gällivare!$B$6:$B$36,0),FALSE)))</f>
        <v>Low</v>
      </c>
    </row>
    <row r="31" spans="2:74" x14ac:dyDescent="0.3">
      <c r="B31" s="243" t="s">
        <v>217</v>
      </c>
      <c r="C31" s="175" t="s">
        <v>135</v>
      </c>
      <c r="D31" s="175" t="s">
        <v>218</v>
      </c>
      <c r="E31" s="175" t="s">
        <v>219</v>
      </c>
      <c r="F31" s="176" t="s">
        <v>165</v>
      </c>
      <c r="G31" s="176"/>
      <c r="H31" s="175" t="str">
        <f t="shared" si="1"/>
        <v>High</v>
      </c>
      <c r="I31" s="175" t="str">
        <f t="shared" si="1"/>
        <v>High</v>
      </c>
      <c r="J31" s="175" t="str">
        <f t="shared" si="1"/>
        <v>High</v>
      </c>
      <c r="K31" s="175" t="str">
        <f t="shared" si="1"/>
        <v>High</v>
      </c>
      <c r="L31" s="175" t="str">
        <f t="shared" si="1"/>
        <v>High</v>
      </c>
      <c r="M31" s="175" t="str">
        <f t="shared" si="1"/>
        <v>High</v>
      </c>
      <c r="N31" s="175" t="str">
        <f t="shared" si="1"/>
        <v>Medium</v>
      </c>
      <c r="O31" s="175" t="str">
        <f t="shared" si="1"/>
        <v>Medium</v>
      </c>
      <c r="P31" s="175" t="str">
        <f t="shared" ref="P31:W33" si="8">AU31</f>
        <v>Medium</v>
      </c>
      <c r="Q31" s="175" t="str">
        <f t="shared" si="8"/>
        <v>Medium</v>
      </c>
      <c r="R31" s="175" t="str">
        <f t="shared" si="8"/>
        <v>Medium</v>
      </c>
      <c r="S31" s="175" t="str">
        <f t="shared" si="8"/>
        <v>Medium</v>
      </c>
      <c r="T31" s="175" t="str">
        <f t="shared" si="8"/>
        <v>Low</v>
      </c>
      <c r="U31" s="175" t="str">
        <f t="shared" si="8"/>
        <v>Low</v>
      </c>
      <c r="V31" s="175" t="str">
        <f t="shared" si="8"/>
        <v>Low</v>
      </c>
      <c r="W31" s="175" t="str">
        <f t="shared" si="8"/>
        <v>Low</v>
      </c>
      <c r="X31" s="175" t="str">
        <f t="shared" si="5"/>
        <v>Low</v>
      </c>
      <c r="Y31" s="175" t="str">
        <f t="shared" si="5"/>
        <v>Low</v>
      </c>
      <c r="Z31" s="175" t="str">
        <f t="shared" si="5"/>
        <v>Medium</v>
      </c>
      <c r="AA31" s="175" t="str">
        <f t="shared" si="5"/>
        <v>Medium</v>
      </c>
      <c r="AB31" s="175" t="str">
        <f t="shared" si="5"/>
        <v>Medium</v>
      </c>
      <c r="AC31" s="175" t="str">
        <f t="shared" si="5"/>
        <v>Medium</v>
      </c>
      <c r="AD31" s="175" t="str">
        <f t="shared" si="5"/>
        <v>Medium</v>
      </c>
      <c r="AE31" s="175" t="str">
        <f t="shared" si="5"/>
        <v>Medium</v>
      </c>
      <c r="AF31" s="175" t="str">
        <f t="shared" si="4"/>
        <v>Low</v>
      </c>
      <c r="AG31" s="175" t="str">
        <f t="shared" si="4"/>
        <v>Low</v>
      </c>
      <c r="AH31" s="175" t="str">
        <f t="shared" si="4"/>
        <v>Low</v>
      </c>
      <c r="AI31" s="175" t="str">
        <f t="shared" si="4"/>
        <v>Low</v>
      </c>
      <c r="AJ31" s="175" t="str">
        <f t="shared" si="4"/>
        <v>Low</v>
      </c>
      <c r="AK31" s="175" t="str">
        <f t="shared" si="4"/>
        <v>Low</v>
      </c>
      <c r="AL31" s="176"/>
      <c r="AM31" s="177" t="str">
        <f>IF(AND(HLOOKUP(MID(AM$3,FIND(".",AM$3)+1,FIND(".",AM$3,FIND(".",AM$3)+1)-FIND(".",AM$3)-1),Gällivare!$B$6:$J$36,MATCH($C31,Gällivare!$B$6:$B$36,0),FALSE)="No Impact",HLOOKUP(RIGHT(AM$3,LEN(AM$3)-FIND(".",AM$3,FIND(".",AM$3)+1)),Gällivare!$B$6:$J$36,MATCH($C31,Gällivare!$B$6:$B$36,0),FALSE)="No Impact"),HLOOKUP(LEFT(AM$3,4),Global!$B$6:$J$36,MATCH($C31,Global!$B$6:$B$36,0),FALSE),IF(AND(HLOOKUP(MID(AM$3,FIND(".",AM$3)+1,FIND(".",AM$3,FIND(".",AM$3)+1)-FIND(".",AM$3)-1),Gällivare!$B$6:$J$36,MATCH($C31,Gällivare!$B$6:$B$36,0),FALSE)="No Impact",HLOOKUP(LEFT(AM$3,4),Global!$B$6:$J$36,MATCH($C31,Global!$B$6:$B$36,0),FALSE)="No Impact"),HLOOKUP(RIGHT(AM$3,LEN(AM$3)-FIND(".",AM$3,FIND(".",AM$3)+1)),Gällivare!$B$6:$J$36,MATCH($C31,Gällivare!$B$6:$B$36,0),FALSE),"Global: "&amp;HLOOKUP(LEFT(AM$3,4),Global!$B$6:$J$36,MATCH($C31,Global!$B$6:$B$36,0),FALSE)&amp;CHAR(10)&amp;"Local Trend: "&amp;HLOOKUP(MID(AM$3,FIND(".",AM$3)+1,FIND(".",AM$3,FIND(".",AM$3)+1)-FIND(".",AM$3)-1),Gällivare!$B$6:$J$36,MATCH($C31,Gällivare!$B$6:$B$36,0),FALSE)&amp;CHAR(10)&amp;"Local Target: "&amp;HLOOKUP(RIGHT(AM$3,LEN(AM$3)-FIND(".",AM$3,FIND(".",AM$3)+1)),Gällivare!$B$6:$J$36,MATCH($C31,Gällivare!$B$6:$B$36,0),FALSE)))</f>
        <v>High</v>
      </c>
      <c r="AN31" s="177" t="str">
        <f>IF(AND(HLOOKUP(MID(AN$3,FIND(".",AN$3)+1,FIND(".",AN$3,FIND(".",AN$3)+1)-FIND(".",AN$3)-1),Gällivare!$B$6:$J$36,MATCH($C31,Gällivare!$B$6:$B$36,0),FALSE)="No Impact",HLOOKUP(RIGHT(AN$3,LEN(AN$3)-FIND(".",AN$3,FIND(".",AN$3)+1)),Gällivare!$B$6:$J$36,MATCH($C31,Gällivare!$B$6:$B$36,0),FALSE)="No Impact"),HLOOKUP(LEFT(AN$3,4),Global!$B$6:$J$36,MATCH($C31,Global!$B$6:$B$36,0),FALSE),IF(AND(HLOOKUP(MID(AN$3,FIND(".",AN$3)+1,FIND(".",AN$3,FIND(".",AN$3)+1)-FIND(".",AN$3)-1),Gällivare!$B$6:$J$36,MATCH($C31,Gällivare!$B$6:$B$36,0),FALSE)="No Impact",HLOOKUP(LEFT(AN$3,4),Global!$B$6:$J$36,MATCH($C31,Global!$B$6:$B$36,0),FALSE)="No Impact"),HLOOKUP(RIGHT(AN$3,LEN(AN$3)-FIND(".",AN$3,FIND(".",AN$3)+1)),Gällivare!$B$6:$J$36,MATCH($C31,Gällivare!$B$6:$B$36,0),FALSE),"Global: "&amp;HLOOKUP(LEFT(AN$3,4),Global!$B$6:$J$36,MATCH($C31,Global!$B$6:$B$36,0),FALSE)&amp;CHAR(10)&amp;"Local Trend: "&amp;HLOOKUP(MID(AN$3,FIND(".",AN$3)+1,FIND(".",AN$3,FIND(".",AN$3)+1)-FIND(".",AN$3)-1),Gällivare!$B$6:$J$36,MATCH($C31,Gällivare!$B$6:$B$36,0),FALSE)&amp;CHAR(10)&amp;"Local Target: "&amp;HLOOKUP(RIGHT(AN$3,LEN(AN$3)-FIND(".",AN$3,FIND(".",AN$3)+1)),Gällivare!$B$6:$J$36,MATCH($C31,Gällivare!$B$6:$B$36,0),FALSE)))</f>
        <v>High</v>
      </c>
      <c r="AO31" s="177" t="str">
        <f>IF(AND(HLOOKUP(MID(AO$3,FIND(".",AO$3)+1,FIND(".",AO$3,FIND(".",AO$3)+1)-FIND(".",AO$3)-1),Gällivare!$B$6:$J$36,MATCH($C31,Gällivare!$B$6:$B$36,0),FALSE)="No Impact",HLOOKUP(RIGHT(AO$3,LEN(AO$3)-FIND(".",AO$3,FIND(".",AO$3)+1)),Gällivare!$B$6:$J$36,MATCH($C31,Gällivare!$B$6:$B$36,0),FALSE)="No Impact"),HLOOKUP(LEFT(AO$3,4),Global!$B$6:$J$36,MATCH($C31,Global!$B$6:$B$36,0),FALSE),IF(AND(HLOOKUP(MID(AO$3,FIND(".",AO$3)+1,FIND(".",AO$3,FIND(".",AO$3)+1)-FIND(".",AO$3)-1),Gällivare!$B$6:$J$36,MATCH($C31,Gällivare!$B$6:$B$36,0),FALSE)="No Impact",HLOOKUP(LEFT(AO$3,4),Global!$B$6:$J$36,MATCH($C31,Global!$B$6:$B$36,0),FALSE)="No Impact"),HLOOKUP(RIGHT(AO$3,LEN(AO$3)-FIND(".",AO$3,FIND(".",AO$3)+1)),Gällivare!$B$6:$J$36,MATCH($C31,Gällivare!$B$6:$B$36,0),FALSE),"Global: "&amp;HLOOKUP(LEFT(AO$3,4),Global!$B$6:$J$36,MATCH($C31,Global!$B$6:$B$36,0),FALSE)&amp;CHAR(10)&amp;"Local Trend: "&amp;HLOOKUP(MID(AO$3,FIND(".",AO$3)+1,FIND(".",AO$3,FIND(".",AO$3)+1)-FIND(".",AO$3)-1),Gällivare!$B$6:$J$36,MATCH($C31,Gällivare!$B$6:$B$36,0),FALSE)&amp;CHAR(10)&amp;"Local Target: "&amp;HLOOKUP(RIGHT(AO$3,LEN(AO$3)-FIND(".",AO$3,FIND(".",AO$3)+1)),Gällivare!$B$6:$J$36,MATCH($C31,Gällivare!$B$6:$B$36,0),FALSE)))</f>
        <v>High</v>
      </c>
      <c r="AP31" s="177" t="str">
        <f>IF(AND(HLOOKUP(MID(AP$3,FIND(".",AP$3)+1,FIND(".",AP$3,FIND(".",AP$3)+1)-FIND(".",AP$3)-1),Gällivare!$B$6:$J$36,MATCH($C31,Gällivare!$B$6:$B$36,0),FALSE)="No Impact",HLOOKUP(RIGHT(AP$3,LEN(AP$3)-FIND(".",AP$3,FIND(".",AP$3)+1)),Gällivare!$B$6:$J$36,MATCH($C31,Gällivare!$B$6:$B$36,0),FALSE)="No Impact"),HLOOKUP(LEFT(AP$3,4),Global!$B$6:$J$36,MATCH($C31,Global!$B$6:$B$36,0),FALSE),IF(AND(HLOOKUP(MID(AP$3,FIND(".",AP$3)+1,FIND(".",AP$3,FIND(".",AP$3)+1)-FIND(".",AP$3)-1),Gällivare!$B$6:$J$36,MATCH($C31,Gällivare!$B$6:$B$36,0),FALSE)="No Impact",HLOOKUP(LEFT(AP$3,4),Global!$B$6:$J$36,MATCH($C31,Global!$B$6:$B$36,0),FALSE)="No Impact"),HLOOKUP(RIGHT(AP$3,LEN(AP$3)-FIND(".",AP$3,FIND(".",AP$3)+1)),Gällivare!$B$6:$J$36,MATCH($C31,Gällivare!$B$6:$B$36,0),FALSE),"Global: "&amp;HLOOKUP(LEFT(AP$3,4),Global!$B$6:$J$36,MATCH($C31,Global!$B$6:$B$36,0),FALSE)&amp;CHAR(10)&amp;"Local Trend: "&amp;HLOOKUP(MID(AP$3,FIND(".",AP$3)+1,FIND(".",AP$3,FIND(".",AP$3)+1)-FIND(".",AP$3)-1),Gällivare!$B$6:$J$36,MATCH($C31,Gällivare!$B$6:$B$36,0),FALSE)&amp;CHAR(10)&amp;"Local Target: "&amp;HLOOKUP(RIGHT(AP$3,LEN(AP$3)-FIND(".",AP$3,FIND(".",AP$3)+1)),Gällivare!$B$6:$J$36,MATCH($C31,Gällivare!$B$6:$B$36,0),FALSE)))</f>
        <v>High</v>
      </c>
      <c r="AQ31" s="177" t="str">
        <f>IF(AND(HLOOKUP(MID(AQ$3,FIND(".",AQ$3)+1,FIND(".",AQ$3,FIND(".",AQ$3)+1)-FIND(".",AQ$3)-1),Gällivare!$B$6:$J$36,MATCH($C31,Gällivare!$B$6:$B$36,0),FALSE)="No Impact",HLOOKUP(RIGHT(AQ$3,LEN(AQ$3)-FIND(".",AQ$3,FIND(".",AQ$3)+1)),Gällivare!$B$6:$J$36,MATCH($C31,Gällivare!$B$6:$B$36,0),FALSE)="No Impact"),HLOOKUP(LEFT(AQ$3,4),Global!$B$6:$J$36,MATCH($C31,Global!$B$6:$B$36,0),FALSE),IF(AND(HLOOKUP(MID(AQ$3,FIND(".",AQ$3)+1,FIND(".",AQ$3,FIND(".",AQ$3)+1)-FIND(".",AQ$3)-1),Gällivare!$B$6:$J$36,MATCH($C31,Gällivare!$B$6:$B$36,0),FALSE)="No Impact",HLOOKUP(LEFT(AQ$3,4),Global!$B$6:$J$36,MATCH($C31,Global!$B$6:$B$36,0),FALSE)="No Impact"),HLOOKUP(RIGHT(AQ$3,LEN(AQ$3)-FIND(".",AQ$3,FIND(".",AQ$3)+1)),Gällivare!$B$6:$J$36,MATCH($C31,Gällivare!$B$6:$B$36,0),FALSE),"Global: "&amp;HLOOKUP(LEFT(AQ$3,4),Global!$B$6:$J$36,MATCH($C31,Global!$B$6:$B$36,0),FALSE)&amp;CHAR(10)&amp;"Local Trend: "&amp;HLOOKUP(MID(AQ$3,FIND(".",AQ$3)+1,FIND(".",AQ$3,FIND(".",AQ$3)+1)-FIND(".",AQ$3)-1),Gällivare!$B$6:$J$36,MATCH($C31,Gällivare!$B$6:$B$36,0),FALSE)&amp;CHAR(10)&amp;"Local Target: "&amp;HLOOKUP(RIGHT(AQ$3,LEN(AQ$3)-FIND(".",AQ$3,FIND(".",AQ$3)+1)),Gällivare!$B$6:$J$36,MATCH($C31,Gällivare!$B$6:$B$36,0),FALSE)))</f>
        <v>High</v>
      </c>
      <c r="AR31" s="177" t="str">
        <f>IF(AND(HLOOKUP(MID(AR$3,FIND(".",AR$3)+1,FIND(".",AR$3,FIND(".",AR$3)+1)-FIND(".",AR$3)-1),Gällivare!$B$6:$J$36,MATCH($C31,Gällivare!$B$6:$B$36,0),FALSE)="No Impact",HLOOKUP(RIGHT(AR$3,LEN(AR$3)-FIND(".",AR$3,FIND(".",AR$3)+1)),Gällivare!$B$6:$J$36,MATCH($C31,Gällivare!$B$6:$B$36,0),FALSE)="No Impact"),HLOOKUP(LEFT(AR$3,4),Global!$B$6:$J$36,MATCH($C31,Global!$B$6:$B$36,0),FALSE),IF(AND(HLOOKUP(MID(AR$3,FIND(".",AR$3)+1,FIND(".",AR$3,FIND(".",AR$3)+1)-FIND(".",AR$3)-1),Gällivare!$B$6:$J$36,MATCH($C31,Gällivare!$B$6:$B$36,0),FALSE)="No Impact",HLOOKUP(LEFT(AR$3,4),Global!$B$6:$J$36,MATCH($C31,Global!$B$6:$B$36,0),FALSE)="No Impact"),HLOOKUP(RIGHT(AR$3,LEN(AR$3)-FIND(".",AR$3,FIND(".",AR$3)+1)),Gällivare!$B$6:$J$36,MATCH($C31,Gällivare!$B$6:$B$36,0),FALSE),"Global: "&amp;HLOOKUP(LEFT(AR$3,4),Global!$B$6:$J$36,MATCH($C31,Global!$B$6:$B$36,0),FALSE)&amp;CHAR(10)&amp;"Local Trend: "&amp;HLOOKUP(MID(AR$3,FIND(".",AR$3)+1,FIND(".",AR$3,FIND(".",AR$3)+1)-FIND(".",AR$3)-1),Gällivare!$B$6:$J$36,MATCH($C31,Gällivare!$B$6:$B$36,0),FALSE)&amp;CHAR(10)&amp;"Local Target: "&amp;HLOOKUP(RIGHT(AR$3,LEN(AR$3)-FIND(".",AR$3,FIND(".",AR$3)+1)),Gällivare!$B$6:$J$36,MATCH($C31,Gällivare!$B$6:$B$36,0),FALSE)))</f>
        <v>High</v>
      </c>
      <c r="AS31" s="177" t="str">
        <f>IF(AND(HLOOKUP(MID(AS$3,FIND(".",AS$3)+1,FIND(".",AS$3,FIND(".",AS$3)+1)-FIND(".",AS$3)-1),Gällivare!$B$6:$J$36,MATCH($C31,Gällivare!$B$6:$B$36,0),FALSE)="No Impact",HLOOKUP(RIGHT(AS$3,LEN(AS$3)-FIND(".",AS$3,FIND(".",AS$3)+1)),Gällivare!$B$6:$J$36,MATCH($C31,Gällivare!$B$6:$B$36,0),FALSE)="No Impact"),HLOOKUP(LEFT(AS$3,4),Global!$B$6:$J$36,MATCH($C31,Global!$B$6:$B$36,0),FALSE),IF(AND(HLOOKUP(MID(AS$3,FIND(".",AS$3)+1,FIND(".",AS$3,FIND(".",AS$3)+1)-FIND(".",AS$3)-1),Gällivare!$B$6:$J$36,MATCH($C31,Gällivare!$B$6:$B$36,0),FALSE)="No Impact",HLOOKUP(LEFT(AS$3,4),Global!$B$6:$J$36,MATCH($C31,Global!$B$6:$B$36,0),FALSE)="No Impact"),HLOOKUP(RIGHT(AS$3,LEN(AS$3)-FIND(".",AS$3,FIND(".",AS$3)+1)),Gällivare!$B$6:$J$36,MATCH($C31,Gällivare!$B$6:$B$36,0),FALSE),"Global: "&amp;HLOOKUP(LEFT(AS$3,4),Global!$B$6:$J$36,MATCH($C31,Global!$B$6:$B$36,0),FALSE)&amp;CHAR(10)&amp;"Local Trend: "&amp;HLOOKUP(MID(AS$3,FIND(".",AS$3)+1,FIND(".",AS$3,FIND(".",AS$3)+1)-FIND(".",AS$3)-1),Gällivare!$B$6:$J$36,MATCH($C31,Gällivare!$B$6:$B$36,0),FALSE)&amp;CHAR(10)&amp;"Local Target: "&amp;HLOOKUP(RIGHT(AS$3,LEN(AS$3)-FIND(".",AS$3,FIND(".",AS$3)+1)),Gällivare!$B$6:$J$36,MATCH($C31,Gällivare!$B$6:$B$36,0),FALSE)))</f>
        <v>Medium</v>
      </c>
      <c r="AT31" s="177" t="str">
        <f>IF(AND(HLOOKUP(MID(AT$3,FIND(".",AT$3)+1,FIND(".",AT$3,FIND(".",AT$3)+1)-FIND(".",AT$3)-1),Gällivare!$B$6:$J$36,MATCH($C31,Gällivare!$B$6:$B$36,0),FALSE)="No Impact",HLOOKUP(RIGHT(AT$3,LEN(AT$3)-FIND(".",AT$3,FIND(".",AT$3)+1)),Gällivare!$B$6:$J$36,MATCH($C31,Gällivare!$B$6:$B$36,0),FALSE)="No Impact"),HLOOKUP(LEFT(AT$3,4),Global!$B$6:$J$36,MATCH($C31,Global!$B$6:$B$36,0),FALSE),IF(AND(HLOOKUP(MID(AT$3,FIND(".",AT$3)+1,FIND(".",AT$3,FIND(".",AT$3)+1)-FIND(".",AT$3)-1),Gällivare!$B$6:$J$36,MATCH($C31,Gällivare!$B$6:$B$36,0),FALSE)="No Impact",HLOOKUP(LEFT(AT$3,4),Global!$B$6:$J$36,MATCH($C31,Global!$B$6:$B$36,0),FALSE)="No Impact"),HLOOKUP(RIGHT(AT$3,LEN(AT$3)-FIND(".",AT$3,FIND(".",AT$3)+1)),Gällivare!$B$6:$J$36,MATCH($C31,Gällivare!$B$6:$B$36,0),FALSE),"Global: "&amp;HLOOKUP(LEFT(AT$3,4),Global!$B$6:$J$36,MATCH($C31,Global!$B$6:$B$36,0),FALSE)&amp;CHAR(10)&amp;"Local Trend: "&amp;HLOOKUP(MID(AT$3,FIND(".",AT$3)+1,FIND(".",AT$3,FIND(".",AT$3)+1)-FIND(".",AT$3)-1),Gällivare!$B$6:$J$36,MATCH($C31,Gällivare!$B$6:$B$36,0),FALSE)&amp;CHAR(10)&amp;"Local Target: "&amp;HLOOKUP(RIGHT(AT$3,LEN(AT$3)-FIND(".",AT$3,FIND(".",AT$3)+1)),Gällivare!$B$6:$J$36,MATCH($C31,Gällivare!$B$6:$B$36,0),FALSE)))</f>
        <v>Medium</v>
      </c>
      <c r="AU31" s="177" t="str">
        <f>IF(AND(HLOOKUP(MID(AU$3,FIND(".",AU$3)+1,FIND(".",AU$3,FIND(".",AU$3)+1)-FIND(".",AU$3)-1),Gällivare!$B$6:$J$36,MATCH($C31,Gällivare!$B$6:$B$36,0),FALSE)="No Impact",HLOOKUP(RIGHT(AU$3,LEN(AU$3)-FIND(".",AU$3,FIND(".",AU$3)+1)),Gällivare!$B$6:$J$36,MATCH($C31,Gällivare!$B$6:$B$36,0),FALSE)="No Impact"),HLOOKUP(LEFT(AU$3,4),Global!$B$6:$J$36,MATCH($C31,Global!$B$6:$B$36,0),FALSE),IF(AND(HLOOKUP(MID(AU$3,FIND(".",AU$3)+1,FIND(".",AU$3,FIND(".",AU$3)+1)-FIND(".",AU$3)-1),Gällivare!$B$6:$J$36,MATCH($C31,Gällivare!$B$6:$B$36,0),FALSE)="No Impact",HLOOKUP(LEFT(AU$3,4),Global!$B$6:$J$36,MATCH($C31,Global!$B$6:$B$36,0),FALSE)="No Impact"),HLOOKUP(RIGHT(AU$3,LEN(AU$3)-FIND(".",AU$3,FIND(".",AU$3)+1)),Gällivare!$B$6:$J$36,MATCH($C31,Gällivare!$B$6:$B$36,0),FALSE),"Global: "&amp;HLOOKUP(LEFT(AU$3,4),Global!$B$6:$J$36,MATCH($C31,Global!$B$6:$B$36,0),FALSE)&amp;CHAR(10)&amp;"Local Trend: "&amp;HLOOKUP(MID(AU$3,FIND(".",AU$3)+1,FIND(".",AU$3,FIND(".",AU$3)+1)-FIND(".",AU$3)-1),Gällivare!$B$6:$J$36,MATCH($C31,Gällivare!$B$6:$B$36,0),FALSE)&amp;CHAR(10)&amp;"Local Target: "&amp;HLOOKUP(RIGHT(AU$3,LEN(AU$3)-FIND(".",AU$3,FIND(".",AU$3)+1)),Gällivare!$B$6:$J$36,MATCH($C31,Gällivare!$B$6:$B$36,0),FALSE)))</f>
        <v>Medium</v>
      </c>
      <c r="AV31" s="177" t="str">
        <f>IF(AND(HLOOKUP(MID(AV$3,FIND(".",AV$3)+1,FIND(".",AV$3,FIND(".",AV$3)+1)-FIND(".",AV$3)-1),Gällivare!$B$6:$J$36,MATCH($C31,Gällivare!$B$6:$B$36,0),FALSE)="No Impact",HLOOKUP(RIGHT(AV$3,LEN(AV$3)-FIND(".",AV$3,FIND(".",AV$3)+1)),Gällivare!$B$6:$J$36,MATCH($C31,Gällivare!$B$6:$B$36,0),FALSE)="No Impact"),HLOOKUP(LEFT(AV$3,4),Global!$B$6:$J$36,MATCH($C31,Global!$B$6:$B$36,0),FALSE),IF(AND(HLOOKUP(MID(AV$3,FIND(".",AV$3)+1,FIND(".",AV$3,FIND(".",AV$3)+1)-FIND(".",AV$3)-1),Gällivare!$B$6:$J$36,MATCH($C31,Gällivare!$B$6:$B$36,0),FALSE)="No Impact",HLOOKUP(LEFT(AV$3,4),Global!$B$6:$J$36,MATCH($C31,Global!$B$6:$B$36,0),FALSE)="No Impact"),HLOOKUP(RIGHT(AV$3,LEN(AV$3)-FIND(".",AV$3,FIND(".",AV$3)+1)),Gällivare!$B$6:$J$36,MATCH($C31,Gällivare!$B$6:$B$36,0),FALSE),"Global: "&amp;HLOOKUP(LEFT(AV$3,4),Global!$B$6:$J$36,MATCH($C31,Global!$B$6:$B$36,0),FALSE)&amp;CHAR(10)&amp;"Local Trend: "&amp;HLOOKUP(MID(AV$3,FIND(".",AV$3)+1,FIND(".",AV$3,FIND(".",AV$3)+1)-FIND(".",AV$3)-1),Gällivare!$B$6:$J$36,MATCH($C31,Gällivare!$B$6:$B$36,0),FALSE)&amp;CHAR(10)&amp;"Local Target: "&amp;HLOOKUP(RIGHT(AV$3,LEN(AV$3)-FIND(".",AV$3,FIND(".",AV$3)+1)),Gällivare!$B$6:$J$36,MATCH($C31,Gällivare!$B$6:$B$36,0),FALSE)))</f>
        <v>Medium</v>
      </c>
      <c r="AW31" s="177" t="str">
        <f>IF(AND(HLOOKUP(MID(AW$3,FIND(".",AW$3)+1,FIND(".",AW$3,FIND(".",AW$3)+1)-FIND(".",AW$3)-1),Gällivare!$B$6:$J$36,MATCH($C31,Gällivare!$B$6:$B$36,0),FALSE)="No Impact",HLOOKUP(RIGHT(AW$3,LEN(AW$3)-FIND(".",AW$3,FIND(".",AW$3)+1)),Gällivare!$B$6:$J$36,MATCH($C31,Gällivare!$B$6:$B$36,0),FALSE)="No Impact"),HLOOKUP(LEFT(AW$3,4),Global!$B$6:$J$36,MATCH($C31,Global!$B$6:$B$36,0),FALSE),IF(AND(HLOOKUP(MID(AW$3,FIND(".",AW$3)+1,FIND(".",AW$3,FIND(".",AW$3)+1)-FIND(".",AW$3)-1),Gällivare!$B$6:$J$36,MATCH($C31,Gällivare!$B$6:$B$36,0),FALSE)="No Impact",HLOOKUP(LEFT(AW$3,4),Global!$B$6:$J$36,MATCH($C31,Global!$B$6:$B$36,0),FALSE)="No Impact"),HLOOKUP(RIGHT(AW$3,LEN(AW$3)-FIND(".",AW$3,FIND(".",AW$3)+1)),Gällivare!$B$6:$J$36,MATCH($C31,Gällivare!$B$6:$B$36,0),FALSE),"Global: "&amp;HLOOKUP(LEFT(AW$3,4),Global!$B$6:$J$36,MATCH($C31,Global!$B$6:$B$36,0),FALSE)&amp;CHAR(10)&amp;"Local Trend: "&amp;HLOOKUP(MID(AW$3,FIND(".",AW$3)+1,FIND(".",AW$3,FIND(".",AW$3)+1)-FIND(".",AW$3)-1),Gällivare!$B$6:$J$36,MATCH($C31,Gällivare!$B$6:$B$36,0),FALSE)&amp;CHAR(10)&amp;"Local Target: "&amp;HLOOKUP(RIGHT(AW$3,LEN(AW$3)-FIND(".",AW$3,FIND(".",AW$3)+1)),Gällivare!$B$6:$J$36,MATCH($C31,Gällivare!$B$6:$B$36,0),FALSE)))</f>
        <v>Medium</v>
      </c>
      <c r="AX31" s="177" t="str">
        <f>IF(AND(HLOOKUP(MID(AX$3,FIND(".",AX$3)+1,FIND(".",AX$3,FIND(".",AX$3)+1)-FIND(".",AX$3)-1),Gällivare!$B$6:$J$36,MATCH($C31,Gällivare!$B$6:$B$36,0),FALSE)="No Impact",HLOOKUP(RIGHT(AX$3,LEN(AX$3)-FIND(".",AX$3,FIND(".",AX$3)+1)),Gällivare!$B$6:$J$36,MATCH($C31,Gällivare!$B$6:$B$36,0),FALSE)="No Impact"),HLOOKUP(LEFT(AX$3,4),Global!$B$6:$J$36,MATCH($C31,Global!$B$6:$B$36,0),FALSE),IF(AND(HLOOKUP(MID(AX$3,FIND(".",AX$3)+1,FIND(".",AX$3,FIND(".",AX$3)+1)-FIND(".",AX$3)-1),Gällivare!$B$6:$J$36,MATCH($C31,Gällivare!$B$6:$B$36,0),FALSE)="No Impact",HLOOKUP(LEFT(AX$3,4),Global!$B$6:$J$36,MATCH($C31,Global!$B$6:$B$36,0),FALSE)="No Impact"),HLOOKUP(RIGHT(AX$3,LEN(AX$3)-FIND(".",AX$3,FIND(".",AX$3)+1)),Gällivare!$B$6:$J$36,MATCH($C31,Gällivare!$B$6:$B$36,0),FALSE),"Global: "&amp;HLOOKUP(LEFT(AX$3,4),Global!$B$6:$J$36,MATCH($C31,Global!$B$6:$B$36,0),FALSE)&amp;CHAR(10)&amp;"Local Trend: "&amp;HLOOKUP(MID(AX$3,FIND(".",AX$3)+1,FIND(".",AX$3,FIND(".",AX$3)+1)-FIND(".",AX$3)-1),Gällivare!$B$6:$J$36,MATCH($C31,Gällivare!$B$6:$B$36,0),FALSE)&amp;CHAR(10)&amp;"Local Target: "&amp;HLOOKUP(RIGHT(AX$3,LEN(AX$3)-FIND(".",AX$3,FIND(".",AX$3)+1)),Gällivare!$B$6:$J$36,MATCH($C31,Gällivare!$B$6:$B$36,0),FALSE)))</f>
        <v>Medium</v>
      </c>
      <c r="AY31" s="177" t="str">
        <f>IF(AND(HLOOKUP(MID(AY$3,FIND(".",AY$3)+1,FIND(".",AY$3,FIND(".",AY$3)+1)-FIND(".",AY$3)-1),Gällivare!$B$6:$J$36,MATCH($C31,Gällivare!$B$6:$B$36,0),FALSE)="No Impact",HLOOKUP(RIGHT(AY$3,LEN(AY$3)-FIND(".",AY$3,FIND(".",AY$3)+1)),Gällivare!$B$6:$J$36,MATCH($C31,Gällivare!$B$6:$B$36,0),FALSE)="No Impact"),HLOOKUP(LEFT(AY$3,4),Global!$B$6:$J$36,MATCH($C31,Global!$B$6:$B$36,0),FALSE),IF(AND(HLOOKUP(MID(AY$3,FIND(".",AY$3)+1,FIND(".",AY$3,FIND(".",AY$3)+1)-FIND(".",AY$3)-1),Gällivare!$B$6:$J$36,MATCH($C31,Gällivare!$B$6:$B$36,0),FALSE)="No Impact",HLOOKUP(LEFT(AY$3,4),Global!$B$6:$J$36,MATCH($C31,Global!$B$6:$B$36,0),FALSE)="No Impact"),HLOOKUP(RIGHT(AY$3,LEN(AY$3)-FIND(".",AY$3,FIND(".",AY$3)+1)),Gällivare!$B$6:$J$36,MATCH($C31,Gällivare!$B$6:$B$36,0),FALSE),"Global: "&amp;HLOOKUP(LEFT(AY$3,4),Global!$B$6:$J$36,MATCH($C31,Global!$B$6:$B$36,0),FALSE)&amp;CHAR(10)&amp;"Local Trend: "&amp;HLOOKUP(MID(AY$3,FIND(".",AY$3)+1,FIND(".",AY$3,FIND(".",AY$3)+1)-FIND(".",AY$3)-1),Gällivare!$B$6:$J$36,MATCH($C31,Gällivare!$B$6:$B$36,0),FALSE)&amp;CHAR(10)&amp;"Local Target: "&amp;HLOOKUP(RIGHT(AY$3,LEN(AY$3)-FIND(".",AY$3,FIND(".",AY$3)+1)),Gällivare!$B$6:$J$36,MATCH($C31,Gällivare!$B$6:$B$36,0),FALSE)))</f>
        <v>Low</v>
      </c>
      <c r="AZ31" s="177" t="str">
        <f>IF(AND(HLOOKUP(MID(AZ$3,FIND(".",AZ$3)+1,FIND(".",AZ$3,FIND(".",AZ$3)+1)-FIND(".",AZ$3)-1),Gällivare!$B$6:$J$36,MATCH($C31,Gällivare!$B$6:$B$36,0),FALSE)="No Impact",HLOOKUP(RIGHT(AZ$3,LEN(AZ$3)-FIND(".",AZ$3,FIND(".",AZ$3)+1)),Gällivare!$B$6:$J$36,MATCH($C31,Gällivare!$B$6:$B$36,0),FALSE)="No Impact"),HLOOKUP(LEFT(AZ$3,4),Global!$B$6:$J$36,MATCH($C31,Global!$B$6:$B$36,0),FALSE),IF(AND(HLOOKUP(MID(AZ$3,FIND(".",AZ$3)+1,FIND(".",AZ$3,FIND(".",AZ$3)+1)-FIND(".",AZ$3)-1),Gällivare!$B$6:$J$36,MATCH($C31,Gällivare!$B$6:$B$36,0),FALSE)="No Impact",HLOOKUP(LEFT(AZ$3,4),Global!$B$6:$J$36,MATCH($C31,Global!$B$6:$B$36,0),FALSE)="No Impact"),HLOOKUP(RIGHT(AZ$3,LEN(AZ$3)-FIND(".",AZ$3,FIND(".",AZ$3)+1)),Gällivare!$B$6:$J$36,MATCH($C31,Gällivare!$B$6:$B$36,0),FALSE),"Global: "&amp;HLOOKUP(LEFT(AZ$3,4),Global!$B$6:$J$36,MATCH($C31,Global!$B$6:$B$36,0),FALSE)&amp;CHAR(10)&amp;"Local Trend: "&amp;HLOOKUP(MID(AZ$3,FIND(".",AZ$3)+1,FIND(".",AZ$3,FIND(".",AZ$3)+1)-FIND(".",AZ$3)-1),Gällivare!$B$6:$J$36,MATCH($C31,Gällivare!$B$6:$B$36,0),FALSE)&amp;CHAR(10)&amp;"Local Target: "&amp;HLOOKUP(RIGHT(AZ$3,LEN(AZ$3)-FIND(".",AZ$3,FIND(".",AZ$3)+1)),Gällivare!$B$6:$J$36,MATCH($C31,Gällivare!$B$6:$B$36,0),FALSE)))</f>
        <v>Low</v>
      </c>
      <c r="BA31" s="177" t="str">
        <f>IF(AND(HLOOKUP(MID(BA$3,FIND(".",BA$3)+1,FIND(".",BA$3,FIND(".",BA$3)+1)-FIND(".",BA$3)-1),Gällivare!$B$6:$J$36,MATCH($C31,Gällivare!$B$6:$B$36,0),FALSE)="No Impact",HLOOKUP(RIGHT(BA$3,LEN(BA$3)-FIND(".",BA$3,FIND(".",BA$3)+1)),Gällivare!$B$6:$J$36,MATCH($C31,Gällivare!$B$6:$B$36,0),FALSE)="No Impact"),HLOOKUP(LEFT(BA$3,4),Global!$B$6:$J$36,MATCH($C31,Global!$B$6:$B$36,0),FALSE),IF(AND(HLOOKUP(MID(BA$3,FIND(".",BA$3)+1,FIND(".",BA$3,FIND(".",BA$3)+1)-FIND(".",BA$3)-1),Gällivare!$B$6:$J$36,MATCH($C31,Gällivare!$B$6:$B$36,0),FALSE)="No Impact",HLOOKUP(LEFT(BA$3,4),Global!$B$6:$J$36,MATCH($C31,Global!$B$6:$B$36,0),FALSE)="No Impact"),HLOOKUP(RIGHT(BA$3,LEN(BA$3)-FIND(".",BA$3,FIND(".",BA$3)+1)),Gällivare!$B$6:$J$36,MATCH($C31,Gällivare!$B$6:$B$36,0),FALSE),"Global: "&amp;HLOOKUP(LEFT(BA$3,4),Global!$B$6:$J$36,MATCH($C31,Global!$B$6:$B$36,0),FALSE)&amp;CHAR(10)&amp;"Local Trend: "&amp;HLOOKUP(MID(BA$3,FIND(".",BA$3)+1,FIND(".",BA$3,FIND(".",BA$3)+1)-FIND(".",BA$3)-1),Gällivare!$B$6:$J$36,MATCH($C31,Gällivare!$B$6:$B$36,0),FALSE)&amp;CHAR(10)&amp;"Local Target: "&amp;HLOOKUP(RIGHT(BA$3,LEN(BA$3)-FIND(".",BA$3,FIND(".",BA$3)+1)),Gällivare!$B$6:$J$36,MATCH($C31,Gällivare!$B$6:$B$36,0),FALSE)))</f>
        <v>Low</v>
      </c>
      <c r="BB31" s="177" t="str">
        <f>IF(AND(HLOOKUP(MID(BB$3,FIND(".",BB$3)+1,FIND(".",BB$3,FIND(".",BB$3)+1)-FIND(".",BB$3)-1),Gällivare!$B$6:$J$36,MATCH($C31,Gällivare!$B$6:$B$36,0),FALSE)="No Impact",HLOOKUP(RIGHT(BB$3,LEN(BB$3)-FIND(".",BB$3,FIND(".",BB$3)+1)),Gällivare!$B$6:$J$36,MATCH($C31,Gällivare!$B$6:$B$36,0),FALSE)="No Impact"),HLOOKUP(LEFT(BB$3,4),Global!$B$6:$J$36,MATCH($C31,Global!$B$6:$B$36,0),FALSE),IF(AND(HLOOKUP(MID(BB$3,FIND(".",BB$3)+1,FIND(".",BB$3,FIND(".",BB$3)+1)-FIND(".",BB$3)-1),Gällivare!$B$6:$J$36,MATCH($C31,Gällivare!$B$6:$B$36,0),FALSE)="No Impact",HLOOKUP(LEFT(BB$3,4),Global!$B$6:$J$36,MATCH($C31,Global!$B$6:$B$36,0),FALSE)="No Impact"),HLOOKUP(RIGHT(BB$3,LEN(BB$3)-FIND(".",BB$3,FIND(".",BB$3)+1)),Gällivare!$B$6:$J$36,MATCH($C31,Gällivare!$B$6:$B$36,0),FALSE),"Global: "&amp;HLOOKUP(LEFT(BB$3,4),Global!$B$6:$J$36,MATCH($C31,Global!$B$6:$B$36,0),FALSE)&amp;CHAR(10)&amp;"Local Trend: "&amp;HLOOKUP(MID(BB$3,FIND(".",BB$3)+1,FIND(".",BB$3,FIND(".",BB$3)+1)-FIND(".",BB$3)-1),Gällivare!$B$6:$J$36,MATCH($C31,Gällivare!$B$6:$B$36,0),FALSE)&amp;CHAR(10)&amp;"Local Target: "&amp;HLOOKUP(RIGHT(BB$3,LEN(BB$3)-FIND(".",BB$3,FIND(".",BB$3)+1)),Gällivare!$B$6:$J$36,MATCH($C31,Gällivare!$B$6:$B$36,0),FALSE)))</f>
        <v>Low</v>
      </c>
      <c r="BC31" s="177" t="str">
        <f>IF(AND(HLOOKUP(MID(BC$3,FIND(".",BC$3)+1,FIND(".",BC$3,FIND(".",BC$3)+1)-FIND(".",BC$3)-1),Gällivare!$B$6:$J$36,MATCH($C31,Gällivare!$B$6:$B$36,0),FALSE)="No Impact",HLOOKUP(RIGHT(BC$3,LEN(BC$3)-FIND(".",BC$3,FIND(".",BC$3)+1)),Gällivare!$B$6:$J$36,MATCH($C31,Gällivare!$B$6:$B$36,0),FALSE)="No Impact"),HLOOKUP(LEFT(BC$3,4),Global!$B$6:$J$36,MATCH($C31,Global!$B$6:$B$36,0),FALSE),IF(AND(HLOOKUP(MID(BC$3,FIND(".",BC$3)+1,FIND(".",BC$3,FIND(".",BC$3)+1)-FIND(".",BC$3)-1),Gällivare!$B$6:$J$36,MATCH($C31,Gällivare!$B$6:$B$36,0),FALSE)="No Impact",HLOOKUP(LEFT(BC$3,4),Global!$B$6:$J$36,MATCH($C31,Global!$B$6:$B$36,0),FALSE)="No Impact"),HLOOKUP(RIGHT(BC$3,LEN(BC$3)-FIND(".",BC$3,FIND(".",BC$3)+1)),Gällivare!$B$6:$J$36,MATCH($C31,Gällivare!$B$6:$B$36,0),FALSE),"Global: "&amp;HLOOKUP(LEFT(BC$3,4),Global!$B$6:$J$36,MATCH($C31,Global!$B$6:$B$36,0),FALSE)&amp;CHAR(10)&amp;"Local Trend: "&amp;HLOOKUP(MID(BC$3,FIND(".",BC$3)+1,FIND(".",BC$3,FIND(".",BC$3)+1)-FIND(".",BC$3)-1),Gällivare!$B$6:$J$36,MATCH($C31,Gällivare!$B$6:$B$36,0),FALSE)&amp;CHAR(10)&amp;"Local Target: "&amp;HLOOKUP(RIGHT(BC$3,LEN(BC$3)-FIND(".",BC$3,FIND(".",BC$3)+1)),Gällivare!$B$6:$J$36,MATCH($C31,Gällivare!$B$6:$B$36,0),FALSE)))</f>
        <v>Low</v>
      </c>
      <c r="BD31" s="177" t="str">
        <f>IF(AND(HLOOKUP(MID(BD$3,FIND(".",BD$3)+1,FIND(".",BD$3,FIND(".",BD$3)+1)-FIND(".",BD$3)-1),Gällivare!$B$6:$J$36,MATCH($C31,Gällivare!$B$6:$B$36,0),FALSE)="No Impact",HLOOKUP(RIGHT(BD$3,LEN(BD$3)-FIND(".",BD$3,FIND(".",BD$3)+1)),Gällivare!$B$6:$J$36,MATCH($C31,Gällivare!$B$6:$B$36,0),FALSE)="No Impact"),HLOOKUP(LEFT(BD$3,4),Global!$B$6:$J$36,MATCH($C31,Global!$B$6:$B$36,0),FALSE),IF(AND(HLOOKUP(MID(BD$3,FIND(".",BD$3)+1,FIND(".",BD$3,FIND(".",BD$3)+1)-FIND(".",BD$3)-1),Gällivare!$B$6:$J$36,MATCH($C31,Gällivare!$B$6:$B$36,0),FALSE)="No Impact",HLOOKUP(LEFT(BD$3,4),Global!$B$6:$J$36,MATCH($C31,Global!$B$6:$B$36,0),FALSE)="No Impact"),HLOOKUP(RIGHT(BD$3,LEN(BD$3)-FIND(".",BD$3,FIND(".",BD$3)+1)),Gällivare!$B$6:$J$36,MATCH($C31,Gällivare!$B$6:$B$36,0),FALSE),"Global: "&amp;HLOOKUP(LEFT(BD$3,4),Global!$B$6:$J$36,MATCH($C31,Global!$B$6:$B$36,0),FALSE)&amp;CHAR(10)&amp;"Local Trend: "&amp;HLOOKUP(MID(BD$3,FIND(".",BD$3)+1,FIND(".",BD$3,FIND(".",BD$3)+1)-FIND(".",BD$3)-1),Gällivare!$B$6:$J$36,MATCH($C31,Gällivare!$B$6:$B$36,0),FALSE)&amp;CHAR(10)&amp;"Local Target: "&amp;HLOOKUP(RIGHT(BD$3,LEN(BD$3)-FIND(".",BD$3,FIND(".",BD$3)+1)),Gällivare!$B$6:$J$36,MATCH($C31,Gällivare!$B$6:$B$36,0),FALSE)))</f>
        <v>Low</v>
      </c>
      <c r="BE31" s="177" t="str">
        <f>IF(AND(HLOOKUP(MID(BE$3,FIND(".",BE$3)+1,FIND(".",BE$3,FIND(".",BE$3)+1)-FIND(".",BE$3)-1),Gällivare!$B$6:$J$36,MATCH($C31,Gällivare!$B$6:$B$36,0),FALSE)="No Impact",HLOOKUP(RIGHT(BE$3,LEN(BE$3)-FIND(".",BE$3,FIND(".",BE$3)+1)),Gällivare!$B$6:$J$36,MATCH($C31,Gällivare!$B$6:$B$36,0),FALSE)="No Impact"),HLOOKUP(LEFT(BE$3,4),Global!$B$6:$J$36,MATCH($C31,Global!$B$6:$B$36,0),FALSE),IF(AND(HLOOKUP(MID(BE$3,FIND(".",BE$3)+1,FIND(".",BE$3,FIND(".",BE$3)+1)-FIND(".",BE$3)-1),Gällivare!$B$6:$J$36,MATCH($C31,Gällivare!$B$6:$B$36,0),FALSE)="No Impact",HLOOKUP(LEFT(BE$3,4),Global!$B$6:$J$36,MATCH($C31,Global!$B$6:$B$36,0),FALSE)="No Impact"),HLOOKUP(RIGHT(BE$3,LEN(BE$3)-FIND(".",BE$3,FIND(".",BE$3)+1)),Gällivare!$B$6:$J$36,MATCH($C31,Gällivare!$B$6:$B$36,0),FALSE),"Global: "&amp;HLOOKUP(LEFT(BE$3,4),Global!$B$6:$J$36,MATCH($C31,Global!$B$6:$B$36,0),FALSE)&amp;CHAR(10)&amp;"Local Trend: "&amp;HLOOKUP(MID(BE$3,FIND(".",BE$3)+1,FIND(".",BE$3,FIND(".",BE$3)+1)-FIND(".",BE$3)-1),Gällivare!$B$6:$J$36,MATCH($C31,Gällivare!$B$6:$B$36,0),FALSE)&amp;CHAR(10)&amp;"Local Target: "&amp;HLOOKUP(RIGHT(BE$3,LEN(BE$3)-FIND(".",BE$3,FIND(".",BE$3)+1)),Gällivare!$B$6:$J$36,MATCH($C31,Gällivare!$B$6:$B$36,0),FALSE)))</f>
        <v>Medium</v>
      </c>
      <c r="BF31" s="177" t="str">
        <f>IF(AND(HLOOKUP(MID(BF$3,FIND(".",BF$3)+1,FIND(".",BF$3,FIND(".",BF$3)+1)-FIND(".",BF$3)-1),Gällivare!$B$6:$J$36,MATCH($C31,Gällivare!$B$6:$B$36,0),FALSE)="No Impact",HLOOKUP(RIGHT(BF$3,LEN(BF$3)-FIND(".",BF$3,FIND(".",BF$3)+1)),Gällivare!$B$6:$J$36,MATCH($C31,Gällivare!$B$6:$B$36,0),FALSE)="No Impact"),HLOOKUP(LEFT(BF$3,4),Global!$B$6:$J$36,MATCH($C31,Global!$B$6:$B$36,0),FALSE),IF(AND(HLOOKUP(MID(BF$3,FIND(".",BF$3)+1,FIND(".",BF$3,FIND(".",BF$3)+1)-FIND(".",BF$3)-1),Gällivare!$B$6:$J$36,MATCH($C31,Gällivare!$B$6:$B$36,0),FALSE)="No Impact",HLOOKUP(LEFT(BF$3,4),Global!$B$6:$J$36,MATCH($C31,Global!$B$6:$B$36,0),FALSE)="No Impact"),HLOOKUP(RIGHT(BF$3,LEN(BF$3)-FIND(".",BF$3,FIND(".",BF$3)+1)),Gällivare!$B$6:$J$36,MATCH($C31,Gällivare!$B$6:$B$36,0),FALSE),"Global: "&amp;HLOOKUP(LEFT(BF$3,4),Global!$B$6:$J$36,MATCH($C31,Global!$B$6:$B$36,0),FALSE)&amp;CHAR(10)&amp;"Local Trend: "&amp;HLOOKUP(MID(BF$3,FIND(".",BF$3)+1,FIND(".",BF$3,FIND(".",BF$3)+1)-FIND(".",BF$3)-1),Gällivare!$B$6:$J$36,MATCH($C31,Gällivare!$B$6:$B$36,0),FALSE)&amp;CHAR(10)&amp;"Local Target: "&amp;HLOOKUP(RIGHT(BF$3,LEN(BF$3)-FIND(".",BF$3,FIND(".",BF$3)+1)),Gällivare!$B$6:$J$36,MATCH($C31,Gällivare!$B$6:$B$36,0),FALSE)))</f>
        <v>Medium</v>
      </c>
      <c r="BG31" s="177" t="str">
        <f>IF(AND(HLOOKUP(MID(BG$3,FIND(".",BG$3)+1,FIND(".",BG$3,FIND(".",BG$3)+1)-FIND(".",BG$3)-1),Gällivare!$B$6:$J$36,MATCH($C31,Gällivare!$B$6:$B$36,0),FALSE)="No Impact",HLOOKUP(RIGHT(BG$3,LEN(BG$3)-FIND(".",BG$3,FIND(".",BG$3)+1)),Gällivare!$B$6:$J$36,MATCH($C31,Gällivare!$B$6:$B$36,0),FALSE)="No Impact"),HLOOKUP(LEFT(BG$3,4),Global!$B$6:$J$36,MATCH($C31,Global!$B$6:$B$36,0),FALSE),IF(AND(HLOOKUP(MID(BG$3,FIND(".",BG$3)+1,FIND(".",BG$3,FIND(".",BG$3)+1)-FIND(".",BG$3)-1),Gällivare!$B$6:$J$36,MATCH($C31,Gällivare!$B$6:$B$36,0),FALSE)="No Impact",HLOOKUP(LEFT(BG$3,4),Global!$B$6:$J$36,MATCH($C31,Global!$B$6:$B$36,0),FALSE)="No Impact"),HLOOKUP(RIGHT(BG$3,LEN(BG$3)-FIND(".",BG$3,FIND(".",BG$3)+1)),Gällivare!$B$6:$J$36,MATCH($C31,Gällivare!$B$6:$B$36,0),FALSE),"Global: "&amp;HLOOKUP(LEFT(BG$3,4),Global!$B$6:$J$36,MATCH($C31,Global!$B$6:$B$36,0),FALSE)&amp;CHAR(10)&amp;"Local Trend: "&amp;HLOOKUP(MID(BG$3,FIND(".",BG$3)+1,FIND(".",BG$3,FIND(".",BG$3)+1)-FIND(".",BG$3)-1),Gällivare!$B$6:$J$36,MATCH($C31,Gällivare!$B$6:$B$36,0),FALSE)&amp;CHAR(10)&amp;"Local Target: "&amp;HLOOKUP(RIGHT(BG$3,LEN(BG$3)-FIND(".",BG$3,FIND(".",BG$3)+1)),Gällivare!$B$6:$J$36,MATCH($C31,Gällivare!$B$6:$B$36,0),FALSE)))</f>
        <v>Medium</v>
      </c>
      <c r="BH31" s="177" t="str">
        <f>IF(AND(HLOOKUP(MID(BH$3,FIND(".",BH$3)+1,FIND(".",BH$3,FIND(".",BH$3)+1)-FIND(".",BH$3)-1),Gällivare!$B$6:$J$36,MATCH($C31,Gällivare!$B$6:$B$36,0),FALSE)="No Impact",HLOOKUP(RIGHT(BH$3,LEN(BH$3)-FIND(".",BH$3,FIND(".",BH$3)+1)),Gällivare!$B$6:$J$36,MATCH($C31,Gällivare!$B$6:$B$36,0),FALSE)="No Impact"),HLOOKUP(LEFT(BH$3,4),Global!$B$6:$J$36,MATCH($C31,Global!$B$6:$B$36,0),FALSE),IF(AND(HLOOKUP(MID(BH$3,FIND(".",BH$3)+1,FIND(".",BH$3,FIND(".",BH$3)+1)-FIND(".",BH$3)-1),Gällivare!$B$6:$J$36,MATCH($C31,Gällivare!$B$6:$B$36,0),FALSE)="No Impact",HLOOKUP(LEFT(BH$3,4),Global!$B$6:$J$36,MATCH($C31,Global!$B$6:$B$36,0),FALSE)="No Impact"),HLOOKUP(RIGHT(BH$3,LEN(BH$3)-FIND(".",BH$3,FIND(".",BH$3)+1)),Gällivare!$B$6:$J$36,MATCH($C31,Gällivare!$B$6:$B$36,0),FALSE),"Global: "&amp;HLOOKUP(LEFT(BH$3,4),Global!$B$6:$J$36,MATCH($C31,Global!$B$6:$B$36,0),FALSE)&amp;CHAR(10)&amp;"Local Trend: "&amp;HLOOKUP(MID(BH$3,FIND(".",BH$3)+1,FIND(".",BH$3,FIND(".",BH$3)+1)-FIND(".",BH$3)-1),Gällivare!$B$6:$J$36,MATCH($C31,Gällivare!$B$6:$B$36,0),FALSE)&amp;CHAR(10)&amp;"Local Target: "&amp;HLOOKUP(RIGHT(BH$3,LEN(BH$3)-FIND(".",BH$3,FIND(".",BH$3)+1)),Gällivare!$B$6:$J$36,MATCH($C31,Gällivare!$B$6:$B$36,0),FALSE)))</f>
        <v>Medium</v>
      </c>
      <c r="BI31" s="177" t="str">
        <f>IF(AND(HLOOKUP(MID(BI$3,FIND(".",BI$3)+1,FIND(".",BI$3,FIND(".",BI$3)+1)-FIND(".",BI$3)-1),Gällivare!$B$6:$J$36,MATCH($C31,Gällivare!$B$6:$B$36,0),FALSE)="No Impact",HLOOKUP(RIGHT(BI$3,LEN(BI$3)-FIND(".",BI$3,FIND(".",BI$3)+1)),Gällivare!$B$6:$J$36,MATCH($C31,Gällivare!$B$6:$B$36,0),FALSE)="No Impact"),HLOOKUP(LEFT(BI$3,4),Global!$B$6:$J$36,MATCH($C31,Global!$B$6:$B$36,0),FALSE),IF(AND(HLOOKUP(MID(BI$3,FIND(".",BI$3)+1,FIND(".",BI$3,FIND(".",BI$3)+1)-FIND(".",BI$3)-1),Gällivare!$B$6:$J$36,MATCH($C31,Gällivare!$B$6:$B$36,0),FALSE)="No Impact",HLOOKUP(LEFT(BI$3,4),Global!$B$6:$J$36,MATCH($C31,Global!$B$6:$B$36,0),FALSE)="No Impact"),HLOOKUP(RIGHT(BI$3,LEN(BI$3)-FIND(".",BI$3,FIND(".",BI$3)+1)),Gällivare!$B$6:$J$36,MATCH($C31,Gällivare!$B$6:$B$36,0),FALSE),"Global: "&amp;HLOOKUP(LEFT(BI$3,4),Global!$B$6:$J$36,MATCH($C31,Global!$B$6:$B$36,0),FALSE)&amp;CHAR(10)&amp;"Local Trend: "&amp;HLOOKUP(MID(BI$3,FIND(".",BI$3)+1,FIND(".",BI$3,FIND(".",BI$3)+1)-FIND(".",BI$3)-1),Gällivare!$B$6:$J$36,MATCH($C31,Gällivare!$B$6:$B$36,0),FALSE)&amp;CHAR(10)&amp;"Local Target: "&amp;HLOOKUP(RIGHT(BI$3,LEN(BI$3)-FIND(".",BI$3,FIND(".",BI$3)+1)),Gällivare!$B$6:$J$36,MATCH($C31,Gällivare!$B$6:$B$36,0),FALSE)))</f>
        <v>Medium</v>
      </c>
      <c r="BJ31" s="177" t="str">
        <f>IF(AND(HLOOKUP(MID(BJ$3,FIND(".",BJ$3)+1,FIND(".",BJ$3,FIND(".",BJ$3)+1)-FIND(".",BJ$3)-1),Gällivare!$B$6:$J$36,MATCH($C31,Gällivare!$B$6:$B$36,0),FALSE)="No Impact",HLOOKUP(RIGHT(BJ$3,LEN(BJ$3)-FIND(".",BJ$3,FIND(".",BJ$3)+1)),Gällivare!$B$6:$J$36,MATCH($C31,Gällivare!$B$6:$B$36,0),FALSE)="No Impact"),HLOOKUP(LEFT(BJ$3,4),Global!$B$6:$J$36,MATCH($C31,Global!$B$6:$B$36,0),FALSE),IF(AND(HLOOKUP(MID(BJ$3,FIND(".",BJ$3)+1,FIND(".",BJ$3,FIND(".",BJ$3)+1)-FIND(".",BJ$3)-1),Gällivare!$B$6:$J$36,MATCH($C31,Gällivare!$B$6:$B$36,0),FALSE)="No Impact",HLOOKUP(LEFT(BJ$3,4),Global!$B$6:$J$36,MATCH($C31,Global!$B$6:$B$36,0),FALSE)="No Impact"),HLOOKUP(RIGHT(BJ$3,LEN(BJ$3)-FIND(".",BJ$3,FIND(".",BJ$3)+1)),Gällivare!$B$6:$J$36,MATCH($C31,Gällivare!$B$6:$B$36,0),FALSE),"Global: "&amp;HLOOKUP(LEFT(BJ$3,4),Global!$B$6:$J$36,MATCH($C31,Global!$B$6:$B$36,0),FALSE)&amp;CHAR(10)&amp;"Local Trend: "&amp;HLOOKUP(MID(BJ$3,FIND(".",BJ$3)+1,FIND(".",BJ$3,FIND(".",BJ$3)+1)-FIND(".",BJ$3)-1),Gällivare!$B$6:$J$36,MATCH($C31,Gällivare!$B$6:$B$36,0),FALSE)&amp;CHAR(10)&amp;"Local Target: "&amp;HLOOKUP(RIGHT(BJ$3,LEN(BJ$3)-FIND(".",BJ$3,FIND(".",BJ$3)+1)),Gällivare!$B$6:$J$36,MATCH($C31,Gällivare!$B$6:$B$36,0),FALSE)))</f>
        <v>Medium</v>
      </c>
      <c r="BK31" s="177" t="str">
        <f>IF(AND(HLOOKUP(MID(BK$3,FIND(".",BK$3)+1,FIND(".",BK$3,FIND(".",BK$3)+1)-FIND(".",BK$3)-1),Gällivare!$B$6:$J$36,MATCH($C31,Gällivare!$B$6:$B$36,0),FALSE)="No Impact",HLOOKUP(RIGHT(BK$3,LEN(BK$3)-FIND(".",BK$3,FIND(".",BK$3)+1)),Gällivare!$B$6:$J$36,MATCH($C31,Gällivare!$B$6:$B$36,0),FALSE)="No Impact"),HLOOKUP(LEFT(BK$3,4),Global!$B$6:$J$36,MATCH($C31,Global!$B$6:$B$36,0),FALSE),IF(AND(HLOOKUP(MID(BK$3,FIND(".",BK$3)+1,FIND(".",BK$3,FIND(".",BK$3)+1)-FIND(".",BK$3)-1),Gällivare!$B$6:$J$36,MATCH($C31,Gällivare!$B$6:$B$36,0),FALSE)="No Impact",HLOOKUP(LEFT(BK$3,4),Global!$B$6:$J$36,MATCH($C31,Global!$B$6:$B$36,0),FALSE)="No Impact"),HLOOKUP(RIGHT(BK$3,LEN(BK$3)-FIND(".",BK$3,FIND(".",BK$3)+1)),Gällivare!$B$6:$J$36,MATCH($C31,Gällivare!$B$6:$B$36,0),FALSE),"Global: "&amp;HLOOKUP(LEFT(BK$3,4),Global!$B$6:$J$36,MATCH($C31,Global!$B$6:$B$36,0),FALSE)&amp;CHAR(10)&amp;"Local Trend: "&amp;HLOOKUP(MID(BK$3,FIND(".",BK$3)+1,FIND(".",BK$3,FIND(".",BK$3)+1)-FIND(".",BK$3)-1),Gällivare!$B$6:$J$36,MATCH($C31,Gällivare!$B$6:$B$36,0),FALSE)&amp;CHAR(10)&amp;"Local Target: "&amp;HLOOKUP(RIGHT(BK$3,LEN(BK$3)-FIND(".",BK$3,FIND(".",BK$3)+1)),Gällivare!$B$6:$J$36,MATCH($C31,Gällivare!$B$6:$B$36,0),FALSE)))</f>
        <v>Low</v>
      </c>
      <c r="BL31" s="177" t="str">
        <f>IF(AND(HLOOKUP(MID(BL$3,FIND(".",BL$3)+1,FIND(".",BL$3,FIND(".",BL$3)+1)-FIND(".",BL$3)-1),Gällivare!$B$6:$J$36,MATCH($C31,Gällivare!$B$6:$B$36,0),FALSE)="No Impact",HLOOKUP(RIGHT(BL$3,LEN(BL$3)-FIND(".",BL$3,FIND(".",BL$3)+1)),Gällivare!$B$6:$J$36,MATCH($C31,Gällivare!$B$6:$B$36,0),FALSE)="No Impact"),HLOOKUP(LEFT(BL$3,4),Global!$B$6:$J$36,MATCH($C31,Global!$B$6:$B$36,0),FALSE),IF(AND(HLOOKUP(MID(BL$3,FIND(".",BL$3)+1,FIND(".",BL$3,FIND(".",BL$3)+1)-FIND(".",BL$3)-1),Gällivare!$B$6:$J$36,MATCH($C31,Gällivare!$B$6:$B$36,0),FALSE)="No Impact",HLOOKUP(LEFT(BL$3,4),Global!$B$6:$J$36,MATCH($C31,Global!$B$6:$B$36,0),FALSE)="No Impact"),HLOOKUP(RIGHT(BL$3,LEN(BL$3)-FIND(".",BL$3,FIND(".",BL$3)+1)),Gällivare!$B$6:$J$36,MATCH($C31,Gällivare!$B$6:$B$36,0),FALSE),"Global: "&amp;HLOOKUP(LEFT(BL$3,4),Global!$B$6:$J$36,MATCH($C31,Global!$B$6:$B$36,0),FALSE)&amp;CHAR(10)&amp;"Local Trend: "&amp;HLOOKUP(MID(BL$3,FIND(".",BL$3)+1,FIND(".",BL$3,FIND(".",BL$3)+1)-FIND(".",BL$3)-1),Gällivare!$B$6:$J$36,MATCH($C31,Gällivare!$B$6:$B$36,0),FALSE)&amp;CHAR(10)&amp;"Local Target: "&amp;HLOOKUP(RIGHT(BL$3,LEN(BL$3)-FIND(".",BL$3,FIND(".",BL$3)+1)),Gällivare!$B$6:$J$36,MATCH($C31,Gällivare!$B$6:$B$36,0),FALSE)))</f>
        <v>Low</v>
      </c>
      <c r="BM31" s="177" t="str">
        <f>IF(AND(HLOOKUP(MID(BM$3,FIND(".",BM$3)+1,FIND(".",BM$3,FIND(".",BM$3)+1)-FIND(".",BM$3)-1),Gällivare!$B$6:$J$36,MATCH($C31,Gällivare!$B$6:$B$36,0),FALSE)="No Impact",HLOOKUP(RIGHT(BM$3,LEN(BM$3)-FIND(".",BM$3,FIND(".",BM$3)+1)),Gällivare!$B$6:$J$36,MATCH($C31,Gällivare!$B$6:$B$36,0),FALSE)="No Impact"),HLOOKUP(LEFT(BM$3,4),Global!$B$6:$J$36,MATCH($C31,Global!$B$6:$B$36,0),FALSE),IF(AND(HLOOKUP(MID(BM$3,FIND(".",BM$3)+1,FIND(".",BM$3,FIND(".",BM$3)+1)-FIND(".",BM$3)-1),Gällivare!$B$6:$J$36,MATCH($C31,Gällivare!$B$6:$B$36,0),FALSE)="No Impact",HLOOKUP(LEFT(BM$3,4),Global!$B$6:$J$36,MATCH($C31,Global!$B$6:$B$36,0),FALSE)="No Impact"),HLOOKUP(RIGHT(BM$3,LEN(BM$3)-FIND(".",BM$3,FIND(".",BM$3)+1)),Gällivare!$B$6:$J$36,MATCH($C31,Gällivare!$B$6:$B$36,0),FALSE),"Global: "&amp;HLOOKUP(LEFT(BM$3,4),Global!$B$6:$J$36,MATCH($C31,Global!$B$6:$B$36,0),FALSE)&amp;CHAR(10)&amp;"Local Trend: "&amp;HLOOKUP(MID(BM$3,FIND(".",BM$3)+1,FIND(".",BM$3,FIND(".",BM$3)+1)-FIND(".",BM$3)-1),Gällivare!$B$6:$J$36,MATCH($C31,Gällivare!$B$6:$B$36,0),FALSE)&amp;CHAR(10)&amp;"Local Target: "&amp;HLOOKUP(RIGHT(BM$3,LEN(BM$3)-FIND(".",BM$3,FIND(".",BM$3)+1)),Gällivare!$B$6:$J$36,MATCH($C31,Gällivare!$B$6:$B$36,0),FALSE)))</f>
        <v>Low</v>
      </c>
      <c r="BN31" s="177" t="str">
        <f>IF(AND(HLOOKUP(MID(BN$3,FIND(".",BN$3)+1,FIND(".",BN$3,FIND(".",BN$3)+1)-FIND(".",BN$3)-1),Gällivare!$B$6:$J$36,MATCH($C31,Gällivare!$B$6:$B$36,0),FALSE)="No Impact",HLOOKUP(RIGHT(BN$3,LEN(BN$3)-FIND(".",BN$3,FIND(".",BN$3)+1)),Gällivare!$B$6:$J$36,MATCH($C31,Gällivare!$B$6:$B$36,0),FALSE)="No Impact"),HLOOKUP(LEFT(BN$3,4),Global!$B$6:$J$36,MATCH($C31,Global!$B$6:$B$36,0),FALSE),IF(AND(HLOOKUP(MID(BN$3,FIND(".",BN$3)+1,FIND(".",BN$3,FIND(".",BN$3)+1)-FIND(".",BN$3)-1),Gällivare!$B$6:$J$36,MATCH($C31,Gällivare!$B$6:$B$36,0),FALSE)="No Impact",HLOOKUP(LEFT(BN$3,4),Global!$B$6:$J$36,MATCH($C31,Global!$B$6:$B$36,0),FALSE)="No Impact"),HLOOKUP(RIGHT(BN$3,LEN(BN$3)-FIND(".",BN$3,FIND(".",BN$3)+1)),Gällivare!$B$6:$J$36,MATCH($C31,Gällivare!$B$6:$B$36,0),FALSE),"Global: "&amp;HLOOKUP(LEFT(BN$3,4),Global!$B$6:$J$36,MATCH($C31,Global!$B$6:$B$36,0),FALSE)&amp;CHAR(10)&amp;"Local Trend: "&amp;HLOOKUP(MID(BN$3,FIND(".",BN$3)+1,FIND(".",BN$3,FIND(".",BN$3)+1)-FIND(".",BN$3)-1),Gällivare!$B$6:$J$36,MATCH($C31,Gällivare!$B$6:$B$36,0),FALSE)&amp;CHAR(10)&amp;"Local Target: "&amp;HLOOKUP(RIGHT(BN$3,LEN(BN$3)-FIND(".",BN$3,FIND(".",BN$3)+1)),Gällivare!$B$6:$J$36,MATCH($C31,Gällivare!$B$6:$B$36,0),FALSE)))</f>
        <v>Low</v>
      </c>
      <c r="BO31" s="177" t="str">
        <f>IF(AND(HLOOKUP(MID(BO$3,FIND(".",BO$3)+1,FIND(".",BO$3,FIND(".",BO$3)+1)-FIND(".",BO$3)-1),Gällivare!$B$6:$J$36,MATCH($C31,Gällivare!$B$6:$B$36,0),FALSE)="No Impact",HLOOKUP(RIGHT(BO$3,LEN(BO$3)-FIND(".",BO$3,FIND(".",BO$3)+1)),Gällivare!$B$6:$J$36,MATCH($C31,Gällivare!$B$6:$B$36,0),FALSE)="No Impact"),HLOOKUP(LEFT(BO$3,4),Global!$B$6:$J$36,MATCH($C31,Global!$B$6:$B$36,0),FALSE),IF(AND(HLOOKUP(MID(BO$3,FIND(".",BO$3)+1,FIND(".",BO$3,FIND(".",BO$3)+1)-FIND(".",BO$3)-1),Gällivare!$B$6:$J$36,MATCH($C31,Gällivare!$B$6:$B$36,0),FALSE)="No Impact",HLOOKUP(LEFT(BO$3,4),Global!$B$6:$J$36,MATCH($C31,Global!$B$6:$B$36,0),FALSE)="No Impact"),HLOOKUP(RIGHT(BO$3,LEN(BO$3)-FIND(".",BO$3,FIND(".",BO$3)+1)),Gällivare!$B$6:$J$36,MATCH($C31,Gällivare!$B$6:$B$36,0),FALSE),"Global: "&amp;HLOOKUP(LEFT(BO$3,4),Global!$B$6:$J$36,MATCH($C31,Global!$B$6:$B$36,0),FALSE)&amp;CHAR(10)&amp;"Local Trend: "&amp;HLOOKUP(MID(BO$3,FIND(".",BO$3)+1,FIND(".",BO$3,FIND(".",BO$3)+1)-FIND(".",BO$3)-1),Gällivare!$B$6:$J$36,MATCH($C31,Gällivare!$B$6:$B$36,0),FALSE)&amp;CHAR(10)&amp;"Local Target: "&amp;HLOOKUP(RIGHT(BO$3,LEN(BO$3)-FIND(".",BO$3,FIND(".",BO$3)+1)),Gällivare!$B$6:$J$36,MATCH($C31,Gällivare!$B$6:$B$36,0),FALSE)))</f>
        <v>Low</v>
      </c>
      <c r="BP31" s="177" t="str">
        <f>IF(AND(HLOOKUP(MID(BP$3,FIND(".",BP$3)+1,FIND(".",BP$3,FIND(".",BP$3)+1)-FIND(".",BP$3)-1),Gällivare!$B$6:$J$36,MATCH($C31,Gällivare!$B$6:$B$36,0),FALSE)="No Impact",HLOOKUP(RIGHT(BP$3,LEN(BP$3)-FIND(".",BP$3,FIND(".",BP$3)+1)),Gällivare!$B$6:$J$36,MATCH($C31,Gällivare!$B$6:$B$36,0),FALSE)="No Impact"),HLOOKUP(LEFT(BP$3,4),Global!$B$6:$J$36,MATCH($C31,Global!$B$6:$B$36,0),FALSE),IF(AND(HLOOKUP(MID(BP$3,FIND(".",BP$3)+1,FIND(".",BP$3,FIND(".",BP$3)+1)-FIND(".",BP$3)-1),Gällivare!$B$6:$J$36,MATCH($C31,Gällivare!$B$6:$B$36,0),FALSE)="No Impact",HLOOKUP(LEFT(BP$3,4),Global!$B$6:$J$36,MATCH($C31,Global!$B$6:$B$36,0),FALSE)="No Impact"),HLOOKUP(RIGHT(BP$3,LEN(BP$3)-FIND(".",BP$3,FIND(".",BP$3)+1)),Gällivare!$B$6:$J$36,MATCH($C31,Gällivare!$B$6:$B$36,0),FALSE),"Global: "&amp;HLOOKUP(LEFT(BP$3,4),Global!$B$6:$J$36,MATCH($C31,Global!$B$6:$B$36,0),FALSE)&amp;CHAR(10)&amp;"Local Trend: "&amp;HLOOKUP(MID(BP$3,FIND(".",BP$3)+1,FIND(".",BP$3,FIND(".",BP$3)+1)-FIND(".",BP$3)-1),Gällivare!$B$6:$J$36,MATCH($C31,Gällivare!$B$6:$B$36,0),FALSE)&amp;CHAR(10)&amp;"Local Target: "&amp;HLOOKUP(RIGHT(BP$3,LEN(BP$3)-FIND(".",BP$3,FIND(".",BP$3)+1)),Gällivare!$B$6:$J$36,MATCH($C31,Gällivare!$B$6:$B$36,0),FALSE)))</f>
        <v>Low</v>
      </c>
    </row>
    <row r="32" spans="2:74" ht="28.8" x14ac:dyDescent="0.3">
      <c r="B32" s="243"/>
      <c r="C32" s="175" t="s">
        <v>139</v>
      </c>
      <c r="D32" s="175" t="s">
        <v>218</v>
      </c>
      <c r="E32" s="175" t="s">
        <v>220</v>
      </c>
      <c r="F32" s="176" t="s">
        <v>165</v>
      </c>
      <c r="G32" s="176"/>
      <c r="H32" s="175" t="str">
        <f t="shared" ref="H32:O33" si="9">AM32</f>
        <v>High</v>
      </c>
      <c r="I32" s="175" t="str">
        <f t="shared" si="9"/>
        <v>High</v>
      </c>
      <c r="J32" s="175" t="str">
        <f t="shared" si="9"/>
        <v>High</v>
      </c>
      <c r="K32" s="175" t="str">
        <f t="shared" si="9"/>
        <v>High</v>
      </c>
      <c r="L32" s="175" t="str">
        <f t="shared" si="9"/>
        <v>High</v>
      </c>
      <c r="M32" s="175" t="str">
        <f t="shared" si="9"/>
        <v>High</v>
      </c>
      <c r="N32" s="175" t="str">
        <f t="shared" si="9"/>
        <v>Medium</v>
      </c>
      <c r="O32" s="175" t="str">
        <f t="shared" si="9"/>
        <v>Medium</v>
      </c>
      <c r="P32" s="175" t="str">
        <f t="shared" si="8"/>
        <v>Medium</v>
      </c>
      <c r="Q32" s="175" t="str">
        <f t="shared" si="8"/>
        <v>Medium</v>
      </c>
      <c r="R32" s="175" t="str">
        <f t="shared" si="8"/>
        <v>Medium</v>
      </c>
      <c r="S32" s="175" t="str">
        <f t="shared" si="8"/>
        <v>Medium</v>
      </c>
      <c r="T32" s="175" t="str">
        <f t="shared" si="8"/>
        <v>Low</v>
      </c>
      <c r="U32" s="175" t="str">
        <f t="shared" si="8"/>
        <v>Low</v>
      </c>
      <c r="V32" s="175" t="str">
        <f t="shared" si="8"/>
        <v>Low</v>
      </c>
      <c r="W32" s="175" t="str">
        <f t="shared" si="8"/>
        <v>Low</v>
      </c>
      <c r="X32" s="175" t="str">
        <f t="shared" si="5"/>
        <v>Low</v>
      </c>
      <c r="Y32" s="175" t="str">
        <f t="shared" si="5"/>
        <v>Low</v>
      </c>
      <c r="Z32" s="175" t="str">
        <f t="shared" si="5"/>
        <v>Medium</v>
      </c>
      <c r="AA32" s="175" t="str">
        <f t="shared" si="5"/>
        <v>Medium</v>
      </c>
      <c r="AB32" s="175" t="str">
        <f t="shared" si="5"/>
        <v>Medium</v>
      </c>
      <c r="AC32" s="175" t="str">
        <f t="shared" si="5"/>
        <v>Medium</v>
      </c>
      <c r="AD32" s="175" t="str">
        <f t="shared" si="5"/>
        <v>Medium</v>
      </c>
      <c r="AE32" s="175" t="str">
        <f t="shared" si="5"/>
        <v>Medium</v>
      </c>
      <c r="AF32" s="175" t="str">
        <f t="shared" si="4"/>
        <v>Low</v>
      </c>
      <c r="AG32" s="175" t="str">
        <f t="shared" si="4"/>
        <v>Low</v>
      </c>
      <c r="AH32" s="175" t="str">
        <f t="shared" si="4"/>
        <v>Low</v>
      </c>
      <c r="AI32" s="175" t="str">
        <f t="shared" si="4"/>
        <v>Low</v>
      </c>
      <c r="AJ32" s="175" t="str">
        <f t="shared" si="4"/>
        <v>Low</v>
      </c>
      <c r="AK32" s="175" t="str">
        <f t="shared" si="4"/>
        <v>Low</v>
      </c>
      <c r="AL32" s="176"/>
      <c r="AM32" s="177" t="str">
        <f>IF(AND(HLOOKUP(MID(AM$3,FIND(".",AM$3)+1,FIND(".",AM$3,FIND(".",AM$3)+1)-FIND(".",AM$3)-1),Gällivare!$B$6:$J$36,MATCH($C32,Gällivare!$B$6:$B$36,0),FALSE)="No Impact",HLOOKUP(RIGHT(AM$3,LEN(AM$3)-FIND(".",AM$3,FIND(".",AM$3)+1)),Gällivare!$B$6:$J$36,MATCH($C32,Gällivare!$B$6:$B$36,0),FALSE)="No Impact"),HLOOKUP(LEFT(AM$3,4),Global!$B$6:$J$36,MATCH($C32,Global!$B$6:$B$36,0),FALSE),IF(AND(HLOOKUP(MID(AM$3,FIND(".",AM$3)+1,FIND(".",AM$3,FIND(".",AM$3)+1)-FIND(".",AM$3)-1),Gällivare!$B$6:$J$36,MATCH($C32,Gällivare!$B$6:$B$36,0),FALSE)="No Impact",HLOOKUP(LEFT(AM$3,4),Global!$B$6:$J$36,MATCH($C32,Global!$B$6:$B$36,0),FALSE)="No Impact"),HLOOKUP(RIGHT(AM$3,LEN(AM$3)-FIND(".",AM$3,FIND(".",AM$3)+1)),Gällivare!$B$6:$J$36,MATCH($C32,Gällivare!$B$6:$B$36,0),FALSE),"Global: "&amp;HLOOKUP(LEFT(AM$3,4),Global!$B$6:$J$36,MATCH($C32,Global!$B$6:$B$36,0),FALSE)&amp;CHAR(10)&amp;"Local Trend: "&amp;HLOOKUP(MID(AM$3,FIND(".",AM$3)+1,FIND(".",AM$3,FIND(".",AM$3)+1)-FIND(".",AM$3)-1),Gällivare!$B$6:$J$36,MATCH($C32,Gällivare!$B$6:$B$36,0),FALSE)&amp;CHAR(10)&amp;"Local Target: "&amp;HLOOKUP(RIGHT(AM$3,LEN(AM$3)-FIND(".",AM$3,FIND(".",AM$3)+1)),Gällivare!$B$6:$J$36,MATCH($C32,Gällivare!$B$6:$B$36,0),FALSE)))</f>
        <v>High</v>
      </c>
      <c r="AN32" s="177" t="str">
        <f>IF(AND(HLOOKUP(MID(AN$3,FIND(".",AN$3)+1,FIND(".",AN$3,FIND(".",AN$3)+1)-FIND(".",AN$3)-1),Gällivare!$B$6:$J$36,MATCH($C32,Gällivare!$B$6:$B$36,0),FALSE)="No Impact",HLOOKUP(RIGHT(AN$3,LEN(AN$3)-FIND(".",AN$3,FIND(".",AN$3)+1)),Gällivare!$B$6:$J$36,MATCH($C32,Gällivare!$B$6:$B$36,0),FALSE)="No Impact"),HLOOKUP(LEFT(AN$3,4),Global!$B$6:$J$36,MATCH($C32,Global!$B$6:$B$36,0),FALSE),IF(AND(HLOOKUP(MID(AN$3,FIND(".",AN$3)+1,FIND(".",AN$3,FIND(".",AN$3)+1)-FIND(".",AN$3)-1),Gällivare!$B$6:$J$36,MATCH($C32,Gällivare!$B$6:$B$36,0),FALSE)="No Impact",HLOOKUP(LEFT(AN$3,4),Global!$B$6:$J$36,MATCH($C32,Global!$B$6:$B$36,0),FALSE)="No Impact"),HLOOKUP(RIGHT(AN$3,LEN(AN$3)-FIND(".",AN$3,FIND(".",AN$3)+1)),Gällivare!$B$6:$J$36,MATCH($C32,Gällivare!$B$6:$B$36,0),FALSE),"Global: "&amp;HLOOKUP(LEFT(AN$3,4),Global!$B$6:$J$36,MATCH($C32,Global!$B$6:$B$36,0),FALSE)&amp;CHAR(10)&amp;"Local Trend: "&amp;HLOOKUP(MID(AN$3,FIND(".",AN$3)+1,FIND(".",AN$3,FIND(".",AN$3)+1)-FIND(".",AN$3)-1),Gällivare!$B$6:$J$36,MATCH($C32,Gällivare!$B$6:$B$36,0),FALSE)&amp;CHAR(10)&amp;"Local Target: "&amp;HLOOKUP(RIGHT(AN$3,LEN(AN$3)-FIND(".",AN$3,FIND(".",AN$3)+1)),Gällivare!$B$6:$J$36,MATCH($C32,Gällivare!$B$6:$B$36,0),FALSE)))</f>
        <v>High</v>
      </c>
      <c r="AO32" s="177" t="str">
        <f>IF(AND(HLOOKUP(MID(AO$3,FIND(".",AO$3)+1,FIND(".",AO$3,FIND(".",AO$3)+1)-FIND(".",AO$3)-1),Gällivare!$B$6:$J$36,MATCH($C32,Gällivare!$B$6:$B$36,0),FALSE)="No Impact",HLOOKUP(RIGHT(AO$3,LEN(AO$3)-FIND(".",AO$3,FIND(".",AO$3)+1)),Gällivare!$B$6:$J$36,MATCH($C32,Gällivare!$B$6:$B$36,0),FALSE)="No Impact"),HLOOKUP(LEFT(AO$3,4),Global!$B$6:$J$36,MATCH($C32,Global!$B$6:$B$36,0),FALSE),IF(AND(HLOOKUP(MID(AO$3,FIND(".",AO$3)+1,FIND(".",AO$3,FIND(".",AO$3)+1)-FIND(".",AO$3)-1),Gällivare!$B$6:$J$36,MATCH($C32,Gällivare!$B$6:$B$36,0),FALSE)="No Impact",HLOOKUP(LEFT(AO$3,4),Global!$B$6:$J$36,MATCH($C32,Global!$B$6:$B$36,0),FALSE)="No Impact"),HLOOKUP(RIGHT(AO$3,LEN(AO$3)-FIND(".",AO$3,FIND(".",AO$3)+1)),Gällivare!$B$6:$J$36,MATCH($C32,Gällivare!$B$6:$B$36,0),FALSE),"Global: "&amp;HLOOKUP(LEFT(AO$3,4),Global!$B$6:$J$36,MATCH($C32,Global!$B$6:$B$36,0),FALSE)&amp;CHAR(10)&amp;"Local Trend: "&amp;HLOOKUP(MID(AO$3,FIND(".",AO$3)+1,FIND(".",AO$3,FIND(".",AO$3)+1)-FIND(".",AO$3)-1),Gällivare!$B$6:$J$36,MATCH($C32,Gällivare!$B$6:$B$36,0),FALSE)&amp;CHAR(10)&amp;"Local Target: "&amp;HLOOKUP(RIGHT(AO$3,LEN(AO$3)-FIND(".",AO$3,FIND(".",AO$3)+1)),Gällivare!$B$6:$J$36,MATCH($C32,Gällivare!$B$6:$B$36,0),FALSE)))</f>
        <v>High</v>
      </c>
      <c r="AP32" s="177" t="str">
        <f>IF(AND(HLOOKUP(MID(AP$3,FIND(".",AP$3)+1,FIND(".",AP$3,FIND(".",AP$3)+1)-FIND(".",AP$3)-1),Gällivare!$B$6:$J$36,MATCH($C32,Gällivare!$B$6:$B$36,0),FALSE)="No Impact",HLOOKUP(RIGHT(AP$3,LEN(AP$3)-FIND(".",AP$3,FIND(".",AP$3)+1)),Gällivare!$B$6:$J$36,MATCH($C32,Gällivare!$B$6:$B$36,0),FALSE)="No Impact"),HLOOKUP(LEFT(AP$3,4),Global!$B$6:$J$36,MATCH($C32,Global!$B$6:$B$36,0),FALSE),IF(AND(HLOOKUP(MID(AP$3,FIND(".",AP$3)+1,FIND(".",AP$3,FIND(".",AP$3)+1)-FIND(".",AP$3)-1),Gällivare!$B$6:$J$36,MATCH($C32,Gällivare!$B$6:$B$36,0),FALSE)="No Impact",HLOOKUP(LEFT(AP$3,4),Global!$B$6:$J$36,MATCH($C32,Global!$B$6:$B$36,0),FALSE)="No Impact"),HLOOKUP(RIGHT(AP$3,LEN(AP$3)-FIND(".",AP$3,FIND(".",AP$3)+1)),Gällivare!$B$6:$J$36,MATCH($C32,Gällivare!$B$6:$B$36,0),FALSE),"Global: "&amp;HLOOKUP(LEFT(AP$3,4),Global!$B$6:$J$36,MATCH($C32,Global!$B$6:$B$36,0),FALSE)&amp;CHAR(10)&amp;"Local Trend: "&amp;HLOOKUP(MID(AP$3,FIND(".",AP$3)+1,FIND(".",AP$3,FIND(".",AP$3)+1)-FIND(".",AP$3)-1),Gällivare!$B$6:$J$36,MATCH($C32,Gällivare!$B$6:$B$36,0),FALSE)&amp;CHAR(10)&amp;"Local Target: "&amp;HLOOKUP(RIGHT(AP$3,LEN(AP$3)-FIND(".",AP$3,FIND(".",AP$3)+1)),Gällivare!$B$6:$J$36,MATCH($C32,Gällivare!$B$6:$B$36,0),FALSE)))</f>
        <v>High</v>
      </c>
      <c r="AQ32" s="177" t="str">
        <f>IF(AND(HLOOKUP(MID(AQ$3,FIND(".",AQ$3)+1,FIND(".",AQ$3,FIND(".",AQ$3)+1)-FIND(".",AQ$3)-1),Gällivare!$B$6:$J$36,MATCH($C32,Gällivare!$B$6:$B$36,0),FALSE)="No Impact",HLOOKUP(RIGHT(AQ$3,LEN(AQ$3)-FIND(".",AQ$3,FIND(".",AQ$3)+1)),Gällivare!$B$6:$J$36,MATCH($C32,Gällivare!$B$6:$B$36,0),FALSE)="No Impact"),HLOOKUP(LEFT(AQ$3,4),Global!$B$6:$J$36,MATCH($C32,Global!$B$6:$B$36,0),FALSE),IF(AND(HLOOKUP(MID(AQ$3,FIND(".",AQ$3)+1,FIND(".",AQ$3,FIND(".",AQ$3)+1)-FIND(".",AQ$3)-1),Gällivare!$B$6:$J$36,MATCH($C32,Gällivare!$B$6:$B$36,0),FALSE)="No Impact",HLOOKUP(LEFT(AQ$3,4),Global!$B$6:$J$36,MATCH($C32,Global!$B$6:$B$36,0),FALSE)="No Impact"),HLOOKUP(RIGHT(AQ$3,LEN(AQ$3)-FIND(".",AQ$3,FIND(".",AQ$3)+1)),Gällivare!$B$6:$J$36,MATCH($C32,Gällivare!$B$6:$B$36,0),FALSE),"Global: "&amp;HLOOKUP(LEFT(AQ$3,4),Global!$B$6:$J$36,MATCH($C32,Global!$B$6:$B$36,0),FALSE)&amp;CHAR(10)&amp;"Local Trend: "&amp;HLOOKUP(MID(AQ$3,FIND(".",AQ$3)+1,FIND(".",AQ$3,FIND(".",AQ$3)+1)-FIND(".",AQ$3)-1),Gällivare!$B$6:$J$36,MATCH($C32,Gällivare!$B$6:$B$36,0),FALSE)&amp;CHAR(10)&amp;"Local Target: "&amp;HLOOKUP(RIGHT(AQ$3,LEN(AQ$3)-FIND(".",AQ$3,FIND(".",AQ$3)+1)),Gällivare!$B$6:$J$36,MATCH($C32,Gällivare!$B$6:$B$36,0),FALSE)))</f>
        <v>High</v>
      </c>
      <c r="AR32" s="177" t="str">
        <f>IF(AND(HLOOKUP(MID(AR$3,FIND(".",AR$3)+1,FIND(".",AR$3,FIND(".",AR$3)+1)-FIND(".",AR$3)-1),Gällivare!$B$6:$J$36,MATCH($C32,Gällivare!$B$6:$B$36,0),FALSE)="No Impact",HLOOKUP(RIGHT(AR$3,LEN(AR$3)-FIND(".",AR$3,FIND(".",AR$3)+1)),Gällivare!$B$6:$J$36,MATCH($C32,Gällivare!$B$6:$B$36,0),FALSE)="No Impact"),HLOOKUP(LEFT(AR$3,4),Global!$B$6:$J$36,MATCH($C32,Global!$B$6:$B$36,0),FALSE),IF(AND(HLOOKUP(MID(AR$3,FIND(".",AR$3)+1,FIND(".",AR$3,FIND(".",AR$3)+1)-FIND(".",AR$3)-1),Gällivare!$B$6:$J$36,MATCH($C32,Gällivare!$B$6:$B$36,0),FALSE)="No Impact",HLOOKUP(LEFT(AR$3,4),Global!$B$6:$J$36,MATCH($C32,Global!$B$6:$B$36,0),FALSE)="No Impact"),HLOOKUP(RIGHT(AR$3,LEN(AR$3)-FIND(".",AR$3,FIND(".",AR$3)+1)),Gällivare!$B$6:$J$36,MATCH($C32,Gällivare!$B$6:$B$36,0),FALSE),"Global: "&amp;HLOOKUP(LEFT(AR$3,4),Global!$B$6:$J$36,MATCH($C32,Global!$B$6:$B$36,0),FALSE)&amp;CHAR(10)&amp;"Local Trend: "&amp;HLOOKUP(MID(AR$3,FIND(".",AR$3)+1,FIND(".",AR$3,FIND(".",AR$3)+1)-FIND(".",AR$3)-1),Gällivare!$B$6:$J$36,MATCH($C32,Gällivare!$B$6:$B$36,0),FALSE)&amp;CHAR(10)&amp;"Local Target: "&amp;HLOOKUP(RIGHT(AR$3,LEN(AR$3)-FIND(".",AR$3,FIND(".",AR$3)+1)),Gällivare!$B$6:$J$36,MATCH($C32,Gällivare!$B$6:$B$36,0),FALSE)))</f>
        <v>High</v>
      </c>
      <c r="AS32" s="177" t="str">
        <f>IF(AND(HLOOKUP(MID(AS$3,FIND(".",AS$3)+1,FIND(".",AS$3,FIND(".",AS$3)+1)-FIND(".",AS$3)-1),Gällivare!$B$6:$J$36,MATCH($C32,Gällivare!$B$6:$B$36,0),FALSE)="No Impact",HLOOKUP(RIGHT(AS$3,LEN(AS$3)-FIND(".",AS$3,FIND(".",AS$3)+1)),Gällivare!$B$6:$J$36,MATCH($C32,Gällivare!$B$6:$B$36,0),FALSE)="No Impact"),HLOOKUP(LEFT(AS$3,4),Global!$B$6:$J$36,MATCH($C32,Global!$B$6:$B$36,0),FALSE),IF(AND(HLOOKUP(MID(AS$3,FIND(".",AS$3)+1,FIND(".",AS$3,FIND(".",AS$3)+1)-FIND(".",AS$3)-1),Gällivare!$B$6:$J$36,MATCH($C32,Gällivare!$B$6:$B$36,0),FALSE)="No Impact",HLOOKUP(LEFT(AS$3,4),Global!$B$6:$J$36,MATCH($C32,Global!$B$6:$B$36,0),FALSE)="No Impact"),HLOOKUP(RIGHT(AS$3,LEN(AS$3)-FIND(".",AS$3,FIND(".",AS$3)+1)),Gällivare!$B$6:$J$36,MATCH($C32,Gällivare!$B$6:$B$36,0),FALSE),"Global: "&amp;HLOOKUP(LEFT(AS$3,4),Global!$B$6:$J$36,MATCH($C32,Global!$B$6:$B$36,0),FALSE)&amp;CHAR(10)&amp;"Local Trend: "&amp;HLOOKUP(MID(AS$3,FIND(".",AS$3)+1,FIND(".",AS$3,FIND(".",AS$3)+1)-FIND(".",AS$3)-1),Gällivare!$B$6:$J$36,MATCH($C32,Gällivare!$B$6:$B$36,0),FALSE)&amp;CHAR(10)&amp;"Local Target: "&amp;HLOOKUP(RIGHT(AS$3,LEN(AS$3)-FIND(".",AS$3,FIND(".",AS$3)+1)),Gällivare!$B$6:$J$36,MATCH($C32,Gällivare!$B$6:$B$36,0),FALSE)))</f>
        <v>Medium</v>
      </c>
      <c r="AT32" s="177" t="str">
        <f>IF(AND(HLOOKUP(MID(AT$3,FIND(".",AT$3)+1,FIND(".",AT$3,FIND(".",AT$3)+1)-FIND(".",AT$3)-1),Gällivare!$B$6:$J$36,MATCH($C32,Gällivare!$B$6:$B$36,0),FALSE)="No Impact",HLOOKUP(RIGHT(AT$3,LEN(AT$3)-FIND(".",AT$3,FIND(".",AT$3)+1)),Gällivare!$B$6:$J$36,MATCH($C32,Gällivare!$B$6:$B$36,0),FALSE)="No Impact"),HLOOKUP(LEFT(AT$3,4),Global!$B$6:$J$36,MATCH($C32,Global!$B$6:$B$36,0),FALSE),IF(AND(HLOOKUP(MID(AT$3,FIND(".",AT$3)+1,FIND(".",AT$3,FIND(".",AT$3)+1)-FIND(".",AT$3)-1),Gällivare!$B$6:$J$36,MATCH($C32,Gällivare!$B$6:$B$36,0),FALSE)="No Impact",HLOOKUP(LEFT(AT$3,4),Global!$B$6:$J$36,MATCH($C32,Global!$B$6:$B$36,0),FALSE)="No Impact"),HLOOKUP(RIGHT(AT$3,LEN(AT$3)-FIND(".",AT$3,FIND(".",AT$3)+1)),Gällivare!$B$6:$J$36,MATCH($C32,Gällivare!$B$6:$B$36,0),FALSE),"Global: "&amp;HLOOKUP(LEFT(AT$3,4),Global!$B$6:$J$36,MATCH($C32,Global!$B$6:$B$36,0),FALSE)&amp;CHAR(10)&amp;"Local Trend: "&amp;HLOOKUP(MID(AT$3,FIND(".",AT$3)+1,FIND(".",AT$3,FIND(".",AT$3)+1)-FIND(".",AT$3)-1),Gällivare!$B$6:$J$36,MATCH($C32,Gällivare!$B$6:$B$36,0),FALSE)&amp;CHAR(10)&amp;"Local Target: "&amp;HLOOKUP(RIGHT(AT$3,LEN(AT$3)-FIND(".",AT$3,FIND(".",AT$3)+1)),Gällivare!$B$6:$J$36,MATCH($C32,Gällivare!$B$6:$B$36,0),FALSE)))</f>
        <v>Medium</v>
      </c>
      <c r="AU32" s="177" t="str">
        <f>IF(AND(HLOOKUP(MID(AU$3,FIND(".",AU$3)+1,FIND(".",AU$3,FIND(".",AU$3)+1)-FIND(".",AU$3)-1),Gällivare!$B$6:$J$36,MATCH($C32,Gällivare!$B$6:$B$36,0),FALSE)="No Impact",HLOOKUP(RIGHT(AU$3,LEN(AU$3)-FIND(".",AU$3,FIND(".",AU$3)+1)),Gällivare!$B$6:$J$36,MATCH($C32,Gällivare!$B$6:$B$36,0),FALSE)="No Impact"),HLOOKUP(LEFT(AU$3,4),Global!$B$6:$J$36,MATCH($C32,Global!$B$6:$B$36,0),FALSE),IF(AND(HLOOKUP(MID(AU$3,FIND(".",AU$3)+1,FIND(".",AU$3,FIND(".",AU$3)+1)-FIND(".",AU$3)-1),Gällivare!$B$6:$J$36,MATCH($C32,Gällivare!$B$6:$B$36,0),FALSE)="No Impact",HLOOKUP(LEFT(AU$3,4),Global!$B$6:$J$36,MATCH($C32,Global!$B$6:$B$36,0),FALSE)="No Impact"),HLOOKUP(RIGHT(AU$3,LEN(AU$3)-FIND(".",AU$3,FIND(".",AU$3)+1)),Gällivare!$B$6:$J$36,MATCH($C32,Gällivare!$B$6:$B$36,0),FALSE),"Global: "&amp;HLOOKUP(LEFT(AU$3,4),Global!$B$6:$J$36,MATCH($C32,Global!$B$6:$B$36,0),FALSE)&amp;CHAR(10)&amp;"Local Trend: "&amp;HLOOKUP(MID(AU$3,FIND(".",AU$3)+1,FIND(".",AU$3,FIND(".",AU$3)+1)-FIND(".",AU$3)-1),Gällivare!$B$6:$J$36,MATCH($C32,Gällivare!$B$6:$B$36,0),FALSE)&amp;CHAR(10)&amp;"Local Target: "&amp;HLOOKUP(RIGHT(AU$3,LEN(AU$3)-FIND(".",AU$3,FIND(".",AU$3)+1)),Gällivare!$B$6:$J$36,MATCH($C32,Gällivare!$B$6:$B$36,0),FALSE)))</f>
        <v>Medium</v>
      </c>
      <c r="AV32" s="177" t="str">
        <f>IF(AND(HLOOKUP(MID(AV$3,FIND(".",AV$3)+1,FIND(".",AV$3,FIND(".",AV$3)+1)-FIND(".",AV$3)-1),Gällivare!$B$6:$J$36,MATCH($C32,Gällivare!$B$6:$B$36,0),FALSE)="No Impact",HLOOKUP(RIGHT(AV$3,LEN(AV$3)-FIND(".",AV$3,FIND(".",AV$3)+1)),Gällivare!$B$6:$J$36,MATCH($C32,Gällivare!$B$6:$B$36,0),FALSE)="No Impact"),HLOOKUP(LEFT(AV$3,4),Global!$B$6:$J$36,MATCH($C32,Global!$B$6:$B$36,0),FALSE),IF(AND(HLOOKUP(MID(AV$3,FIND(".",AV$3)+1,FIND(".",AV$3,FIND(".",AV$3)+1)-FIND(".",AV$3)-1),Gällivare!$B$6:$J$36,MATCH($C32,Gällivare!$B$6:$B$36,0),FALSE)="No Impact",HLOOKUP(LEFT(AV$3,4),Global!$B$6:$J$36,MATCH($C32,Global!$B$6:$B$36,0),FALSE)="No Impact"),HLOOKUP(RIGHT(AV$3,LEN(AV$3)-FIND(".",AV$3,FIND(".",AV$3)+1)),Gällivare!$B$6:$J$36,MATCH($C32,Gällivare!$B$6:$B$36,0),FALSE),"Global: "&amp;HLOOKUP(LEFT(AV$3,4),Global!$B$6:$J$36,MATCH($C32,Global!$B$6:$B$36,0),FALSE)&amp;CHAR(10)&amp;"Local Trend: "&amp;HLOOKUP(MID(AV$3,FIND(".",AV$3)+1,FIND(".",AV$3,FIND(".",AV$3)+1)-FIND(".",AV$3)-1),Gällivare!$B$6:$J$36,MATCH($C32,Gällivare!$B$6:$B$36,0),FALSE)&amp;CHAR(10)&amp;"Local Target: "&amp;HLOOKUP(RIGHT(AV$3,LEN(AV$3)-FIND(".",AV$3,FIND(".",AV$3)+1)),Gällivare!$B$6:$J$36,MATCH($C32,Gällivare!$B$6:$B$36,0),FALSE)))</f>
        <v>Medium</v>
      </c>
      <c r="AW32" s="177" t="str">
        <f>IF(AND(HLOOKUP(MID(AW$3,FIND(".",AW$3)+1,FIND(".",AW$3,FIND(".",AW$3)+1)-FIND(".",AW$3)-1),Gällivare!$B$6:$J$36,MATCH($C32,Gällivare!$B$6:$B$36,0),FALSE)="No Impact",HLOOKUP(RIGHT(AW$3,LEN(AW$3)-FIND(".",AW$3,FIND(".",AW$3)+1)),Gällivare!$B$6:$J$36,MATCH($C32,Gällivare!$B$6:$B$36,0),FALSE)="No Impact"),HLOOKUP(LEFT(AW$3,4),Global!$B$6:$J$36,MATCH($C32,Global!$B$6:$B$36,0),FALSE),IF(AND(HLOOKUP(MID(AW$3,FIND(".",AW$3)+1,FIND(".",AW$3,FIND(".",AW$3)+1)-FIND(".",AW$3)-1),Gällivare!$B$6:$J$36,MATCH($C32,Gällivare!$B$6:$B$36,0),FALSE)="No Impact",HLOOKUP(LEFT(AW$3,4),Global!$B$6:$J$36,MATCH($C32,Global!$B$6:$B$36,0),FALSE)="No Impact"),HLOOKUP(RIGHT(AW$3,LEN(AW$3)-FIND(".",AW$3,FIND(".",AW$3)+1)),Gällivare!$B$6:$J$36,MATCH($C32,Gällivare!$B$6:$B$36,0),FALSE),"Global: "&amp;HLOOKUP(LEFT(AW$3,4),Global!$B$6:$J$36,MATCH($C32,Global!$B$6:$B$36,0),FALSE)&amp;CHAR(10)&amp;"Local Trend: "&amp;HLOOKUP(MID(AW$3,FIND(".",AW$3)+1,FIND(".",AW$3,FIND(".",AW$3)+1)-FIND(".",AW$3)-1),Gällivare!$B$6:$J$36,MATCH($C32,Gällivare!$B$6:$B$36,0),FALSE)&amp;CHAR(10)&amp;"Local Target: "&amp;HLOOKUP(RIGHT(AW$3,LEN(AW$3)-FIND(".",AW$3,FIND(".",AW$3)+1)),Gällivare!$B$6:$J$36,MATCH($C32,Gällivare!$B$6:$B$36,0),FALSE)))</f>
        <v>Medium</v>
      </c>
      <c r="AX32" s="177" t="str">
        <f>IF(AND(HLOOKUP(MID(AX$3,FIND(".",AX$3)+1,FIND(".",AX$3,FIND(".",AX$3)+1)-FIND(".",AX$3)-1),Gällivare!$B$6:$J$36,MATCH($C32,Gällivare!$B$6:$B$36,0),FALSE)="No Impact",HLOOKUP(RIGHT(AX$3,LEN(AX$3)-FIND(".",AX$3,FIND(".",AX$3)+1)),Gällivare!$B$6:$J$36,MATCH($C32,Gällivare!$B$6:$B$36,0),FALSE)="No Impact"),HLOOKUP(LEFT(AX$3,4),Global!$B$6:$J$36,MATCH($C32,Global!$B$6:$B$36,0),FALSE),IF(AND(HLOOKUP(MID(AX$3,FIND(".",AX$3)+1,FIND(".",AX$3,FIND(".",AX$3)+1)-FIND(".",AX$3)-1),Gällivare!$B$6:$J$36,MATCH($C32,Gällivare!$B$6:$B$36,0),FALSE)="No Impact",HLOOKUP(LEFT(AX$3,4),Global!$B$6:$J$36,MATCH($C32,Global!$B$6:$B$36,0),FALSE)="No Impact"),HLOOKUP(RIGHT(AX$3,LEN(AX$3)-FIND(".",AX$3,FIND(".",AX$3)+1)),Gällivare!$B$6:$J$36,MATCH($C32,Gällivare!$B$6:$B$36,0),FALSE),"Global: "&amp;HLOOKUP(LEFT(AX$3,4),Global!$B$6:$J$36,MATCH($C32,Global!$B$6:$B$36,0),FALSE)&amp;CHAR(10)&amp;"Local Trend: "&amp;HLOOKUP(MID(AX$3,FIND(".",AX$3)+1,FIND(".",AX$3,FIND(".",AX$3)+1)-FIND(".",AX$3)-1),Gällivare!$B$6:$J$36,MATCH($C32,Gällivare!$B$6:$B$36,0),FALSE)&amp;CHAR(10)&amp;"Local Target: "&amp;HLOOKUP(RIGHT(AX$3,LEN(AX$3)-FIND(".",AX$3,FIND(".",AX$3)+1)),Gällivare!$B$6:$J$36,MATCH($C32,Gällivare!$B$6:$B$36,0),FALSE)))</f>
        <v>Medium</v>
      </c>
      <c r="AY32" s="177" t="str">
        <f>IF(AND(HLOOKUP(MID(AY$3,FIND(".",AY$3)+1,FIND(".",AY$3,FIND(".",AY$3)+1)-FIND(".",AY$3)-1),Gällivare!$B$6:$J$36,MATCH($C32,Gällivare!$B$6:$B$36,0),FALSE)="No Impact",HLOOKUP(RIGHT(AY$3,LEN(AY$3)-FIND(".",AY$3,FIND(".",AY$3)+1)),Gällivare!$B$6:$J$36,MATCH($C32,Gällivare!$B$6:$B$36,0),FALSE)="No Impact"),HLOOKUP(LEFT(AY$3,4),Global!$B$6:$J$36,MATCH($C32,Global!$B$6:$B$36,0),FALSE),IF(AND(HLOOKUP(MID(AY$3,FIND(".",AY$3)+1,FIND(".",AY$3,FIND(".",AY$3)+1)-FIND(".",AY$3)-1),Gällivare!$B$6:$J$36,MATCH($C32,Gällivare!$B$6:$B$36,0),FALSE)="No Impact",HLOOKUP(LEFT(AY$3,4),Global!$B$6:$J$36,MATCH($C32,Global!$B$6:$B$36,0),FALSE)="No Impact"),HLOOKUP(RIGHT(AY$3,LEN(AY$3)-FIND(".",AY$3,FIND(".",AY$3)+1)),Gällivare!$B$6:$J$36,MATCH($C32,Gällivare!$B$6:$B$36,0),FALSE),"Global: "&amp;HLOOKUP(LEFT(AY$3,4),Global!$B$6:$J$36,MATCH($C32,Global!$B$6:$B$36,0),FALSE)&amp;CHAR(10)&amp;"Local Trend: "&amp;HLOOKUP(MID(AY$3,FIND(".",AY$3)+1,FIND(".",AY$3,FIND(".",AY$3)+1)-FIND(".",AY$3)-1),Gällivare!$B$6:$J$36,MATCH($C32,Gällivare!$B$6:$B$36,0),FALSE)&amp;CHAR(10)&amp;"Local Target: "&amp;HLOOKUP(RIGHT(AY$3,LEN(AY$3)-FIND(".",AY$3,FIND(".",AY$3)+1)),Gällivare!$B$6:$J$36,MATCH($C32,Gällivare!$B$6:$B$36,0),FALSE)))</f>
        <v>Low</v>
      </c>
      <c r="AZ32" s="177" t="str">
        <f>IF(AND(HLOOKUP(MID(AZ$3,FIND(".",AZ$3)+1,FIND(".",AZ$3,FIND(".",AZ$3)+1)-FIND(".",AZ$3)-1),Gällivare!$B$6:$J$36,MATCH($C32,Gällivare!$B$6:$B$36,0),FALSE)="No Impact",HLOOKUP(RIGHT(AZ$3,LEN(AZ$3)-FIND(".",AZ$3,FIND(".",AZ$3)+1)),Gällivare!$B$6:$J$36,MATCH($C32,Gällivare!$B$6:$B$36,0),FALSE)="No Impact"),HLOOKUP(LEFT(AZ$3,4),Global!$B$6:$J$36,MATCH($C32,Global!$B$6:$B$36,0),FALSE),IF(AND(HLOOKUP(MID(AZ$3,FIND(".",AZ$3)+1,FIND(".",AZ$3,FIND(".",AZ$3)+1)-FIND(".",AZ$3)-1),Gällivare!$B$6:$J$36,MATCH($C32,Gällivare!$B$6:$B$36,0),FALSE)="No Impact",HLOOKUP(LEFT(AZ$3,4),Global!$B$6:$J$36,MATCH($C32,Global!$B$6:$B$36,0),FALSE)="No Impact"),HLOOKUP(RIGHT(AZ$3,LEN(AZ$3)-FIND(".",AZ$3,FIND(".",AZ$3)+1)),Gällivare!$B$6:$J$36,MATCH($C32,Gällivare!$B$6:$B$36,0),FALSE),"Global: "&amp;HLOOKUP(LEFT(AZ$3,4),Global!$B$6:$J$36,MATCH($C32,Global!$B$6:$B$36,0),FALSE)&amp;CHAR(10)&amp;"Local Trend: "&amp;HLOOKUP(MID(AZ$3,FIND(".",AZ$3)+1,FIND(".",AZ$3,FIND(".",AZ$3)+1)-FIND(".",AZ$3)-1),Gällivare!$B$6:$J$36,MATCH($C32,Gällivare!$B$6:$B$36,0),FALSE)&amp;CHAR(10)&amp;"Local Target: "&amp;HLOOKUP(RIGHT(AZ$3,LEN(AZ$3)-FIND(".",AZ$3,FIND(".",AZ$3)+1)),Gällivare!$B$6:$J$36,MATCH($C32,Gällivare!$B$6:$B$36,0),FALSE)))</f>
        <v>Low</v>
      </c>
      <c r="BA32" s="177" t="str">
        <f>IF(AND(HLOOKUP(MID(BA$3,FIND(".",BA$3)+1,FIND(".",BA$3,FIND(".",BA$3)+1)-FIND(".",BA$3)-1),Gällivare!$B$6:$J$36,MATCH($C32,Gällivare!$B$6:$B$36,0),FALSE)="No Impact",HLOOKUP(RIGHT(BA$3,LEN(BA$3)-FIND(".",BA$3,FIND(".",BA$3)+1)),Gällivare!$B$6:$J$36,MATCH($C32,Gällivare!$B$6:$B$36,0),FALSE)="No Impact"),HLOOKUP(LEFT(BA$3,4),Global!$B$6:$J$36,MATCH($C32,Global!$B$6:$B$36,0),FALSE),IF(AND(HLOOKUP(MID(BA$3,FIND(".",BA$3)+1,FIND(".",BA$3,FIND(".",BA$3)+1)-FIND(".",BA$3)-1),Gällivare!$B$6:$J$36,MATCH($C32,Gällivare!$B$6:$B$36,0),FALSE)="No Impact",HLOOKUP(LEFT(BA$3,4),Global!$B$6:$J$36,MATCH($C32,Global!$B$6:$B$36,0),FALSE)="No Impact"),HLOOKUP(RIGHT(BA$3,LEN(BA$3)-FIND(".",BA$3,FIND(".",BA$3)+1)),Gällivare!$B$6:$J$36,MATCH($C32,Gällivare!$B$6:$B$36,0),FALSE),"Global: "&amp;HLOOKUP(LEFT(BA$3,4),Global!$B$6:$J$36,MATCH($C32,Global!$B$6:$B$36,0),FALSE)&amp;CHAR(10)&amp;"Local Trend: "&amp;HLOOKUP(MID(BA$3,FIND(".",BA$3)+1,FIND(".",BA$3,FIND(".",BA$3)+1)-FIND(".",BA$3)-1),Gällivare!$B$6:$J$36,MATCH($C32,Gällivare!$B$6:$B$36,0),FALSE)&amp;CHAR(10)&amp;"Local Target: "&amp;HLOOKUP(RIGHT(BA$3,LEN(BA$3)-FIND(".",BA$3,FIND(".",BA$3)+1)),Gällivare!$B$6:$J$36,MATCH($C32,Gällivare!$B$6:$B$36,0),FALSE)))</f>
        <v>Low</v>
      </c>
      <c r="BB32" s="177" t="str">
        <f>IF(AND(HLOOKUP(MID(BB$3,FIND(".",BB$3)+1,FIND(".",BB$3,FIND(".",BB$3)+1)-FIND(".",BB$3)-1),Gällivare!$B$6:$J$36,MATCH($C32,Gällivare!$B$6:$B$36,0),FALSE)="No Impact",HLOOKUP(RIGHT(BB$3,LEN(BB$3)-FIND(".",BB$3,FIND(".",BB$3)+1)),Gällivare!$B$6:$J$36,MATCH($C32,Gällivare!$B$6:$B$36,0),FALSE)="No Impact"),HLOOKUP(LEFT(BB$3,4),Global!$B$6:$J$36,MATCH($C32,Global!$B$6:$B$36,0),FALSE),IF(AND(HLOOKUP(MID(BB$3,FIND(".",BB$3)+1,FIND(".",BB$3,FIND(".",BB$3)+1)-FIND(".",BB$3)-1),Gällivare!$B$6:$J$36,MATCH($C32,Gällivare!$B$6:$B$36,0),FALSE)="No Impact",HLOOKUP(LEFT(BB$3,4),Global!$B$6:$J$36,MATCH($C32,Global!$B$6:$B$36,0),FALSE)="No Impact"),HLOOKUP(RIGHT(BB$3,LEN(BB$3)-FIND(".",BB$3,FIND(".",BB$3)+1)),Gällivare!$B$6:$J$36,MATCH($C32,Gällivare!$B$6:$B$36,0),FALSE),"Global: "&amp;HLOOKUP(LEFT(BB$3,4),Global!$B$6:$J$36,MATCH($C32,Global!$B$6:$B$36,0),FALSE)&amp;CHAR(10)&amp;"Local Trend: "&amp;HLOOKUP(MID(BB$3,FIND(".",BB$3)+1,FIND(".",BB$3,FIND(".",BB$3)+1)-FIND(".",BB$3)-1),Gällivare!$B$6:$J$36,MATCH($C32,Gällivare!$B$6:$B$36,0),FALSE)&amp;CHAR(10)&amp;"Local Target: "&amp;HLOOKUP(RIGHT(BB$3,LEN(BB$3)-FIND(".",BB$3,FIND(".",BB$3)+1)),Gällivare!$B$6:$J$36,MATCH($C32,Gällivare!$B$6:$B$36,0),FALSE)))</f>
        <v>Low</v>
      </c>
      <c r="BC32" s="177" t="str">
        <f>IF(AND(HLOOKUP(MID(BC$3,FIND(".",BC$3)+1,FIND(".",BC$3,FIND(".",BC$3)+1)-FIND(".",BC$3)-1),Gällivare!$B$6:$J$36,MATCH($C32,Gällivare!$B$6:$B$36,0),FALSE)="No Impact",HLOOKUP(RIGHT(BC$3,LEN(BC$3)-FIND(".",BC$3,FIND(".",BC$3)+1)),Gällivare!$B$6:$J$36,MATCH($C32,Gällivare!$B$6:$B$36,0),FALSE)="No Impact"),HLOOKUP(LEFT(BC$3,4),Global!$B$6:$J$36,MATCH($C32,Global!$B$6:$B$36,0),FALSE),IF(AND(HLOOKUP(MID(BC$3,FIND(".",BC$3)+1,FIND(".",BC$3,FIND(".",BC$3)+1)-FIND(".",BC$3)-1),Gällivare!$B$6:$J$36,MATCH($C32,Gällivare!$B$6:$B$36,0),FALSE)="No Impact",HLOOKUP(LEFT(BC$3,4),Global!$B$6:$J$36,MATCH($C32,Global!$B$6:$B$36,0),FALSE)="No Impact"),HLOOKUP(RIGHT(BC$3,LEN(BC$3)-FIND(".",BC$3,FIND(".",BC$3)+1)),Gällivare!$B$6:$J$36,MATCH($C32,Gällivare!$B$6:$B$36,0),FALSE),"Global: "&amp;HLOOKUP(LEFT(BC$3,4),Global!$B$6:$J$36,MATCH($C32,Global!$B$6:$B$36,0),FALSE)&amp;CHAR(10)&amp;"Local Trend: "&amp;HLOOKUP(MID(BC$3,FIND(".",BC$3)+1,FIND(".",BC$3,FIND(".",BC$3)+1)-FIND(".",BC$3)-1),Gällivare!$B$6:$J$36,MATCH($C32,Gällivare!$B$6:$B$36,0),FALSE)&amp;CHAR(10)&amp;"Local Target: "&amp;HLOOKUP(RIGHT(BC$3,LEN(BC$3)-FIND(".",BC$3,FIND(".",BC$3)+1)),Gällivare!$B$6:$J$36,MATCH($C32,Gällivare!$B$6:$B$36,0),FALSE)))</f>
        <v>Low</v>
      </c>
      <c r="BD32" s="177" t="str">
        <f>IF(AND(HLOOKUP(MID(BD$3,FIND(".",BD$3)+1,FIND(".",BD$3,FIND(".",BD$3)+1)-FIND(".",BD$3)-1),Gällivare!$B$6:$J$36,MATCH($C32,Gällivare!$B$6:$B$36,0),FALSE)="No Impact",HLOOKUP(RIGHT(BD$3,LEN(BD$3)-FIND(".",BD$3,FIND(".",BD$3)+1)),Gällivare!$B$6:$J$36,MATCH($C32,Gällivare!$B$6:$B$36,0),FALSE)="No Impact"),HLOOKUP(LEFT(BD$3,4),Global!$B$6:$J$36,MATCH($C32,Global!$B$6:$B$36,0),FALSE),IF(AND(HLOOKUP(MID(BD$3,FIND(".",BD$3)+1,FIND(".",BD$3,FIND(".",BD$3)+1)-FIND(".",BD$3)-1),Gällivare!$B$6:$J$36,MATCH($C32,Gällivare!$B$6:$B$36,0),FALSE)="No Impact",HLOOKUP(LEFT(BD$3,4),Global!$B$6:$J$36,MATCH($C32,Global!$B$6:$B$36,0),FALSE)="No Impact"),HLOOKUP(RIGHT(BD$3,LEN(BD$3)-FIND(".",BD$3,FIND(".",BD$3)+1)),Gällivare!$B$6:$J$36,MATCH($C32,Gällivare!$B$6:$B$36,0),FALSE),"Global: "&amp;HLOOKUP(LEFT(BD$3,4),Global!$B$6:$J$36,MATCH($C32,Global!$B$6:$B$36,0),FALSE)&amp;CHAR(10)&amp;"Local Trend: "&amp;HLOOKUP(MID(BD$3,FIND(".",BD$3)+1,FIND(".",BD$3,FIND(".",BD$3)+1)-FIND(".",BD$3)-1),Gällivare!$B$6:$J$36,MATCH($C32,Gällivare!$B$6:$B$36,0),FALSE)&amp;CHAR(10)&amp;"Local Target: "&amp;HLOOKUP(RIGHT(BD$3,LEN(BD$3)-FIND(".",BD$3,FIND(".",BD$3)+1)),Gällivare!$B$6:$J$36,MATCH($C32,Gällivare!$B$6:$B$36,0),FALSE)))</f>
        <v>Low</v>
      </c>
      <c r="BE32" s="177" t="str">
        <f>IF(AND(HLOOKUP(MID(BE$3,FIND(".",BE$3)+1,FIND(".",BE$3,FIND(".",BE$3)+1)-FIND(".",BE$3)-1),Gällivare!$B$6:$J$36,MATCH($C32,Gällivare!$B$6:$B$36,0),FALSE)="No Impact",HLOOKUP(RIGHT(BE$3,LEN(BE$3)-FIND(".",BE$3,FIND(".",BE$3)+1)),Gällivare!$B$6:$J$36,MATCH($C32,Gällivare!$B$6:$B$36,0),FALSE)="No Impact"),HLOOKUP(LEFT(BE$3,4),Global!$B$6:$J$36,MATCH($C32,Global!$B$6:$B$36,0),FALSE),IF(AND(HLOOKUP(MID(BE$3,FIND(".",BE$3)+1,FIND(".",BE$3,FIND(".",BE$3)+1)-FIND(".",BE$3)-1),Gällivare!$B$6:$J$36,MATCH($C32,Gällivare!$B$6:$B$36,0),FALSE)="No Impact",HLOOKUP(LEFT(BE$3,4),Global!$B$6:$J$36,MATCH($C32,Global!$B$6:$B$36,0),FALSE)="No Impact"),HLOOKUP(RIGHT(BE$3,LEN(BE$3)-FIND(".",BE$3,FIND(".",BE$3)+1)),Gällivare!$B$6:$J$36,MATCH($C32,Gällivare!$B$6:$B$36,0),FALSE),"Global: "&amp;HLOOKUP(LEFT(BE$3,4),Global!$B$6:$J$36,MATCH($C32,Global!$B$6:$B$36,0),FALSE)&amp;CHAR(10)&amp;"Local Trend: "&amp;HLOOKUP(MID(BE$3,FIND(".",BE$3)+1,FIND(".",BE$3,FIND(".",BE$3)+1)-FIND(".",BE$3)-1),Gällivare!$B$6:$J$36,MATCH($C32,Gällivare!$B$6:$B$36,0),FALSE)&amp;CHAR(10)&amp;"Local Target: "&amp;HLOOKUP(RIGHT(BE$3,LEN(BE$3)-FIND(".",BE$3,FIND(".",BE$3)+1)),Gällivare!$B$6:$J$36,MATCH($C32,Gällivare!$B$6:$B$36,0),FALSE)))</f>
        <v>Medium</v>
      </c>
      <c r="BF32" s="177" t="str">
        <f>IF(AND(HLOOKUP(MID(BF$3,FIND(".",BF$3)+1,FIND(".",BF$3,FIND(".",BF$3)+1)-FIND(".",BF$3)-1),Gällivare!$B$6:$J$36,MATCH($C32,Gällivare!$B$6:$B$36,0),FALSE)="No Impact",HLOOKUP(RIGHT(BF$3,LEN(BF$3)-FIND(".",BF$3,FIND(".",BF$3)+1)),Gällivare!$B$6:$J$36,MATCH($C32,Gällivare!$B$6:$B$36,0),FALSE)="No Impact"),HLOOKUP(LEFT(BF$3,4),Global!$B$6:$J$36,MATCH($C32,Global!$B$6:$B$36,0),FALSE),IF(AND(HLOOKUP(MID(BF$3,FIND(".",BF$3)+1,FIND(".",BF$3,FIND(".",BF$3)+1)-FIND(".",BF$3)-1),Gällivare!$B$6:$J$36,MATCH($C32,Gällivare!$B$6:$B$36,0),FALSE)="No Impact",HLOOKUP(LEFT(BF$3,4),Global!$B$6:$J$36,MATCH($C32,Global!$B$6:$B$36,0),FALSE)="No Impact"),HLOOKUP(RIGHT(BF$3,LEN(BF$3)-FIND(".",BF$3,FIND(".",BF$3)+1)),Gällivare!$B$6:$J$36,MATCH($C32,Gällivare!$B$6:$B$36,0),FALSE),"Global: "&amp;HLOOKUP(LEFT(BF$3,4),Global!$B$6:$J$36,MATCH($C32,Global!$B$6:$B$36,0),FALSE)&amp;CHAR(10)&amp;"Local Trend: "&amp;HLOOKUP(MID(BF$3,FIND(".",BF$3)+1,FIND(".",BF$3,FIND(".",BF$3)+1)-FIND(".",BF$3)-1),Gällivare!$B$6:$J$36,MATCH($C32,Gällivare!$B$6:$B$36,0),FALSE)&amp;CHAR(10)&amp;"Local Target: "&amp;HLOOKUP(RIGHT(BF$3,LEN(BF$3)-FIND(".",BF$3,FIND(".",BF$3)+1)),Gällivare!$B$6:$J$36,MATCH($C32,Gällivare!$B$6:$B$36,0),FALSE)))</f>
        <v>Medium</v>
      </c>
      <c r="BG32" s="177" t="str">
        <f>IF(AND(HLOOKUP(MID(BG$3,FIND(".",BG$3)+1,FIND(".",BG$3,FIND(".",BG$3)+1)-FIND(".",BG$3)-1),Gällivare!$B$6:$J$36,MATCH($C32,Gällivare!$B$6:$B$36,0),FALSE)="No Impact",HLOOKUP(RIGHT(BG$3,LEN(BG$3)-FIND(".",BG$3,FIND(".",BG$3)+1)),Gällivare!$B$6:$J$36,MATCH($C32,Gällivare!$B$6:$B$36,0),FALSE)="No Impact"),HLOOKUP(LEFT(BG$3,4),Global!$B$6:$J$36,MATCH($C32,Global!$B$6:$B$36,0),FALSE),IF(AND(HLOOKUP(MID(BG$3,FIND(".",BG$3)+1,FIND(".",BG$3,FIND(".",BG$3)+1)-FIND(".",BG$3)-1),Gällivare!$B$6:$J$36,MATCH($C32,Gällivare!$B$6:$B$36,0),FALSE)="No Impact",HLOOKUP(LEFT(BG$3,4),Global!$B$6:$J$36,MATCH($C32,Global!$B$6:$B$36,0),FALSE)="No Impact"),HLOOKUP(RIGHT(BG$3,LEN(BG$3)-FIND(".",BG$3,FIND(".",BG$3)+1)),Gällivare!$B$6:$J$36,MATCH($C32,Gällivare!$B$6:$B$36,0),FALSE),"Global: "&amp;HLOOKUP(LEFT(BG$3,4),Global!$B$6:$J$36,MATCH($C32,Global!$B$6:$B$36,0),FALSE)&amp;CHAR(10)&amp;"Local Trend: "&amp;HLOOKUP(MID(BG$3,FIND(".",BG$3)+1,FIND(".",BG$3,FIND(".",BG$3)+1)-FIND(".",BG$3)-1),Gällivare!$B$6:$J$36,MATCH($C32,Gällivare!$B$6:$B$36,0),FALSE)&amp;CHAR(10)&amp;"Local Target: "&amp;HLOOKUP(RIGHT(BG$3,LEN(BG$3)-FIND(".",BG$3,FIND(".",BG$3)+1)),Gällivare!$B$6:$J$36,MATCH($C32,Gällivare!$B$6:$B$36,0),FALSE)))</f>
        <v>Medium</v>
      </c>
      <c r="BH32" s="177" t="str">
        <f>IF(AND(HLOOKUP(MID(BH$3,FIND(".",BH$3)+1,FIND(".",BH$3,FIND(".",BH$3)+1)-FIND(".",BH$3)-1),Gällivare!$B$6:$J$36,MATCH($C32,Gällivare!$B$6:$B$36,0),FALSE)="No Impact",HLOOKUP(RIGHT(BH$3,LEN(BH$3)-FIND(".",BH$3,FIND(".",BH$3)+1)),Gällivare!$B$6:$J$36,MATCH($C32,Gällivare!$B$6:$B$36,0),FALSE)="No Impact"),HLOOKUP(LEFT(BH$3,4),Global!$B$6:$J$36,MATCH($C32,Global!$B$6:$B$36,0),FALSE),IF(AND(HLOOKUP(MID(BH$3,FIND(".",BH$3)+1,FIND(".",BH$3,FIND(".",BH$3)+1)-FIND(".",BH$3)-1),Gällivare!$B$6:$J$36,MATCH($C32,Gällivare!$B$6:$B$36,0),FALSE)="No Impact",HLOOKUP(LEFT(BH$3,4),Global!$B$6:$J$36,MATCH($C32,Global!$B$6:$B$36,0),FALSE)="No Impact"),HLOOKUP(RIGHT(BH$3,LEN(BH$3)-FIND(".",BH$3,FIND(".",BH$3)+1)),Gällivare!$B$6:$J$36,MATCH($C32,Gällivare!$B$6:$B$36,0),FALSE),"Global: "&amp;HLOOKUP(LEFT(BH$3,4),Global!$B$6:$J$36,MATCH($C32,Global!$B$6:$B$36,0),FALSE)&amp;CHAR(10)&amp;"Local Trend: "&amp;HLOOKUP(MID(BH$3,FIND(".",BH$3)+1,FIND(".",BH$3,FIND(".",BH$3)+1)-FIND(".",BH$3)-1),Gällivare!$B$6:$J$36,MATCH($C32,Gällivare!$B$6:$B$36,0),FALSE)&amp;CHAR(10)&amp;"Local Target: "&amp;HLOOKUP(RIGHT(BH$3,LEN(BH$3)-FIND(".",BH$3,FIND(".",BH$3)+1)),Gällivare!$B$6:$J$36,MATCH($C32,Gällivare!$B$6:$B$36,0),FALSE)))</f>
        <v>Medium</v>
      </c>
      <c r="BI32" s="177" t="str">
        <f>IF(AND(HLOOKUP(MID(BI$3,FIND(".",BI$3)+1,FIND(".",BI$3,FIND(".",BI$3)+1)-FIND(".",BI$3)-1),Gällivare!$B$6:$J$36,MATCH($C32,Gällivare!$B$6:$B$36,0),FALSE)="No Impact",HLOOKUP(RIGHT(BI$3,LEN(BI$3)-FIND(".",BI$3,FIND(".",BI$3)+1)),Gällivare!$B$6:$J$36,MATCH($C32,Gällivare!$B$6:$B$36,0),FALSE)="No Impact"),HLOOKUP(LEFT(BI$3,4),Global!$B$6:$J$36,MATCH($C32,Global!$B$6:$B$36,0),FALSE),IF(AND(HLOOKUP(MID(BI$3,FIND(".",BI$3)+1,FIND(".",BI$3,FIND(".",BI$3)+1)-FIND(".",BI$3)-1),Gällivare!$B$6:$J$36,MATCH($C32,Gällivare!$B$6:$B$36,0),FALSE)="No Impact",HLOOKUP(LEFT(BI$3,4),Global!$B$6:$J$36,MATCH($C32,Global!$B$6:$B$36,0),FALSE)="No Impact"),HLOOKUP(RIGHT(BI$3,LEN(BI$3)-FIND(".",BI$3,FIND(".",BI$3)+1)),Gällivare!$B$6:$J$36,MATCH($C32,Gällivare!$B$6:$B$36,0),FALSE),"Global: "&amp;HLOOKUP(LEFT(BI$3,4),Global!$B$6:$J$36,MATCH($C32,Global!$B$6:$B$36,0),FALSE)&amp;CHAR(10)&amp;"Local Trend: "&amp;HLOOKUP(MID(BI$3,FIND(".",BI$3)+1,FIND(".",BI$3,FIND(".",BI$3)+1)-FIND(".",BI$3)-1),Gällivare!$B$6:$J$36,MATCH($C32,Gällivare!$B$6:$B$36,0),FALSE)&amp;CHAR(10)&amp;"Local Target: "&amp;HLOOKUP(RIGHT(BI$3,LEN(BI$3)-FIND(".",BI$3,FIND(".",BI$3)+1)),Gällivare!$B$6:$J$36,MATCH($C32,Gällivare!$B$6:$B$36,0),FALSE)))</f>
        <v>Medium</v>
      </c>
      <c r="BJ32" s="177" t="str">
        <f>IF(AND(HLOOKUP(MID(BJ$3,FIND(".",BJ$3)+1,FIND(".",BJ$3,FIND(".",BJ$3)+1)-FIND(".",BJ$3)-1),Gällivare!$B$6:$J$36,MATCH($C32,Gällivare!$B$6:$B$36,0),FALSE)="No Impact",HLOOKUP(RIGHT(BJ$3,LEN(BJ$3)-FIND(".",BJ$3,FIND(".",BJ$3)+1)),Gällivare!$B$6:$J$36,MATCH($C32,Gällivare!$B$6:$B$36,0),FALSE)="No Impact"),HLOOKUP(LEFT(BJ$3,4),Global!$B$6:$J$36,MATCH($C32,Global!$B$6:$B$36,0),FALSE),IF(AND(HLOOKUP(MID(BJ$3,FIND(".",BJ$3)+1,FIND(".",BJ$3,FIND(".",BJ$3)+1)-FIND(".",BJ$3)-1),Gällivare!$B$6:$J$36,MATCH($C32,Gällivare!$B$6:$B$36,0),FALSE)="No Impact",HLOOKUP(LEFT(BJ$3,4),Global!$B$6:$J$36,MATCH($C32,Global!$B$6:$B$36,0),FALSE)="No Impact"),HLOOKUP(RIGHT(BJ$3,LEN(BJ$3)-FIND(".",BJ$3,FIND(".",BJ$3)+1)),Gällivare!$B$6:$J$36,MATCH($C32,Gällivare!$B$6:$B$36,0),FALSE),"Global: "&amp;HLOOKUP(LEFT(BJ$3,4),Global!$B$6:$J$36,MATCH($C32,Global!$B$6:$B$36,0),FALSE)&amp;CHAR(10)&amp;"Local Trend: "&amp;HLOOKUP(MID(BJ$3,FIND(".",BJ$3)+1,FIND(".",BJ$3,FIND(".",BJ$3)+1)-FIND(".",BJ$3)-1),Gällivare!$B$6:$J$36,MATCH($C32,Gällivare!$B$6:$B$36,0),FALSE)&amp;CHAR(10)&amp;"Local Target: "&amp;HLOOKUP(RIGHT(BJ$3,LEN(BJ$3)-FIND(".",BJ$3,FIND(".",BJ$3)+1)),Gällivare!$B$6:$J$36,MATCH($C32,Gällivare!$B$6:$B$36,0),FALSE)))</f>
        <v>Medium</v>
      </c>
      <c r="BK32" s="177" t="str">
        <f>IF(AND(HLOOKUP(MID(BK$3,FIND(".",BK$3)+1,FIND(".",BK$3,FIND(".",BK$3)+1)-FIND(".",BK$3)-1),Gällivare!$B$6:$J$36,MATCH($C32,Gällivare!$B$6:$B$36,0),FALSE)="No Impact",HLOOKUP(RIGHT(BK$3,LEN(BK$3)-FIND(".",BK$3,FIND(".",BK$3)+1)),Gällivare!$B$6:$J$36,MATCH($C32,Gällivare!$B$6:$B$36,0),FALSE)="No Impact"),HLOOKUP(LEFT(BK$3,4),Global!$B$6:$J$36,MATCH($C32,Global!$B$6:$B$36,0),FALSE),IF(AND(HLOOKUP(MID(BK$3,FIND(".",BK$3)+1,FIND(".",BK$3,FIND(".",BK$3)+1)-FIND(".",BK$3)-1),Gällivare!$B$6:$J$36,MATCH($C32,Gällivare!$B$6:$B$36,0),FALSE)="No Impact",HLOOKUP(LEFT(BK$3,4),Global!$B$6:$J$36,MATCH($C32,Global!$B$6:$B$36,0),FALSE)="No Impact"),HLOOKUP(RIGHT(BK$3,LEN(BK$3)-FIND(".",BK$3,FIND(".",BK$3)+1)),Gällivare!$B$6:$J$36,MATCH($C32,Gällivare!$B$6:$B$36,0),FALSE),"Global: "&amp;HLOOKUP(LEFT(BK$3,4),Global!$B$6:$J$36,MATCH($C32,Global!$B$6:$B$36,0),FALSE)&amp;CHAR(10)&amp;"Local Trend: "&amp;HLOOKUP(MID(BK$3,FIND(".",BK$3)+1,FIND(".",BK$3,FIND(".",BK$3)+1)-FIND(".",BK$3)-1),Gällivare!$B$6:$J$36,MATCH($C32,Gällivare!$B$6:$B$36,0),FALSE)&amp;CHAR(10)&amp;"Local Target: "&amp;HLOOKUP(RIGHT(BK$3,LEN(BK$3)-FIND(".",BK$3,FIND(".",BK$3)+1)),Gällivare!$B$6:$J$36,MATCH($C32,Gällivare!$B$6:$B$36,0),FALSE)))</f>
        <v>Low</v>
      </c>
      <c r="BL32" s="177" t="str">
        <f>IF(AND(HLOOKUP(MID(BL$3,FIND(".",BL$3)+1,FIND(".",BL$3,FIND(".",BL$3)+1)-FIND(".",BL$3)-1),Gällivare!$B$6:$J$36,MATCH($C32,Gällivare!$B$6:$B$36,0),FALSE)="No Impact",HLOOKUP(RIGHT(BL$3,LEN(BL$3)-FIND(".",BL$3,FIND(".",BL$3)+1)),Gällivare!$B$6:$J$36,MATCH($C32,Gällivare!$B$6:$B$36,0),FALSE)="No Impact"),HLOOKUP(LEFT(BL$3,4),Global!$B$6:$J$36,MATCH($C32,Global!$B$6:$B$36,0),FALSE),IF(AND(HLOOKUP(MID(BL$3,FIND(".",BL$3)+1,FIND(".",BL$3,FIND(".",BL$3)+1)-FIND(".",BL$3)-1),Gällivare!$B$6:$J$36,MATCH($C32,Gällivare!$B$6:$B$36,0),FALSE)="No Impact",HLOOKUP(LEFT(BL$3,4),Global!$B$6:$J$36,MATCH($C32,Global!$B$6:$B$36,0),FALSE)="No Impact"),HLOOKUP(RIGHT(BL$3,LEN(BL$3)-FIND(".",BL$3,FIND(".",BL$3)+1)),Gällivare!$B$6:$J$36,MATCH($C32,Gällivare!$B$6:$B$36,0),FALSE),"Global: "&amp;HLOOKUP(LEFT(BL$3,4),Global!$B$6:$J$36,MATCH($C32,Global!$B$6:$B$36,0),FALSE)&amp;CHAR(10)&amp;"Local Trend: "&amp;HLOOKUP(MID(BL$3,FIND(".",BL$3)+1,FIND(".",BL$3,FIND(".",BL$3)+1)-FIND(".",BL$3)-1),Gällivare!$B$6:$J$36,MATCH($C32,Gällivare!$B$6:$B$36,0),FALSE)&amp;CHAR(10)&amp;"Local Target: "&amp;HLOOKUP(RIGHT(BL$3,LEN(BL$3)-FIND(".",BL$3,FIND(".",BL$3)+1)),Gällivare!$B$6:$J$36,MATCH($C32,Gällivare!$B$6:$B$36,0),FALSE)))</f>
        <v>Low</v>
      </c>
      <c r="BM32" s="177" t="str">
        <f>IF(AND(HLOOKUP(MID(BM$3,FIND(".",BM$3)+1,FIND(".",BM$3,FIND(".",BM$3)+1)-FIND(".",BM$3)-1),Gällivare!$B$6:$J$36,MATCH($C32,Gällivare!$B$6:$B$36,0),FALSE)="No Impact",HLOOKUP(RIGHT(BM$3,LEN(BM$3)-FIND(".",BM$3,FIND(".",BM$3)+1)),Gällivare!$B$6:$J$36,MATCH($C32,Gällivare!$B$6:$B$36,0),FALSE)="No Impact"),HLOOKUP(LEFT(BM$3,4),Global!$B$6:$J$36,MATCH($C32,Global!$B$6:$B$36,0),FALSE),IF(AND(HLOOKUP(MID(BM$3,FIND(".",BM$3)+1,FIND(".",BM$3,FIND(".",BM$3)+1)-FIND(".",BM$3)-1),Gällivare!$B$6:$J$36,MATCH($C32,Gällivare!$B$6:$B$36,0),FALSE)="No Impact",HLOOKUP(LEFT(BM$3,4),Global!$B$6:$J$36,MATCH($C32,Global!$B$6:$B$36,0),FALSE)="No Impact"),HLOOKUP(RIGHT(BM$3,LEN(BM$3)-FIND(".",BM$3,FIND(".",BM$3)+1)),Gällivare!$B$6:$J$36,MATCH($C32,Gällivare!$B$6:$B$36,0),FALSE),"Global: "&amp;HLOOKUP(LEFT(BM$3,4),Global!$B$6:$J$36,MATCH($C32,Global!$B$6:$B$36,0),FALSE)&amp;CHAR(10)&amp;"Local Trend: "&amp;HLOOKUP(MID(BM$3,FIND(".",BM$3)+1,FIND(".",BM$3,FIND(".",BM$3)+1)-FIND(".",BM$3)-1),Gällivare!$B$6:$J$36,MATCH($C32,Gällivare!$B$6:$B$36,0),FALSE)&amp;CHAR(10)&amp;"Local Target: "&amp;HLOOKUP(RIGHT(BM$3,LEN(BM$3)-FIND(".",BM$3,FIND(".",BM$3)+1)),Gällivare!$B$6:$J$36,MATCH($C32,Gällivare!$B$6:$B$36,0),FALSE)))</f>
        <v>Low</v>
      </c>
      <c r="BN32" s="177" t="str">
        <f>IF(AND(HLOOKUP(MID(BN$3,FIND(".",BN$3)+1,FIND(".",BN$3,FIND(".",BN$3)+1)-FIND(".",BN$3)-1),Gällivare!$B$6:$J$36,MATCH($C32,Gällivare!$B$6:$B$36,0),FALSE)="No Impact",HLOOKUP(RIGHT(BN$3,LEN(BN$3)-FIND(".",BN$3,FIND(".",BN$3)+1)),Gällivare!$B$6:$J$36,MATCH($C32,Gällivare!$B$6:$B$36,0),FALSE)="No Impact"),HLOOKUP(LEFT(BN$3,4),Global!$B$6:$J$36,MATCH($C32,Global!$B$6:$B$36,0),FALSE),IF(AND(HLOOKUP(MID(BN$3,FIND(".",BN$3)+1,FIND(".",BN$3,FIND(".",BN$3)+1)-FIND(".",BN$3)-1),Gällivare!$B$6:$J$36,MATCH($C32,Gällivare!$B$6:$B$36,0),FALSE)="No Impact",HLOOKUP(LEFT(BN$3,4),Global!$B$6:$J$36,MATCH($C32,Global!$B$6:$B$36,0),FALSE)="No Impact"),HLOOKUP(RIGHT(BN$3,LEN(BN$3)-FIND(".",BN$3,FIND(".",BN$3)+1)),Gällivare!$B$6:$J$36,MATCH($C32,Gällivare!$B$6:$B$36,0),FALSE),"Global: "&amp;HLOOKUP(LEFT(BN$3,4),Global!$B$6:$J$36,MATCH($C32,Global!$B$6:$B$36,0),FALSE)&amp;CHAR(10)&amp;"Local Trend: "&amp;HLOOKUP(MID(BN$3,FIND(".",BN$3)+1,FIND(".",BN$3,FIND(".",BN$3)+1)-FIND(".",BN$3)-1),Gällivare!$B$6:$J$36,MATCH($C32,Gällivare!$B$6:$B$36,0),FALSE)&amp;CHAR(10)&amp;"Local Target: "&amp;HLOOKUP(RIGHT(BN$3,LEN(BN$3)-FIND(".",BN$3,FIND(".",BN$3)+1)),Gällivare!$B$6:$J$36,MATCH($C32,Gällivare!$B$6:$B$36,0),FALSE)))</f>
        <v>Low</v>
      </c>
      <c r="BO32" s="177" t="str">
        <f>IF(AND(HLOOKUP(MID(BO$3,FIND(".",BO$3)+1,FIND(".",BO$3,FIND(".",BO$3)+1)-FIND(".",BO$3)-1),Gällivare!$B$6:$J$36,MATCH($C32,Gällivare!$B$6:$B$36,0),FALSE)="No Impact",HLOOKUP(RIGHT(BO$3,LEN(BO$3)-FIND(".",BO$3,FIND(".",BO$3)+1)),Gällivare!$B$6:$J$36,MATCH($C32,Gällivare!$B$6:$B$36,0),FALSE)="No Impact"),HLOOKUP(LEFT(BO$3,4),Global!$B$6:$J$36,MATCH($C32,Global!$B$6:$B$36,0),FALSE),IF(AND(HLOOKUP(MID(BO$3,FIND(".",BO$3)+1,FIND(".",BO$3,FIND(".",BO$3)+1)-FIND(".",BO$3)-1),Gällivare!$B$6:$J$36,MATCH($C32,Gällivare!$B$6:$B$36,0),FALSE)="No Impact",HLOOKUP(LEFT(BO$3,4),Global!$B$6:$J$36,MATCH($C32,Global!$B$6:$B$36,0),FALSE)="No Impact"),HLOOKUP(RIGHT(BO$3,LEN(BO$3)-FIND(".",BO$3,FIND(".",BO$3)+1)),Gällivare!$B$6:$J$36,MATCH($C32,Gällivare!$B$6:$B$36,0),FALSE),"Global: "&amp;HLOOKUP(LEFT(BO$3,4),Global!$B$6:$J$36,MATCH($C32,Global!$B$6:$B$36,0),FALSE)&amp;CHAR(10)&amp;"Local Trend: "&amp;HLOOKUP(MID(BO$3,FIND(".",BO$3)+1,FIND(".",BO$3,FIND(".",BO$3)+1)-FIND(".",BO$3)-1),Gällivare!$B$6:$J$36,MATCH($C32,Gällivare!$B$6:$B$36,0),FALSE)&amp;CHAR(10)&amp;"Local Target: "&amp;HLOOKUP(RIGHT(BO$3,LEN(BO$3)-FIND(".",BO$3,FIND(".",BO$3)+1)),Gällivare!$B$6:$J$36,MATCH($C32,Gällivare!$B$6:$B$36,0),FALSE)))</f>
        <v>Low</v>
      </c>
      <c r="BP32" s="177" t="str">
        <f>IF(AND(HLOOKUP(MID(BP$3,FIND(".",BP$3)+1,FIND(".",BP$3,FIND(".",BP$3)+1)-FIND(".",BP$3)-1),Gällivare!$B$6:$J$36,MATCH($C32,Gällivare!$B$6:$B$36,0),FALSE)="No Impact",HLOOKUP(RIGHT(BP$3,LEN(BP$3)-FIND(".",BP$3,FIND(".",BP$3)+1)),Gällivare!$B$6:$J$36,MATCH($C32,Gällivare!$B$6:$B$36,0),FALSE)="No Impact"),HLOOKUP(LEFT(BP$3,4),Global!$B$6:$J$36,MATCH($C32,Global!$B$6:$B$36,0),FALSE),IF(AND(HLOOKUP(MID(BP$3,FIND(".",BP$3)+1,FIND(".",BP$3,FIND(".",BP$3)+1)-FIND(".",BP$3)-1),Gällivare!$B$6:$J$36,MATCH($C32,Gällivare!$B$6:$B$36,0),FALSE)="No Impact",HLOOKUP(LEFT(BP$3,4),Global!$B$6:$J$36,MATCH($C32,Global!$B$6:$B$36,0),FALSE)="No Impact"),HLOOKUP(RIGHT(BP$3,LEN(BP$3)-FIND(".",BP$3,FIND(".",BP$3)+1)),Gällivare!$B$6:$J$36,MATCH($C32,Gällivare!$B$6:$B$36,0),FALSE),"Global: "&amp;HLOOKUP(LEFT(BP$3,4),Global!$B$6:$J$36,MATCH($C32,Global!$B$6:$B$36,0),FALSE)&amp;CHAR(10)&amp;"Local Trend: "&amp;HLOOKUP(MID(BP$3,FIND(".",BP$3)+1,FIND(".",BP$3,FIND(".",BP$3)+1)-FIND(".",BP$3)-1),Gällivare!$B$6:$J$36,MATCH($C32,Gällivare!$B$6:$B$36,0),FALSE)&amp;CHAR(10)&amp;"Local Target: "&amp;HLOOKUP(RIGHT(BP$3,LEN(BP$3)-FIND(".",BP$3,FIND(".",BP$3)+1)),Gällivare!$B$6:$J$36,MATCH($C32,Gällivare!$B$6:$B$36,0),FALSE)))</f>
        <v>Low</v>
      </c>
    </row>
    <row r="33" spans="2:68" x14ac:dyDescent="0.3">
      <c r="B33" s="243"/>
      <c r="C33" s="175" t="s">
        <v>221</v>
      </c>
      <c r="D33" s="175" t="s">
        <v>218</v>
      </c>
      <c r="E33" s="175" t="s">
        <v>222</v>
      </c>
      <c r="F33" s="176" t="s">
        <v>165</v>
      </c>
      <c r="G33" s="176"/>
      <c r="H33" s="175" t="str">
        <f t="shared" si="9"/>
        <v>High</v>
      </c>
      <c r="I33" s="175" t="str">
        <f t="shared" si="9"/>
        <v>High</v>
      </c>
      <c r="J33" s="175" t="str">
        <f t="shared" si="9"/>
        <v>High</v>
      </c>
      <c r="K33" s="175" t="str">
        <f t="shared" si="9"/>
        <v>High</v>
      </c>
      <c r="L33" s="175" t="str">
        <f t="shared" si="9"/>
        <v>High</v>
      </c>
      <c r="M33" s="175" t="str">
        <f t="shared" si="9"/>
        <v>High</v>
      </c>
      <c r="N33" s="175" t="str">
        <f t="shared" si="9"/>
        <v>Medium</v>
      </c>
      <c r="O33" s="175" t="str">
        <f t="shared" si="9"/>
        <v>Medium</v>
      </c>
      <c r="P33" s="175" t="str">
        <f t="shared" si="8"/>
        <v>Medium</v>
      </c>
      <c r="Q33" s="175" t="str">
        <f t="shared" si="8"/>
        <v>Medium</v>
      </c>
      <c r="R33" s="175" t="str">
        <f t="shared" si="8"/>
        <v>Medium</v>
      </c>
      <c r="S33" s="175" t="str">
        <f t="shared" si="8"/>
        <v>Medium</v>
      </c>
      <c r="T33" s="175" t="str">
        <f t="shared" si="8"/>
        <v>Low</v>
      </c>
      <c r="U33" s="175" t="str">
        <f t="shared" si="8"/>
        <v>Low</v>
      </c>
      <c r="V33" s="175" t="str">
        <f t="shared" si="8"/>
        <v>Low</v>
      </c>
      <c r="W33" s="175" t="str">
        <f t="shared" si="8"/>
        <v>Low</v>
      </c>
      <c r="X33" s="175" t="str">
        <f t="shared" si="5"/>
        <v>Low</v>
      </c>
      <c r="Y33" s="175" t="str">
        <f t="shared" si="5"/>
        <v>Low</v>
      </c>
      <c r="Z33" s="175" t="str">
        <f t="shared" si="5"/>
        <v>Medium</v>
      </c>
      <c r="AA33" s="175" t="str">
        <f t="shared" si="5"/>
        <v>Medium</v>
      </c>
      <c r="AB33" s="175" t="str">
        <f t="shared" si="5"/>
        <v>Medium</v>
      </c>
      <c r="AC33" s="175" t="str">
        <f t="shared" si="5"/>
        <v>Medium</v>
      </c>
      <c r="AD33" s="175" t="str">
        <f t="shared" si="5"/>
        <v>Medium</v>
      </c>
      <c r="AE33" s="175" t="str">
        <f t="shared" si="5"/>
        <v>Medium</v>
      </c>
      <c r="AF33" s="175" t="str">
        <f t="shared" si="4"/>
        <v>Low</v>
      </c>
      <c r="AG33" s="175" t="str">
        <f t="shared" si="4"/>
        <v>Low</v>
      </c>
      <c r="AH33" s="175" t="str">
        <f t="shared" si="4"/>
        <v>Low</v>
      </c>
      <c r="AI33" s="175" t="str">
        <f t="shared" si="4"/>
        <v>Low</v>
      </c>
      <c r="AJ33" s="175" t="str">
        <f t="shared" si="4"/>
        <v>Low</v>
      </c>
      <c r="AK33" s="175" t="str">
        <f t="shared" si="4"/>
        <v>Low</v>
      </c>
      <c r="AL33" s="176"/>
      <c r="AM33" s="177" t="str">
        <f>IF(AND(HLOOKUP(MID(AM$3,FIND(".",AM$3)+1,FIND(".",AM$3,FIND(".",AM$3)+1)-FIND(".",AM$3)-1),Gällivare!$B$6:$J$36,MATCH($C33,Gällivare!$B$6:$B$36,0),FALSE)="No Impact",HLOOKUP(RIGHT(AM$3,LEN(AM$3)-FIND(".",AM$3,FIND(".",AM$3)+1)),Gällivare!$B$6:$J$36,MATCH($C33,Gällivare!$B$6:$B$36,0),FALSE)="No Impact"),HLOOKUP(LEFT(AM$3,4),Global!$B$6:$J$36,MATCH($C33,Global!$B$6:$B$36,0),FALSE),IF(AND(HLOOKUP(MID(AM$3,FIND(".",AM$3)+1,FIND(".",AM$3,FIND(".",AM$3)+1)-FIND(".",AM$3)-1),Gällivare!$B$6:$J$36,MATCH($C33,Gällivare!$B$6:$B$36,0),FALSE)="No Impact",HLOOKUP(LEFT(AM$3,4),Global!$B$6:$J$36,MATCH($C33,Global!$B$6:$B$36,0),FALSE)="No Impact"),HLOOKUP(RIGHT(AM$3,LEN(AM$3)-FIND(".",AM$3,FIND(".",AM$3)+1)),Gällivare!$B$6:$J$36,MATCH($C33,Gällivare!$B$6:$B$36,0),FALSE),"Global: "&amp;HLOOKUP(LEFT(AM$3,4),Global!$B$6:$J$36,MATCH($C33,Global!$B$6:$B$36,0),FALSE)&amp;CHAR(10)&amp;"Local Trend: "&amp;HLOOKUP(MID(AM$3,FIND(".",AM$3)+1,FIND(".",AM$3,FIND(".",AM$3)+1)-FIND(".",AM$3)-1),Gällivare!$B$6:$J$36,MATCH($C33,Gällivare!$B$6:$B$36,0),FALSE)&amp;CHAR(10)&amp;"Local Target: "&amp;HLOOKUP(RIGHT(AM$3,LEN(AM$3)-FIND(".",AM$3,FIND(".",AM$3)+1)),Gällivare!$B$6:$J$36,MATCH($C33,Gällivare!$B$6:$B$36,0),FALSE)))</f>
        <v>High</v>
      </c>
      <c r="AN33" s="177" t="str">
        <f>IF(AND(HLOOKUP(MID(AN$3,FIND(".",AN$3)+1,FIND(".",AN$3,FIND(".",AN$3)+1)-FIND(".",AN$3)-1),Gällivare!$B$6:$J$36,MATCH($C33,Gällivare!$B$6:$B$36,0),FALSE)="No Impact",HLOOKUP(RIGHT(AN$3,LEN(AN$3)-FIND(".",AN$3,FIND(".",AN$3)+1)),Gällivare!$B$6:$J$36,MATCH($C33,Gällivare!$B$6:$B$36,0),FALSE)="No Impact"),HLOOKUP(LEFT(AN$3,4),Global!$B$6:$J$36,MATCH($C33,Global!$B$6:$B$36,0),FALSE),IF(AND(HLOOKUP(MID(AN$3,FIND(".",AN$3)+1,FIND(".",AN$3,FIND(".",AN$3)+1)-FIND(".",AN$3)-1),Gällivare!$B$6:$J$36,MATCH($C33,Gällivare!$B$6:$B$36,0),FALSE)="No Impact",HLOOKUP(LEFT(AN$3,4),Global!$B$6:$J$36,MATCH($C33,Global!$B$6:$B$36,0),FALSE)="No Impact"),HLOOKUP(RIGHT(AN$3,LEN(AN$3)-FIND(".",AN$3,FIND(".",AN$3)+1)),Gällivare!$B$6:$J$36,MATCH($C33,Gällivare!$B$6:$B$36,0),FALSE),"Global: "&amp;HLOOKUP(LEFT(AN$3,4),Global!$B$6:$J$36,MATCH($C33,Global!$B$6:$B$36,0),FALSE)&amp;CHAR(10)&amp;"Local Trend: "&amp;HLOOKUP(MID(AN$3,FIND(".",AN$3)+1,FIND(".",AN$3,FIND(".",AN$3)+1)-FIND(".",AN$3)-1),Gällivare!$B$6:$J$36,MATCH($C33,Gällivare!$B$6:$B$36,0),FALSE)&amp;CHAR(10)&amp;"Local Target: "&amp;HLOOKUP(RIGHT(AN$3,LEN(AN$3)-FIND(".",AN$3,FIND(".",AN$3)+1)),Gällivare!$B$6:$J$36,MATCH($C33,Gällivare!$B$6:$B$36,0),FALSE)))</f>
        <v>High</v>
      </c>
      <c r="AO33" s="177" t="str">
        <f>IF(AND(HLOOKUP(MID(AO$3,FIND(".",AO$3)+1,FIND(".",AO$3,FIND(".",AO$3)+1)-FIND(".",AO$3)-1),Gällivare!$B$6:$J$36,MATCH($C33,Gällivare!$B$6:$B$36,0),FALSE)="No Impact",HLOOKUP(RIGHT(AO$3,LEN(AO$3)-FIND(".",AO$3,FIND(".",AO$3)+1)),Gällivare!$B$6:$J$36,MATCH($C33,Gällivare!$B$6:$B$36,0),FALSE)="No Impact"),HLOOKUP(LEFT(AO$3,4),Global!$B$6:$J$36,MATCH($C33,Global!$B$6:$B$36,0),FALSE),IF(AND(HLOOKUP(MID(AO$3,FIND(".",AO$3)+1,FIND(".",AO$3,FIND(".",AO$3)+1)-FIND(".",AO$3)-1),Gällivare!$B$6:$J$36,MATCH($C33,Gällivare!$B$6:$B$36,0),FALSE)="No Impact",HLOOKUP(LEFT(AO$3,4),Global!$B$6:$J$36,MATCH($C33,Global!$B$6:$B$36,0),FALSE)="No Impact"),HLOOKUP(RIGHT(AO$3,LEN(AO$3)-FIND(".",AO$3,FIND(".",AO$3)+1)),Gällivare!$B$6:$J$36,MATCH($C33,Gällivare!$B$6:$B$36,0),FALSE),"Global: "&amp;HLOOKUP(LEFT(AO$3,4),Global!$B$6:$J$36,MATCH($C33,Global!$B$6:$B$36,0),FALSE)&amp;CHAR(10)&amp;"Local Trend: "&amp;HLOOKUP(MID(AO$3,FIND(".",AO$3)+1,FIND(".",AO$3,FIND(".",AO$3)+1)-FIND(".",AO$3)-1),Gällivare!$B$6:$J$36,MATCH($C33,Gällivare!$B$6:$B$36,0),FALSE)&amp;CHAR(10)&amp;"Local Target: "&amp;HLOOKUP(RIGHT(AO$3,LEN(AO$3)-FIND(".",AO$3,FIND(".",AO$3)+1)),Gällivare!$B$6:$J$36,MATCH($C33,Gällivare!$B$6:$B$36,0),FALSE)))</f>
        <v>High</v>
      </c>
      <c r="AP33" s="177" t="str">
        <f>IF(AND(HLOOKUP(MID(AP$3,FIND(".",AP$3)+1,FIND(".",AP$3,FIND(".",AP$3)+1)-FIND(".",AP$3)-1),Gällivare!$B$6:$J$36,MATCH($C33,Gällivare!$B$6:$B$36,0),FALSE)="No Impact",HLOOKUP(RIGHT(AP$3,LEN(AP$3)-FIND(".",AP$3,FIND(".",AP$3)+1)),Gällivare!$B$6:$J$36,MATCH($C33,Gällivare!$B$6:$B$36,0),FALSE)="No Impact"),HLOOKUP(LEFT(AP$3,4),Global!$B$6:$J$36,MATCH($C33,Global!$B$6:$B$36,0),FALSE),IF(AND(HLOOKUP(MID(AP$3,FIND(".",AP$3)+1,FIND(".",AP$3,FIND(".",AP$3)+1)-FIND(".",AP$3)-1),Gällivare!$B$6:$J$36,MATCH($C33,Gällivare!$B$6:$B$36,0),FALSE)="No Impact",HLOOKUP(LEFT(AP$3,4),Global!$B$6:$J$36,MATCH($C33,Global!$B$6:$B$36,0),FALSE)="No Impact"),HLOOKUP(RIGHT(AP$3,LEN(AP$3)-FIND(".",AP$3,FIND(".",AP$3)+1)),Gällivare!$B$6:$J$36,MATCH($C33,Gällivare!$B$6:$B$36,0),FALSE),"Global: "&amp;HLOOKUP(LEFT(AP$3,4),Global!$B$6:$J$36,MATCH($C33,Global!$B$6:$B$36,0),FALSE)&amp;CHAR(10)&amp;"Local Trend: "&amp;HLOOKUP(MID(AP$3,FIND(".",AP$3)+1,FIND(".",AP$3,FIND(".",AP$3)+1)-FIND(".",AP$3)-1),Gällivare!$B$6:$J$36,MATCH($C33,Gällivare!$B$6:$B$36,0),FALSE)&amp;CHAR(10)&amp;"Local Target: "&amp;HLOOKUP(RIGHT(AP$3,LEN(AP$3)-FIND(".",AP$3,FIND(".",AP$3)+1)),Gällivare!$B$6:$J$36,MATCH($C33,Gällivare!$B$6:$B$36,0),FALSE)))</f>
        <v>High</v>
      </c>
      <c r="AQ33" s="177" t="str">
        <f>IF(AND(HLOOKUP(MID(AQ$3,FIND(".",AQ$3)+1,FIND(".",AQ$3,FIND(".",AQ$3)+1)-FIND(".",AQ$3)-1),Gällivare!$B$6:$J$36,MATCH($C33,Gällivare!$B$6:$B$36,0),FALSE)="No Impact",HLOOKUP(RIGHT(AQ$3,LEN(AQ$3)-FIND(".",AQ$3,FIND(".",AQ$3)+1)),Gällivare!$B$6:$J$36,MATCH($C33,Gällivare!$B$6:$B$36,0),FALSE)="No Impact"),HLOOKUP(LEFT(AQ$3,4),Global!$B$6:$J$36,MATCH($C33,Global!$B$6:$B$36,0),FALSE),IF(AND(HLOOKUP(MID(AQ$3,FIND(".",AQ$3)+1,FIND(".",AQ$3,FIND(".",AQ$3)+1)-FIND(".",AQ$3)-1),Gällivare!$B$6:$J$36,MATCH($C33,Gällivare!$B$6:$B$36,0),FALSE)="No Impact",HLOOKUP(LEFT(AQ$3,4),Global!$B$6:$J$36,MATCH($C33,Global!$B$6:$B$36,0),FALSE)="No Impact"),HLOOKUP(RIGHT(AQ$3,LEN(AQ$3)-FIND(".",AQ$3,FIND(".",AQ$3)+1)),Gällivare!$B$6:$J$36,MATCH($C33,Gällivare!$B$6:$B$36,0),FALSE),"Global: "&amp;HLOOKUP(LEFT(AQ$3,4),Global!$B$6:$J$36,MATCH($C33,Global!$B$6:$B$36,0),FALSE)&amp;CHAR(10)&amp;"Local Trend: "&amp;HLOOKUP(MID(AQ$3,FIND(".",AQ$3)+1,FIND(".",AQ$3,FIND(".",AQ$3)+1)-FIND(".",AQ$3)-1),Gällivare!$B$6:$J$36,MATCH($C33,Gällivare!$B$6:$B$36,0),FALSE)&amp;CHAR(10)&amp;"Local Target: "&amp;HLOOKUP(RIGHT(AQ$3,LEN(AQ$3)-FIND(".",AQ$3,FIND(".",AQ$3)+1)),Gällivare!$B$6:$J$36,MATCH($C33,Gällivare!$B$6:$B$36,0),FALSE)))</f>
        <v>High</v>
      </c>
      <c r="AR33" s="177" t="str">
        <f>IF(AND(HLOOKUP(MID(AR$3,FIND(".",AR$3)+1,FIND(".",AR$3,FIND(".",AR$3)+1)-FIND(".",AR$3)-1),Gällivare!$B$6:$J$36,MATCH($C33,Gällivare!$B$6:$B$36,0),FALSE)="No Impact",HLOOKUP(RIGHT(AR$3,LEN(AR$3)-FIND(".",AR$3,FIND(".",AR$3)+1)),Gällivare!$B$6:$J$36,MATCH($C33,Gällivare!$B$6:$B$36,0),FALSE)="No Impact"),HLOOKUP(LEFT(AR$3,4),Global!$B$6:$J$36,MATCH($C33,Global!$B$6:$B$36,0),FALSE),IF(AND(HLOOKUP(MID(AR$3,FIND(".",AR$3)+1,FIND(".",AR$3,FIND(".",AR$3)+1)-FIND(".",AR$3)-1),Gällivare!$B$6:$J$36,MATCH($C33,Gällivare!$B$6:$B$36,0),FALSE)="No Impact",HLOOKUP(LEFT(AR$3,4),Global!$B$6:$J$36,MATCH($C33,Global!$B$6:$B$36,0),FALSE)="No Impact"),HLOOKUP(RIGHT(AR$3,LEN(AR$3)-FIND(".",AR$3,FIND(".",AR$3)+1)),Gällivare!$B$6:$J$36,MATCH($C33,Gällivare!$B$6:$B$36,0),FALSE),"Global: "&amp;HLOOKUP(LEFT(AR$3,4),Global!$B$6:$J$36,MATCH($C33,Global!$B$6:$B$36,0),FALSE)&amp;CHAR(10)&amp;"Local Trend: "&amp;HLOOKUP(MID(AR$3,FIND(".",AR$3)+1,FIND(".",AR$3,FIND(".",AR$3)+1)-FIND(".",AR$3)-1),Gällivare!$B$6:$J$36,MATCH($C33,Gällivare!$B$6:$B$36,0),FALSE)&amp;CHAR(10)&amp;"Local Target: "&amp;HLOOKUP(RIGHT(AR$3,LEN(AR$3)-FIND(".",AR$3,FIND(".",AR$3)+1)),Gällivare!$B$6:$J$36,MATCH($C33,Gällivare!$B$6:$B$36,0),FALSE)))</f>
        <v>High</v>
      </c>
      <c r="AS33" s="177" t="str">
        <f>IF(AND(HLOOKUP(MID(AS$3,FIND(".",AS$3)+1,FIND(".",AS$3,FIND(".",AS$3)+1)-FIND(".",AS$3)-1),Gällivare!$B$6:$J$36,MATCH($C33,Gällivare!$B$6:$B$36,0),FALSE)="No Impact",HLOOKUP(RIGHT(AS$3,LEN(AS$3)-FIND(".",AS$3,FIND(".",AS$3)+1)),Gällivare!$B$6:$J$36,MATCH($C33,Gällivare!$B$6:$B$36,0),FALSE)="No Impact"),HLOOKUP(LEFT(AS$3,4),Global!$B$6:$J$36,MATCH($C33,Global!$B$6:$B$36,0),FALSE),IF(AND(HLOOKUP(MID(AS$3,FIND(".",AS$3)+1,FIND(".",AS$3,FIND(".",AS$3)+1)-FIND(".",AS$3)-1),Gällivare!$B$6:$J$36,MATCH($C33,Gällivare!$B$6:$B$36,0),FALSE)="No Impact",HLOOKUP(LEFT(AS$3,4),Global!$B$6:$J$36,MATCH($C33,Global!$B$6:$B$36,0),FALSE)="No Impact"),HLOOKUP(RIGHT(AS$3,LEN(AS$3)-FIND(".",AS$3,FIND(".",AS$3)+1)),Gällivare!$B$6:$J$36,MATCH($C33,Gällivare!$B$6:$B$36,0),FALSE),"Global: "&amp;HLOOKUP(LEFT(AS$3,4),Global!$B$6:$J$36,MATCH($C33,Global!$B$6:$B$36,0),FALSE)&amp;CHAR(10)&amp;"Local Trend: "&amp;HLOOKUP(MID(AS$3,FIND(".",AS$3)+1,FIND(".",AS$3,FIND(".",AS$3)+1)-FIND(".",AS$3)-1),Gällivare!$B$6:$J$36,MATCH($C33,Gällivare!$B$6:$B$36,0),FALSE)&amp;CHAR(10)&amp;"Local Target: "&amp;HLOOKUP(RIGHT(AS$3,LEN(AS$3)-FIND(".",AS$3,FIND(".",AS$3)+1)),Gällivare!$B$6:$J$36,MATCH($C33,Gällivare!$B$6:$B$36,0),FALSE)))</f>
        <v>Medium</v>
      </c>
      <c r="AT33" s="177" t="str">
        <f>IF(AND(HLOOKUP(MID(AT$3,FIND(".",AT$3)+1,FIND(".",AT$3,FIND(".",AT$3)+1)-FIND(".",AT$3)-1),Gällivare!$B$6:$J$36,MATCH($C33,Gällivare!$B$6:$B$36,0),FALSE)="No Impact",HLOOKUP(RIGHT(AT$3,LEN(AT$3)-FIND(".",AT$3,FIND(".",AT$3)+1)),Gällivare!$B$6:$J$36,MATCH($C33,Gällivare!$B$6:$B$36,0),FALSE)="No Impact"),HLOOKUP(LEFT(AT$3,4),Global!$B$6:$J$36,MATCH($C33,Global!$B$6:$B$36,0),FALSE),IF(AND(HLOOKUP(MID(AT$3,FIND(".",AT$3)+1,FIND(".",AT$3,FIND(".",AT$3)+1)-FIND(".",AT$3)-1),Gällivare!$B$6:$J$36,MATCH($C33,Gällivare!$B$6:$B$36,0),FALSE)="No Impact",HLOOKUP(LEFT(AT$3,4),Global!$B$6:$J$36,MATCH($C33,Global!$B$6:$B$36,0),FALSE)="No Impact"),HLOOKUP(RIGHT(AT$3,LEN(AT$3)-FIND(".",AT$3,FIND(".",AT$3)+1)),Gällivare!$B$6:$J$36,MATCH($C33,Gällivare!$B$6:$B$36,0),FALSE),"Global: "&amp;HLOOKUP(LEFT(AT$3,4),Global!$B$6:$J$36,MATCH($C33,Global!$B$6:$B$36,0),FALSE)&amp;CHAR(10)&amp;"Local Trend: "&amp;HLOOKUP(MID(AT$3,FIND(".",AT$3)+1,FIND(".",AT$3,FIND(".",AT$3)+1)-FIND(".",AT$3)-1),Gällivare!$B$6:$J$36,MATCH($C33,Gällivare!$B$6:$B$36,0),FALSE)&amp;CHAR(10)&amp;"Local Target: "&amp;HLOOKUP(RIGHT(AT$3,LEN(AT$3)-FIND(".",AT$3,FIND(".",AT$3)+1)),Gällivare!$B$6:$J$36,MATCH($C33,Gällivare!$B$6:$B$36,0),FALSE)))</f>
        <v>Medium</v>
      </c>
      <c r="AU33" s="177" t="str">
        <f>IF(AND(HLOOKUP(MID(AU$3,FIND(".",AU$3)+1,FIND(".",AU$3,FIND(".",AU$3)+1)-FIND(".",AU$3)-1),Gällivare!$B$6:$J$36,MATCH($C33,Gällivare!$B$6:$B$36,0),FALSE)="No Impact",HLOOKUP(RIGHT(AU$3,LEN(AU$3)-FIND(".",AU$3,FIND(".",AU$3)+1)),Gällivare!$B$6:$J$36,MATCH($C33,Gällivare!$B$6:$B$36,0),FALSE)="No Impact"),HLOOKUP(LEFT(AU$3,4),Global!$B$6:$J$36,MATCH($C33,Global!$B$6:$B$36,0),FALSE),IF(AND(HLOOKUP(MID(AU$3,FIND(".",AU$3)+1,FIND(".",AU$3,FIND(".",AU$3)+1)-FIND(".",AU$3)-1),Gällivare!$B$6:$J$36,MATCH($C33,Gällivare!$B$6:$B$36,0),FALSE)="No Impact",HLOOKUP(LEFT(AU$3,4),Global!$B$6:$J$36,MATCH($C33,Global!$B$6:$B$36,0),FALSE)="No Impact"),HLOOKUP(RIGHT(AU$3,LEN(AU$3)-FIND(".",AU$3,FIND(".",AU$3)+1)),Gällivare!$B$6:$J$36,MATCH($C33,Gällivare!$B$6:$B$36,0),FALSE),"Global: "&amp;HLOOKUP(LEFT(AU$3,4),Global!$B$6:$J$36,MATCH($C33,Global!$B$6:$B$36,0),FALSE)&amp;CHAR(10)&amp;"Local Trend: "&amp;HLOOKUP(MID(AU$3,FIND(".",AU$3)+1,FIND(".",AU$3,FIND(".",AU$3)+1)-FIND(".",AU$3)-1),Gällivare!$B$6:$J$36,MATCH($C33,Gällivare!$B$6:$B$36,0),FALSE)&amp;CHAR(10)&amp;"Local Target: "&amp;HLOOKUP(RIGHT(AU$3,LEN(AU$3)-FIND(".",AU$3,FIND(".",AU$3)+1)),Gällivare!$B$6:$J$36,MATCH($C33,Gällivare!$B$6:$B$36,0),FALSE)))</f>
        <v>Medium</v>
      </c>
      <c r="AV33" s="177" t="str">
        <f>IF(AND(HLOOKUP(MID(AV$3,FIND(".",AV$3)+1,FIND(".",AV$3,FIND(".",AV$3)+1)-FIND(".",AV$3)-1),Gällivare!$B$6:$J$36,MATCH($C33,Gällivare!$B$6:$B$36,0),FALSE)="No Impact",HLOOKUP(RIGHT(AV$3,LEN(AV$3)-FIND(".",AV$3,FIND(".",AV$3)+1)),Gällivare!$B$6:$J$36,MATCH($C33,Gällivare!$B$6:$B$36,0),FALSE)="No Impact"),HLOOKUP(LEFT(AV$3,4),Global!$B$6:$J$36,MATCH($C33,Global!$B$6:$B$36,0),FALSE),IF(AND(HLOOKUP(MID(AV$3,FIND(".",AV$3)+1,FIND(".",AV$3,FIND(".",AV$3)+1)-FIND(".",AV$3)-1),Gällivare!$B$6:$J$36,MATCH($C33,Gällivare!$B$6:$B$36,0),FALSE)="No Impact",HLOOKUP(LEFT(AV$3,4),Global!$B$6:$J$36,MATCH($C33,Global!$B$6:$B$36,0),FALSE)="No Impact"),HLOOKUP(RIGHT(AV$3,LEN(AV$3)-FIND(".",AV$3,FIND(".",AV$3)+1)),Gällivare!$B$6:$J$36,MATCH($C33,Gällivare!$B$6:$B$36,0),FALSE),"Global: "&amp;HLOOKUP(LEFT(AV$3,4),Global!$B$6:$J$36,MATCH($C33,Global!$B$6:$B$36,0),FALSE)&amp;CHAR(10)&amp;"Local Trend: "&amp;HLOOKUP(MID(AV$3,FIND(".",AV$3)+1,FIND(".",AV$3,FIND(".",AV$3)+1)-FIND(".",AV$3)-1),Gällivare!$B$6:$J$36,MATCH($C33,Gällivare!$B$6:$B$36,0),FALSE)&amp;CHAR(10)&amp;"Local Target: "&amp;HLOOKUP(RIGHT(AV$3,LEN(AV$3)-FIND(".",AV$3,FIND(".",AV$3)+1)),Gällivare!$B$6:$J$36,MATCH($C33,Gällivare!$B$6:$B$36,0),FALSE)))</f>
        <v>Medium</v>
      </c>
      <c r="AW33" s="177" t="str">
        <f>IF(AND(HLOOKUP(MID(AW$3,FIND(".",AW$3)+1,FIND(".",AW$3,FIND(".",AW$3)+1)-FIND(".",AW$3)-1),Gällivare!$B$6:$J$36,MATCH($C33,Gällivare!$B$6:$B$36,0),FALSE)="No Impact",HLOOKUP(RIGHT(AW$3,LEN(AW$3)-FIND(".",AW$3,FIND(".",AW$3)+1)),Gällivare!$B$6:$J$36,MATCH($C33,Gällivare!$B$6:$B$36,0),FALSE)="No Impact"),HLOOKUP(LEFT(AW$3,4),Global!$B$6:$J$36,MATCH($C33,Global!$B$6:$B$36,0),FALSE),IF(AND(HLOOKUP(MID(AW$3,FIND(".",AW$3)+1,FIND(".",AW$3,FIND(".",AW$3)+1)-FIND(".",AW$3)-1),Gällivare!$B$6:$J$36,MATCH($C33,Gällivare!$B$6:$B$36,0),FALSE)="No Impact",HLOOKUP(LEFT(AW$3,4),Global!$B$6:$J$36,MATCH($C33,Global!$B$6:$B$36,0),FALSE)="No Impact"),HLOOKUP(RIGHT(AW$3,LEN(AW$3)-FIND(".",AW$3,FIND(".",AW$3)+1)),Gällivare!$B$6:$J$36,MATCH($C33,Gällivare!$B$6:$B$36,0),FALSE),"Global: "&amp;HLOOKUP(LEFT(AW$3,4),Global!$B$6:$J$36,MATCH($C33,Global!$B$6:$B$36,0),FALSE)&amp;CHAR(10)&amp;"Local Trend: "&amp;HLOOKUP(MID(AW$3,FIND(".",AW$3)+1,FIND(".",AW$3,FIND(".",AW$3)+1)-FIND(".",AW$3)-1),Gällivare!$B$6:$J$36,MATCH($C33,Gällivare!$B$6:$B$36,0),FALSE)&amp;CHAR(10)&amp;"Local Target: "&amp;HLOOKUP(RIGHT(AW$3,LEN(AW$3)-FIND(".",AW$3,FIND(".",AW$3)+1)),Gällivare!$B$6:$J$36,MATCH($C33,Gällivare!$B$6:$B$36,0),FALSE)))</f>
        <v>Medium</v>
      </c>
      <c r="AX33" s="177" t="str">
        <f>IF(AND(HLOOKUP(MID(AX$3,FIND(".",AX$3)+1,FIND(".",AX$3,FIND(".",AX$3)+1)-FIND(".",AX$3)-1),Gällivare!$B$6:$J$36,MATCH($C33,Gällivare!$B$6:$B$36,0),FALSE)="No Impact",HLOOKUP(RIGHT(AX$3,LEN(AX$3)-FIND(".",AX$3,FIND(".",AX$3)+1)),Gällivare!$B$6:$J$36,MATCH($C33,Gällivare!$B$6:$B$36,0),FALSE)="No Impact"),HLOOKUP(LEFT(AX$3,4),Global!$B$6:$J$36,MATCH($C33,Global!$B$6:$B$36,0),FALSE),IF(AND(HLOOKUP(MID(AX$3,FIND(".",AX$3)+1,FIND(".",AX$3,FIND(".",AX$3)+1)-FIND(".",AX$3)-1),Gällivare!$B$6:$J$36,MATCH($C33,Gällivare!$B$6:$B$36,0),FALSE)="No Impact",HLOOKUP(LEFT(AX$3,4),Global!$B$6:$J$36,MATCH($C33,Global!$B$6:$B$36,0),FALSE)="No Impact"),HLOOKUP(RIGHT(AX$3,LEN(AX$3)-FIND(".",AX$3,FIND(".",AX$3)+1)),Gällivare!$B$6:$J$36,MATCH($C33,Gällivare!$B$6:$B$36,0),FALSE),"Global: "&amp;HLOOKUP(LEFT(AX$3,4),Global!$B$6:$J$36,MATCH($C33,Global!$B$6:$B$36,0),FALSE)&amp;CHAR(10)&amp;"Local Trend: "&amp;HLOOKUP(MID(AX$3,FIND(".",AX$3)+1,FIND(".",AX$3,FIND(".",AX$3)+1)-FIND(".",AX$3)-1),Gällivare!$B$6:$J$36,MATCH($C33,Gällivare!$B$6:$B$36,0),FALSE)&amp;CHAR(10)&amp;"Local Target: "&amp;HLOOKUP(RIGHT(AX$3,LEN(AX$3)-FIND(".",AX$3,FIND(".",AX$3)+1)),Gällivare!$B$6:$J$36,MATCH($C33,Gällivare!$B$6:$B$36,0),FALSE)))</f>
        <v>Medium</v>
      </c>
      <c r="AY33" s="177" t="str">
        <f>IF(AND(HLOOKUP(MID(AY$3,FIND(".",AY$3)+1,FIND(".",AY$3,FIND(".",AY$3)+1)-FIND(".",AY$3)-1),Gällivare!$B$6:$J$36,MATCH($C33,Gällivare!$B$6:$B$36,0),FALSE)="No Impact",HLOOKUP(RIGHT(AY$3,LEN(AY$3)-FIND(".",AY$3,FIND(".",AY$3)+1)),Gällivare!$B$6:$J$36,MATCH($C33,Gällivare!$B$6:$B$36,0),FALSE)="No Impact"),HLOOKUP(LEFT(AY$3,4),Global!$B$6:$J$36,MATCH($C33,Global!$B$6:$B$36,0),FALSE),IF(AND(HLOOKUP(MID(AY$3,FIND(".",AY$3)+1,FIND(".",AY$3,FIND(".",AY$3)+1)-FIND(".",AY$3)-1),Gällivare!$B$6:$J$36,MATCH($C33,Gällivare!$B$6:$B$36,0),FALSE)="No Impact",HLOOKUP(LEFT(AY$3,4),Global!$B$6:$J$36,MATCH($C33,Global!$B$6:$B$36,0),FALSE)="No Impact"),HLOOKUP(RIGHT(AY$3,LEN(AY$3)-FIND(".",AY$3,FIND(".",AY$3)+1)),Gällivare!$B$6:$J$36,MATCH($C33,Gällivare!$B$6:$B$36,0),FALSE),"Global: "&amp;HLOOKUP(LEFT(AY$3,4),Global!$B$6:$J$36,MATCH($C33,Global!$B$6:$B$36,0),FALSE)&amp;CHAR(10)&amp;"Local Trend: "&amp;HLOOKUP(MID(AY$3,FIND(".",AY$3)+1,FIND(".",AY$3,FIND(".",AY$3)+1)-FIND(".",AY$3)-1),Gällivare!$B$6:$J$36,MATCH($C33,Gällivare!$B$6:$B$36,0),FALSE)&amp;CHAR(10)&amp;"Local Target: "&amp;HLOOKUP(RIGHT(AY$3,LEN(AY$3)-FIND(".",AY$3,FIND(".",AY$3)+1)),Gällivare!$B$6:$J$36,MATCH($C33,Gällivare!$B$6:$B$36,0),FALSE)))</f>
        <v>Low</v>
      </c>
      <c r="AZ33" s="177" t="str">
        <f>IF(AND(HLOOKUP(MID(AZ$3,FIND(".",AZ$3)+1,FIND(".",AZ$3,FIND(".",AZ$3)+1)-FIND(".",AZ$3)-1),Gällivare!$B$6:$J$36,MATCH($C33,Gällivare!$B$6:$B$36,0),FALSE)="No Impact",HLOOKUP(RIGHT(AZ$3,LEN(AZ$3)-FIND(".",AZ$3,FIND(".",AZ$3)+1)),Gällivare!$B$6:$J$36,MATCH($C33,Gällivare!$B$6:$B$36,0),FALSE)="No Impact"),HLOOKUP(LEFT(AZ$3,4),Global!$B$6:$J$36,MATCH($C33,Global!$B$6:$B$36,0),FALSE),IF(AND(HLOOKUP(MID(AZ$3,FIND(".",AZ$3)+1,FIND(".",AZ$3,FIND(".",AZ$3)+1)-FIND(".",AZ$3)-1),Gällivare!$B$6:$J$36,MATCH($C33,Gällivare!$B$6:$B$36,0),FALSE)="No Impact",HLOOKUP(LEFT(AZ$3,4),Global!$B$6:$J$36,MATCH($C33,Global!$B$6:$B$36,0),FALSE)="No Impact"),HLOOKUP(RIGHT(AZ$3,LEN(AZ$3)-FIND(".",AZ$3,FIND(".",AZ$3)+1)),Gällivare!$B$6:$J$36,MATCH($C33,Gällivare!$B$6:$B$36,0),FALSE),"Global: "&amp;HLOOKUP(LEFT(AZ$3,4),Global!$B$6:$J$36,MATCH($C33,Global!$B$6:$B$36,0),FALSE)&amp;CHAR(10)&amp;"Local Trend: "&amp;HLOOKUP(MID(AZ$3,FIND(".",AZ$3)+1,FIND(".",AZ$3,FIND(".",AZ$3)+1)-FIND(".",AZ$3)-1),Gällivare!$B$6:$J$36,MATCH($C33,Gällivare!$B$6:$B$36,0),FALSE)&amp;CHAR(10)&amp;"Local Target: "&amp;HLOOKUP(RIGHT(AZ$3,LEN(AZ$3)-FIND(".",AZ$3,FIND(".",AZ$3)+1)),Gällivare!$B$6:$J$36,MATCH($C33,Gällivare!$B$6:$B$36,0),FALSE)))</f>
        <v>Low</v>
      </c>
      <c r="BA33" s="177" t="str">
        <f>IF(AND(HLOOKUP(MID(BA$3,FIND(".",BA$3)+1,FIND(".",BA$3,FIND(".",BA$3)+1)-FIND(".",BA$3)-1),Gällivare!$B$6:$J$36,MATCH($C33,Gällivare!$B$6:$B$36,0),FALSE)="No Impact",HLOOKUP(RIGHT(BA$3,LEN(BA$3)-FIND(".",BA$3,FIND(".",BA$3)+1)),Gällivare!$B$6:$J$36,MATCH($C33,Gällivare!$B$6:$B$36,0),FALSE)="No Impact"),HLOOKUP(LEFT(BA$3,4),Global!$B$6:$J$36,MATCH($C33,Global!$B$6:$B$36,0),FALSE),IF(AND(HLOOKUP(MID(BA$3,FIND(".",BA$3)+1,FIND(".",BA$3,FIND(".",BA$3)+1)-FIND(".",BA$3)-1),Gällivare!$B$6:$J$36,MATCH($C33,Gällivare!$B$6:$B$36,0),FALSE)="No Impact",HLOOKUP(LEFT(BA$3,4),Global!$B$6:$J$36,MATCH($C33,Global!$B$6:$B$36,0),FALSE)="No Impact"),HLOOKUP(RIGHT(BA$3,LEN(BA$3)-FIND(".",BA$3,FIND(".",BA$3)+1)),Gällivare!$B$6:$J$36,MATCH($C33,Gällivare!$B$6:$B$36,0),FALSE),"Global: "&amp;HLOOKUP(LEFT(BA$3,4),Global!$B$6:$J$36,MATCH($C33,Global!$B$6:$B$36,0),FALSE)&amp;CHAR(10)&amp;"Local Trend: "&amp;HLOOKUP(MID(BA$3,FIND(".",BA$3)+1,FIND(".",BA$3,FIND(".",BA$3)+1)-FIND(".",BA$3)-1),Gällivare!$B$6:$J$36,MATCH($C33,Gällivare!$B$6:$B$36,0),FALSE)&amp;CHAR(10)&amp;"Local Target: "&amp;HLOOKUP(RIGHT(BA$3,LEN(BA$3)-FIND(".",BA$3,FIND(".",BA$3)+1)),Gällivare!$B$6:$J$36,MATCH($C33,Gällivare!$B$6:$B$36,0),FALSE)))</f>
        <v>Low</v>
      </c>
      <c r="BB33" s="177" t="str">
        <f>IF(AND(HLOOKUP(MID(BB$3,FIND(".",BB$3)+1,FIND(".",BB$3,FIND(".",BB$3)+1)-FIND(".",BB$3)-1),Gällivare!$B$6:$J$36,MATCH($C33,Gällivare!$B$6:$B$36,0),FALSE)="No Impact",HLOOKUP(RIGHT(BB$3,LEN(BB$3)-FIND(".",BB$3,FIND(".",BB$3)+1)),Gällivare!$B$6:$J$36,MATCH($C33,Gällivare!$B$6:$B$36,0),FALSE)="No Impact"),HLOOKUP(LEFT(BB$3,4),Global!$B$6:$J$36,MATCH($C33,Global!$B$6:$B$36,0),FALSE),IF(AND(HLOOKUP(MID(BB$3,FIND(".",BB$3)+1,FIND(".",BB$3,FIND(".",BB$3)+1)-FIND(".",BB$3)-1),Gällivare!$B$6:$J$36,MATCH($C33,Gällivare!$B$6:$B$36,0),FALSE)="No Impact",HLOOKUP(LEFT(BB$3,4),Global!$B$6:$J$36,MATCH($C33,Global!$B$6:$B$36,0),FALSE)="No Impact"),HLOOKUP(RIGHT(BB$3,LEN(BB$3)-FIND(".",BB$3,FIND(".",BB$3)+1)),Gällivare!$B$6:$J$36,MATCH($C33,Gällivare!$B$6:$B$36,0),FALSE),"Global: "&amp;HLOOKUP(LEFT(BB$3,4),Global!$B$6:$J$36,MATCH($C33,Global!$B$6:$B$36,0),FALSE)&amp;CHAR(10)&amp;"Local Trend: "&amp;HLOOKUP(MID(BB$3,FIND(".",BB$3)+1,FIND(".",BB$3,FIND(".",BB$3)+1)-FIND(".",BB$3)-1),Gällivare!$B$6:$J$36,MATCH($C33,Gällivare!$B$6:$B$36,0),FALSE)&amp;CHAR(10)&amp;"Local Target: "&amp;HLOOKUP(RIGHT(BB$3,LEN(BB$3)-FIND(".",BB$3,FIND(".",BB$3)+1)),Gällivare!$B$6:$J$36,MATCH($C33,Gällivare!$B$6:$B$36,0),FALSE)))</f>
        <v>Low</v>
      </c>
      <c r="BC33" s="177" t="str">
        <f>IF(AND(HLOOKUP(MID(BC$3,FIND(".",BC$3)+1,FIND(".",BC$3,FIND(".",BC$3)+1)-FIND(".",BC$3)-1),Gällivare!$B$6:$J$36,MATCH($C33,Gällivare!$B$6:$B$36,0),FALSE)="No Impact",HLOOKUP(RIGHT(BC$3,LEN(BC$3)-FIND(".",BC$3,FIND(".",BC$3)+1)),Gällivare!$B$6:$J$36,MATCH($C33,Gällivare!$B$6:$B$36,0),FALSE)="No Impact"),HLOOKUP(LEFT(BC$3,4),Global!$B$6:$J$36,MATCH($C33,Global!$B$6:$B$36,0),FALSE),IF(AND(HLOOKUP(MID(BC$3,FIND(".",BC$3)+1,FIND(".",BC$3,FIND(".",BC$3)+1)-FIND(".",BC$3)-1),Gällivare!$B$6:$J$36,MATCH($C33,Gällivare!$B$6:$B$36,0),FALSE)="No Impact",HLOOKUP(LEFT(BC$3,4),Global!$B$6:$J$36,MATCH($C33,Global!$B$6:$B$36,0),FALSE)="No Impact"),HLOOKUP(RIGHT(BC$3,LEN(BC$3)-FIND(".",BC$3,FIND(".",BC$3)+1)),Gällivare!$B$6:$J$36,MATCH($C33,Gällivare!$B$6:$B$36,0),FALSE),"Global: "&amp;HLOOKUP(LEFT(BC$3,4),Global!$B$6:$J$36,MATCH($C33,Global!$B$6:$B$36,0),FALSE)&amp;CHAR(10)&amp;"Local Trend: "&amp;HLOOKUP(MID(BC$3,FIND(".",BC$3)+1,FIND(".",BC$3,FIND(".",BC$3)+1)-FIND(".",BC$3)-1),Gällivare!$B$6:$J$36,MATCH($C33,Gällivare!$B$6:$B$36,0),FALSE)&amp;CHAR(10)&amp;"Local Target: "&amp;HLOOKUP(RIGHT(BC$3,LEN(BC$3)-FIND(".",BC$3,FIND(".",BC$3)+1)),Gällivare!$B$6:$J$36,MATCH($C33,Gällivare!$B$6:$B$36,0),FALSE)))</f>
        <v>Low</v>
      </c>
      <c r="BD33" s="177" t="str">
        <f>IF(AND(HLOOKUP(MID(BD$3,FIND(".",BD$3)+1,FIND(".",BD$3,FIND(".",BD$3)+1)-FIND(".",BD$3)-1),Gällivare!$B$6:$J$36,MATCH($C33,Gällivare!$B$6:$B$36,0),FALSE)="No Impact",HLOOKUP(RIGHT(BD$3,LEN(BD$3)-FIND(".",BD$3,FIND(".",BD$3)+1)),Gällivare!$B$6:$J$36,MATCH($C33,Gällivare!$B$6:$B$36,0),FALSE)="No Impact"),HLOOKUP(LEFT(BD$3,4),Global!$B$6:$J$36,MATCH($C33,Global!$B$6:$B$36,0),FALSE),IF(AND(HLOOKUP(MID(BD$3,FIND(".",BD$3)+1,FIND(".",BD$3,FIND(".",BD$3)+1)-FIND(".",BD$3)-1),Gällivare!$B$6:$J$36,MATCH($C33,Gällivare!$B$6:$B$36,0),FALSE)="No Impact",HLOOKUP(LEFT(BD$3,4),Global!$B$6:$J$36,MATCH($C33,Global!$B$6:$B$36,0),FALSE)="No Impact"),HLOOKUP(RIGHT(BD$3,LEN(BD$3)-FIND(".",BD$3,FIND(".",BD$3)+1)),Gällivare!$B$6:$J$36,MATCH($C33,Gällivare!$B$6:$B$36,0),FALSE),"Global: "&amp;HLOOKUP(LEFT(BD$3,4),Global!$B$6:$J$36,MATCH($C33,Global!$B$6:$B$36,0),FALSE)&amp;CHAR(10)&amp;"Local Trend: "&amp;HLOOKUP(MID(BD$3,FIND(".",BD$3)+1,FIND(".",BD$3,FIND(".",BD$3)+1)-FIND(".",BD$3)-1),Gällivare!$B$6:$J$36,MATCH($C33,Gällivare!$B$6:$B$36,0),FALSE)&amp;CHAR(10)&amp;"Local Target: "&amp;HLOOKUP(RIGHT(BD$3,LEN(BD$3)-FIND(".",BD$3,FIND(".",BD$3)+1)),Gällivare!$B$6:$J$36,MATCH($C33,Gällivare!$B$6:$B$36,0),FALSE)))</f>
        <v>Low</v>
      </c>
      <c r="BE33" s="177" t="str">
        <f>IF(AND(HLOOKUP(MID(BE$3,FIND(".",BE$3)+1,FIND(".",BE$3,FIND(".",BE$3)+1)-FIND(".",BE$3)-1),Gällivare!$B$6:$J$36,MATCH($C33,Gällivare!$B$6:$B$36,0),FALSE)="No Impact",HLOOKUP(RIGHT(BE$3,LEN(BE$3)-FIND(".",BE$3,FIND(".",BE$3)+1)),Gällivare!$B$6:$J$36,MATCH($C33,Gällivare!$B$6:$B$36,0),FALSE)="No Impact"),HLOOKUP(LEFT(BE$3,4),Global!$B$6:$J$36,MATCH($C33,Global!$B$6:$B$36,0),FALSE),IF(AND(HLOOKUP(MID(BE$3,FIND(".",BE$3)+1,FIND(".",BE$3,FIND(".",BE$3)+1)-FIND(".",BE$3)-1),Gällivare!$B$6:$J$36,MATCH($C33,Gällivare!$B$6:$B$36,0),FALSE)="No Impact",HLOOKUP(LEFT(BE$3,4),Global!$B$6:$J$36,MATCH($C33,Global!$B$6:$B$36,0),FALSE)="No Impact"),HLOOKUP(RIGHT(BE$3,LEN(BE$3)-FIND(".",BE$3,FIND(".",BE$3)+1)),Gällivare!$B$6:$J$36,MATCH($C33,Gällivare!$B$6:$B$36,0),FALSE),"Global: "&amp;HLOOKUP(LEFT(BE$3,4),Global!$B$6:$J$36,MATCH($C33,Global!$B$6:$B$36,0),FALSE)&amp;CHAR(10)&amp;"Local Trend: "&amp;HLOOKUP(MID(BE$3,FIND(".",BE$3)+1,FIND(".",BE$3,FIND(".",BE$3)+1)-FIND(".",BE$3)-1),Gällivare!$B$6:$J$36,MATCH($C33,Gällivare!$B$6:$B$36,0),FALSE)&amp;CHAR(10)&amp;"Local Target: "&amp;HLOOKUP(RIGHT(BE$3,LEN(BE$3)-FIND(".",BE$3,FIND(".",BE$3)+1)),Gällivare!$B$6:$J$36,MATCH($C33,Gällivare!$B$6:$B$36,0),FALSE)))</f>
        <v>Medium</v>
      </c>
      <c r="BF33" s="177" t="str">
        <f>IF(AND(HLOOKUP(MID(BF$3,FIND(".",BF$3)+1,FIND(".",BF$3,FIND(".",BF$3)+1)-FIND(".",BF$3)-1),Gällivare!$B$6:$J$36,MATCH($C33,Gällivare!$B$6:$B$36,0),FALSE)="No Impact",HLOOKUP(RIGHT(BF$3,LEN(BF$3)-FIND(".",BF$3,FIND(".",BF$3)+1)),Gällivare!$B$6:$J$36,MATCH($C33,Gällivare!$B$6:$B$36,0),FALSE)="No Impact"),HLOOKUP(LEFT(BF$3,4),Global!$B$6:$J$36,MATCH($C33,Global!$B$6:$B$36,0),FALSE),IF(AND(HLOOKUP(MID(BF$3,FIND(".",BF$3)+1,FIND(".",BF$3,FIND(".",BF$3)+1)-FIND(".",BF$3)-1),Gällivare!$B$6:$J$36,MATCH($C33,Gällivare!$B$6:$B$36,0),FALSE)="No Impact",HLOOKUP(LEFT(BF$3,4),Global!$B$6:$J$36,MATCH($C33,Global!$B$6:$B$36,0),FALSE)="No Impact"),HLOOKUP(RIGHT(BF$3,LEN(BF$3)-FIND(".",BF$3,FIND(".",BF$3)+1)),Gällivare!$B$6:$J$36,MATCH($C33,Gällivare!$B$6:$B$36,0),FALSE),"Global: "&amp;HLOOKUP(LEFT(BF$3,4),Global!$B$6:$J$36,MATCH($C33,Global!$B$6:$B$36,0),FALSE)&amp;CHAR(10)&amp;"Local Trend: "&amp;HLOOKUP(MID(BF$3,FIND(".",BF$3)+1,FIND(".",BF$3,FIND(".",BF$3)+1)-FIND(".",BF$3)-1),Gällivare!$B$6:$J$36,MATCH($C33,Gällivare!$B$6:$B$36,0),FALSE)&amp;CHAR(10)&amp;"Local Target: "&amp;HLOOKUP(RIGHT(BF$3,LEN(BF$3)-FIND(".",BF$3,FIND(".",BF$3)+1)),Gällivare!$B$6:$J$36,MATCH($C33,Gällivare!$B$6:$B$36,0),FALSE)))</f>
        <v>Medium</v>
      </c>
      <c r="BG33" s="177" t="str">
        <f>IF(AND(HLOOKUP(MID(BG$3,FIND(".",BG$3)+1,FIND(".",BG$3,FIND(".",BG$3)+1)-FIND(".",BG$3)-1),Gällivare!$B$6:$J$36,MATCH($C33,Gällivare!$B$6:$B$36,0),FALSE)="No Impact",HLOOKUP(RIGHT(BG$3,LEN(BG$3)-FIND(".",BG$3,FIND(".",BG$3)+1)),Gällivare!$B$6:$J$36,MATCH($C33,Gällivare!$B$6:$B$36,0),FALSE)="No Impact"),HLOOKUP(LEFT(BG$3,4),Global!$B$6:$J$36,MATCH($C33,Global!$B$6:$B$36,0),FALSE),IF(AND(HLOOKUP(MID(BG$3,FIND(".",BG$3)+1,FIND(".",BG$3,FIND(".",BG$3)+1)-FIND(".",BG$3)-1),Gällivare!$B$6:$J$36,MATCH($C33,Gällivare!$B$6:$B$36,0),FALSE)="No Impact",HLOOKUP(LEFT(BG$3,4),Global!$B$6:$J$36,MATCH($C33,Global!$B$6:$B$36,0),FALSE)="No Impact"),HLOOKUP(RIGHT(BG$3,LEN(BG$3)-FIND(".",BG$3,FIND(".",BG$3)+1)),Gällivare!$B$6:$J$36,MATCH($C33,Gällivare!$B$6:$B$36,0),FALSE),"Global: "&amp;HLOOKUP(LEFT(BG$3,4),Global!$B$6:$J$36,MATCH($C33,Global!$B$6:$B$36,0),FALSE)&amp;CHAR(10)&amp;"Local Trend: "&amp;HLOOKUP(MID(BG$3,FIND(".",BG$3)+1,FIND(".",BG$3,FIND(".",BG$3)+1)-FIND(".",BG$3)-1),Gällivare!$B$6:$J$36,MATCH($C33,Gällivare!$B$6:$B$36,0),FALSE)&amp;CHAR(10)&amp;"Local Target: "&amp;HLOOKUP(RIGHT(BG$3,LEN(BG$3)-FIND(".",BG$3,FIND(".",BG$3)+1)),Gällivare!$B$6:$J$36,MATCH($C33,Gällivare!$B$6:$B$36,0),FALSE)))</f>
        <v>Medium</v>
      </c>
      <c r="BH33" s="177" t="str">
        <f>IF(AND(HLOOKUP(MID(BH$3,FIND(".",BH$3)+1,FIND(".",BH$3,FIND(".",BH$3)+1)-FIND(".",BH$3)-1),Gällivare!$B$6:$J$36,MATCH($C33,Gällivare!$B$6:$B$36,0),FALSE)="No Impact",HLOOKUP(RIGHT(BH$3,LEN(BH$3)-FIND(".",BH$3,FIND(".",BH$3)+1)),Gällivare!$B$6:$J$36,MATCH($C33,Gällivare!$B$6:$B$36,0),FALSE)="No Impact"),HLOOKUP(LEFT(BH$3,4),Global!$B$6:$J$36,MATCH($C33,Global!$B$6:$B$36,0),FALSE),IF(AND(HLOOKUP(MID(BH$3,FIND(".",BH$3)+1,FIND(".",BH$3,FIND(".",BH$3)+1)-FIND(".",BH$3)-1),Gällivare!$B$6:$J$36,MATCH($C33,Gällivare!$B$6:$B$36,0),FALSE)="No Impact",HLOOKUP(LEFT(BH$3,4),Global!$B$6:$J$36,MATCH($C33,Global!$B$6:$B$36,0),FALSE)="No Impact"),HLOOKUP(RIGHT(BH$3,LEN(BH$3)-FIND(".",BH$3,FIND(".",BH$3)+1)),Gällivare!$B$6:$J$36,MATCH($C33,Gällivare!$B$6:$B$36,0),FALSE),"Global: "&amp;HLOOKUP(LEFT(BH$3,4),Global!$B$6:$J$36,MATCH($C33,Global!$B$6:$B$36,0),FALSE)&amp;CHAR(10)&amp;"Local Trend: "&amp;HLOOKUP(MID(BH$3,FIND(".",BH$3)+1,FIND(".",BH$3,FIND(".",BH$3)+1)-FIND(".",BH$3)-1),Gällivare!$B$6:$J$36,MATCH($C33,Gällivare!$B$6:$B$36,0),FALSE)&amp;CHAR(10)&amp;"Local Target: "&amp;HLOOKUP(RIGHT(BH$3,LEN(BH$3)-FIND(".",BH$3,FIND(".",BH$3)+1)),Gällivare!$B$6:$J$36,MATCH($C33,Gällivare!$B$6:$B$36,0),FALSE)))</f>
        <v>Medium</v>
      </c>
      <c r="BI33" s="177" t="str">
        <f>IF(AND(HLOOKUP(MID(BI$3,FIND(".",BI$3)+1,FIND(".",BI$3,FIND(".",BI$3)+1)-FIND(".",BI$3)-1),Gällivare!$B$6:$J$36,MATCH($C33,Gällivare!$B$6:$B$36,0),FALSE)="No Impact",HLOOKUP(RIGHT(BI$3,LEN(BI$3)-FIND(".",BI$3,FIND(".",BI$3)+1)),Gällivare!$B$6:$J$36,MATCH($C33,Gällivare!$B$6:$B$36,0),FALSE)="No Impact"),HLOOKUP(LEFT(BI$3,4),Global!$B$6:$J$36,MATCH($C33,Global!$B$6:$B$36,0),FALSE),IF(AND(HLOOKUP(MID(BI$3,FIND(".",BI$3)+1,FIND(".",BI$3,FIND(".",BI$3)+1)-FIND(".",BI$3)-1),Gällivare!$B$6:$J$36,MATCH($C33,Gällivare!$B$6:$B$36,0),FALSE)="No Impact",HLOOKUP(LEFT(BI$3,4),Global!$B$6:$J$36,MATCH($C33,Global!$B$6:$B$36,0),FALSE)="No Impact"),HLOOKUP(RIGHT(BI$3,LEN(BI$3)-FIND(".",BI$3,FIND(".",BI$3)+1)),Gällivare!$B$6:$J$36,MATCH($C33,Gällivare!$B$6:$B$36,0),FALSE),"Global: "&amp;HLOOKUP(LEFT(BI$3,4),Global!$B$6:$J$36,MATCH($C33,Global!$B$6:$B$36,0),FALSE)&amp;CHAR(10)&amp;"Local Trend: "&amp;HLOOKUP(MID(BI$3,FIND(".",BI$3)+1,FIND(".",BI$3,FIND(".",BI$3)+1)-FIND(".",BI$3)-1),Gällivare!$B$6:$J$36,MATCH($C33,Gällivare!$B$6:$B$36,0),FALSE)&amp;CHAR(10)&amp;"Local Target: "&amp;HLOOKUP(RIGHT(BI$3,LEN(BI$3)-FIND(".",BI$3,FIND(".",BI$3)+1)),Gällivare!$B$6:$J$36,MATCH($C33,Gällivare!$B$6:$B$36,0),FALSE)))</f>
        <v>Medium</v>
      </c>
      <c r="BJ33" s="177" t="str">
        <f>IF(AND(HLOOKUP(MID(BJ$3,FIND(".",BJ$3)+1,FIND(".",BJ$3,FIND(".",BJ$3)+1)-FIND(".",BJ$3)-1),Gällivare!$B$6:$J$36,MATCH($C33,Gällivare!$B$6:$B$36,0),FALSE)="No Impact",HLOOKUP(RIGHT(BJ$3,LEN(BJ$3)-FIND(".",BJ$3,FIND(".",BJ$3)+1)),Gällivare!$B$6:$J$36,MATCH($C33,Gällivare!$B$6:$B$36,0),FALSE)="No Impact"),HLOOKUP(LEFT(BJ$3,4),Global!$B$6:$J$36,MATCH($C33,Global!$B$6:$B$36,0),FALSE),IF(AND(HLOOKUP(MID(BJ$3,FIND(".",BJ$3)+1,FIND(".",BJ$3,FIND(".",BJ$3)+1)-FIND(".",BJ$3)-1),Gällivare!$B$6:$J$36,MATCH($C33,Gällivare!$B$6:$B$36,0),FALSE)="No Impact",HLOOKUP(LEFT(BJ$3,4),Global!$B$6:$J$36,MATCH($C33,Global!$B$6:$B$36,0),FALSE)="No Impact"),HLOOKUP(RIGHT(BJ$3,LEN(BJ$3)-FIND(".",BJ$3,FIND(".",BJ$3)+1)),Gällivare!$B$6:$J$36,MATCH($C33,Gällivare!$B$6:$B$36,0),FALSE),"Global: "&amp;HLOOKUP(LEFT(BJ$3,4),Global!$B$6:$J$36,MATCH($C33,Global!$B$6:$B$36,0),FALSE)&amp;CHAR(10)&amp;"Local Trend: "&amp;HLOOKUP(MID(BJ$3,FIND(".",BJ$3)+1,FIND(".",BJ$3,FIND(".",BJ$3)+1)-FIND(".",BJ$3)-1),Gällivare!$B$6:$J$36,MATCH($C33,Gällivare!$B$6:$B$36,0),FALSE)&amp;CHAR(10)&amp;"Local Target: "&amp;HLOOKUP(RIGHT(BJ$3,LEN(BJ$3)-FIND(".",BJ$3,FIND(".",BJ$3)+1)),Gällivare!$B$6:$J$36,MATCH($C33,Gällivare!$B$6:$B$36,0),FALSE)))</f>
        <v>Medium</v>
      </c>
      <c r="BK33" s="177" t="str">
        <f>IF(AND(HLOOKUP(MID(BK$3,FIND(".",BK$3)+1,FIND(".",BK$3,FIND(".",BK$3)+1)-FIND(".",BK$3)-1),Gällivare!$B$6:$J$36,MATCH($C33,Gällivare!$B$6:$B$36,0),FALSE)="No Impact",HLOOKUP(RIGHT(BK$3,LEN(BK$3)-FIND(".",BK$3,FIND(".",BK$3)+1)),Gällivare!$B$6:$J$36,MATCH($C33,Gällivare!$B$6:$B$36,0),FALSE)="No Impact"),HLOOKUP(LEFT(BK$3,4),Global!$B$6:$J$36,MATCH($C33,Global!$B$6:$B$36,0),FALSE),IF(AND(HLOOKUP(MID(BK$3,FIND(".",BK$3)+1,FIND(".",BK$3,FIND(".",BK$3)+1)-FIND(".",BK$3)-1),Gällivare!$B$6:$J$36,MATCH($C33,Gällivare!$B$6:$B$36,0),FALSE)="No Impact",HLOOKUP(LEFT(BK$3,4),Global!$B$6:$J$36,MATCH($C33,Global!$B$6:$B$36,0),FALSE)="No Impact"),HLOOKUP(RIGHT(BK$3,LEN(BK$3)-FIND(".",BK$3,FIND(".",BK$3)+1)),Gällivare!$B$6:$J$36,MATCH($C33,Gällivare!$B$6:$B$36,0),FALSE),"Global: "&amp;HLOOKUP(LEFT(BK$3,4),Global!$B$6:$J$36,MATCH($C33,Global!$B$6:$B$36,0),FALSE)&amp;CHAR(10)&amp;"Local Trend: "&amp;HLOOKUP(MID(BK$3,FIND(".",BK$3)+1,FIND(".",BK$3,FIND(".",BK$3)+1)-FIND(".",BK$3)-1),Gällivare!$B$6:$J$36,MATCH($C33,Gällivare!$B$6:$B$36,0),FALSE)&amp;CHAR(10)&amp;"Local Target: "&amp;HLOOKUP(RIGHT(BK$3,LEN(BK$3)-FIND(".",BK$3,FIND(".",BK$3)+1)),Gällivare!$B$6:$J$36,MATCH($C33,Gällivare!$B$6:$B$36,0),FALSE)))</f>
        <v>Low</v>
      </c>
      <c r="BL33" s="177" t="str">
        <f>IF(AND(HLOOKUP(MID(BL$3,FIND(".",BL$3)+1,FIND(".",BL$3,FIND(".",BL$3)+1)-FIND(".",BL$3)-1),Gällivare!$B$6:$J$36,MATCH($C33,Gällivare!$B$6:$B$36,0),FALSE)="No Impact",HLOOKUP(RIGHT(BL$3,LEN(BL$3)-FIND(".",BL$3,FIND(".",BL$3)+1)),Gällivare!$B$6:$J$36,MATCH($C33,Gällivare!$B$6:$B$36,0),FALSE)="No Impact"),HLOOKUP(LEFT(BL$3,4),Global!$B$6:$J$36,MATCH($C33,Global!$B$6:$B$36,0),FALSE),IF(AND(HLOOKUP(MID(BL$3,FIND(".",BL$3)+1,FIND(".",BL$3,FIND(".",BL$3)+1)-FIND(".",BL$3)-1),Gällivare!$B$6:$J$36,MATCH($C33,Gällivare!$B$6:$B$36,0),FALSE)="No Impact",HLOOKUP(LEFT(BL$3,4),Global!$B$6:$J$36,MATCH($C33,Global!$B$6:$B$36,0),FALSE)="No Impact"),HLOOKUP(RIGHT(BL$3,LEN(BL$3)-FIND(".",BL$3,FIND(".",BL$3)+1)),Gällivare!$B$6:$J$36,MATCH($C33,Gällivare!$B$6:$B$36,0),FALSE),"Global: "&amp;HLOOKUP(LEFT(BL$3,4),Global!$B$6:$J$36,MATCH($C33,Global!$B$6:$B$36,0),FALSE)&amp;CHAR(10)&amp;"Local Trend: "&amp;HLOOKUP(MID(BL$3,FIND(".",BL$3)+1,FIND(".",BL$3,FIND(".",BL$3)+1)-FIND(".",BL$3)-1),Gällivare!$B$6:$J$36,MATCH($C33,Gällivare!$B$6:$B$36,0),FALSE)&amp;CHAR(10)&amp;"Local Target: "&amp;HLOOKUP(RIGHT(BL$3,LEN(BL$3)-FIND(".",BL$3,FIND(".",BL$3)+1)),Gällivare!$B$6:$J$36,MATCH($C33,Gällivare!$B$6:$B$36,0),FALSE)))</f>
        <v>Low</v>
      </c>
      <c r="BM33" s="177" t="str">
        <f>IF(AND(HLOOKUP(MID(BM$3,FIND(".",BM$3)+1,FIND(".",BM$3,FIND(".",BM$3)+1)-FIND(".",BM$3)-1),Gällivare!$B$6:$J$36,MATCH($C33,Gällivare!$B$6:$B$36,0),FALSE)="No Impact",HLOOKUP(RIGHT(BM$3,LEN(BM$3)-FIND(".",BM$3,FIND(".",BM$3)+1)),Gällivare!$B$6:$J$36,MATCH($C33,Gällivare!$B$6:$B$36,0),FALSE)="No Impact"),HLOOKUP(LEFT(BM$3,4),Global!$B$6:$J$36,MATCH($C33,Global!$B$6:$B$36,0),FALSE),IF(AND(HLOOKUP(MID(BM$3,FIND(".",BM$3)+1,FIND(".",BM$3,FIND(".",BM$3)+1)-FIND(".",BM$3)-1),Gällivare!$B$6:$J$36,MATCH($C33,Gällivare!$B$6:$B$36,0),FALSE)="No Impact",HLOOKUP(LEFT(BM$3,4),Global!$B$6:$J$36,MATCH($C33,Global!$B$6:$B$36,0),FALSE)="No Impact"),HLOOKUP(RIGHT(BM$3,LEN(BM$3)-FIND(".",BM$3,FIND(".",BM$3)+1)),Gällivare!$B$6:$J$36,MATCH($C33,Gällivare!$B$6:$B$36,0),FALSE),"Global: "&amp;HLOOKUP(LEFT(BM$3,4),Global!$B$6:$J$36,MATCH($C33,Global!$B$6:$B$36,0),FALSE)&amp;CHAR(10)&amp;"Local Trend: "&amp;HLOOKUP(MID(BM$3,FIND(".",BM$3)+1,FIND(".",BM$3,FIND(".",BM$3)+1)-FIND(".",BM$3)-1),Gällivare!$B$6:$J$36,MATCH($C33,Gällivare!$B$6:$B$36,0),FALSE)&amp;CHAR(10)&amp;"Local Target: "&amp;HLOOKUP(RIGHT(BM$3,LEN(BM$3)-FIND(".",BM$3,FIND(".",BM$3)+1)),Gällivare!$B$6:$J$36,MATCH($C33,Gällivare!$B$6:$B$36,0),FALSE)))</f>
        <v>Low</v>
      </c>
      <c r="BN33" s="177" t="str">
        <f>IF(AND(HLOOKUP(MID(BN$3,FIND(".",BN$3)+1,FIND(".",BN$3,FIND(".",BN$3)+1)-FIND(".",BN$3)-1),Gällivare!$B$6:$J$36,MATCH($C33,Gällivare!$B$6:$B$36,0),FALSE)="No Impact",HLOOKUP(RIGHT(BN$3,LEN(BN$3)-FIND(".",BN$3,FIND(".",BN$3)+1)),Gällivare!$B$6:$J$36,MATCH($C33,Gällivare!$B$6:$B$36,0),FALSE)="No Impact"),HLOOKUP(LEFT(BN$3,4),Global!$B$6:$J$36,MATCH($C33,Global!$B$6:$B$36,0),FALSE),IF(AND(HLOOKUP(MID(BN$3,FIND(".",BN$3)+1,FIND(".",BN$3,FIND(".",BN$3)+1)-FIND(".",BN$3)-1),Gällivare!$B$6:$J$36,MATCH($C33,Gällivare!$B$6:$B$36,0),FALSE)="No Impact",HLOOKUP(LEFT(BN$3,4),Global!$B$6:$J$36,MATCH($C33,Global!$B$6:$B$36,0),FALSE)="No Impact"),HLOOKUP(RIGHT(BN$3,LEN(BN$3)-FIND(".",BN$3,FIND(".",BN$3)+1)),Gällivare!$B$6:$J$36,MATCH($C33,Gällivare!$B$6:$B$36,0),FALSE),"Global: "&amp;HLOOKUP(LEFT(BN$3,4),Global!$B$6:$J$36,MATCH($C33,Global!$B$6:$B$36,0),FALSE)&amp;CHAR(10)&amp;"Local Trend: "&amp;HLOOKUP(MID(BN$3,FIND(".",BN$3)+1,FIND(".",BN$3,FIND(".",BN$3)+1)-FIND(".",BN$3)-1),Gällivare!$B$6:$J$36,MATCH($C33,Gällivare!$B$6:$B$36,0),FALSE)&amp;CHAR(10)&amp;"Local Target: "&amp;HLOOKUP(RIGHT(BN$3,LEN(BN$3)-FIND(".",BN$3,FIND(".",BN$3)+1)),Gällivare!$B$6:$J$36,MATCH($C33,Gällivare!$B$6:$B$36,0),FALSE)))</f>
        <v>Low</v>
      </c>
      <c r="BO33" s="177" t="str">
        <f>IF(AND(HLOOKUP(MID(BO$3,FIND(".",BO$3)+1,FIND(".",BO$3,FIND(".",BO$3)+1)-FIND(".",BO$3)-1),Gällivare!$B$6:$J$36,MATCH($C33,Gällivare!$B$6:$B$36,0),FALSE)="No Impact",HLOOKUP(RIGHT(BO$3,LEN(BO$3)-FIND(".",BO$3,FIND(".",BO$3)+1)),Gällivare!$B$6:$J$36,MATCH($C33,Gällivare!$B$6:$B$36,0),FALSE)="No Impact"),HLOOKUP(LEFT(BO$3,4),Global!$B$6:$J$36,MATCH($C33,Global!$B$6:$B$36,0),FALSE),IF(AND(HLOOKUP(MID(BO$3,FIND(".",BO$3)+1,FIND(".",BO$3,FIND(".",BO$3)+1)-FIND(".",BO$3)-1),Gällivare!$B$6:$J$36,MATCH($C33,Gällivare!$B$6:$B$36,0),FALSE)="No Impact",HLOOKUP(LEFT(BO$3,4),Global!$B$6:$J$36,MATCH($C33,Global!$B$6:$B$36,0),FALSE)="No Impact"),HLOOKUP(RIGHT(BO$3,LEN(BO$3)-FIND(".",BO$3,FIND(".",BO$3)+1)),Gällivare!$B$6:$J$36,MATCH($C33,Gällivare!$B$6:$B$36,0),FALSE),"Global: "&amp;HLOOKUP(LEFT(BO$3,4),Global!$B$6:$J$36,MATCH($C33,Global!$B$6:$B$36,0),FALSE)&amp;CHAR(10)&amp;"Local Trend: "&amp;HLOOKUP(MID(BO$3,FIND(".",BO$3)+1,FIND(".",BO$3,FIND(".",BO$3)+1)-FIND(".",BO$3)-1),Gällivare!$B$6:$J$36,MATCH($C33,Gällivare!$B$6:$B$36,0),FALSE)&amp;CHAR(10)&amp;"Local Target: "&amp;HLOOKUP(RIGHT(BO$3,LEN(BO$3)-FIND(".",BO$3,FIND(".",BO$3)+1)),Gällivare!$B$6:$J$36,MATCH($C33,Gällivare!$B$6:$B$36,0),FALSE)))</f>
        <v>Low</v>
      </c>
      <c r="BP33" s="177" t="str">
        <f>IF(AND(HLOOKUP(MID(BP$3,FIND(".",BP$3)+1,FIND(".",BP$3,FIND(".",BP$3)+1)-FIND(".",BP$3)-1),Gällivare!$B$6:$J$36,MATCH($C33,Gällivare!$B$6:$B$36,0),FALSE)="No Impact",HLOOKUP(RIGHT(BP$3,LEN(BP$3)-FIND(".",BP$3,FIND(".",BP$3)+1)),Gällivare!$B$6:$J$36,MATCH($C33,Gällivare!$B$6:$B$36,0),FALSE)="No Impact"),HLOOKUP(LEFT(BP$3,4),Global!$B$6:$J$36,MATCH($C33,Global!$B$6:$B$36,0),FALSE),IF(AND(HLOOKUP(MID(BP$3,FIND(".",BP$3)+1,FIND(".",BP$3,FIND(".",BP$3)+1)-FIND(".",BP$3)-1),Gällivare!$B$6:$J$36,MATCH($C33,Gällivare!$B$6:$B$36,0),FALSE)="No Impact",HLOOKUP(LEFT(BP$3,4),Global!$B$6:$J$36,MATCH($C33,Global!$B$6:$B$36,0),FALSE)="No Impact"),HLOOKUP(RIGHT(BP$3,LEN(BP$3)-FIND(".",BP$3,FIND(".",BP$3)+1)),Gällivare!$B$6:$J$36,MATCH($C33,Gällivare!$B$6:$B$36,0),FALSE),"Global: "&amp;HLOOKUP(LEFT(BP$3,4),Global!$B$6:$J$36,MATCH($C33,Global!$B$6:$B$36,0),FALSE)&amp;CHAR(10)&amp;"Local Trend: "&amp;HLOOKUP(MID(BP$3,FIND(".",BP$3)+1,FIND(".",BP$3,FIND(".",BP$3)+1)-FIND(".",BP$3)-1),Gällivare!$B$6:$J$36,MATCH($C33,Gällivare!$B$6:$B$36,0),FALSE)&amp;CHAR(10)&amp;"Local Target: "&amp;HLOOKUP(RIGHT(BP$3,LEN(BP$3)-FIND(".",BP$3,FIND(".",BP$3)+1)),Gällivare!$B$6:$J$36,MATCH($C33,Gällivare!$B$6:$B$36,0),FALSE)))</f>
        <v>Low</v>
      </c>
    </row>
  </sheetData>
  <mergeCells count="7">
    <mergeCell ref="B31:B33"/>
    <mergeCell ref="BT3:BU3"/>
    <mergeCell ref="B4:B11"/>
    <mergeCell ref="B13:B15"/>
    <mergeCell ref="B16:B21"/>
    <mergeCell ref="D16:D21"/>
    <mergeCell ref="B22:B30"/>
  </mergeCells>
  <conditionalFormatting sqref="H68:AK95">
    <cfRule type="containsText" dxfId="0" priority="1" operator="containsText" text="check">
      <formula>NOT(ISERROR(SEARCH("check",H68)))</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3"/>
  <sheetViews>
    <sheetView zoomScale="60" zoomScaleNormal="60" workbookViewId="0">
      <selection activeCell="G12" sqref="G12"/>
    </sheetView>
  </sheetViews>
  <sheetFormatPr defaultColWidth="35.77734375" defaultRowHeight="14.4" x14ac:dyDescent="0.3"/>
  <cols>
    <col min="1" max="1" width="27.77734375" bestFit="1" customWidth="1"/>
    <col min="2" max="2" width="47.21875" style="8" customWidth="1"/>
    <col min="3" max="3" width="40.21875" style="8" customWidth="1"/>
    <col min="4" max="4" width="44.6640625" style="8" customWidth="1"/>
    <col min="5" max="5" width="34.6640625" customWidth="1"/>
    <col min="6" max="6" width="18.109375" style="9" customWidth="1"/>
    <col min="7" max="7" width="20.21875" style="9" customWidth="1"/>
    <col min="8" max="8" width="19.77734375" style="9" customWidth="1"/>
    <col min="9" max="9" width="13.5546875" style="9" customWidth="1"/>
    <col min="10" max="10" width="20.21875" style="9" customWidth="1"/>
    <col min="11" max="11" width="18.44140625" customWidth="1"/>
    <col min="12" max="12" width="38.109375" customWidth="1"/>
    <col min="15" max="15" width="37.5546875" customWidth="1"/>
  </cols>
  <sheetData>
    <row r="2" spans="1:16" x14ac:dyDescent="0.3">
      <c r="F2" s="10" t="s">
        <v>673</v>
      </c>
      <c r="L2" t="s">
        <v>674</v>
      </c>
    </row>
    <row r="4" spans="1:16" ht="28.8" x14ac:dyDescent="0.55000000000000004">
      <c r="A4" s="134" t="s">
        <v>675</v>
      </c>
      <c r="B4" s="135"/>
      <c r="C4" s="135"/>
      <c r="D4" s="135"/>
      <c r="E4" s="134"/>
    </row>
    <row r="6" spans="1:16" ht="28.8" x14ac:dyDescent="0.55000000000000004">
      <c r="B6" s="141" t="s">
        <v>158</v>
      </c>
      <c r="C6" s="141" t="s">
        <v>159</v>
      </c>
      <c r="D6" s="141" t="s">
        <v>160</v>
      </c>
      <c r="E6" s="141" t="s">
        <v>659</v>
      </c>
      <c r="F6" s="153" t="s">
        <v>607</v>
      </c>
      <c r="G6" s="154" t="s">
        <v>608</v>
      </c>
      <c r="H6" s="155" t="s">
        <v>609</v>
      </c>
      <c r="I6" s="156" t="s">
        <v>676</v>
      </c>
      <c r="J6" s="157" t="s">
        <v>677</v>
      </c>
      <c r="L6" s="153" t="s">
        <v>607</v>
      </c>
      <c r="M6" s="154" t="s">
        <v>608</v>
      </c>
      <c r="N6" s="155" t="s">
        <v>609</v>
      </c>
      <c r="O6" s="156" t="s">
        <v>676</v>
      </c>
      <c r="P6" s="157" t="s">
        <v>677</v>
      </c>
    </row>
    <row r="7" spans="1:16" ht="86.4" x14ac:dyDescent="0.3">
      <c r="A7" s="249" t="s">
        <v>162</v>
      </c>
      <c r="B7" s="148" t="s">
        <v>56</v>
      </c>
      <c r="C7" s="148" t="s">
        <v>163</v>
      </c>
      <c r="D7" s="148" t="s">
        <v>164</v>
      </c>
      <c r="E7" s="149" t="s">
        <v>165</v>
      </c>
      <c r="F7" s="158" t="s">
        <v>52</v>
      </c>
      <c r="G7" s="158" t="s">
        <v>53</v>
      </c>
      <c r="H7" s="158" t="s">
        <v>54</v>
      </c>
      <c r="I7" s="158" t="s">
        <v>53</v>
      </c>
      <c r="J7" s="158" t="s">
        <v>54</v>
      </c>
      <c r="L7" s="148" t="s">
        <v>678</v>
      </c>
      <c r="M7" s="148" t="s">
        <v>679</v>
      </c>
      <c r="N7" s="148" t="s">
        <v>680</v>
      </c>
      <c r="O7" s="148" t="s">
        <v>681</v>
      </c>
      <c r="P7" s="148" t="s">
        <v>682</v>
      </c>
    </row>
    <row r="8" spans="1:16" ht="86.4" x14ac:dyDescent="0.3">
      <c r="A8" s="249"/>
      <c r="B8" s="148" t="s">
        <v>63</v>
      </c>
      <c r="C8" s="148" t="s">
        <v>163</v>
      </c>
      <c r="D8" s="148" t="s">
        <v>166</v>
      </c>
      <c r="E8" s="149" t="s">
        <v>165</v>
      </c>
      <c r="F8" s="158" t="s">
        <v>52</v>
      </c>
      <c r="G8" s="158" t="s">
        <v>53</v>
      </c>
      <c r="H8" s="158" t="s">
        <v>54</v>
      </c>
      <c r="I8" s="158" t="s">
        <v>53</v>
      </c>
      <c r="J8" s="158" t="s">
        <v>54</v>
      </c>
      <c r="L8" s="148" t="s">
        <v>683</v>
      </c>
      <c r="M8" s="148" t="s">
        <v>684</v>
      </c>
      <c r="N8" s="148" t="s">
        <v>685</v>
      </c>
      <c r="O8" s="148" t="s">
        <v>686</v>
      </c>
      <c r="P8" s="148" t="s">
        <v>687</v>
      </c>
    </row>
    <row r="9" spans="1:16" ht="86.4" x14ac:dyDescent="0.3">
      <c r="A9" s="249"/>
      <c r="B9" s="148" t="s">
        <v>69</v>
      </c>
      <c r="C9" s="148" t="s">
        <v>163</v>
      </c>
      <c r="D9" s="148" t="s">
        <v>167</v>
      </c>
      <c r="E9" s="149" t="s">
        <v>165</v>
      </c>
      <c r="F9" s="158" t="s">
        <v>52</v>
      </c>
      <c r="G9" s="158" t="s">
        <v>53</v>
      </c>
      <c r="H9" s="158" t="s">
        <v>54</v>
      </c>
      <c r="I9" s="158" t="s">
        <v>53</v>
      </c>
      <c r="J9" s="158" t="s">
        <v>54</v>
      </c>
      <c r="L9" s="148" t="s">
        <v>688</v>
      </c>
      <c r="M9" s="148" t="s">
        <v>689</v>
      </c>
      <c r="N9" s="148" t="s">
        <v>690</v>
      </c>
      <c r="O9" s="148" t="s">
        <v>691</v>
      </c>
      <c r="P9" s="148" t="s">
        <v>692</v>
      </c>
    </row>
    <row r="10" spans="1:16" ht="86.4" x14ac:dyDescent="0.3">
      <c r="A10" s="249"/>
      <c r="B10" s="148" t="s">
        <v>74</v>
      </c>
      <c r="C10" s="148" t="s">
        <v>168</v>
      </c>
      <c r="D10" s="148" t="s">
        <v>169</v>
      </c>
      <c r="E10" s="149" t="s">
        <v>165</v>
      </c>
      <c r="F10" s="158" t="s">
        <v>52</v>
      </c>
      <c r="G10" s="158" t="s">
        <v>53</v>
      </c>
      <c r="H10" s="158" t="s">
        <v>54</v>
      </c>
      <c r="I10" s="158" t="s">
        <v>53</v>
      </c>
      <c r="J10" s="158" t="s">
        <v>54</v>
      </c>
      <c r="L10" s="148" t="s">
        <v>693</v>
      </c>
      <c r="M10" s="148" t="s">
        <v>694</v>
      </c>
      <c r="N10" s="148" t="s">
        <v>695</v>
      </c>
      <c r="O10" s="148" t="s">
        <v>696</v>
      </c>
      <c r="P10" s="148" t="s">
        <v>697</v>
      </c>
    </row>
    <row r="11" spans="1:16" ht="43.2" x14ac:dyDescent="0.3">
      <c r="A11" s="249"/>
      <c r="B11" s="148" t="s">
        <v>82</v>
      </c>
      <c r="C11" s="148" t="s">
        <v>170</v>
      </c>
      <c r="D11" s="148" t="s">
        <v>171</v>
      </c>
      <c r="E11" s="149" t="s">
        <v>165</v>
      </c>
      <c r="F11" s="158" t="s">
        <v>52</v>
      </c>
      <c r="G11" s="158" t="s">
        <v>53</v>
      </c>
      <c r="H11" s="158" t="s">
        <v>54</v>
      </c>
      <c r="I11" s="158" t="s">
        <v>53</v>
      </c>
      <c r="J11" s="158" t="s">
        <v>54</v>
      </c>
      <c r="L11" s="148" t="s">
        <v>698</v>
      </c>
      <c r="M11" s="148" t="s">
        <v>699</v>
      </c>
      <c r="N11" s="148" t="s">
        <v>700</v>
      </c>
      <c r="O11" s="148" t="s">
        <v>701</v>
      </c>
      <c r="P11" s="148" t="s">
        <v>702</v>
      </c>
    </row>
    <row r="12" spans="1:16" ht="72" x14ac:dyDescent="0.3">
      <c r="A12" s="249"/>
      <c r="B12" s="148" t="s">
        <v>89</v>
      </c>
      <c r="C12" s="148" t="s">
        <v>172</v>
      </c>
      <c r="D12" s="148" t="s">
        <v>173</v>
      </c>
      <c r="E12" s="149" t="s">
        <v>165</v>
      </c>
      <c r="F12" s="158" t="s">
        <v>54</v>
      </c>
      <c r="G12" s="158" t="s">
        <v>53</v>
      </c>
      <c r="H12" s="158" t="s">
        <v>53</v>
      </c>
      <c r="I12" s="158" t="s">
        <v>53</v>
      </c>
      <c r="J12" s="158" t="s">
        <v>52</v>
      </c>
      <c r="L12" s="148" t="s">
        <v>703</v>
      </c>
      <c r="M12" s="148" t="s">
        <v>704</v>
      </c>
      <c r="N12" s="148" t="s">
        <v>705</v>
      </c>
      <c r="O12" s="148" t="s">
        <v>706</v>
      </c>
      <c r="P12" s="148" t="s">
        <v>707</v>
      </c>
    </row>
    <row r="13" spans="1:16" ht="72" x14ac:dyDescent="0.3">
      <c r="A13" s="249"/>
      <c r="B13" s="148" t="s">
        <v>94</v>
      </c>
      <c r="C13" s="148" t="str">
        <f>C12</f>
        <v>Global/ Swedish</v>
      </c>
      <c r="D13" s="148" t="str">
        <f t="shared" ref="D13:P13" si="0">D12</f>
        <v>IMPORT price of all Biofuels commodities</v>
      </c>
      <c r="E13" s="148" t="str">
        <f t="shared" si="0"/>
        <v>Input to model</v>
      </c>
      <c r="F13" s="148" t="str">
        <f t="shared" si="0"/>
        <v>High</v>
      </c>
      <c r="G13" s="148" t="str">
        <f t="shared" si="0"/>
        <v>Medium</v>
      </c>
      <c r="H13" s="148" t="str">
        <f t="shared" si="0"/>
        <v>Medium</v>
      </c>
      <c r="I13" s="148" t="str">
        <f t="shared" si="0"/>
        <v>Medium</v>
      </c>
      <c r="J13" s="148" t="str">
        <f t="shared" si="0"/>
        <v>Low</v>
      </c>
      <c r="K13" s="148"/>
      <c r="L13" s="148" t="str">
        <f t="shared" si="0"/>
        <v>Global: High biofuel Price (SSP1 promotes biofuels use and hence high demand leads to high price )</v>
      </c>
      <c r="M13" s="148" t="str">
        <f t="shared" si="0"/>
        <v>Global: Medium biofuel Price</v>
      </c>
      <c r="N13" s="148" t="str">
        <f t="shared" si="0"/>
        <v>Global: Medium biofuel Price (SSP3 takes no climate action and leading to low prices for biofuels; also in highly nationalist scenario, fuel prices can be increased by producing countries)</v>
      </c>
      <c r="O13" s="148" t="str">
        <f t="shared" si="0"/>
        <v>Global: Medium biofuels Price (SSP4 has low focus on mitigation actions, but has development in low carbon sources hence has medium prices for biofuels)</v>
      </c>
      <c r="P13" s="148" t="str">
        <f t="shared" si="0"/>
        <v>Global: Low biofuels Price (SSP5 has low focus on mitigation actions and hence has low prices for biofuels due to low demand)</v>
      </c>
    </row>
    <row r="14" spans="1:16" ht="72" x14ac:dyDescent="0.3">
      <c r="A14" s="249"/>
      <c r="B14" s="148" t="s">
        <v>98</v>
      </c>
      <c r="C14" s="148" t="s">
        <v>172</v>
      </c>
      <c r="D14" s="148" t="s">
        <v>174</v>
      </c>
      <c r="E14" s="149" t="s">
        <v>165</v>
      </c>
      <c r="F14" s="158" t="s">
        <v>54</v>
      </c>
      <c r="G14" s="158" t="s">
        <v>53</v>
      </c>
      <c r="H14" s="158" t="s">
        <v>53</v>
      </c>
      <c r="I14" s="158" t="s">
        <v>53</v>
      </c>
      <c r="J14" s="158" t="s">
        <v>52</v>
      </c>
      <c r="L14" s="148" t="s">
        <v>708</v>
      </c>
      <c r="M14" s="148" t="s">
        <v>709</v>
      </c>
      <c r="N14" s="148" t="s">
        <v>710</v>
      </c>
      <c r="O14" s="148" t="s">
        <v>711</v>
      </c>
      <c r="P14" s="148" t="s">
        <v>712</v>
      </c>
    </row>
    <row r="15" spans="1:16" ht="72" x14ac:dyDescent="0.3">
      <c r="A15" s="147"/>
      <c r="B15" s="148" t="s">
        <v>100</v>
      </c>
      <c r="C15" s="148" t="str">
        <f>C14</f>
        <v>Global/ Swedish</v>
      </c>
      <c r="D15" s="148" t="str">
        <f t="shared" ref="D15:P15" si="1">D14</f>
        <v>IMPORT price of all Solid biomass commodities</v>
      </c>
      <c r="E15" s="148" t="str">
        <f t="shared" si="1"/>
        <v>Input to model</v>
      </c>
      <c r="F15" s="148" t="str">
        <f t="shared" si="1"/>
        <v>High</v>
      </c>
      <c r="G15" s="148" t="str">
        <f t="shared" si="1"/>
        <v>Medium</v>
      </c>
      <c r="H15" s="148" t="str">
        <f t="shared" si="1"/>
        <v>Medium</v>
      </c>
      <c r="I15" s="148" t="str">
        <f t="shared" si="1"/>
        <v>Medium</v>
      </c>
      <c r="J15" s="148" t="str">
        <f t="shared" si="1"/>
        <v>Low</v>
      </c>
      <c r="K15" s="148"/>
      <c r="L15" s="148" t="str">
        <f t="shared" si="1"/>
        <v>Global: High biomass Price (SSP1 promotes biomasss use and hence high demand leads to high price )</v>
      </c>
      <c r="M15" s="148" t="str">
        <f t="shared" si="1"/>
        <v>Global: Medium biomass Price</v>
      </c>
      <c r="N15" s="148" t="str">
        <f t="shared" si="1"/>
        <v>Global: Medium biomass Price (SSP3 takes no climate action and leading to low prices for biomasss; also in highly nationalist scenario, fuel prices can be increased by producing countries)</v>
      </c>
      <c r="O15" s="148" t="str">
        <f t="shared" si="1"/>
        <v>Global: Medium biomasss Price (SSP4 has low focus on mitigation actions, but has development in low carbon sources hence has medium prices for biomasss)</v>
      </c>
      <c r="P15" s="148" t="str">
        <f t="shared" si="1"/>
        <v>Global: Low biomasss Price (SSP5 has low focus on mitigation actions and hence has low prices for biomasss due to low demand)</v>
      </c>
    </row>
    <row r="16" spans="1:16" ht="93.6" customHeight="1" x14ac:dyDescent="0.3">
      <c r="A16" s="250" t="s">
        <v>175</v>
      </c>
      <c r="B16" s="148" t="s">
        <v>176</v>
      </c>
      <c r="C16" s="148" t="s">
        <v>177</v>
      </c>
      <c r="D16" s="148" t="s">
        <v>178</v>
      </c>
      <c r="E16" s="149" t="s">
        <v>165</v>
      </c>
      <c r="F16" s="158" t="s">
        <v>54</v>
      </c>
      <c r="G16" s="158" t="s">
        <v>53</v>
      </c>
      <c r="H16" s="158" t="s">
        <v>52</v>
      </c>
      <c r="I16" s="158" t="s">
        <v>53</v>
      </c>
      <c r="J16" s="158" t="s">
        <v>52</v>
      </c>
      <c r="L16" s="148" t="s">
        <v>713</v>
      </c>
      <c r="M16" s="148" t="s">
        <v>714</v>
      </c>
      <c r="N16" s="148" t="s">
        <v>715</v>
      </c>
      <c r="O16" s="148" t="s">
        <v>716</v>
      </c>
      <c r="P16" s="148" t="s">
        <v>717</v>
      </c>
    </row>
    <row r="17" spans="1:16" ht="115.2" customHeight="1" x14ac:dyDescent="0.3">
      <c r="A17" s="250"/>
      <c r="B17" s="148" t="s">
        <v>179</v>
      </c>
      <c r="C17" s="148" t="s">
        <v>180</v>
      </c>
      <c r="D17" s="148" t="s">
        <v>181</v>
      </c>
      <c r="E17" s="149" t="s">
        <v>165</v>
      </c>
      <c r="F17" s="158" t="s">
        <v>665</v>
      </c>
      <c r="G17" s="158" t="s">
        <v>665</v>
      </c>
      <c r="H17" s="158" t="s">
        <v>665</v>
      </c>
      <c r="I17" s="158" t="s">
        <v>665</v>
      </c>
      <c r="J17" s="158" t="s">
        <v>665</v>
      </c>
      <c r="L17" s="148" t="s">
        <v>718</v>
      </c>
      <c r="M17" s="148" t="s">
        <v>718</v>
      </c>
      <c r="N17" s="148" t="s">
        <v>718</v>
      </c>
      <c r="O17" s="148" t="s">
        <v>718</v>
      </c>
      <c r="P17" s="148" t="s">
        <v>718</v>
      </c>
    </row>
    <row r="18" spans="1:16" ht="84" customHeight="1" x14ac:dyDescent="0.3">
      <c r="A18" s="250"/>
      <c r="B18" s="148" t="s">
        <v>183</v>
      </c>
      <c r="C18" s="148" t="s">
        <v>184</v>
      </c>
      <c r="D18" s="148" t="s">
        <v>185</v>
      </c>
      <c r="E18" s="149" t="s">
        <v>165</v>
      </c>
      <c r="F18" s="158" t="s">
        <v>665</v>
      </c>
      <c r="G18" s="158" t="s">
        <v>665</v>
      </c>
      <c r="H18" s="158" t="s">
        <v>665</v>
      </c>
      <c r="I18" s="158" t="s">
        <v>665</v>
      </c>
      <c r="J18" s="158" t="s">
        <v>665</v>
      </c>
      <c r="L18" s="148" t="s">
        <v>718</v>
      </c>
      <c r="M18" s="148" t="s">
        <v>718</v>
      </c>
      <c r="N18" s="148" t="s">
        <v>718</v>
      </c>
      <c r="O18" s="148" t="s">
        <v>718</v>
      </c>
      <c r="P18" s="148" t="s">
        <v>718</v>
      </c>
    </row>
    <row r="19" spans="1:16" ht="64.2" customHeight="1" x14ac:dyDescent="0.3">
      <c r="A19" s="251" t="s">
        <v>186</v>
      </c>
      <c r="B19" s="148" t="s">
        <v>125</v>
      </c>
      <c r="C19" s="239" t="s">
        <v>172</v>
      </c>
      <c r="D19" s="148" t="s">
        <v>187</v>
      </c>
      <c r="E19" s="149" t="s">
        <v>165</v>
      </c>
      <c r="F19" s="159" t="s">
        <v>53</v>
      </c>
      <c r="G19" s="159" t="s">
        <v>53</v>
      </c>
      <c r="H19" s="159" t="s">
        <v>52</v>
      </c>
      <c r="I19" s="159" t="s">
        <v>54</v>
      </c>
      <c r="J19" s="159" t="s">
        <v>54</v>
      </c>
      <c r="L19" s="148" t="s">
        <v>719</v>
      </c>
      <c r="M19" s="148" t="s">
        <v>720</v>
      </c>
      <c r="N19" s="148" t="s">
        <v>721</v>
      </c>
      <c r="O19" s="148" t="s">
        <v>722</v>
      </c>
      <c r="P19" s="148" t="s">
        <v>723</v>
      </c>
    </row>
    <row r="20" spans="1:16" ht="64.2" customHeight="1" x14ac:dyDescent="0.3">
      <c r="A20" s="251"/>
      <c r="B20" s="148" t="s">
        <v>129</v>
      </c>
      <c r="C20" s="239"/>
      <c r="D20" s="148" t="s">
        <v>188</v>
      </c>
      <c r="E20" s="149" t="s">
        <v>165</v>
      </c>
      <c r="F20" s="159" t="s">
        <v>53</v>
      </c>
      <c r="G20" s="159" t="s">
        <v>53</v>
      </c>
      <c r="H20" s="159" t="s">
        <v>52</v>
      </c>
      <c r="I20" s="159" t="s">
        <v>54</v>
      </c>
      <c r="J20" s="159" t="s">
        <v>54</v>
      </c>
      <c r="L20" s="148" t="s">
        <v>724</v>
      </c>
      <c r="M20" s="148" t="s">
        <v>720</v>
      </c>
      <c r="N20" s="148" t="s">
        <v>721</v>
      </c>
      <c r="O20" s="148" t="s">
        <v>722</v>
      </c>
      <c r="P20" s="148" t="s">
        <v>723</v>
      </c>
    </row>
    <row r="21" spans="1:16" ht="47.4" customHeight="1" x14ac:dyDescent="0.3">
      <c r="A21" s="251"/>
      <c r="B21" s="148" t="s">
        <v>131</v>
      </c>
      <c r="C21" s="239"/>
      <c r="D21" s="148" t="s">
        <v>189</v>
      </c>
      <c r="E21" s="149" t="s">
        <v>165</v>
      </c>
      <c r="F21" s="159" t="s">
        <v>54</v>
      </c>
      <c r="G21" s="159" t="s">
        <v>53</v>
      </c>
      <c r="H21" s="159" t="s">
        <v>52</v>
      </c>
      <c r="I21" s="159" t="s">
        <v>190</v>
      </c>
      <c r="J21" s="159" t="s">
        <v>52</v>
      </c>
      <c r="L21" s="148" t="s">
        <v>725</v>
      </c>
      <c r="M21" s="148" t="s">
        <v>720</v>
      </c>
      <c r="N21" s="148" t="s">
        <v>721</v>
      </c>
      <c r="O21" s="148" t="s">
        <v>722</v>
      </c>
      <c r="P21" s="148" t="s">
        <v>721</v>
      </c>
    </row>
    <row r="22" spans="1:16" ht="64.2" customHeight="1" x14ac:dyDescent="0.3">
      <c r="A22" s="251"/>
      <c r="B22" s="148" t="s">
        <v>132</v>
      </c>
      <c r="C22" s="239"/>
      <c r="D22" s="148" t="s">
        <v>191</v>
      </c>
      <c r="E22" s="149" t="s">
        <v>165</v>
      </c>
      <c r="F22" s="159" t="s">
        <v>54</v>
      </c>
      <c r="G22" s="159" t="s">
        <v>53</v>
      </c>
      <c r="H22" s="159" t="s">
        <v>52</v>
      </c>
      <c r="I22" s="159" t="s">
        <v>190</v>
      </c>
      <c r="J22" s="159" t="s">
        <v>52</v>
      </c>
      <c r="L22" s="148" t="s">
        <v>725</v>
      </c>
      <c r="M22" s="148" t="s">
        <v>720</v>
      </c>
      <c r="N22" s="148" t="s">
        <v>721</v>
      </c>
      <c r="O22" s="148" t="s">
        <v>722</v>
      </c>
      <c r="P22" s="148" t="s">
        <v>721</v>
      </c>
    </row>
    <row r="23" spans="1:16" ht="64.2" customHeight="1" x14ac:dyDescent="0.3">
      <c r="A23" s="251"/>
      <c r="B23" s="148" t="s">
        <v>133</v>
      </c>
      <c r="C23" s="239"/>
      <c r="D23" s="148" t="s">
        <v>192</v>
      </c>
      <c r="E23" s="149" t="s">
        <v>165</v>
      </c>
      <c r="F23" s="159" t="str">
        <f>F21</f>
        <v>High</v>
      </c>
      <c r="G23" s="159" t="str">
        <f t="shared" ref="G23:P24" si="2">G21</f>
        <v>Medium</v>
      </c>
      <c r="H23" s="159" t="str">
        <f t="shared" si="2"/>
        <v>Low</v>
      </c>
      <c r="I23" s="159" t="str">
        <f t="shared" si="2"/>
        <v>HIgh</v>
      </c>
      <c r="J23" s="159" t="str">
        <f t="shared" si="2"/>
        <v>Low</v>
      </c>
      <c r="K23" s="159"/>
      <c r="L23" s="160" t="str">
        <f t="shared" si="2"/>
        <v>Global: Highly efficient and low cost technologies</v>
      </c>
      <c r="M23" s="160" t="str">
        <f t="shared" si="2"/>
        <v>Global: Medium efficient and medium cost technologies</v>
      </c>
      <c r="N23" s="160" t="str">
        <f t="shared" si="2"/>
        <v>Global: Low efficient and high cost technologies</v>
      </c>
      <c r="O23" s="160" t="str">
        <f t="shared" si="2"/>
        <v>Global: High efficient and high cost technologies (inequalities)</v>
      </c>
      <c r="P23" s="160" t="str">
        <f t="shared" si="2"/>
        <v>Global: Low efficient and high cost technologies</v>
      </c>
    </row>
    <row r="24" spans="1:16" ht="64.2" customHeight="1" x14ac:dyDescent="0.3">
      <c r="A24" s="251"/>
      <c r="B24" s="148" t="s">
        <v>134</v>
      </c>
      <c r="C24" s="239"/>
      <c r="D24" s="148" t="s">
        <v>193</v>
      </c>
      <c r="E24" s="149" t="s">
        <v>165</v>
      </c>
      <c r="F24" s="159" t="str">
        <f>F22</f>
        <v>High</v>
      </c>
      <c r="G24" s="159" t="str">
        <f t="shared" si="2"/>
        <v>Medium</v>
      </c>
      <c r="H24" s="159" t="str">
        <f t="shared" si="2"/>
        <v>Low</v>
      </c>
      <c r="I24" s="159" t="str">
        <f t="shared" si="2"/>
        <v>HIgh</v>
      </c>
      <c r="J24" s="159" t="str">
        <f t="shared" si="2"/>
        <v>Low</v>
      </c>
      <c r="K24" s="159"/>
      <c r="L24" s="160" t="str">
        <f t="shared" si="2"/>
        <v>Global: Highly efficient and low cost technologies</v>
      </c>
      <c r="M24" s="160" t="str">
        <f t="shared" si="2"/>
        <v>Global: Medium efficient and medium cost technologies</v>
      </c>
      <c r="N24" s="160" t="str">
        <f t="shared" si="2"/>
        <v>Global: Low efficient and high cost technologies</v>
      </c>
      <c r="O24" s="160" t="str">
        <f t="shared" si="2"/>
        <v>Global: High efficient and high cost technologies (inequalities)</v>
      </c>
      <c r="P24" s="160" t="str">
        <f t="shared" si="2"/>
        <v>Global: Low efficient and high cost technologies</v>
      </c>
    </row>
    <row r="25" spans="1:16" ht="43.2" x14ac:dyDescent="0.3">
      <c r="A25" s="252" t="s">
        <v>194</v>
      </c>
      <c r="B25" s="148" t="s">
        <v>195</v>
      </c>
      <c r="C25" s="148" t="s">
        <v>196</v>
      </c>
      <c r="D25" s="148" t="s">
        <v>197</v>
      </c>
      <c r="E25" s="148" t="s">
        <v>198</v>
      </c>
      <c r="F25" s="158" t="s">
        <v>54</v>
      </c>
      <c r="G25" s="158" t="s">
        <v>53</v>
      </c>
      <c r="H25" s="158" t="s">
        <v>52</v>
      </c>
      <c r="I25" s="158" t="s">
        <v>53</v>
      </c>
      <c r="J25" s="158" t="s">
        <v>52</v>
      </c>
      <c r="L25" s="148" t="s">
        <v>726</v>
      </c>
      <c r="M25" s="148" t="s">
        <v>714</v>
      </c>
      <c r="N25" s="148" t="s">
        <v>727</v>
      </c>
      <c r="O25" s="148" t="s">
        <v>728</v>
      </c>
      <c r="P25" s="148" t="s">
        <v>729</v>
      </c>
    </row>
    <row r="26" spans="1:16" ht="51.6" customHeight="1" x14ac:dyDescent="0.3">
      <c r="A26" s="252"/>
      <c r="B26" s="148" t="s">
        <v>200</v>
      </c>
      <c r="C26" s="148" t="s">
        <v>201</v>
      </c>
      <c r="D26" s="148" t="s">
        <v>202</v>
      </c>
      <c r="E26" s="148" t="s">
        <v>198</v>
      </c>
      <c r="F26" s="158" t="s">
        <v>54</v>
      </c>
      <c r="G26" s="158" t="s">
        <v>53</v>
      </c>
      <c r="H26" s="158" t="s">
        <v>52</v>
      </c>
      <c r="I26" s="158" t="s">
        <v>53</v>
      </c>
      <c r="J26" s="158" t="s">
        <v>52</v>
      </c>
      <c r="L26" s="148" t="s">
        <v>730</v>
      </c>
      <c r="M26" s="148" t="s">
        <v>731</v>
      </c>
      <c r="N26" s="148" t="s">
        <v>732</v>
      </c>
      <c r="O26" s="148" t="s">
        <v>733</v>
      </c>
      <c r="P26" s="148" t="s">
        <v>734</v>
      </c>
    </row>
    <row r="27" spans="1:16" ht="54" customHeight="1" x14ac:dyDescent="0.3">
      <c r="A27" s="252"/>
      <c r="B27" s="148" t="s">
        <v>203</v>
      </c>
      <c r="C27" s="148" t="s">
        <v>204</v>
      </c>
      <c r="D27" s="148" t="s">
        <v>205</v>
      </c>
      <c r="E27" s="149" t="s">
        <v>165</v>
      </c>
      <c r="F27" s="158" t="s">
        <v>665</v>
      </c>
      <c r="G27" s="158" t="s">
        <v>665</v>
      </c>
      <c r="H27" s="158" t="s">
        <v>665</v>
      </c>
      <c r="I27" s="158" t="s">
        <v>665</v>
      </c>
      <c r="J27" s="158" t="s">
        <v>665</v>
      </c>
      <c r="L27" s="148" t="s">
        <v>735</v>
      </c>
      <c r="M27" s="148" t="s">
        <v>735</v>
      </c>
      <c r="N27" s="148" t="s">
        <v>735</v>
      </c>
      <c r="O27" s="148" t="s">
        <v>735</v>
      </c>
      <c r="P27" s="148" t="s">
        <v>735</v>
      </c>
    </row>
    <row r="28" spans="1:16" ht="37.200000000000003" customHeight="1" x14ac:dyDescent="0.3">
      <c r="A28" s="252"/>
      <c r="B28" s="148" t="s">
        <v>206</v>
      </c>
      <c r="C28" s="148" t="s">
        <v>172</v>
      </c>
      <c r="D28" s="148" t="s">
        <v>207</v>
      </c>
      <c r="E28" s="149" t="s">
        <v>165</v>
      </c>
      <c r="F28" s="158" t="s">
        <v>54</v>
      </c>
      <c r="G28" s="158" t="s">
        <v>53</v>
      </c>
      <c r="H28" s="158" t="s">
        <v>52</v>
      </c>
      <c r="I28" s="158" t="s">
        <v>53</v>
      </c>
      <c r="J28" s="158" t="s">
        <v>52</v>
      </c>
      <c r="L28" s="148" t="s">
        <v>736</v>
      </c>
      <c r="M28" s="148" t="s">
        <v>737</v>
      </c>
      <c r="N28" s="148" t="s">
        <v>738</v>
      </c>
      <c r="O28" s="148" t="s">
        <v>739</v>
      </c>
      <c r="P28" s="148" t="s">
        <v>738</v>
      </c>
    </row>
    <row r="29" spans="1:16" ht="99" customHeight="1" x14ac:dyDescent="0.3">
      <c r="A29" s="252"/>
      <c r="B29" s="148" t="s">
        <v>208</v>
      </c>
      <c r="C29" s="148" t="s">
        <v>201</v>
      </c>
      <c r="D29" s="148" t="s">
        <v>209</v>
      </c>
      <c r="E29" s="148" t="s">
        <v>198</v>
      </c>
      <c r="F29" s="158" t="str">
        <f>F26</f>
        <v>High</v>
      </c>
      <c r="G29" s="158" t="str">
        <f t="shared" ref="G29:J29" si="3">G26</f>
        <v>Medium</v>
      </c>
      <c r="H29" s="158" t="str">
        <f t="shared" si="3"/>
        <v>Low</v>
      </c>
      <c r="I29" s="158" t="str">
        <f t="shared" si="3"/>
        <v>Medium</v>
      </c>
      <c r="J29" s="158" t="str">
        <f t="shared" si="3"/>
        <v>Low</v>
      </c>
      <c r="L29" s="148" t="str">
        <f>L26</f>
        <v>Global: Highly efficient technologies</v>
      </c>
      <c r="M29" s="148" t="str">
        <f t="shared" ref="M29:P29" si="4">M26</f>
        <v>Global: Medium efficient  technologies</v>
      </c>
      <c r="N29" s="148" t="str">
        <f t="shared" si="4"/>
        <v>Global: Low efficient technologies</v>
      </c>
      <c r="O29" s="148" t="str">
        <f t="shared" si="4"/>
        <v xml:space="preserve">Global: Medium efficient technologies </v>
      </c>
      <c r="P29" s="148" t="str">
        <f t="shared" si="4"/>
        <v>Global: Low efficient (wind) technologies</v>
      </c>
    </row>
    <row r="30" spans="1:16" ht="43.2" x14ac:dyDescent="0.3">
      <c r="A30" s="252"/>
      <c r="B30" s="148" t="s">
        <v>210</v>
      </c>
      <c r="C30" s="148" t="s">
        <v>204</v>
      </c>
      <c r="D30" s="148" t="s">
        <v>211</v>
      </c>
      <c r="E30" s="149" t="s">
        <v>165</v>
      </c>
      <c r="F30" s="158" t="str">
        <f t="shared" ref="F30:J31" si="5">F27</f>
        <v>No impact</v>
      </c>
      <c r="G30" s="158" t="str">
        <f t="shared" si="5"/>
        <v>No impact</v>
      </c>
      <c r="H30" s="158" t="str">
        <f t="shared" si="5"/>
        <v>No impact</v>
      </c>
      <c r="I30" s="158" t="str">
        <f t="shared" si="5"/>
        <v>No impact</v>
      </c>
      <c r="J30" s="158" t="str">
        <f t="shared" si="5"/>
        <v>No impact</v>
      </c>
      <c r="L30" s="148" t="str">
        <f t="shared" ref="L30:P31" si="6">L27</f>
        <v>SSPs have No impact on National /local action</v>
      </c>
      <c r="M30" s="148" t="str">
        <f t="shared" si="6"/>
        <v>SSPs have No impact on National /local action</v>
      </c>
      <c r="N30" s="148" t="str">
        <f t="shared" si="6"/>
        <v>SSPs have No impact on National /local action</v>
      </c>
      <c r="O30" s="148" t="str">
        <f t="shared" si="6"/>
        <v>SSPs have No impact on National /local action</v>
      </c>
      <c r="P30" s="148" t="str">
        <f t="shared" si="6"/>
        <v>SSPs have No impact on National /local action</v>
      </c>
    </row>
    <row r="31" spans="1:16" ht="20.399999999999999" customHeight="1" x14ac:dyDescent="0.3">
      <c r="A31" s="252"/>
      <c r="B31" s="148" t="s">
        <v>212</v>
      </c>
      <c r="C31" s="148" t="s">
        <v>172</v>
      </c>
      <c r="D31" s="148" t="s">
        <v>207</v>
      </c>
      <c r="E31" s="149" t="s">
        <v>165</v>
      </c>
      <c r="F31" s="158" t="str">
        <f t="shared" si="5"/>
        <v>High</v>
      </c>
      <c r="G31" s="158" t="str">
        <f t="shared" si="5"/>
        <v>Medium</v>
      </c>
      <c r="H31" s="158" t="str">
        <f t="shared" si="5"/>
        <v>Low</v>
      </c>
      <c r="I31" s="158" t="str">
        <f t="shared" si="5"/>
        <v>Medium</v>
      </c>
      <c r="J31" s="158" t="str">
        <f t="shared" si="5"/>
        <v>Low</v>
      </c>
      <c r="L31" s="148" t="str">
        <f t="shared" si="6"/>
        <v>Global: low cost technologies</v>
      </c>
      <c r="M31" s="148" t="str">
        <f t="shared" si="6"/>
        <v>Global: medium cost technologies</v>
      </c>
      <c r="N31" s="148" t="str">
        <f t="shared" si="6"/>
        <v>Global:  high cost technologies</v>
      </c>
      <c r="O31" s="148" t="str">
        <f t="shared" si="6"/>
        <v>Global:  medium cost technologies</v>
      </c>
      <c r="P31" s="148" t="str">
        <f t="shared" si="6"/>
        <v>Global:  high cost technologies</v>
      </c>
    </row>
    <row r="32" spans="1:16" ht="54.6" customHeight="1" x14ac:dyDescent="0.3">
      <c r="A32" s="252"/>
      <c r="B32" s="148" t="s">
        <v>213</v>
      </c>
      <c r="C32" s="148" t="s">
        <v>172</v>
      </c>
      <c r="D32" s="148" t="s">
        <v>214</v>
      </c>
      <c r="E32" s="149" t="s">
        <v>165</v>
      </c>
      <c r="F32" s="158" t="str">
        <f>F28</f>
        <v>High</v>
      </c>
      <c r="G32" s="158" t="str">
        <f t="shared" ref="G32:J32" si="7">G28</f>
        <v>Medium</v>
      </c>
      <c r="H32" s="158" t="str">
        <f t="shared" si="7"/>
        <v>Low</v>
      </c>
      <c r="I32" s="158" t="str">
        <f t="shared" si="7"/>
        <v>Medium</v>
      </c>
      <c r="J32" s="158" t="str">
        <f t="shared" si="7"/>
        <v>Low</v>
      </c>
      <c r="L32" s="148" t="str">
        <f>L28</f>
        <v>Global: low cost technologies</v>
      </c>
      <c r="M32" s="148" t="str">
        <f t="shared" ref="M32:P33" si="8">M28</f>
        <v>Global: medium cost technologies</v>
      </c>
      <c r="N32" s="148" t="str">
        <f t="shared" si="8"/>
        <v>Global:  high cost technologies</v>
      </c>
      <c r="O32" s="148" t="str">
        <f t="shared" si="8"/>
        <v>Global:  medium cost technologies</v>
      </c>
      <c r="P32" s="148" t="str">
        <f t="shared" si="8"/>
        <v>Global:  high cost technologies</v>
      </c>
    </row>
    <row r="33" spans="1:16" ht="52.2" customHeight="1" x14ac:dyDescent="0.3">
      <c r="A33" s="252"/>
      <c r="B33" s="148" t="s">
        <v>215</v>
      </c>
      <c r="C33" s="148" t="s">
        <v>172</v>
      </c>
      <c r="D33" s="148" t="s">
        <v>216</v>
      </c>
      <c r="E33" s="149" t="s">
        <v>165</v>
      </c>
      <c r="F33" s="158" t="str">
        <f>F26</f>
        <v>High</v>
      </c>
      <c r="G33" s="158" t="str">
        <f t="shared" ref="G33:J33" si="9">G26</f>
        <v>Medium</v>
      </c>
      <c r="H33" s="158" t="str">
        <f t="shared" si="9"/>
        <v>Low</v>
      </c>
      <c r="I33" s="158" t="str">
        <f t="shared" si="9"/>
        <v>Medium</v>
      </c>
      <c r="J33" s="158" t="str">
        <f t="shared" si="9"/>
        <v>Low</v>
      </c>
      <c r="L33" s="148" t="str">
        <f>L29</f>
        <v>Global: Highly efficient technologies</v>
      </c>
      <c r="M33" s="148" t="str">
        <f t="shared" si="8"/>
        <v>Global: Medium efficient  technologies</v>
      </c>
      <c r="N33" s="148" t="str">
        <f t="shared" si="8"/>
        <v>Global: Low efficient technologies</v>
      </c>
      <c r="O33" s="148" t="str">
        <f t="shared" si="8"/>
        <v xml:space="preserve">Global: Medium efficient technologies </v>
      </c>
      <c r="P33" s="148" t="str">
        <f t="shared" si="8"/>
        <v>Global: Low efficient (wind) technologies</v>
      </c>
    </row>
    <row r="34" spans="1:16" ht="38.4" customHeight="1" x14ac:dyDescent="0.3">
      <c r="A34" s="249" t="s">
        <v>217</v>
      </c>
      <c r="B34" s="148" t="s">
        <v>135</v>
      </c>
      <c r="C34" s="148" t="s">
        <v>218</v>
      </c>
      <c r="D34" s="148" t="s">
        <v>219</v>
      </c>
      <c r="E34" s="149" t="s">
        <v>165</v>
      </c>
      <c r="F34" s="158" t="s">
        <v>54</v>
      </c>
      <c r="G34" s="158" t="s">
        <v>53</v>
      </c>
      <c r="H34" s="158" t="s">
        <v>52</v>
      </c>
      <c r="I34" s="158" t="s">
        <v>53</v>
      </c>
      <c r="J34" s="158" t="s">
        <v>52</v>
      </c>
      <c r="L34" s="148" t="s">
        <v>740</v>
      </c>
      <c r="M34" s="148" t="s">
        <v>740</v>
      </c>
      <c r="N34" s="148" t="s">
        <v>740</v>
      </c>
      <c r="O34" s="148" t="s">
        <v>740</v>
      </c>
      <c r="P34" s="148" t="s">
        <v>740</v>
      </c>
    </row>
    <row r="35" spans="1:16" ht="26.4" customHeight="1" x14ac:dyDescent="0.3">
      <c r="A35" s="249"/>
      <c r="B35" s="148" t="s">
        <v>139</v>
      </c>
      <c r="C35" s="148" t="s">
        <v>218</v>
      </c>
      <c r="D35" s="148" t="s">
        <v>220</v>
      </c>
      <c r="E35" s="149" t="s">
        <v>165</v>
      </c>
      <c r="F35" s="158" t="s">
        <v>54</v>
      </c>
      <c r="G35" s="158" t="s">
        <v>53</v>
      </c>
      <c r="H35" s="158" t="s">
        <v>52</v>
      </c>
      <c r="I35" s="158" t="s">
        <v>53</v>
      </c>
      <c r="J35" s="158" t="s">
        <v>52</v>
      </c>
      <c r="L35" s="148" t="s">
        <v>740</v>
      </c>
      <c r="M35" s="148" t="s">
        <v>740</v>
      </c>
      <c r="N35" s="148" t="s">
        <v>740</v>
      </c>
      <c r="O35" s="148" t="s">
        <v>740</v>
      </c>
      <c r="P35" s="148" t="s">
        <v>740</v>
      </c>
    </row>
    <row r="36" spans="1:16" ht="58.2" customHeight="1" x14ac:dyDescent="0.3">
      <c r="A36" s="249"/>
      <c r="B36" s="148" t="s">
        <v>221</v>
      </c>
      <c r="C36" s="148" t="s">
        <v>218</v>
      </c>
      <c r="D36" s="148" t="s">
        <v>222</v>
      </c>
      <c r="E36" s="149" t="s">
        <v>165</v>
      </c>
      <c r="F36" s="158" t="s">
        <v>54</v>
      </c>
      <c r="G36" s="158" t="s">
        <v>53</v>
      </c>
      <c r="H36" s="158" t="s">
        <v>52</v>
      </c>
      <c r="I36" s="158" t="s">
        <v>53</v>
      </c>
      <c r="J36" s="158" t="s">
        <v>52</v>
      </c>
      <c r="L36" s="148" t="s">
        <v>740</v>
      </c>
      <c r="M36" s="148" t="s">
        <v>740</v>
      </c>
      <c r="N36" s="148" t="s">
        <v>740</v>
      </c>
      <c r="O36" s="148" t="s">
        <v>740</v>
      </c>
      <c r="P36" s="148" t="s">
        <v>740</v>
      </c>
    </row>
    <row r="37" spans="1:16" x14ac:dyDescent="0.3">
      <c r="F37" s="161"/>
      <c r="G37" s="161"/>
      <c r="H37" s="161"/>
      <c r="I37" s="161"/>
      <c r="J37" s="161"/>
      <c r="L37" s="8"/>
      <c r="M37" s="8"/>
      <c r="N37" s="8"/>
      <c r="O37" s="8"/>
      <c r="P37" s="8"/>
    </row>
    <row r="38" spans="1:16" x14ac:dyDescent="0.3">
      <c r="F38" s="161"/>
      <c r="G38" s="161"/>
      <c r="H38" s="161"/>
      <c r="I38" s="161"/>
      <c r="J38" s="161"/>
      <c r="L38" s="8"/>
      <c r="M38" s="8"/>
      <c r="N38" s="8"/>
      <c r="O38" s="8"/>
      <c r="P38" s="8"/>
    </row>
    <row r="39" spans="1:16" x14ac:dyDescent="0.3">
      <c r="F39" s="161"/>
      <c r="G39" s="161"/>
      <c r="H39" s="161"/>
      <c r="I39" s="161"/>
      <c r="J39" s="161"/>
      <c r="L39" s="8"/>
      <c r="M39" s="8"/>
      <c r="N39" s="8"/>
      <c r="O39" s="8"/>
      <c r="P39" s="8"/>
    </row>
    <row r="40" spans="1:16" x14ac:dyDescent="0.3">
      <c r="F40" s="161"/>
      <c r="G40" s="161"/>
      <c r="H40" s="161"/>
      <c r="I40" s="161"/>
      <c r="J40" s="161"/>
      <c r="L40" s="8"/>
      <c r="M40" s="8"/>
      <c r="N40" s="8"/>
      <c r="O40" s="8"/>
      <c r="P40" s="8"/>
    </row>
    <row r="41" spans="1:16" x14ac:dyDescent="0.3">
      <c r="F41" s="161"/>
      <c r="G41" s="161"/>
      <c r="H41" s="161"/>
      <c r="I41" s="161"/>
      <c r="J41" s="161"/>
      <c r="L41" s="8"/>
      <c r="M41" s="8"/>
      <c r="N41" s="8"/>
      <c r="O41" s="8"/>
      <c r="P41" s="8"/>
    </row>
    <row r="42" spans="1:16" x14ac:dyDescent="0.3">
      <c r="F42" s="161"/>
      <c r="G42" s="161"/>
      <c r="H42" s="161"/>
      <c r="I42" s="161"/>
      <c r="J42" s="161"/>
      <c r="L42" s="8"/>
      <c r="M42" s="8"/>
      <c r="N42" s="8"/>
      <c r="O42" s="8"/>
      <c r="P42" s="8"/>
    </row>
    <row r="43" spans="1:16" x14ac:dyDescent="0.3">
      <c r="F43" s="161"/>
      <c r="G43" s="161"/>
      <c r="H43" s="161"/>
      <c r="I43" s="161"/>
      <c r="J43" s="161"/>
      <c r="L43" s="8"/>
      <c r="M43" s="8"/>
      <c r="N43" s="8"/>
      <c r="O43" s="8"/>
      <c r="P43" s="8"/>
    </row>
    <row r="44" spans="1:16" x14ac:dyDescent="0.3">
      <c r="F44" s="161"/>
      <c r="G44" s="161"/>
      <c r="H44" s="161"/>
      <c r="I44" s="161"/>
      <c r="J44" s="161"/>
      <c r="L44" s="8"/>
      <c r="M44" s="8"/>
      <c r="N44" s="8"/>
      <c r="O44" s="8"/>
      <c r="P44" s="8"/>
    </row>
    <row r="45" spans="1:16" x14ac:dyDescent="0.3">
      <c r="F45" s="161"/>
      <c r="G45" s="161"/>
      <c r="H45" s="161"/>
      <c r="I45" s="161"/>
      <c r="J45" s="161"/>
      <c r="L45" s="8"/>
      <c r="M45" s="8"/>
      <c r="N45" s="8"/>
      <c r="O45" s="8"/>
      <c r="P45" s="8"/>
    </row>
    <row r="46" spans="1:16" x14ac:dyDescent="0.3">
      <c r="F46" s="161"/>
      <c r="G46" s="161"/>
      <c r="H46" s="161"/>
      <c r="I46" s="161"/>
      <c r="J46" s="161"/>
      <c r="L46" s="8"/>
      <c r="M46" s="8"/>
      <c r="N46" s="8"/>
      <c r="O46" s="8"/>
      <c r="P46" s="8"/>
    </row>
    <row r="47" spans="1:16" x14ac:dyDescent="0.3">
      <c r="F47" s="161"/>
      <c r="G47" s="161"/>
      <c r="H47" s="161"/>
      <c r="I47" s="161"/>
      <c r="J47" s="161"/>
      <c r="L47" s="8"/>
      <c r="M47" s="8"/>
      <c r="N47" s="8"/>
      <c r="O47" s="8"/>
      <c r="P47" s="8"/>
    </row>
    <row r="48" spans="1:16" x14ac:dyDescent="0.3">
      <c r="F48" s="161"/>
      <c r="G48" s="161"/>
      <c r="H48" s="161"/>
      <c r="I48" s="161"/>
      <c r="J48" s="161"/>
      <c r="L48" s="8"/>
      <c r="M48" s="8"/>
      <c r="N48" s="8"/>
      <c r="O48" s="8"/>
      <c r="P48" s="8"/>
    </row>
    <row r="49" spans="6:16" x14ac:dyDescent="0.3">
      <c r="F49" s="161"/>
      <c r="G49" s="161"/>
      <c r="H49" s="161"/>
      <c r="I49" s="161"/>
      <c r="J49" s="161"/>
      <c r="L49" s="8"/>
      <c r="M49" s="8"/>
      <c r="N49" s="8"/>
      <c r="O49" s="8"/>
      <c r="P49" s="8"/>
    </row>
    <row r="50" spans="6:16" x14ac:dyDescent="0.3">
      <c r="F50" s="161"/>
      <c r="G50" s="161"/>
      <c r="H50" s="161"/>
      <c r="I50" s="161"/>
      <c r="J50" s="161"/>
      <c r="L50" s="8"/>
      <c r="M50" s="8"/>
      <c r="N50" s="8"/>
      <c r="O50" s="8"/>
      <c r="P50" s="8"/>
    </row>
    <row r="51" spans="6:16" x14ac:dyDescent="0.3">
      <c r="F51" s="161"/>
      <c r="G51" s="161"/>
      <c r="H51" s="161"/>
      <c r="I51" s="161"/>
      <c r="J51" s="161"/>
      <c r="L51" s="8"/>
      <c r="M51" s="8"/>
      <c r="N51" s="8"/>
      <c r="O51" s="8"/>
      <c r="P51" s="8"/>
    </row>
    <row r="52" spans="6:16" x14ac:dyDescent="0.3">
      <c r="F52" s="161"/>
      <c r="G52" s="161"/>
      <c r="H52" s="161"/>
      <c r="I52" s="161"/>
      <c r="J52" s="161"/>
      <c r="L52" s="8"/>
      <c r="M52" s="8"/>
      <c r="N52" s="8"/>
      <c r="O52" s="8"/>
      <c r="P52" s="8"/>
    </row>
    <row r="53" spans="6:16" x14ac:dyDescent="0.3">
      <c r="F53" s="161"/>
      <c r="G53" s="161"/>
      <c r="H53" s="161"/>
      <c r="I53" s="161"/>
      <c r="J53" s="161"/>
      <c r="L53" s="8"/>
      <c r="M53" s="8"/>
      <c r="N53" s="8"/>
      <c r="O53" s="8"/>
      <c r="P53" s="8"/>
    </row>
    <row r="54" spans="6:16" x14ac:dyDescent="0.3">
      <c r="F54" s="161"/>
      <c r="G54" s="161"/>
      <c r="H54" s="161"/>
      <c r="I54" s="161"/>
      <c r="J54" s="161"/>
      <c r="L54" s="8"/>
      <c r="M54" s="8"/>
      <c r="N54" s="8"/>
      <c r="O54" s="8"/>
      <c r="P54" s="8"/>
    </row>
    <row r="55" spans="6:16" x14ac:dyDescent="0.3">
      <c r="F55" s="161"/>
      <c r="G55" s="161"/>
      <c r="H55" s="161"/>
      <c r="I55" s="161"/>
      <c r="J55" s="161"/>
      <c r="L55" s="8"/>
      <c r="M55" s="8"/>
      <c r="N55" s="8"/>
      <c r="O55" s="8"/>
      <c r="P55" s="8"/>
    </row>
    <row r="56" spans="6:16" x14ac:dyDescent="0.3">
      <c r="F56" s="161"/>
      <c r="G56" s="161"/>
      <c r="H56" s="161"/>
      <c r="I56" s="161"/>
      <c r="J56" s="161"/>
      <c r="L56" s="8"/>
      <c r="M56" s="8"/>
      <c r="N56" s="8"/>
      <c r="O56" s="8"/>
      <c r="P56" s="8"/>
    </row>
    <row r="57" spans="6:16" x14ac:dyDescent="0.3">
      <c r="F57" s="161"/>
      <c r="G57" s="161"/>
      <c r="H57" s="161"/>
      <c r="I57" s="161"/>
      <c r="J57" s="161"/>
      <c r="L57" s="8"/>
      <c r="M57" s="8"/>
      <c r="N57" s="8"/>
      <c r="O57" s="8"/>
      <c r="P57" s="8"/>
    </row>
    <row r="58" spans="6:16" x14ac:dyDescent="0.3">
      <c r="F58" s="161"/>
      <c r="G58" s="161"/>
      <c r="H58" s="161"/>
      <c r="I58" s="161"/>
      <c r="J58" s="161"/>
      <c r="L58" s="8"/>
      <c r="M58" s="8"/>
      <c r="N58" s="8"/>
      <c r="O58" s="8"/>
      <c r="P58" s="8"/>
    </row>
    <row r="59" spans="6:16" x14ac:dyDescent="0.3">
      <c r="F59" s="161"/>
      <c r="G59" s="161"/>
      <c r="H59" s="161"/>
      <c r="I59" s="161"/>
      <c r="J59" s="161"/>
      <c r="L59" s="8"/>
      <c r="M59" s="8"/>
      <c r="N59" s="8"/>
      <c r="O59" s="8"/>
      <c r="P59" s="8"/>
    </row>
    <row r="60" spans="6:16" x14ac:dyDescent="0.3">
      <c r="F60" s="161"/>
      <c r="G60" s="161"/>
      <c r="H60" s="161"/>
      <c r="I60" s="161"/>
      <c r="J60" s="161"/>
      <c r="L60" s="8"/>
      <c r="M60" s="8"/>
      <c r="N60" s="8"/>
      <c r="O60" s="8"/>
      <c r="P60" s="8"/>
    </row>
    <row r="61" spans="6:16" x14ac:dyDescent="0.3">
      <c r="F61" s="161"/>
      <c r="G61" s="161"/>
      <c r="H61" s="161"/>
      <c r="I61" s="161"/>
      <c r="J61" s="161"/>
      <c r="L61" s="8"/>
      <c r="M61" s="8"/>
      <c r="N61" s="8"/>
      <c r="O61" s="8"/>
      <c r="P61" s="8"/>
    </row>
    <row r="62" spans="6:16" x14ac:dyDescent="0.3">
      <c r="F62" s="161"/>
      <c r="G62" s="161"/>
      <c r="H62" s="161"/>
      <c r="I62" s="161"/>
      <c r="J62" s="161"/>
      <c r="L62" s="8"/>
      <c r="M62" s="8"/>
      <c r="N62" s="8"/>
      <c r="O62" s="8"/>
      <c r="P62" s="8"/>
    </row>
    <row r="63" spans="6:16" x14ac:dyDescent="0.3">
      <c r="F63" s="161"/>
      <c r="G63" s="161"/>
      <c r="H63" s="161"/>
      <c r="I63" s="161"/>
      <c r="J63" s="161"/>
      <c r="L63" s="8"/>
      <c r="M63" s="8"/>
      <c r="N63" s="8"/>
      <c r="O63" s="8"/>
      <c r="P63" s="8"/>
    </row>
    <row r="64" spans="6:16" x14ac:dyDescent="0.3">
      <c r="F64" s="161"/>
      <c r="G64" s="161"/>
      <c r="H64" s="161"/>
      <c r="I64" s="161"/>
      <c r="J64" s="161"/>
      <c r="L64" s="8"/>
      <c r="M64" s="8"/>
      <c r="N64" s="8"/>
      <c r="O64" s="8"/>
      <c r="P64" s="8"/>
    </row>
    <row r="65" spans="6:16" x14ac:dyDescent="0.3">
      <c r="F65" s="161"/>
      <c r="G65" s="161"/>
      <c r="H65" s="161"/>
      <c r="I65" s="161"/>
      <c r="J65" s="161"/>
      <c r="L65" s="8"/>
      <c r="M65" s="8"/>
      <c r="N65" s="8"/>
      <c r="O65" s="8"/>
      <c r="P65" s="8"/>
    </row>
    <row r="66" spans="6:16" x14ac:dyDescent="0.3">
      <c r="F66" s="161"/>
      <c r="G66" s="161"/>
      <c r="H66" s="161"/>
      <c r="I66" s="161"/>
      <c r="J66" s="161"/>
      <c r="L66" s="8"/>
      <c r="M66" s="8"/>
      <c r="N66" s="8"/>
      <c r="O66" s="8"/>
      <c r="P66" s="8"/>
    </row>
    <row r="67" spans="6:16" x14ac:dyDescent="0.3">
      <c r="F67" s="161"/>
      <c r="G67" s="161"/>
      <c r="H67" s="161"/>
      <c r="I67" s="161"/>
      <c r="J67" s="161"/>
      <c r="L67" s="8"/>
      <c r="M67" s="8"/>
      <c r="N67" s="8"/>
      <c r="O67" s="8"/>
      <c r="P67" s="8"/>
    </row>
    <row r="68" spans="6:16" x14ac:dyDescent="0.3">
      <c r="F68" s="161"/>
      <c r="G68" s="161"/>
      <c r="H68" s="161"/>
      <c r="I68" s="161"/>
      <c r="J68" s="161"/>
      <c r="L68" s="8"/>
      <c r="M68" s="8"/>
      <c r="N68" s="8"/>
      <c r="O68" s="8"/>
      <c r="P68" s="8"/>
    </row>
    <row r="69" spans="6:16" x14ac:dyDescent="0.3">
      <c r="F69" s="161"/>
      <c r="G69" s="161"/>
      <c r="H69" s="161"/>
      <c r="I69" s="161"/>
      <c r="J69" s="161"/>
      <c r="L69" s="8"/>
      <c r="M69" s="8"/>
      <c r="N69" s="8"/>
      <c r="O69" s="8"/>
      <c r="P69" s="8"/>
    </row>
    <row r="70" spans="6:16" x14ac:dyDescent="0.3">
      <c r="F70" s="161"/>
      <c r="G70" s="161"/>
      <c r="H70" s="161"/>
      <c r="I70" s="161"/>
      <c r="J70" s="161"/>
      <c r="L70" s="8"/>
      <c r="M70" s="8"/>
      <c r="N70" s="8"/>
      <c r="O70" s="8"/>
      <c r="P70" s="8"/>
    </row>
    <row r="71" spans="6:16" x14ac:dyDescent="0.3">
      <c r="F71" s="161"/>
      <c r="G71" s="161"/>
      <c r="H71" s="161"/>
      <c r="I71" s="161"/>
      <c r="J71" s="161"/>
      <c r="L71" s="8"/>
      <c r="M71" s="8"/>
      <c r="N71" s="8"/>
      <c r="O71" s="8"/>
      <c r="P71" s="8"/>
    </row>
    <row r="72" spans="6:16" x14ac:dyDescent="0.3">
      <c r="F72" s="161"/>
      <c r="G72" s="161"/>
      <c r="H72" s="161"/>
      <c r="I72" s="161"/>
      <c r="J72" s="161"/>
      <c r="L72" s="8"/>
      <c r="M72" s="8"/>
      <c r="N72" s="8"/>
      <c r="O72" s="8"/>
      <c r="P72" s="8"/>
    </row>
    <row r="73" spans="6:16" x14ac:dyDescent="0.3">
      <c r="F73" s="161"/>
      <c r="G73" s="161"/>
      <c r="H73" s="161"/>
      <c r="I73" s="161"/>
      <c r="J73" s="161"/>
      <c r="L73" s="8"/>
      <c r="M73" s="8"/>
      <c r="N73" s="8"/>
      <c r="O73" s="8"/>
      <c r="P73" s="8"/>
    </row>
    <row r="74" spans="6:16" x14ac:dyDescent="0.3">
      <c r="F74" s="161"/>
      <c r="G74" s="161"/>
      <c r="H74" s="161"/>
      <c r="I74" s="161"/>
      <c r="J74" s="161"/>
      <c r="L74" s="8"/>
      <c r="M74" s="8"/>
      <c r="N74" s="8"/>
      <c r="O74" s="8"/>
      <c r="P74" s="8"/>
    </row>
    <row r="75" spans="6:16" x14ac:dyDescent="0.3">
      <c r="F75" s="161"/>
      <c r="G75" s="161"/>
      <c r="H75" s="161"/>
      <c r="I75" s="161"/>
      <c r="J75" s="161"/>
      <c r="L75" s="8"/>
      <c r="M75" s="8"/>
      <c r="N75" s="8"/>
      <c r="O75" s="8"/>
      <c r="P75" s="8"/>
    </row>
    <row r="76" spans="6:16" x14ac:dyDescent="0.3">
      <c r="F76" s="161"/>
      <c r="G76" s="161"/>
      <c r="H76" s="161"/>
      <c r="I76" s="161"/>
      <c r="J76" s="161"/>
      <c r="L76" s="8"/>
      <c r="M76" s="8"/>
      <c r="N76" s="8"/>
      <c r="O76" s="8"/>
      <c r="P76" s="8"/>
    </row>
    <row r="77" spans="6:16" x14ac:dyDescent="0.3">
      <c r="F77" s="161"/>
      <c r="G77" s="161"/>
      <c r="H77" s="161"/>
      <c r="I77" s="161"/>
      <c r="J77" s="161"/>
      <c r="L77" s="8"/>
      <c r="M77" s="8"/>
      <c r="N77" s="8"/>
      <c r="O77" s="8"/>
      <c r="P77" s="8"/>
    </row>
    <row r="78" spans="6:16" x14ac:dyDescent="0.3">
      <c r="F78" s="161"/>
      <c r="G78" s="161"/>
      <c r="H78" s="161"/>
      <c r="I78" s="161"/>
      <c r="J78" s="161"/>
      <c r="L78" s="8"/>
      <c r="M78" s="8"/>
      <c r="N78" s="8"/>
      <c r="O78" s="8"/>
      <c r="P78" s="8"/>
    </row>
    <row r="79" spans="6:16" x14ac:dyDescent="0.3">
      <c r="F79" s="161"/>
      <c r="G79" s="161"/>
      <c r="H79" s="161"/>
      <c r="I79" s="161"/>
      <c r="J79" s="161"/>
      <c r="L79" s="8"/>
      <c r="M79" s="8"/>
      <c r="N79" s="8"/>
      <c r="O79" s="8"/>
      <c r="P79" s="8"/>
    </row>
    <row r="80" spans="6:16" x14ac:dyDescent="0.3">
      <c r="F80" s="161"/>
      <c r="G80" s="161"/>
      <c r="H80" s="161"/>
      <c r="I80" s="161"/>
      <c r="J80" s="161"/>
      <c r="L80" s="8"/>
      <c r="M80" s="8"/>
      <c r="N80" s="8"/>
      <c r="O80" s="8"/>
      <c r="P80" s="8"/>
    </row>
    <row r="81" spans="6:16" x14ac:dyDescent="0.3">
      <c r="F81" s="161"/>
      <c r="G81" s="161"/>
      <c r="H81" s="161"/>
      <c r="I81" s="161"/>
      <c r="J81" s="161"/>
      <c r="L81" s="8"/>
      <c r="M81" s="8"/>
      <c r="N81" s="8"/>
      <c r="O81" s="8"/>
      <c r="P81" s="8"/>
    </row>
    <row r="82" spans="6:16" x14ac:dyDescent="0.3">
      <c r="F82" s="161"/>
      <c r="G82" s="161"/>
      <c r="H82" s="161"/>
      <c r="I82" s="161"/>
      <c r="J82" s="161"/>
      <c r="L82" s="8"/>
      <c r="M82" s="8"/>
      <c r="N82" s="8"/>
      <c r="O82" s="8"/>
      <c r="P82" s="8"/>
    </row>
    <row r="83" spans="6:16" x14ac:dyDescent="0.3">
      <c r="F83" s="161"/>
      <c r="G83" s="161"/>
      <c r="H83" s="161"/>
      <c r="I83" s="161"/>
      <c r="J83" s="161"/>
      <c r="L83" s="8"/>
      <c r="M83" s="8"/>
      <c r="N83" s="8"/>
      <c r="O83" s="8"/>
      <c r="P83" s="8"/>
    </row>
    <row r="84" spans="6:16" x14ac:dyDescent="0.3">
      <c r="F84" s="161"/>
      <c r="G84" s="161"/>
      <c r="H84" s="161"/>
      <c r="I84" s="161"/>
      <c r="J84" s="161"/>
      <c r="L84" s="8"/>
      <c r="M84" s="8"/>
      <c r="N84" s="8"/>
      <c r="O84" s="8"/>
      <c r="P84" s="8"/>
    </row>
    <row r="85" spans="6:16" x14ac:dyDescent="0.3">
      <c r="F85" s="161"/>
      <c r="G85" s="161"/>
      <c r="H85" s="161"/>
      <c r="I85" s="161"/>
      <c r="J85" s="161"/>
      <c r="L85" s="8"/>
      <c r="M85" s="8"/>
      <c r="N85" s="8"/>
      <c r="O85" s="8"/>
      <c r="P85" s="8"/>
    </row>
    <row r="86" spans="6:16" x14ac:dyDescent="0.3">
      <c r="F86" s="161"/>
      <c r="G86" s="161"/>
      <c r="H86" s="161"/>
      <c r="I86" s="161"/>
      <c r="J86" s="161"/>
      <c r="L86" s="8"/>
      <c r="M86" s="8"/>
      <c r="N86" s="8"/>
      <c r="O86" s="8"/>
      <c r="P86" s="8"/>
    </row>
    <row r="87" spans="6:16" x14ac:dyDescent="0.3">
      <c r="F87" s="161"/>
      <c r="G87" s="161"/>
      <c r="H87" s="161"/>
      <c r="I87" s="161"/>
      <c r="J87" s="161"/>
      <c r="L87" s="8"/>
      <c r="M87" s="8"/>
      <c r="N87" s="8"/>
      <c r="O87" s="8"/>
      <c r="P87" s="8"/>
    </row>
    <row r="88" spans="6:16" x14ac:dyDescent="0.3">
      <c r="F88" s="161"/>
      <c r="G88" s="161"/>
      <c r="H88" s="161"/>
      <c r="I88" s="161"/>
      <c r="J88" s="161"/>
      <c r="L88" s="8"/>
      <c r="M88" s="8"/>
      <c r="N88" s="8"/>
      <c r="O88" s="8"/>
      <c r="P88" s="8"/>
    </row>
    <row r="89" spans="6:16" x14ac:dyDescent="0.3">
      <c r="F89" s="161"/>
      <c r="G89" s="161"/>
      <c r="H89" s="161"/>
      <c r="I89" s="161"/>
      <c r="J89" s="161"/>
      <c r="L89" s="8"/>
      <c r="M89" s="8"/>
      <c r="N89" s="8"/>
      <c r="O89" s="8"/>
      <c r="P89" s="8"/>
    </row>
    <row r="90" spans="6:16" x14ac:dyDescent="0.3">
      <c r="F90" s="161"/>
      <c r="G90" s="161"/>
      <c r="H90" s="161"/>
      <c r="I90" s="161"/>
      <c r="J90" s="161"/>
      <c r="L90" s="8"/>
      <c r="M90" s="8"/>
      <c r="N90" s="8"/>
      <c r="O90" s="8"/>
      <c r="P90" s="8"/>
    </row>
    <row r="91" spans="6:16" x14ac:dyDescent="0.3">
      <c r="F91" s="161"/>
      <c r="G91" s="161"/>
      <c r="H91" s="161"/>
      <c r="I91" s="161"/>
      <c r="J91" s="161"/>
      <c r="L91" s="8"/>
      <c r="M91" s="8"/>
      <c r="N91" s="8"/>
      <c r="O91" s="8"/>
      <c r="P91" s="8"/>
    </row>
    <row r="92" spans="6:16" x14ac:dyDescent="0.3">
      <c r="F92" s="161"/>
      <c r="G92" s="161"/>
      <c r="H92" s="161"/>
      <c r="I92" s="161"/>
      <c r="J92" s="161"/>
      <c r="L92" s="8"/>
      <c r="M92" s="8"/>
      <c r="N92" s="8"/>
      <c r="O92" s="8"/>
      <c r="P92" s="8"/>
    </row>
    <row r="93" spans="6:16" x14ac:dyDescent="0.3">
      <c r="F93" s="161"/>
      <c r="G93" s="161"/>
      <c r="H93" s="161"/>
      <c r="I93" s="161"/>
      <c r="J93" s="161"/>
      <c r="L93" s="8"/>
      <c r="M93" s="8"/>
      <c r="N93" s="8"/>
      <c r="O93" s="8"/>
      <c r="P93" s="8"/>
    </row>
    <row r="94" spans="6:16" x14ac:dyDescent="0.3">
      <c r="F94" s="161"/>
      <c r="G94" s="161"/>
      <c r="H94" s="161"/>
      <c r="I94" s="161"/>
      <c r="J94" s="161"/>
      <c r="L94" s="8"/>
      <c r="M94" s="8"/>
      <c r="N94" s="8"/>
      <c r="O94" s="8"/>
      <c r="P94" s="8"/>
    </row>
    <row r="95" spans="6:16" x14ac:dyDescent="0.3">
      <c r="F95" s="161"/>
      <c r="G95" s="161"/>
      <c r="H95" s="161"/>
      <c r="I95" s="161"/>
      <c r="J95" s="161"/>
      <c r="L95" s="8"/>
      <c r="M95" s="8"/>
      <c r="N95" s="8"/>
      <c r="O95" s="8"/>
      <c r="P95" s="8"/>
    </row>
    <row r="96" spans="6:16" x14ac:dyDescent="0.3">
      <c r="F96" s="161"/>
      <c r="G96" s="161"/>
      <c r="H96" s="161"/>
      <c r="I96" s="161"/>
      <c r="J96" s="161"/>
      <c r="L96" s="8"/>
      <c r="M96" s="8"/>
      <c r="N96" s="8"/>
      <c r="O96" s="8"/>
      <c r="P96" s="8"/>
    </row>
    <row r="97" spans="6:16" x14ac:dyDescent="0.3">
      <c r="F97" s="161"/>
      <c r="G97" s="161"/>
      <c r="H97" s="161"/>
      <c r="I97" s="161"/>
      <c r="J97" s="161"/>
      <c r="L97" s="8"/>
      <c r="M97" s="8"/>
      <c r="N97" s="8"/>
      <c r="O97" s="8"/>
      <c r="P97" s="8"/>
    </row>
    <row r="98" spans="6:16" x14ac:dyDescent="0.3">
      <c r="F98" s="161"/>
      <c r="G98" s="161"/>
      <c r="H98" s="161"/>
      <c r="I98" s="161"/>
      <c r="J98" s="161"/>
      <c r="L98" s="8"/>
      <c r="M98" s="8"/>
      <c r="N98" s="8"/>
      <c r="O98" s="8"/>
      <c r="P98" s="8"/>
    </row>
    <row r="99" spans="6:16" x14ac:dyDescent="0.3">
      <c r="F99" s="161"/>
      <c r="G99" s="161"/>
      <c r="H99" s="161"/>
      <c r="I99" s="161"/>
      <c r="J99" s="161"/>
      <c r="L99" s="8"/>
      <c r="M99" s="8"/>
      <c r="N99" s="8"/>
      <c r="O99" s="8"/>
      <c r="P99" s="8"/>
    </row>
    <row r="100" spans="6:16" x14ac:dyDescent="0.3">
      <c r="F100" s="161"/>
      <c r="G100" s="161"/>
      <c r="H100" s="161"/>
      <c r="I100" s="161"/>
      <c r="J100" s="161"/>
      <c r="L100" s="8"/>
      <c r="M100" s="8"/>
      <c r="N100" s="8"/>
      <c r="O100" s="8"/>
      <c r="P100" s="8"/>
    </row>
    <row r="101" spans="6:16" x14ac:dyDescent="0.3">
      <c r="F101" s="161"/>
      <c r="G101" s="161"/>
      <c r="H101" s="161"/>
      <c r="I101" s="161"/>
      <c r="J101" s="161"/>
      <c r="L101" s="8"/>
      <c r="M101" s="8"/>
      <c r="N101" s="8"/>
      <c r="O101" s="8"/>
      <c r="P101" s="8"/>
    </row>
    <row r="102" spans="6:16" x14ac:dyDescent="0.3">
      <c r="F102" s="161"/>
      <c r="G102" s="161"/>
      <c r="H102" s="161"/>
      <c r="I102" s="161"/>
      <c r="J102" s="161"/>
      <c r="L102" s="8"/>
      <c r="M102" s="8"/>
      <c r="N102" s="8"/>
      <c r="O102" s="8"/>
      <c r="P102" s="8"/>
    </row>
    <row r="103" spans="6:16" x14ac:dyDescent="0.3">
      <c r="F103" s="161"/>
      <c r="G103" s="161"/>
      <c r="H103" s="161"/>
      <c r="I103" s="161"/>
      <c r="J103" s="161"/>
      <c r="L103" s="8"/>
      <c r="M103" s="8"/>
      <c r="N103" s="8"/>
      <c r="O103" s="8"/>
      <c r="P103" s="8"/>
    </row>
    <row r="104" spans="6:16" x14ac:dyDescent="0.3">
      <c r="F104" s="161"/>
      <c r="G104" s="161"/>
      <c r="H104" s="161"/>
      <c r="I104" s="161"/>
      <c r="J104" s="161"/>
      <c r="L104" s="8"/>
      <c r="M104" s="8"/>
      <c r="N104" s="8"/>
      <c r="O104" s="8"/>
      <c r="P104" s="8"/>
    </row>
    <row r="105" spans="6:16" x14ac:dyDescent="0.3">
      <c r="F105" s="161"/>
      <c r="G105" s="161"/>
      <c r="H105" s="161"/>
      <c r="I105" s="161"/>
      <c r="J105" s="161"/>
      <c r="L105" s="8"/>
      <c r="M105" s="8"/>
      <c r="N105" s="8"/>
      <c r="O105" s="8"/>
      <c r="P105" s="8"/>
    </row>
    <row r="106" spans="6:16" x14ac:dyDescent="0.3">
      <c r="F106" s="161"/>
      <c r="G106" s="161"/>
      <c r="H106" s="161"/>
      <c r="I106" s="161"/>
      <c r="J106" s="161"/>
      <c r="L106" s="8"/>
      <c r="M106" s="8"/>
      <c r="N106" s="8"/>
      <c r="O106" s="8"/>
      <c r="P106" s="8"/>
    </row>
    <row r="107" spans="6:16" x14ac:dyDescent="0.3">
      <c r="F107" s="161"/>
      <c r="G107" s="161"/>
      <c r="H107" s="161"/>
      <c r="I107" s="161"/>
      <c r="J107" s="161"/>
      <c r="L107" s="8"/>
      <c r="M107" s="8"/>
      <c r="N107" s="8"/>
      <c r="O107" s="8"/>
      <c r="P107" s="8"/>
    </row>
    <row r="108" spans="6:16" x14ac:dyDescent="0.3">
      <c r="F108" s="161"/>
      <c r="G108" s="161"/>
      <c r="H108" s="161"/>
      <c r="I108" s="161"/>
      <c r="J108" s="161"/>
      <c r="L108" s="8"/>
      <c r="M108" s="8"/>
      <c r="N108" s="8"/>
      <c r="O108" s="8"/>
      <c r="P108" s="8"/>
    </row>
    <row r="109" spans="6:16" x14ac:dyDescent="0.3">
      <c r="F109" s="161"/>
      <c r="G109" s="161"/>
      <c r="H109" s="161"/>
      <c r="I109" s="161"/>
      <c r="J109" s="161"/>
      <c r="L109" s="8"/>
      <c r="M109" s="8"/>
      <c r="N109" s="8"/>
      <c r="O109" s="8"/>
      <c r="P109" s="8"/>
    </row>
    <row r="110" spans="6:16" x14ac:dyDescent="0.3">
      <c r="F110" s="161"/>
      <c r="G110" s="161"/>
      <c r="H110" s="161"/>
      <c r="I110" s="161"/>
      <c r="J110" s="161"/>
      <c r="L110" s="8"/>
      <c r="M110" s="8"/>
      <c r="N110" s="8"/>
      <c r="O110" s="8"/>
      <c r="P110" s="8"/>
    </row>
    <row r="111" spans="6:16" x14ac:dyDescent="0.3">
      <c r="F111" s="161"/>
      <c r="G111" s="161"/>
      <c r="H111" s="161"/>
      <c r="I111" s="161"/>
      <c r="J111" s="161"/>
      <c r="L111" s="8"/>
      <c r="M111" s="8"/>
      <c r="N111" s="8"/>
      <c r="O111" s="8"/>
      <c r="P111" s="8"/>
    </row>
    <row r="112" spans="6:16" x14ac:dyDescent="0.3">
      <c r="F112" s="161"/>
      <c r="G112" s="161"/>
      <c r="H112" s="161"/>
      <c r="I112" s="161"/>
      <c r="J112" s="161"/>
      <c r="L112" s="8"/>
      <c r="M112" s="8"/>
      <c r="N112" s="8"/>
      <c r="O112" s="8"/>
      <c r="P112" s="8"/>
    </row>
    <row r="113" spans="6:16" x14ac:dyDescent="0.3">
      <c r="F113" s="161"/>
      <c r="G113" s="161"/>
      <c r="H113" s="161"/>
      <c r="I113" s="161"/>
      <c r="J113" s="161"/>
      <c r="L113" s="8"/>
      <c r="M113" s="8"/>
      <c r="N113" s="8"/>
      <c r="O113" s="8"/>
      <c r="P113" s="8"/>
    </row>
    <row r="114" spans="6:16" x14ac:dyDescent="0.3">
      <c r="F114" s="161"/>
      <c r="G114" s="161"/>
      <c r="H114" s="161"/>
      <c r="I114" s="161"/>
      <c r="J114" s="161"/>
      <c r="L114" s="8"/>
      <c r="M114" s="8"/>
      <c r="N114" s="8"/>
      <c r="O114" s="8"/>
      <c r="P114" s="8"/>
    </row>
    <row r="115" spans="6:16" x14ac:dyDescent="0.3">
      <c r="F115" s="161"/>
      <c r="G115" s="161"/>
      <c r="H115" s="161"/>
      <c r="I115" s="161"/>
      <c r="J115" s="161"/>
      <c r="L115" s="8"/>
      <c r="M115" s="8"/>
      <c r="N115" s="8"/>
      <c r="O115" s="8"/>
      <c r="P115" s="8"/>
    </row>
    <row r="116" spans="6:16" x14ac:dyDescent="0.3">
      <c r="F116" s="161"/>
      <c r="G116" s="161"/>
      <c r="H116" s="161"/>
      <c r="I116" s="161"/>
      <c r="J116" s="161"/>
      <c r="L116" s="8"/>
      <c r="M116" s="8"/>
      <c r="N116" s="8"/>
      <c r="O116" s="8"/>
      <c r="P116" s="8"/>
    </row>
    <row r="117" spans="6:16" x14ac:dyDescent="0.3">
      <c r="F117" s="161"/>
      <c r="G117" s="161"/>
      <c r="H117" s="161"/>
      <c r="I117" s="161"/>
      <c r="J117" s="161"/>
      <c r="L117" s="8"/>
      <c r="M117" s="8"/>
      <c r="N117" s="8"/>
      <c r="O117" s="8"/>
      <c r="P117" s="8"/>
    </row>
    <row r="118" spans="6:16" x14ac:dyDescent="0.3">
      <c r="F118" s="161"/>
      <c r="G118" s="161"/>
      <c r="H118" s="161"/>
      <c r="I118" s="161"/>
      <c r="J118" s="161"/>
      <c r="L118" s="8"/>
      <c r="M118" s="8"/>
      <c r="N118" s="8"/>
      <c r="O118" s="8"/>
      <c r="P118" s="8"/>
    </row>
    <row r="119" spans="6:16" x14ac:dyDescent="0.3">
      <c r="F119" s="161"/>
      <c r="G119" s="161"/>
      <c r="H119" s="161"/>
      <c r="I119" s="161"/>
      <c r="J119" s="161"/>
      <c r="L119" s="8"/>
      <c r="M119" s="8"/>
      <c r="N119" s="8"/>
      <c r="O119" s="8"/>
      <c r="P119" s="8"/>
    </row>
    <row r="120" spans="6:16" x14ac:dyDescent="0.3">
      <c r="F120" s="161"/>
      <c r="G120" s="161"/>
      <c r="H120" s="161"/>
      <c r="I120" s="161"/>
      <c r="J120" s="161"/>
      <c r="L120" s="8"/>
      <c r="M120" s="8"/>
      <c r="N120" s="8"/>
      <c r="O120" s="8"/>
      <c r="P120" s="8"/>
    </row>
    <row r="121" spans="6:16" x14ac:dyDescent="0.3">
      <c r="F121" s="161"/>
      <c r="G121" s="161"/>
      <c r="H121" s="161"/>
      <c r="I121" s="161"/>
      <c r="J121" s="161"/>
      <c r="L121" s="8"/>
      <c r="M121" s="8"/>
      <c r="N121" s="8"/>
      <c r="O121" s="8"/>
      <c r="P121" s="8"/>
    </row>
    <row r="122" spans="6:16" x14ac:dyDescent="0.3">
      <c r="F122" s="161"/>
      <c r="G122" s="161"/>
      <c r="H122" s="161"/>
      <c r="I122" s="161"/>
      <c r="J122" s="161"/>
      <c r="L122" s="8"/>
      <c r="M122" s="8"/>
      <c r="N122" s="8"/>
      <c r="O122" s="8"/>
      <c r="P122" s="8"/>
    </row>
    <row r="123" spans="6:16" x14ac:dyDescent="0.3">
      <c r="F123" s="161"/>
      <c r="G123" s="161"/>
      <c r="H123" s="161"/>
      <c r="I123" s="161"/>
      <c r="J123" s="161"/>
      <c r="L123" s="8"/>
      <c r="M123" s="8"/>
      <c r="N123" s="8"/>
      <c r="O123" s="8"/>
      <c r="P123" s="8"/>
    </row>
    <row r="124" spans="6:16" x14ac:dyDescent="0.3">
      <c r="F124" s="161"/>
      <c r="G124" s="161"/>
      <c r="H124" s="161"/>
      <c r="I124" s="161"/>
      <c r="J124" s="161"/>
      <c r="L124" s="8"/>
      <c r="M124" s="8"/>
      <c r="N124" s="8"/>
      <c r="O124" s="8"/>
      <c r="P124" s="8"/>
    </row>
    <row r="125" spans="6:16" x14ac:dyDescent="0.3">
      <c r="F125" s="161"/>
      <c r="G125" s="161"/>
      <c r="H125" s="161"/>
      <c r="I125" s="161"/>
      <c r="J125" s="161"/>
      <c r="L125" s="8"/>
      <c r="M125" s="8"/>
      <c r="N125" s="8"/>
      <c r="O125" s="8"/>
      <c r="P125" s="8"/>
    </row>
    <row r="126" spans="6:16" x14ac:dyDescent="0.3">
      <c r="F126" s="161"/>
      <c r="G126" s="161"/>
      <c r="H126" s="161"/>
      <c r="I126" s="161"/>
      <c r="J126" s="161"/>
      <c r="L126" s="8"/>
      <c r="M126" s="8"/>
      <c r="N126" s="8"/>
      <c r="O126" s="8"/>
      <c r="P126" s="8"/>
    </row>
    <row r="127" spans="6:16" x14ac:dyDescent="0.3">
      <c r="F127" s="161"/>
      <c r="G127" s="161"/>
      <c r="H127" s="161"/>
      <c r="I127" s="161"/>
      <c r="J127" s="161"/>
      <c r="L127" s="8"/>
      <c r="M127" s="8"/>
      <c r="N127" s="8"/>
      <c r="O127" s="8"/>
      <c r="P127" s="8"/>
    </row>
    <row r="128" spans="6:16" x14ac:dyDescent="0.3">
      <c r="F128" s="161"/>
      <c r="G128" s="161"/>
      <c r="H128" s="161"/>
      <c r="I128" s="161"/>
      <c r="J128" s="161"/>
      <c r="L128" s="8"/>
      <c r="M128" s="8"/>
      <c r="N128" s="8"/>
      <c r="O128" s="8"/>
      <c r="P128" s="8"/>
    </row>
    <row r="129" spans="6:16" x14ac:dyDescent="0.3">
      <c r="F129" s="161"/>
      <c r="G129" s="161"/>
      <c r="H129" s="161"/>
      <c r="I129" s="161"/>
      <c r="J129" s="161"/>
      <c r="L129" s="8"/>
      <c r="M129" s="8"/>
      <c r="N129" s="8"/>
      <c r="O129" s="8"/>
      <c r="P129" s="8"/>
    </row>
    <row r="130" spans="6:16" x14ac:dyDescent="0.3">
      <c r="F130" s="161"/>
      <c r="G130" s="161"/>
      <c r="H130" s="161"/>
      <c r="I130" s="161"/>
      <c r="J130" s="161"/>
      <c r="L130" s="8"/>
      <c r="M130" s="8"/>
      <c r="N130" s="8"/>
      <c r="O130" s="8"/>
      <c r="P130" s="8"/>
    </row>
    <row r="131" spans="6:16" x14ac:dyDescent="0.3">
      <c r="F131" s="161"/>
      <c r="G131" s="161"/>
      <c r="H131" s="161"/>
      <c r="I131" s="161"/>
      <c r="J131" s="161"/>
      <c r="L131" s="8"/>
      <c r="M131" s="8"/>
      <c r="N131" s="8"/>
      <c r="O131" s="8"/>
      <c r="P131" s="8"/>
    </row>
    <row r="132" spans="6:16" x14ac:dyDescent="0.3">
      <c r="F132" s="161"/>
      <c r="G132" s="161"/>
      <c r="H132" s="161"/>
      <c r="I132" s="161"/>
      <c r="J132" s="161"/>
      <c r="L132" s="8"/>
      <c r="M132" s="8"/>
      <c r="N132" s="8"/>
      <c r="O132" s="8"/>
      <c r="P132" s="8"/>
    </row>
    <row r="133" spans="6:16" x14ac:dyDescent="0.3">
      <c r="F133" s="161"/>
      <c r="G133" s="161"/>
      <c r="H133" s="161"/>
      <c r="I133" s="161"/>
      <c r="J133" s="161"/>
      <c r="L133" s="8"/>
      <c r="M133" s="8"/>
      <c r="N133" s="8"/>
      <c r="O133" s="8"/>
      <c r="P133" s="8"/>
    </row>
    <row r="134" spans="6:16" x14ac:dyDescent="0.3">
      <c r="F134" s="161"/>
      <c r="G134" s="161"/>
      <c r="H134" s="161"/>
      <c r="I134" s="161"/>
      <c r="J134" s="161"/>
      <c r="L134" s="8"/>
      <c r="M134" s="8"/>
      <c r="N134" s="8"/>
      <c r="O134" s="8"/>
      <c r="P134" s="8"/>
    </row>
    <row r="135" spans="6:16" x14ac:dyDescent="0.3">
      <c r="F135" s="161"/>
      <c r="G135" s="161"/>
      <c r="H135" s="161"/>
      <c r="I135" s="161"/>
      <c r="J135" s="161"/>
      <c r="L135" s="8"/>
      <c r="M135" s="8"/>
      <c r="N135" s="8"/>
      <c r="O135" s="8"/>
      <c r="P135" s="8"/>
    </row>
    <row r="136" spans="6:16" x14ac:dyDescent="0.3">
      <c r="F136" s="161"/>
      <c r="G136" s="161"/>
      <c r="H136" s="161"/>
      <c r="I136" s="161"/>
      <c r="J136" s="161"/>
      <c r="L136" s="8"/>
      <c r="M136" s="8"/>
      <c r="N136" s="8"/>
      <c r="O136" s="8"/>
      <c r="P136" s="8"/>
    </row>
    <row r="137" spans="6:16" x14ac:dyDescent="0.3">
      <c r="F137" s="161"/>
      <c r="G137" s="161"/>
      <c r="H137" s="161"/>
      <c r="I137" s="161"/>
      <c r="J137" s="161"/>
      <c r="L137" s="8"/>
      <c r="M137" s="8"/>
      <c r="N137" s="8"/>
      <c r="O137" s="8"/>
      <c r="P137" s="8"/>
    </row>
    <row r="138" spans="6:16" x14ac:dyDescent="0.3">
      <c r="F138" s="161"/>
      <c r="G138" s="161"/>
      <c r="H138" s="161"/>
      <c r="I138" s="161"/>
      <c r="J138" s="161"/>
      <c r="L138" s="8"/>
      <c r="M138" s="8"/>
      <c r="N138" s="8"/>
      <c r="O138" s="8"/>
      <c r="P138" s="8"/>
    </row>
    <row r="139" spans="6:16" x14ac:dyDescent="0.3">
      <c r="F139" s="161"/>
      <c r="G139" s="161"/>
      <c r="H139" s="161"/>
      <c r="I139" s="161"/>
      <c r="J139" s="161"/>
      <c r="L139" s="8"/>
      <c r="M139" s="8"/>
      <c r="N139" s="8"/>
      <c r="O139" s="8"/>
      <c r="P139" s="8"/>
    </row>
    <row r="140" spans="6:16" x14ac:dyDescent="0.3">
      <c r="F140" s="161"/>
      <c r="G140" s="161"/>
      <c r="H140" s="161"/>
      <c r="I140" s="161"/>
      <c r="J140" s="161"/>
      <c r="L140" s="8"/>
      <c r="M140" s="8"/>
      <c r="N140" s="8"/>
      <c r="O140" s="8"/>
      <c r="P140" s="8"/>
    </row>
    <row r="141" spans="6:16" x14ac:dyDescent="0.3">
      <c r="F141" s="161"/>
      <c r="G141" s="161"/>
      <c r="H141" s="161"/>
      <c r="I141" s="161"/>
      <c r="J141" s="161"/>
      <c r="L141" s="8"/>
      <c r="M141" s="8"/>
      <c r="N141" s="8"/>
      <c r="O141" s="8"/>
      <c r="P141" s="8"/>
    </row>
    <row r="142" spans="6:16" x14ac:dyDescent="0.3">
      <c r="F142" s="161"/>
      <c r="G142" s="161"/>
      <c r="H142" s="161"/>
      <c r="I142" s="161"/>
      <c r="J142" s="161"/>
      <c r="L142" s="8"/>
      <c r="M142" s="8"/>
      <c r="N142" s="8"/>
      <c r="O142" s="8"/>
      <c r="P142" s="8"/>
    </row>
    <row r="143" spans="6:16" x14ac:dyDescent="0.3">
      <c r="F143" s="161"/>
      <c r="G143" s="161"/>
      <c r="H143" s="161"/>
      <c r="I143" s="161"/>
      <c r="J143" s="161"/>
      <c r="L143" s="8"/>
      <c r="M143" s="8"/>
      <c r="N143" s="8"/>
      <c r="O143" s="8"/>
      <c r="P143" s="8"/>
    </row>
    <row r="144" spans="6:16" x14ac:dyDescent="0.3">
      <c r="F144" s="161"/>
      <c r="G144" s="161"/>
      <c r="H144" s="161"/>
      <c r="I144" s="161"/>
      <c r="J144" s="161"/>
      <c r="L144" s="8"/>
      <c r="M144" s="8"/>
      <c r="N144" s="8"/>
      <c r="O144" s="8"/>
      <c r="P144" s="8"/>
    </row>
    <row r="145" spans="6:16" x14ac:dyDescent="0.3">
      <c r="F145" s="161"/>
      <c r="G145" s="161"/>
      <c r="H145" s="161"/>
      <c r="I145" s="161"/>
      <c r="J145" s="161"/>
      <c r="L145" s="8"/>
      <c r="M145" s="8"/>
      <c r="N145" s="8"/>
      <c r="O145" s="8"/>
      <c r="P145" s="8"/>
    </row>
    <row r="146" spans="6:16" x14ac:dyDescent="0.3">
      <c r="F146" s="161"/>
      <c r="G146" s="161"/>
      <c r="H146" s="161"/>
      <c r="I146" s="161"/>
      <c r="J146" s="161"/>
      <c r="L146" s="8"/>
      <c r="M146" s="8"/>
      <c r="N146" s="8"/>
      <c r="O146" s="8"/>
      <c r="P146" s="8"/>
    </row>
    <row r="147" spans="6:16" x14ac:dyDescent="0.3">
      <c r="F147" s="161"/>
      <c r="G147" s="161"/>
      <c r="H147" s="161"/>
      <c r="I147" s="161"/>
      <c r="J147" s="161"/>
      <c r="L147" s="8"/>
      <c r="M147" s="8"/>
      <c r="N147" s="8"/>
      <c r="O147" s="8"/>
      <c r="P147" s="8"/>
    </row>
    <row r="148" spans="6:16" x14ac:dyDescent="0.3">
      <c r="F148" s="161"/>
      <c r="G148" s="161"/>
      <c r="H148" s="161"/>
      <c r="I148" s="161"/>
      <c r="J148" s="161"/>
      <c r="L148" s="8"/>
      <c r="M148" s="8"/>
      <c r="N148" s="8"/>
      <c r="O148" s="8"/>
      <c r="P148" s="8"/>
    </row>
    <row r="149" spans="6:16" x14ac:dyDescent="0.3">
      <c r="F149" s="161"/>
      <c r="G149" s="161"/>
      <c r="H149" s="161"/>
      <c r="I149" s="161"/>
      <c r="J149" s="161"/>
      <c r="L149" s="8"/>
      <c r="M149" s="8"/>
      <c r="N149" s="8"/>
      <c r="O149" s="8"/>
      <c r="P149" s="8"/>
    </row>
    <row r="150" spans="6:16" x14ac:dyDescent="0.3">
      <c r="F150" s="161"/>
      <c r="G150" s="161"/>
      <c r="H150" s="161"/>
      <c r="I150" s="161"/>
      <c r="J150" s="161"/>
      <c r="L150" s="8"/>
      <c r="M150" s="8"/>
      <c r="N150" s="8"/>
      <c r="O150" s="8"/>
      <c r="P150" s="8"/>
    </row>
    <row r="151" spans="6:16" x14ac:dyDescent="0.3">
      <c r="F151" s="161"/>
      <c r="G151" s="161"/>
      <c r="H151" s="161"/>
      <c r="I151" s="161"/>
      <c r="J151" s="161"/>
      <c r="L151" s="8"/>
      <c r="M151" s="8"/>
      <c r="N151" s="8"/>
      <c r="O151" s="8"/>
      <c r="P151" s="8"/>
    </row>
    <row r="152" spans="6:16" x14ac:dyDescent="0.3">
      <c r="F152" s="161"/>
      <c r="G152" s="161"/>
      <c r="H152" s="161"/>
      <c r="I152" s="161"/>
      <c r="J152" s="161"/>
      <c r="L152" s="8"/>
      <c r="M152" s="8"/>
      <c r="N152" s="8"/>
      <c r="O152" s="8"/>
      <c r="P152" s="8"/>
    </row>
    <row r="153" spans="6:16" x14ac:dyDescent="0.3">
      <c r="F153" s="161"/>
      <c r="G153" s="161"/>
      <c r="H153" s="161"/>
      <c r="I153" s="161"/>
      <c r="J153" s="161"/>
      <c r="L153" s="8"/>
      <c r="M153" s="8"/>
      <c r="N153" s="8"/>
      <c r="O153" s="8"/>
      <c r="P153" s="8"/>
    </row>
    <row r="154" spans="6:16" x14ac:dyDescent="0.3">
      <c r="F154" s="161"/>
      <c r="G154" s="161"/>
      <c r="H154" s="161"/>
      <c r="I154" s="161"/>
      <c r="J154" s="161"/>
      <c r="L154" s="8"/>
      <c r="M154" s="8"/>
      <c r="N154" s="8"/>
      <c r="O154" s="8"/>
      <c r="P154" s="8"/>
    </row>
    <row r="155" spans="6:16" x14ac:dyDescent="0.3">
      <c r="F155" s="161"/>
      <c r="G155" s="161"/>
      <c r="H155" s="161"/>
      <c r="I155" s="161"/>
      <c r="J155" s="161"/>
      <c r="L155" s="8"/>
      <c r="M155" s="8"/>
      <c r="N155" s="8"/>
      <c r="O155" s="8"/>
      <c r="P155" s="8"/>
    </row>
    <row r="156" spans="6:16" x14ac:dyDescent="0.3">
      <c r="F156" s="161"/>
      <c r="G156" s="161"/>
      <c r="H156" s="161"/>
      <c r="I156" s="161"/>
      <c r="J156" s="161"/>
      <c r="L156" s="8"/>
      <c r="M156" s="8"/>
      <c r="N156" s="8"/>
      <c r="O156" s="8"/>
      <c r="P156" s="8"/>
    </row>
    <row r="157" spans="6:16" x14ac:dyDescent="0.3">
      <c r="F157" s="161"/>
      <c r="G157" s="161"/>
      <c r="H157" s="161"/>
      <c r="I157" s="161"/>
      <c r="J157" s="161"/>
      <c r="L157" s="8"/>
      <c r="M157" s="8"/>
      <c r="N157" s="8"/>
      <c r="O157" s="8"/>
      <c r="P157" s="8"/>
    </row>
    <row r="158" spans="6:16" x14ac:dyDescent="0.3">
      <c r="F158" s="161"/>
      <c r="G158" s="161"/>
      <c r="H158" s="161"/>
      <c r="I158" s="161"/>
      <c r="J158" s="161"/>
      <c r="L158" s="8"/>
      <c r="M158" s="8"/>
      <c r="N158" s="8"/>
      <c r="O158" s="8"/>
      <c r="P158" s="8"/>
    </row>
    <row r="159" spans="6:16" x14ac:dyDescent="0.3">
      <c r="F159" s="161"/>
      <c r="G159" s="161"/>
      <c r="H159" s="161"/>
      <c r="I159" s="161"/>
      <c r="J159" s="161"/>
      <c r="L159" s="8"/>
      <c r="M159" s="8"/>
      <c r="N159" s="8"/>
      <c r="O159" s="8"/>
      <c r="P159" s="8"/>
    </row>
    <row r="160" spans="6:16" x14ac:dyDescent="0.3">
      <c r="F160" s="161"/>
      <c r="G160" s="161"/>
      <c r="H160" s="161"/>
      <c r="I160" s="161"/>
      <c r="J160" s="161"/>
      <c r="L160" s="8"/>
      <c r="M160" s="8"/>
      <c r="N160" s="8"/>
      <c r="O160" s="8"/>
      <c r="P160" s="8"/>
    </row>
    <row r="161" spans="6:16" x14ac:dyDescent="0.3">
      <c r="F161" s="161"/>
      <c r="G161" s="161"/>
      <c r="H161" s="161"/>
      <c r="I161" s="161"/>
      <c r="J161" s="161"/>
      <c r="L161" s="8"/>
      <c r="M161" s="8"/>
      <c r="N161" s="8"/>
      <c r="O161" s="8"/>
      <c r="P161" s="8"/>
    </row>
    <row r="162" spans="6:16" x14ac:dyDescent="0.3">
      <c r="F162" s="161"/>
      <c r="G162" s="161"/>
      <c r="H162" s="161"/>
      <c r="I162" s="161"/>
      <c r="J162" s="161"/>
      <c r="L162" s="8"/>
      <c r="M162" s="8"/>
      <c r="N162" s="8"/>
      <c r="O162" s="8"/>
      <c r="P162" s="8"/>
    </row>
    <row r="163" spans="6:16" x14ac:dyDescent="0.3">
      <c r="F163" s="161"/>
      <c r="G163" s="161"/>
      <c r="H163" s="161"/>
      <c r="I163" s="161"/>
      <c r="J163" s="161"/>
      <c r="L163" s="8"/>
      <c r="M163" s="8"/>
      <c r="N163" s="8"/>
      <c r="O163" s="8"/>
      <c r="P163" s="8"/>
    </row>
    <row r="164" spans="6:16" x14ac:dyDescent="0.3">
      <c r="F164" s="161"/>
      <c r="G164" s="161"/>
      <c r="H164" s="161"/>
      <c r="I164" s="161"/>
      <c r="J164" s="161"/>
      <c r="L164" s="8"/>
      <c r="M164" s="8"/>
      <c r="N164" s="8"/>
      <c r="O164" s="8"/>
      <c r="P164" s="8"/>
    </row>
    <row r="165" spans="6:16" x14ac:dyDescent="0.3">
      <c r="F165" s="161"/>
      <c r="G165" s="161"/>
      <c r="H165" s="161"/>
      <c r="I165" s="161"/>
      <c r="J165" s="161"/>
      <c r="L165" s="8"/>
      <c r="M165" s="8"/>
      <c r="N165" s="8"/>
      <c r="O165" s="8"/>
      <c r="P165" s="8"/>
    </row>
    <row r="166" spans="6:16" x14ac:dyDescent="0.3">
      <c r="F166" s="161"/>
      <c r="G166" s="161"/>
      <c r="H166" s="161"/>
      <c r="I166" s="161"/>
      <c r="J166" s="161"/>
      <c r="L166" s="8"/>
      <c r="M166" s="8"/>
      <c r="N166" s="8"/>
      <c r="O166" s="8"/>
      <c r="P166" s="8"/>
    </row>
    <row r="167" spans="6:16" x14ac:dyDescent="0.3">
      <c r="F167" s="161"/>
      <c r="G167" s="161"/>
      <c r="H167" s="161"/>
      <c r="I167" s="161"/>
      <c r="J167" s="161"/>
      <c r="L167" s="8"/>
      <c r="M167" s="8"/>
      <c r="N167" s="8"/>
      <c r="O167" s="8"/>
      <c r="P167" s="8"/>
    </row>
    <row r="168" spans="6:16" x14ac:dyDescent="0.3">
      <c r="F168" s="161"/>
      <c r="G168" s="161"/>
      <c r="H168" s="161"/>
      <c r="I168" s="161"/>
      <c r="J168" s="161"/>
      <c r="L168" s="8"/>
      <c r="M168" s="8"/>
      <c r="N168" s="8"/>
      <c r="O168" s="8"/>
      <c r="P168" s="8"/>
    </row>
    <row r="169" spans="6:16" x14ac:dyDescent="0.3">
      <c r="F169" s="161"/>
      <c r="G169" s="161"/>
      <c r="H169" s="161"/>
      <c r="I169" s="161"/>
      <c r="J169" s="161"/>
      <c r="L169" s="8"/>
      <c r="M169" s="8"/>
      <c r="N169" s="8"/>
      <c r="O169" s="8"/>
      <c r="P169" s="8"/>
    </row>
    <row r="170" spans="6:16" x14ac:dyDescent="0.3">
      <c r="F170" s="161"/>
      <c r="G170" s="161"/>
      <c r="H170" s="161"/>
      <c r="I170" s="161"/>
      <c r="J170" s="161"/>
      <c r="L170" s="8"/>
      <c r="M170" s="8"/>
      <c r="N170" s="8"/>
      <c r="O170" s="8"/>
      <c r="P170" s="8"/>
    </row>
    <row r="171" spans="6:16" x14ac:dyDescent="0.3">
      <c r="F171" s="161"/>
      <c r="G171" s="161"/>
      <c r="H171" s="161"/>
      <c r="I171" s="161"/>
      <c r="J171" s="161"/>
      <c r="L171" s="8"/>
      <c r="M171" s="8"/>
      <c r="N171" s="8"/>
      <c r="O171" s="8"/>
      <c r="P171" s="8"/>
    </row>
    <row r="172" spans="6:16" x14ac:dyDescent="0.3">
      <c r="F172" s="161"/>
      <c r="G172" s="161"/>
      <c r="H172" s="161"/>
      <c r="I172" s="161"/>
      <c r="J172" s="161"/>
      <c r="L172" s="8"/>
      <c r="M172" s="8"/>
      <c r="N172" s="8"/>
      <c r="O172" s="8"/>
      <c r="P172" s="8"/>
    </row>
    <row r="173" spans="6:16" x14ac:dyDescent="0.3">
      <c r="F173" s="161"/>
      <c r="G173" s="161"/>
      <c r="H173" s="161"/>
      <c r="I173" s="161"/>
      <c r="J173" s="161"/>
      <c r="L173" s="8"/>
      <c r="M173" s="8"/>
      <c r="N173" s="8"/>
      <c r="O173" s="8"/>
      <c r="P173" s="8"/>
    </row>
    <row r="174" spans="6:16" x14ac:dyDescent="0.3">
      <c r="F174" s="161"/>
      <c r="G174" s="161"/>
      <c r="H174" s="161"/>
      <c r="I174" s="161"/>
      <c r="J174" s="161"/>
      <c r="L174" s="8"/>
      <c r="M174" s="8"/>
      <c r="N174" s="8"/>
      <c r="O174" s="8"/>
      <c r="P174" s="8"/>
    </row>
    <row r="175" spans="6:16" x14ac:dyDescent="0.3">
      <c r="F175" s="161"/>
      <c r="G175" s="161"/>
      <c r="H175" s="161"/>
      <c r="I175" s="161"/>
      <c r="J175" s="161"/>
      <c r="L175" s="8"/>
      <c r="M175" s="8"/>
      <c r="N175" s="8"/>
      <c r="O175" s="8"/>
      <c r="P175" s="8"/>
    </row>
    <row r="176" spans="6:16" x14ac:dyDescent="0.3">
      <c r="F176" s="161"/>
      <c r="G176" s="161"/>
      <c r="H176" s="161"/>
      <c r="I176" s="161"/>
      <c r="J176" s="161"/>
      <c r="L176" s="8"/>
      <c r="M176" s="8"/>
      <c r="N176" s="8"/>
      <c r="O176" s="8"/>
      <c r="P176" s="8"/>
    </row>
    <row r="177" spans="6:16" x14ac:dyDescent="0.3">
      <c r="F177" s="161"/>
      <c r="G177" s="161"/>
      <c r="H177" s="161"/>
      <c r="I177" s="161"/>
      <c r="J177" s="161"/>
      <c r="L177" s="8"/>
      <c r="M177" s="8"/>
      <c r="N177" s="8"/>
      <c r="O177" s="8"/>
      <c r="P177" s="8"/>
    </row>
    <row r="178" spans="6:16" x14ac:dyDescent="0.3">
      <c r="F178" s="161"/>
      <c r="G178" s="161"/>
      <c r="H178" s="161"/>
      <c r="I178" s="161"/>
      <c r="J178" s="161"/>
      <c r="L178" s="8"/>
      <c r="M178" s="8"/>
      <c r="N178" s="8"/>
      <c r="O178" s="8"/>
      <c r="P178" s="8"/>
    </row>
    <row r="179" spans="6:16" x14ac:dyDescent="0.3">
      <c r="F179" s="161"/>
      <c r="G179" s="161"/>
      <c r="H179" s="161"/>
      <c r="I179" s="161"/>
      <c r="J179" s="161"/>
      <c r="L179" s="8"/>
      <c r="M179" s="8"/>
      <c r="N179" s="8"/>
      <c r="O179" s="8"/>
      <c r="P179" s="8"/>
    </row>
    <row r="180" spans="6:16" x14ac:dyDescent="0.3">
      <c r="F180" s="161"/>
      <c r="G180" s="161"/>
      <c r="H180" s="161"/>
      <c r="I180" s="161"/>
      <c r="J180" s="161"/>
      <c r="L180" s="8"/>
      <c r="M180" s="8"/>
      <c r="N180" s="8"/>
      <c r="O180" s="8"/>
      <c r="P180" s="8"/>
    </row>
    <row r="181" spans="6:16" x14ac:dyDescent="0.3">
      <c r="F181" s="161"/>
      <c r="G181" s="161"/>
      <c r="H181" s="161"/>
      <c r="I181" s="161"/>
      <c r="J181" s="161"/>
      <c r="L181" s="8"/>
      <c r="M181" s="8"/>
      <c r="N181" s="8"/>
      <c r="O181" s="8"/>
      <c r="P181" s="8"/>
    </row>
    <row r="182" spans="6:16" x14ac:dyDescent="0.3">
      <c r="F182" s="161"/>
      <c r="G182" s="161"/>
      <c r="H182" s="161"/>
      <c r="I182" s="161"/>
      <c r="J182" s="161"/>
      <c r="L182" s="8"/>
      <c r="M182" s="8"/>
      <c r="N182" s="8"/>
      <c r="O182" s="8"/>
      <c r="P182" s="8"/>
    </row>
    <row r="183" spans="6:16" x14ac:dyDescent="0.3">
      <c r="F183" s="161"/>
      <c r="G183" s="161"/>
      <c r="H183" s="161"/>
      <c r="I183" s="161"/>
      <c r="J183" s="161"/>
      <c r="L183" s="8"/>
      <c r="M183" s="8"/>
      <c r="N183" s="8"/>
      <c r="O183" s="8"/>
      <c r="P183" s="8"/>
    </row>
    <row r="184" spans="6:16" x14ac:dyDescent="0.3">
      <c r="F184" s="161"/>
      <c r="G184" s="161"/>
      <c r="H184" s="161"/>
      <c r="I184" s="161"/>
      <c r="J184" s="161"/>
      <c r="L184" s="8"/>
      <c r="M184" s="8"/>
      <c r="N184" s="8"/>
      <c r="O184" s="8"/>
      <c r="P184" s="8"/>
    </row>
    <row r="185" spans="6:16" x14ac:dyDescent="0.3">
      <c r="F185" s="161"/>
      <c r="G185" s="161"/>
      <c r="H185" s="161"/>
      <c r="I185" s="161"/>
      <c r="J185" s="161"/>
      <c r="L185" s="8"/>
      <c r="M185" s="8"/>
      <c r="N185" s="8"/>
      <c r="O185" s="8"/>
      <c r="P185" s="8"/>
    </row>
    <row r="186" spans="6:16" x14ac:dyDescent="0.3">
      <c r="F186" s="161"/>
      <c r="G186" s="161"/>
      <c r="H186" s="161"/>
      <c r="I186" s="161"/>
      <c r="J186" s="161"/>
      <c r="L186" s="8"/>
      <c r="M186" s="8"/>
      <c r="N186" s="8"/>
      <c r="O186" s="8"/>
      <c r="P186" s="8"/>
    </row>
    <row r="187" spans="6:16" x14ac:dyDescent="0.3">
      <c r="F187" s="161"/>
      <c r="G187" s="161"/>
      <c r="H187" s="161"/>
      <c r="I187" s="161"/>
      <c r="J187" s="161"/>
      <c r="L187" s="8"/>
      <c r="M187" s="8"/>
      <c r="N187" s="8"/>
      <c r="O187" s="8"/>
      <c r="P187" s="8"/>
    </row>
    <row r="188" spans="6:16" x14ac:dyDescent="0.3">
      <c r="F188" s="161"/>
      <c r="G188" s="161"/>
      <c r="H188" s="161"/>
      <c r="I188" s="161"/>
      <c r="J188" s="161"/>
      <c r="L188" s="8"/>
      <c r="M188" s="8"/>
      <c r="N188" s="8"/>
      <c r="O188" s="8"/>
      <c r="P188" s="8"/>
    </row>
    <row r="189" spans="6:16" x14ac:dyDescent="0.3">
      <c r="F189" s="161"/>
      <c r="G189" s="161"/>
      <c r="H189" s="161"/>
      <c r="I189" s="161"/>
      <c r="J189" s="161"/>
      <c r="L189" s="8"/>
      <c r="M189" s="8"/>
      <c r="N189" s="8"/>
      <c r="O189" s="8"/>
      <c r="P189" s="8"/>
    </row>
    <row r="190" spans="6:16" x14ac:dyDescent="0.3">
      <c r="F190" s="161"/>
      <c r="G190" s="161"/>
      <c r="H190" s="161"/>
      <c r="I190" s="161"/>
      <c r="J190" s="161"/>
      <c r="L190" s="8"/>
      <c r="M190" s="8"/>
      <c r="N190" s="8"/>
      <c r="O190" s="8"/>
      <c r="P190" s="8"/>
    </row>
    <row r="191" spans="6:16" x14ac:dyDescent="0.3">
      <c r="F191" s="161"/>
      <c r="G191" s="161"/>
      <c r="H191" s="161"/>
      <c r="I191" s="161"/>
      <c r="J191" s="161"/>
      <c r="L191" s="8"/>
      <c r="M191" s="8"/>
      <c r="N191" s="8"/>
      <c r="O191" s="8"/>
      <c r="P191" s="8"/>
    </row>
    <row r="192" spans="6:16" x14ac:dyDescent="0.3">
      <c r="F192" s="161"/>
      <c r="G192" s="161"/>
      <c r="H192" s="161"/>
      <c r="I192" s="161"/>
      <c r="J192" s="161"/>
      <c r="L192" s="8"/>
      <c r="M192" s="8"/>
      <c r="N192" s="8"/>
      <c r="O192" s="8"/>
      <c r="P192" s="8"/>
    </row>
    <row r="193" spans="6:16" x14ac:dyDescent="0.3">
      <c r="F193" s="161"/>
      <c r="G193" s="161"/>
      <c r="H193" s="161"/>
      <c r="I193" s="161"/>
      <c r="J193" s="161"/>
      <c r="L193" s="8"/>
      <c r="M193" s="8"/>
      <c r="N193" s="8"/>
      <c r="O193" s="8"/>
      <c r="P193" s="8"/>
    </row>
    <row r="194" spans="6:16" x14ac:dyDescent="0.3">
      <c r="F194" s="161"/>
      <c r="G194" s="161"/>
      <c r="H194" s="161"/>
      <c r="I194" s="161"/>
      <c r="J194" s="161"/>
      <c r="L194" s="8"/>
      <c r="M194" s="8"/>
      <c r="N194" s="8"/>
      <c r="O194" s="8"/>
      <c r="P194" s="8"/>
    </row>
    <row r="195" spans="6:16" x14ac:dyDescent="0.3">
      <c r="F195" s="161"/>
      <c r="G195" s="161"/>
      <c r="H195" s="161"/>
      <c r="I195" s="161"/>
      <c r="J195" s="161"/>
      <c r="L195" s="8"/>
      <c r="M195" s="8"/>
      <c r="N195" s="8"/>
      <c r="O195" s="8"/>
      <c r="P195" s="8"/>
    </row>
    <row r="196" spans="6:16" x14ac:dyDescent="0.3">
      <c r="F196" s="161"/>
      <c r="G196" s="161"/>
      <c r="H196" s="161"/>
      <c r="I196" s="161"/>
      <c r="J196" s="161"/>
      <c r="L196" s="8"/>
      <c r="M196" s="8"/>
      <c r="N196" s="8"/>
      <c r="O196" s="8"/>
      <c r="P196" s="8"/>
    </row>
    <row r="197" spans="6:16" x14ac:dyDescent="0.3">
      <c r="F197" s="161"/>
      <c r="G197" s="161"/>
      <c r="H197" s="161"/>
      <c r="I197" s="161"/>
      <c r="J197" s="161"/>
      <c r="L197" s="8"/>
      <c r="M197" s="8"/>
      <c r="N197" s="8"/>
      <c r="O197" s="8"/>
      <c r="P197" s="8"/>
    </row>
    <row r="198" spans="6:16" x14ac:dyDescent="0.3">
      <c r="F198" s="161"/>
      <c r="G198" s="161"/>
      <c r="H198" s="161"/>
      <c r="I198" s="161"/>
      <c r="J198" s="161"/>
      <c r="L198" s="8"/>
      <c r="M198" s="8"/>
      <c r="N198" s="8"/>
      <c r="O198" s="8"/>
      <c r="P198" s="8"/>
    </row>
    <row r="199" spans="6:16" x14ac:dyDescent="0.3">
      <c r="F199" s="161"/>
      <c r="G199" s="161"/>
      <c r="H199" s="161"/>
      <c r="I199" s="161"/>
      <c r="J199" s="161"/>
      <c r="L199" s="8"/>
      <c r="M199" s="8"/>
      <c r="N199" s="8"/>
      <c r="O199" s="8"/>
      <c r="P199" s="8"/>
    </row>
    <row r="200" spans="6:16" x14ac:dyDescent="0.3">
      <c r="F200" s="161"/>
      <c r="G200" s="161"/>
      <c r="H200" s="161"/>
      <c r="I200" s="161"/>
      <c r="J200" s="161"/>
      <c r="L200" s="8"/>
      <c r="M200" s="8"/>
      <c r="N200" s="8"/>
      <c r="O200" s="8"/>
      <c r="P200" s="8"/>
    </row>
    <row r="201" spans="6:16" x14ac:dyDescent="0.3">
      <c r="F201" s="161"/>
      <c r="G201" s="161"/>
      <c r="H201" s="161"/>
      <c r="I201" s="161"/>
      <c r="J201" s="161"/>
      <c r="L201" s="8"/>
      <c r="M201" s="8"/>
      <c r="N201" s="8"/>
      <c r="O201" s="8"/>
      <c r="P201" s="8"/>
    </row>
    <row r="202" spans="6:16" x14ac:dyDescent="0.3">
      <c r="F202" s="161"/>
      <c r="G202" s="161"/>
      <c r="H202" s="161"/>
      <c r="I202" s="161"/>
      <c r="J202" s="161"/>
      <c r="L202" s="8"/>
      <c r="M202" s="8"/>
      <c r="N202" s="8"/>
      <c r="O202" s="8"/>
      <c r="P202" s="8"/>
    </row>
    <row r="203" spans="6:16" x14ac:dyDescent="0.3">
      <c r="F203" s="161"/>
      <c r="G203" s="161"/>
      <c r="H203" s="161"/>
      <c r="I203" s="161"/>
      <c r="J203" s="161"/>
      <c r="L203" s="8"/>
      <c r="M203" s="8"/>
      <c r="N203" s="8"/>
      <c r="O203" s="8"/>
      <c r="P203" s="8"/>
    </row>
    <row r="204" spans="6:16" x14ac:dyDescent="0.3">
      <c r="F204" s="161"/>
      <c r="G204" s="161"/>
      <c r="H204" s="161"/>
      <c r="I204" s="161"/>
      <c r="J204" s="161"/>
      <c r="L204" s="8"/>
      <c r="M204" s="8"/>
      <c r="N204" s="8"/>
      <c r="O204" s="8"/>
      <c r="P204" s="8"/>
    </row>
    <row r="205" spans="6:16" x14ac:dyDescent="0.3">
      <c r="F205" s="161"/>
      <c r="G205" s="161"/>
      <c r="H205" s="161"/>
      <c r="I205" s="161"/>
      <c r="J205" s="161"/>
      <c r="L205" s="8"/>
      <c r="M205" s="8"/>
      <c r="N205" s="8"/>
      <c r="O205" s="8"/>
      <c r="P205" s="8"/>
    </row>
    <row r="206" spans="6:16" x14ac:dyDescent="0.3">
      <c r="F206" s="161"/>
      <c r="G206" s="161"/>
      <c r="H206" s="161"/>
      <c r="I206" s="161"/>
      <c r="J206" s="161"/>
      <c r="L206" s="8"/>
      <c r="M206" s="8"/>
      <c r="N206" s="8"/>
      <c r="O206" s="8"/>
      <c r="P206" s="8"/>
    </row>
    <row r="207" spans="6:16" x14ac:dyDescent="0.3">
      <c r="F207" s="161"/>
      <c r="G207" s="161"/>
      <c r="H207" s="161"/>
      <c r="I207" s="161"/>
      <c r="J207" s="161"/>
      <c r="L207" s="8"/>
      <c r="M207" s="8"/>
      <c r="N207" s="8"/>
      <c r="O207" s="8"/>
      <c r="P207" s="8"/>
    </row>
    <row r="208" spans="6:16" x14ac:dyDescent="0.3">
      <c r="F208" s="161"/>
      <c r="G208" s="161"/>
      <c r="H208" s="161"/>
      <c r="I208" s="161"/>
      <c r="J208" s="161"/>
      <c r="L208" s="8"/>
      <c r="M208" s="8"/>
      <c r="N208" s="8"/>
      <c r="O208" s="8"/>
      <c r="P208" s="8"/>
    </row>
    <row r="209" spans="6:16" x14ac:dyDescent="0.3">
      <c r="F209" s="161"/>
      <c r="G209" s="161"/>
      <c r="H209" s="161"/>
      <c r="I209" s="161"/>
      <c r="J209" s="161"/>
      <c r="L209" s="8"/>
      <c r="M209" s="8"/>
      <c r="N209" s="8"/>
      <c r="O209" s="8"/>
      <c r="P209" s="8"/>
    </row>
    <row r="210" spans="6:16" x14ac:dyDescent="0.3">
      <c r="F210" s="161"/>
      <c r="G210" s="161"/>
      <c r="H210" s="161"/>
      <c r="I210" s="161"/>
      <c r="J210" s="161"/>
      <c r="L210" s="8"/>
      <c r="M210" s="8"/>
      <c r="N210" s="8"/>
      <c r="O210" s="8"/>
      <c r="P210" s="8"/>
    </row>
    <row r="211" spans="6:16" x14ac:dyDescent="0.3">
      <c r="F211" s="161"/>
      <c r="G211" s="161"/>
      <c r="H211" s="161"/>
      <c r="I211" s="161"/>
      <c r="J211" s="161"/>
      <c r="L211" s="8"/>
      <c r="M211" s="8"/>
      <c r="N211" s="8"/>
      <c r="O211" s="8"/>
      <c r="P211" s="8"/>
    </row>
    <row r="212" spans="6:16" x14ac:dyDescent="0.3">
      <c r="F212" s="161"/>
      <c r="G212" s="161"/>
      <c r="H212" s="161"/>
      <c r="I212" s="161"/>
      <c r="J212" s="161"/>
      <c r="L212" s="8"/>
      <c r="M212" s="8"/>
      <c r="N212" s="8"/>
      <c r="O212" s="8"/>
      <c r="P212" s="8"/>
    </row>
    <row r="213" spans="6:16" x14ac:dyDescent="0.3">
      <c r="F213" s="161"/>
      <c r="G213" s="161"/>
      <c r="H213" s="161"/>
      <c r="I213" s="161"/>
      <c r="J213" s="161"/>
      <c r="L213" s="8"/>
      <c r="M213" s="8"/>
      <c r="N213" s="8"/>
      <c r="O213" s="8"/>
      <c r="P213" s="8"/>
    </row>
    <row r="214" spans="6:16" x14ac:dyDescent="0.3">
      <c r="F214" s="161"/>
      <c r="G214" s="161"/>
      <c r="H214" s="161"/>
      <c r="I214" s="161"/>
      <c r="J214" s="161"/>
      <c r="L214" s="8"/>
      <c r="M214" s="8"/>
      <c r="N214" s="8"/>
      <c r="O214" s="8"/>
      <c r="P214" s="8"/>
    </row>
    <row r="215" spans="6:16" x14ac:dyDescent="0.3">
      <c r="F215" s="161"/>
      <c r="G215" s="161"/>
      <c r="H215" s="161"/>
      <c r="I215" s="161"/>
      <c r="J215" s="161"/>
      <c r="L215" s="8"/>
      <c r="M215" s="8"/>
      <c r="N215" s="8"/>
      <c r="O215" s="8"/>
      <c r="P215" s="8"/>
    </row>
    <row r="216" spans="6:16" x14ac:dyDescent="0.3">
      <c r="F216" s="161"/>
      <c r="G216" s="161"/>
      <c r="H216" s="161"/>
      <c r="I216" s="161"/>
      <c r="J216" s="161"/>
      <c r="L216" s="8"/>
      <c r="M216" s="8"/>
      <c r="N216" s="8"/>
      <c r="O216" s="8"/>
      <c r="P216" s="8"/>
    </row>
    <row r="217" spans="6:16" x14ac:dyDescent="0.3">
      <c r="F217" s="161"/>
      <c r="G217" s="161"/>
      <c r="H217" s="161"/>
      <c r="I217" s="161"/>
      <c r="J217" s="161"/>
      <c r="L217" s="8"/>
      <c r="M217" s="8"/>
      <c r="N217" s="8"/>
      <c r="O217" s="8"/>
      <c r="P217" s="8"/>
    </row>
    <row r="218" spans="6:16" x14ac:dyDescent="0.3">
      <c r="F218" s="161"/>
      <c r="G218" s="161"/>
      <c r="H218" s="161"/>
      <c r="I218" s="161"/>
      <c r="J218" s="161"/>
      <c r="L218" s="8"/>
      <c r="M218" s="8"/>
      <c r="N218" s="8"/>
      <c r="O218" s="8"/>
      <c r="P218" s="8"/>
    </row>
    <row r="219" spans="6:16" x14ac:dyDescent="0.3">
      <c r="F219" s="161"/>
      <c r="G219" s="161"/>
      <c r="H219" s="161"/>
      <c r="I219" s="161"/>
      <c r="J219" s="161"/>
      <c r="L219" s="8"/>
      <c r="M219" s="8"/>
      <c r="N219" s="8"/>
      <c r="O219" s="8"/>
      <c r="P219" s="8"/>
    </row>
    <row r="220" spans="6:16" x14ac:dyDescent="0.3">
      <c r="F220" s="161"/>
      <c r="G220" s="161"/>
      <c r="H220" s="161"/>
      <c r="I220" s="161"/>
      <c r="J220" s="161"/>
      <c r="L220" s="8"/>
      <c r="M220" s="8"/>
      <c r="N220" s="8"/>
      <c r="O220" s="8"/>
      <c r="P220" s="8"/>
    </row>
    <row r="221" spans="6:16" x14ac:dyDescent="0.3">
      <c r="F221" s="161"/>
      <c r="G221" s="161"/>
      <c r="H221" s="161"/>
      <c r="I221" s="161"/>
      <c r="J221" s="161"/>
      <c r="L221" s="8"/>
      <c r="M221" s="8"/>
      <c r="N221" s="8"/>
      <c r="O221" s="8"/>
      <c r="P221" s="8"/>
    </row>
    <row r="222" spans="6:16" x14ac:dyDescent="0.3">
      <c r="F222" s="161"/>
      <c r="G222" s="161"/>
      <c r="H222" s="161"/>
      <c r="I222" s="161"/>
      <c r="J222" s="161"/>
      <c r="L222" s="8"/>
      <c r="M222" s="8"/>
      <c r="N222" s="8"/>
      <c r="O222" s="8"/>
      <c r="P222" s="8"/>
    </row>
    <row r="223" spans="6:16" x14ac:dyDescent="0.3">
      <c r="F223" s="161"/>
      <c r="G223" s="161"/>
      <c r="H223" s="161"/>
      <c r="I223" s="161"/>
      <c r="J223" s="161"/>
      <c r="L223" s="8"/>
      <c r="M223" s="8"/>
      <c r="N223" s="8"/>
      <c r="O223" s="8"/>
      <c r="P223" s="8"/>
    </row>
    <row r="224" spans="6:16" x14ac:dyDescent="0.3">
      <c r="F224" s="161"/>
      <c r="G224" s="161"/>
      <c r="H224" s="161"/>
      <c r="I224" s="161"/>
      <c r="J224" s="161"/>
      <c r="L224" s="8"/>
      <c r="M224" s="8"/>
      <c r="N224" s="8"/>
      <c r="O224" s="8"/>
      <c r="P224" s="8"/>
    </row>
    <row r="225" spans="6:16" x14ac:dyDescent="0.3">
      <c r="F225" s="161"/>
      <c r="G225" s="161"/>
      <c r="H225" s="161"/>
      <c r="I225" s="161"/>
      <c r="J225" s="161"/>
      <c r="L225" s="8"/>
      <c r="M225" s="8"/>
      <c r="N225" s="8"/>
      <c r="O225" s="8"/>
      <c r="P225" s="8"/>
    </row>
    <row r="226" spans="6:16" x14ac:dyDescent="0.3">
      <c r="F226" s="161"/>
      <c r="G226" s="161"/>
      <c r="H226" s="161"/>
      <c r="I226" s="161"/>
      <c r="J226" s="161"/>
      <c r="L226" s="8"/>
      <c r="M226" s="8"/>
      <c r="N226" s="8"/>
      <c r="O226" s="8"/>
      <c r="P226" s="8"/>
    </row>
    <row r="227" spans="6:16" x14ac:dyDescent="0.3">
      <c r="F227" s="161"/>
      <c r="G227" s="161"/>
      <c r="H227" s="161"/>
      <c r="I227" s="161"/>
      <c r="J227" s="161"/>
      <c r="L227" s="8"/>
      <c r="M227" s="8"/>
      <c r="N227" s="8"/>
      <c r="O227" s="8"/>
      <c r="P227" s="8"/>
    </row>
    <row r="228" spans="6:16" x14ac:dyDescent="0.3">
      <c r="F228" s="161"/>
      <c r="G228" s="161"/>
      <c r="H228" s="161"/>
      <c r="I228" s="161"/>
      <c r="J228" s="161"/>
      <c r="L228" s="8"/>
      <c r="M228" s="8"/>
      <c r="N228" s="8"/>
      <c r="O228" s="8"/>
      <c r="P228" s="8"/>
    </row>
    <row r="229" spans="6:16" x14ac:dyDescent="0.3">
      <c r="F229" s="161"/>
      <c r="G229" s="161"/>
      <c r="H229" s="161"/>
      <c r="I229" s="161"/>
      <c r="J229" s="161"/>
      <c r="L229" s="8"/>
      <c r="M229" s="8"/>
      <c r="N229" s="8"/>
      <c r="O229" s="8"/>
      <c r="P229" s="8"/>
    </row>
    <row r="230" spans="6:16" x14ac:dyDescent="0.3">
      <c r="F230" s="161"/>
      <c r="G230" s="161"/>
      <c r="H230" s="161"/>
      <c r="I230" s="161"/>
      <c r="J230" s="161"/>
      <c r="L230" s="8"/>
      <c r="M230" s="8"/>
      <c r="N230" s="8"/>
      <c r="O230" s="8"/>
      <c r="P230" s="8"/>
    </row>
    <row r="231" spans="6:16" x14ac:dyDescent="0.3">
      <c r="F231" s="161"/>
      <c r="G231" s="161"/>
      <c r="H231" s="161"/>
      <c r="I231" s="161"/>
      <c r="J231" s="161"/>
      <c r="L231" s="8"/>
      <c r="M231" s="8"/>
      <c r="N231" s="8"/>
      <c r="O231" s="8"/>
      <c r="P231" s="8"/>
    </row>
    <row r="232" spans="6:16" x14ac:dyDescent="0.3">
      <c r="F232" s="161"/>
      <c r="G232" s="161"/>
      <c r="H232" s="161"/>
      <c r="I232" s="161"/>
      <c r="J232" s="161"/>
      <c r="L232" s="8"/>
      <c r="M232" s="8"/>
      <c r="N232" s="8"/>
      <c r="O232" s="8"/>
      <c r="P232" s="8"/>
    </row>
    <row r="233" spans="6:16" x14ac:dyDescent="0.3">
      <c r="F233" s="161"/>
      <c r="G233" s="161"/>
      <c r="H233" s="161"/>
      <c r="I233" s="161"/>
      <c r="J233" s="161"/>
      <c r="L233" s="8"/>
      <c r="M233" s="8"/>
      <c r="N233" s="8"/>
      <c r="O233" s="8"/>
      <c r="P233" s="8"/>
    </row>
    <row r="234" spans="6:16" x14ac:dyDescent="0.3">
      <c r="F234" s="161"/>
      <c r="G234" s="161"/>
      <c r="H234" s="161"/>
      <c r="I234" s="161"/>
      <c r="J234" s="161"/>
      <c r="L234" s="8"/>
      <c r="M234" s="8"/>
      <c r="N234" s="8"/>
      <c r="O234" s="8"/>
      <c r="P234" s="8"/>
    </row>
    <row r="235" spans="6:16" x14ac:dyDescent="0.3">
      <c r="F235" s="161"/>
      <c r="G235" s="161"/>
      <c r="H235" s="161"/>
      <c r="I235" s="161"/>
      <c r="J235" s="161"/>
      <c r="L235" s="8"/>
      <c r="M235" s="8"/>
      <c r="N235" s="8"/>
      <c r="O235" s="8"/>
      <c r="P235" s="8"/>
    </row>
    <row r="236" spans="6:16" x14ac:dyDescent="0.3">
      <c r="F236" s="161"/>
      <c r="G236" s="161"/>
      <c r="H236" s="161"/>
      <c r="I236" s="161"/>
      <c r="J236" s="161"/>
      <c r="L236" s="8"/>
      <c r="M236" s="8"/>
      <c r="N236" s="8"/>
      <c r="O236" s="8"/>
      <c r="P236" s="8"/>
    </row>
    <row r="237" spans="6:16" x14ac:dyDescent="0.3">
      <c r="F237" s="161"/>
      <c r="G237" s="161"/>
      <c r="H237" s="161"/>
      <c r="I237" s="161"/>
      <c r="J237" s="161"/>
      <c r="L237" s="8"/>
      <c r="M237" s="8"/>
      <c r="N237" s="8"/>
      <c r="O237" s="8"/>
      <c r="P237" s="8"/>
    </row>
    <row r="238" spans="6:16" x14ac:dyDescent="0.3">
      <c r="F238" s="161"/>
      <c r="G238" s="161"/>
      <c r="H238" s="161"/>
      <c r="I238" s="161"/>
      <c r="J238" s="161"/>
      <c r="L238" s="8"/>
      <c r="M238" s="8"/>
      <c r="N238" s="8"/>
      <c r="O238" s="8"/>
      <c r="P238" s="8"/>
    </row>
    <row r="239" spans="6:16" x14ac:dyDescent="0.3">
      <c r="F239" s="161"/>
      <c r="G239" s="161"/>
      <c r="H239" s="161"/>
      <c r="I239" s="161"/>
      <c r="J239" s="161"/>
      <c r="L239" s="8"/>
      <c r="M239" s="8"/>
      <c r="N239" s="8"/>
      <c r="O239" s="8"/>
      <c r="P239" s="8"/>
    </row>
    <row r="240" spans="6:16" x14ac:dyDescent="0.3">
      <c r="F240" s="161"/>
      <c r="G240" s="161"/>
      <c r="H240" s="161"/>
      <c r="I240" s="161"/>
      <c r="J240" s="161"/>
      <c r="L240" s="8"/>
      <c r="M240" s="8"/>
      <c r="N240" s="8"/>
      <c r="O240" s="8"/>
      <c r="P240" s="8"/>
    </row>
    <row r="241" spans="6:16" x14ac:dyDescent="0.3">
      <c r="F241" s="161"/>
      <c r="G241" s="161"/>
      <c r="H241" s="161"/>
      <c r="I241" s="161"/>
      <c r="J241" s="161"/>
      <c r="L241" s="8"/>
      <c r="M241" s="8"/>
      <c r="N241" s="8"/>
      <c r="O241" s="8"/>
      <c r="P241" s="8"/>
    </row>
    <row r="242" spans="6:16" x14ac:dyDescent="0.3">
      <c r="F242" s="161"/>
      <c r="G242" s="161"/>
      <c r="H242" s="161"/>
      <c r="I242" s="161"/>
      <c r="J242" s="161"/>
      <c r="L242" s="8"/>
      <c r="M242" s="8"/>
      <c r="N242" s="8"/>
      <c r="O242" s="8"/>
      <c r="P242" s="8"/>
    </row>
    <row r="243" spans="6:16" x14ac:dyDescent="0.3">
      <c r="F243" s="161"/>
      <c r="G243" s="161"/>
      <c r="H243" s="161"/>
      <c r="I243" s="161"/>
      <c r="J243" s="161"/>
      <c r="L243" s="8"/>
      <c r="M243" s="8"/>
      <c r="N243" s="8"/>
      <c r="O243" s="8"/>
      <c r="P243" s="8"/>
    </row>
    <row r="244" spans="6:16" x14ac:dyDescent="0.3">
      <c r="F244" s="161"/>
      <c r="G244" s="161"/>
      <c r="H244" s="161"/>
      <c r="I244" s="161"/>
      <c r="J244" s="161"/>
      <c r="L244" s="8"/>
      <c r="M244" s="8"/>
      <c r="N244" s="8"/>
      <c r="O244" s="8"/>
      <c r="P244" s="8"/>
    </row>
    <row r="245" spans="6:16" x14ac:dyDescent="0.3">
      <c r="F245" s="161"/>
      <c r="G245" s="161"/>
      <c r="H245" s="161"/>
      <c r="I245" s="161"/>
      <c r="J245" s="161"/>
      <c r="L245" s="8"/>
      <c r="M245" s="8"/>
      <c r="N245" s="8"/>
      <c r="O245" s="8"/>
      <c r="P245" s="8"/>
    </row>
    <row r="246" spans="6:16" x14ac:dyDescent="0.3">
      <c r="F246" s="161"/>
      <c r="G246" s="161"/>
      <c r="H246" s="161"/>
      <c r="I246" s="161"/>
      <c r="J246" s="161"/>
      <c r="L246" s="8"/>
      <c r="M246" s="8"/>
      <c r="N246" s="8"/>
      <c r="O246" s="8"/>
      <c r="P246" s="8"/>
    </row>
    <row r="247" spans="6:16" x14ac:dyDescent="0.3">
      <c r="F247" s="161"/>
      <c r="G247" s="161"/>
      <c r="H247" s="161"/>
      <c r="I247" s="161"/>
      <c r="J247" s="161"/>
      <c r="L247" s="8"/>
      <c r="M247" s="8"/>
      <c r="N247" s="8"/>
      <c r="O247" s="8"/>
      <c r="P247" s="8"/>
    </row>
    <row r="248" spans="6:16" x14ac:dyDescent="0.3">
      <c r="F248" s="161"/>
      <c r="G248" s="161"/>
      <c r="H248" s="161"/>
      <c r="I248" s="161"/>
      <c r="J248" s="161"/>
      <c r="L248" s="8"/>
      <c r="M248" s="8"/>
      <c r="N248" s="8"/>
      <c r="O248" s="8"/>
      <c r="P248" s="8"/>
    </row>
    <row r="249" spans="6:16" x14ac:dyDescent="0.3">
      <c r="F249" s="161"/>
      <c r="G249" s="161"/>
      <c r="H249" s="161"/>
      <c r="I249" s="161"/>
      <c r="J249" s="161"/>
      <c r="L249" s="8"/>
      <c r="M249" s="8"/>
      <c r="N249" s="8"/>
      <c r="O249" s="8"/>
      <c r="P249" s="8"/>
    </row>
    <row r="250" spans="6:16" x14ac:dyDescent="0.3">
      <c r="F250" s="161"/>
      <c r="G250" s="161"/>
      <c r="H250" s="161"/>
      <c r="I250" s="161"/>
      <c r="J250" s="161"/>
      <c r="L250" s="8"/>
      <c r="M250" s="8"/>
      <c r="N250" s="8"/>
      <c r="O250" s="8"/>
      <c r="P250" s="8"/>
    </row>
    <row r="251" spans="6:16" x14ac:dyDescent="0.3">
      <c r="F251" s="161"/>
      <c r="G251" s="161"/>
      <c r="H251" s="161"/>
      <c r="I251" s="161"/>
      <c r="J251" s="161"/>
      <c r="L251" s="8"/>
      <c r="M251" s="8"/>
      <c r="N251" s="8"/>
      <c r="O251" s="8"/>
      <c r="P251" s="8"/>
    </row>
    <row r="252" spans="6:16" x14ac:dyDescent="0.3">
      <c r="F252" s="161"/>
      <c r="G252" s="161"/>
      <c r="H252" s="161"/>
      <c r="I252" s="161"/>
      <c r="J252" s="161"/>
      <c r="L252" s="8"/>
      <c r="M252" s="8"/>
      <c r="N252" s="8"/>
      <c r="O252" s="8"/>
      <c r="P252" s="8"/>
    </row>
    <row r="253" spans="6:16" x14ac:dyDescent="0.3">
      <c r="F253" s="161"/>
      <c r="G253" s="161"/>
      <c r="H253" s="161"/>
      <c r="I253" s="161"/>
      <c r="J253" s="161"/>
      <c r="L253" s="8"/>
      <c r="M253" s="8"/>
      <c r="N253" s="8"/>
      <c r="O253" s="8"/>
      <c r="P253" s="8"/>
    </row>
    <row r="254" spans="6:16" x14ac:dyDescent="0.3">
      <c r="F254" s="161"/>
      <c r="G254" s="161"/>
      <c r="H254" s="161"/>
      <c r="I254" s="161"/>
      <c r="J254" s="161"/>
      <c r="L254" s="8"/>
      <c r="M254" s="8"/>
      <c r="N254" s="8"/>
      <c r="O254" s="8"/>
      <c r="P254" s="8"/>
    </row>
    <row r="255" spans="6:16" x14ac:dyDescent="0.3">
      <c r="F255" s="161"/>
      <c r="G255" s="161"/>
      <c r="H255" s="161"/>
      <c r="I255" s="161"/>
      <c r="J255" s="161"/>
      <c r="L255" s="8"/>
      <c r="M255" s="8"/>
      <c r="N255" s="8"/>
      <c r="O255" s="8"/>
      <c r="P255" s="8"/>
    </row>
    <row r="256" spans="6:16" x14ac:dyDescent="0.3">
      <c r="F256" s="161"/>
      <c r="G256" s="161"/>
      <c r="H256" s="161"/>
      <c r="I256" s="161"/>
      <c r="J256" s="161"/>
      <c r="L256" s="8"/>
      <c r="M256" s="8"/>
      <c r="N256" s="8"/>
      <c r="O256" s="8"/>
      <c r="P256" s="8"/>
    </row>
    <row r="257" spans="6:16" x14ac:dyDescent="0.3">
      <c r="F257" s="161"/>
      <c r="G257" s="161"/>
      <c r="H257" s="161"/>
      <c r="I257" s="161"/>
      <c r="J257" s="161"/>
      <c r="L257" s="8"/>
      <c r="M257" s="8"/>
      <c r="N257" s="8"/>
      <c r="O257" s="8"/>
      <c r="P257" s="8"/>
    </row>
    <row r="258" spans="6:16" x14ac:dyDescent="0.3">
      <c r="F258" s="161"/>
      <c r="G258" s="161"/>
      <c r="H258" s="161"/>
      <c r="I258" s="161"/>
      <c r="J258" s="161"/>
      <c r="L258" s="8"/>
      <c r="M258" s="8"/>
      <c r="N258" s="8"/>
      <c r="O258" s="8"/>
      <c r="P258" s="8"/>
    </row>
    <row r="259" spans="6:16" x14ac:dyDescent="0.3">
      <c r="F259" s="161"/>
      <c r="G259" s="161"/>
      <c r="H259" s="161"/>
      <c r="I259" s="161"/>
      <c r="J259" s="161"/>
      <c r="L259" s="8"/>
      <c r="M259" s="8"/>
      <c r="N259" s="8"/>
      <c r="O259" s="8"/>
      <c r="P259" s="8"/>
    </row>
    <row r="260" spans="6:16" x14ac:dyDescent="0.3">
      <c r="F260" s="161"/>
      <c r="G260" s="161"/>
      <c r="H260" s="161"/>
      <c r="I260" s="161"/>
      <c r="J260" s="161"/>
      <c r="L260" s="8"/>
      <c r="M260" s="8"/>
      <c r="N260" s="8"/>
      <c r="O260" s="8"/>
      <c r="P260" s="8"/>
    </row>
    <row r="261" spans="6:16" x14ac:dyDescent="0.3">
      <c r="F261" s="161"/>
      <c r="G261" s="161"/>
      <c r="H261" s="161"/>
      <c r="I261" s="161"/>
      <c r="J261" s="161"/>
      <c r="L261" s="8"/>
      <c r="M261" s="8"/>
      <c r="N261" s="8"/>
      <c r="O261" s="8"/>
      <c r="P261" s="8"/>
    </row>
    <row r="262" spans="6:16" x14ac:dyDescent="0.3">
      <c r="F262" s="161"/>
      <c r="G262" s="161"/>
      <c r="H262" s="161"/>
      <c r="I262" s="161"/>
      <c r="J262" s="161"/>
      <c r="L262" s="8"/>
      <c r="M262" s="8"/>
      <c r="N262" s="8"/>
      <c r="O262" s="8"/>
      <c r="P262" s="8"/>
    </row>
    <row r="263" spans="6:16" x14ac:dyDescent="0.3">
      <c r="F263" s="161"/>
      <c r="G263" s="161"/>
      <c r="H263" s="161"/>
      <c r="I263" s="161"/>
      <c r="J263" s="161"/>
      <c r="L263" s="8"/>
      <c r="M263" s="8"/>
      <c r="N263" s="8"/>
      <c r="O263" s="8"/>
      <c r="P263" s="8"/>
    </row>
    <row r="264" spans="6:16" x14ac:dyDescent="0.3">
      <c r="F264" s="161"/>
      <c r="G264" s="161"/>
      <c r="H264" s="161"/>
      <c r="I264" s="161"/>
      <c r="J264" s="161"/>
      <c r="L264" s="8"/>
      <c r="M264" s="8"/>
      <c r="N264" s="8"/>
      <c r="O264" s="8"/>
      <c r="P264" s="8"/>
    </row>
    <row r="265" spans="6:16" x14ac:dyDescent="0.3">
      <c r="F265" s="161"/>
      <c r="G265" s="161"/>
      <c r="H265" s="161"/>
      <c r="I265" s="161"/>
      <c r="J265" s="161"/>
      <c r="L265" s="8"/>
      <c r="M265" s="8"/>
      <c r="N265" s="8"/>
      <c r="O265" s="8"/>
      <c r="P265" s="8"/>
    </row>
    <row r="266" spans="6:16" x14ac:dyDescent="0.3">
      <c r="F266" s="161"/>
      <c r="G266" s="161"/>
      <c r="H266" s="161"/>
      <c r="I266" s="161"/>
      <c r="J266" s="161"/>
      <c r="L266" s="8"/>
      <c r="M266" s="8"/>
      <c r="N266" s="8"/>
      <c r="O266" s="8"/>
      <c r="P266" s="8"/>
    </row>
    <row r="267" spans="6:16" x14ac:dyDescent="0.3">
      <c r="F267" s="161"/>
      <c r="G267" s="161"/>
      <c r="H267" s="161"/>
      <c r="I267" s="161"/>
      <c r="J267" s="161"/>
      <c r="L267" s="8"/>
      <c r="M267" s="8"/>
      <c r="N267" s="8"/>
      <c r="O267" s="8"/>
      <c r="P267" s="8"/>
    </row>
    <row r="268" spans="6:16" x14ac:dyDescent="0.3">
      <c r="F268" s="161"/>
      <c r="G268" s="161"/>
      <c r="H268" s="161"/>
      <c r="I268" s="161"/>
      <c r="J268" s="161"/>
      <c r="L268" s="8"/>
      <c r="M268" s="8"/>
      <c r="N268" s="8"/>
      <c r="O268" s="8"/>
      <c r="P268" s="8"/>
    </row>
    <row r="269" spans="6:16" x14ac:dyDescent="0.3">
      <c r="F269" s="161"/>
      <c r="G269" s="161"/>
      <c r="H269" s="161"/>
      <c r="I269" s="161"/>
      <c r="J269" s="161"/>
      <c r="L269" s="8"/>
      <c r="M269" s="8"/>
      <c r="N269" s="8"/>
      <c r="O269" s="8"/>
      <c r="P269" s="8"/>
    </row>
    <row r="270" spans="6:16" x14ac:dyDescent="0.3">
      <c r="F270" s="161"/>
      <c r="G270" s="161"/>
      <c r="H270" s="161"/>
      <c r="I270" s="161"/>
      <c r="J270" s="161"/>
      <c r="L270" s="8"/>
      <c r="M270" s="8"/>
      <c r="N270" s="8"/>
      <c r="O270" s="8"/>
      <c r="P270" s="8"/>
    </row>
    <row r="271" spans="6:16" x14ac:dyDescent="0.3">
      <c r="F271" s="161"/>
      <c r="G271" s="161"/>
      <c r="H271" s="161"/>
      <c r="I271" s="161"/>
      <c r="J271" s="161"/>
      <c r="L271" s="8"/>
      <c r="M271" s="8"/>
      <c r="N271" s="8"/>
      <c r="O271" s="8"/>
      <c r="P271" s="8"/>
    </row>
    <row r="272" spans="6:16" x14ac:dyDescent="0.3">
      <c r="F272" s="161"/>
      <c r="G272" s="161"/>
      <c r="H272" s="161"/>
      <c r="I272" s="161"/>
      <c r="J272" s="161"/>
      <c r="L272" s="8"/>
      <c r="M272" s="8"/>
      <c r="N272" s="8"/>
      <c r="O272" s="8"/>
      <c r="P272" s="8"/>
    </row>
    <row r="273" spans="6:16" x14ac:dyDescent="0.3">
      <c r="F273" s="161"/>
      <c r="G273" s="161"/>
      <c r="H273" s="161"/>
      <c r="I273" s="161"/>
      <c r="J273" s="161"/>
      <c r="L273" s="8"/>
      <c r="M273" s="8"/>
      <c r="N273" s="8"/>
      <c r="O273" s="8"/>
      <c r="P273" s="8"/>
    </row>
    <row r="274" spans="6:16" x14ac:dyDescent="0.3">
      <c r="F274" s="161"/>
      <c r="G274" s="161"/>
      <c r="H274" s="161"/>
      <c r="I274" s="161"/>
      <c r="J274" s="161"/>
      <c r="L274" s="8"/>
      <c r="M274" s="8"/>
      <c r="N274" s="8"/>
      <c r="O274" s="8"/>
      <c r="P274" s="8"/>
    </row>
    <row r="275" spans="6:16" x14ac:dyDescent="0.3">
      <c r="F275" s="161"/>
      <c r="G275" s="161"/>
      <c r="H275" s="161"/>
      <c r="I275" s="161"/>
      <c r="J275" s="161"/>
      <c r="L275" s="8"/>
      <c r="M275" s="8"/>
      <c r="N275" s="8"/>
      <c r="O275" s="8"/>
      <c r="P275" s="8"/>
    </row>
    <row r="276" spans="6:16" x14ac:dyDescent="0.3">
      <c r="F276" s="161"/>
      <c r="G276" s="161"/>
      <c r="H276" s="161"/>
      <c r="I276" s="161"/>
      <c r="J276" s="161"/>
      <c r="L276" s="8"/>
      <c r="M276" s="8"/>
      <c r="N276" s="8"/>
      <c r="O276" s="8"/>
      <c r="P276" s="8"/>
    </row>
    <row r="277" spans="6:16" x14ac:dyDescent="0.3">
      <c r="F277" s="161"/>
      <c r="G277" s="161"/>
      <c r="H277" s="161"/>
      <c r="I277" s="161"/>
      <c r="J277" s="161"/>
      <c r="L277" s="8"/>
      <c r="M277" s="8"/>
      <c r="N277" s="8"/>
      <c r="O277" s="8"/>
      <c r="P277" s="8"/>
    </row>
    <row r="278" spans="6:16" x14ac:dyDescent="0.3">
      <c r="F278" s="161"/>
      <c r="G278" s="161"/>
      <c r="H278" s="161"/>
      <c r="I278" s="161"/>
      <c r="J278" s="161"/>
      <c r="L278" s="8"/>
      <c r="M278" s="8"/>
      <c r="N278" s="8"/>
      <c r="O278" s="8"/>
      <c r="P278" s="8"/>
    </row>
    <row r="279" spans="6:16" x14ac:dyDescent="0.3">
      <c r="F279" s="161"/>
      <c r="G279" s="161"/>
      <c r="H279" s="161"/>
      <c r="I279" s="161"/>
      <c r="J279" s="161"/>
      <c r="L279" s="8"/>
      <c r="M279" s="8"/>
      <c r="N279" s="8"/>
      <c r="O279" s="8"/>
      <c r="P279" s="8"/>
    </row>
    <row r="280" spans="6:16" x14ac:dyDescent="0.3">
      <c r="F280" s="161"/>
      <c r="G280" s="161"/>
      <c r="H280" s="161"/>
      <c r="I280" s="161"/>
      <c r="J280" s="161"/>
      <c r="L280" s="8"/>
      <c r="M280" s="8"/>
      <c r="N280" s="8"/>
      <c r="O280" s="8"/>
      <c r="P280" s="8"/>
    </row>
    <row r="281" spans="6:16" x14ac:dyDescent="0.3">
      <c r="F281" s="161"/>
      <c r="G281" s="161"/>
      <c r="H281" s="161"/>
      <c r="I281" s="161"/>
      <c r="J281" s="161"/>
      <c r="L281" s="8"/>
      <c r="M281" s="8"/>
      <c r="N281" s="8"/>
      <c r="O281" s="8"/>
      <c r="P281" s="8"/>
    </row>
    <row r="282" spans="6:16" x14ac:dyDescent="0.3">
      <c r="F282" s="161"/>
      <c r="G282" s="161"/>
      <c r="H282" s="161"/>
      <c r="I282" s="161"/>
      <c r="J282" s="161"/>
      <c r="L282" s="8"/>
      <c r="M282" s="8"/>
      <c r="N282" s="8"/>
      <c r="O282" s="8"/>
      <c r="P282" s="8"/>
    </row>
    <row r="283" spans="6:16" x14ac:dyDescent="0.3">
      <c r="F283" s="161"/>
      <c r="G283" s="161"/>
      <c r="H283" s="161"/>
      <c r="I283" s="161"/>
      <c r="J283" s="161"/>
      <c r="L283" s="8"/>
      <c r="M283" s="8"/>
      <c r="N283" s="8"/>
      <c r="O283" s="8"/>
      <c r="P283" s="8"/>
    </row>
    <row r="284" spans="6:16" x14ac:dyDescent="0.3">
      <c r="F284" s="161"/>
      <c r="G284" s="161"/>
      <c r="H284" s="161"/>
      <c r="I284" s="161"/>
      <c r="J284" s="161"/>
      <c r="L284" s="8"/>
      <c r="M284" s="8"/>
      <c r="N284" s="8"/>
      <c r="O284" s="8"/>
      <c r="P284" s="8"/>
    </row>
    <row r="285" spans="6:16" x14ac:dyDescent="0.3">
      <c r="F285" s="161"/>
      <c r="G285" s="161"/>
      <c r="H285" s="161"/>
      <c r="I285" s="161"/>
      <c r="J285" s="161"/>
      <c r="L285" s="8"/>
      <c r="M285" s="8"/>
      <c r="N285" s="8"/>
      <c r="O285" s="8"/>
      <c r="P285" s="8"/>
    </row>
    <row r="286" spans="6:16" x14ac:dyDescent="0.3">
      <c r="F286" s="161"/>
      <c r="G286" s="161"/>
      <c r="H286" s="161"/>
      <c r="I286" s="161"/>
      <c r="J286" s="161"/>
      <c r="L286" s="8"/>
      <c r="M286" s="8"/>
      <c r="N286" s="8"/>
      <c r="O286" s="8"/>
      <c r="P286" s="8"/>
    </row>
    <row r="287" spans="6:16" x14ac:dyDescent="0.3">
      <c r="F287" s="161"/>
      <c r="G287" s="161"/>
      <c r="H287" s="161"/>
      <c r="I287" s="161"/>
      <c r="J287" s="161"/>
      <c r="L287" s="8"/>
      <c r="M287" s="8"/>
      <c r="N287" s="8"/>
      <c r="O287" s="8"/>
      <c r="P287" s="8"/>
    </row>
    <row r="288" spans="6:16" x14ac:dyDescent="0.3">
      <c r="F288" s="161"/>
      <c r="G288" s="161"/>
      <c r="H288" s="161"/>
      <c r="I288" s="161"/>
      <c r="J288" s="161"/>
      <c r="L288" s="8"/>
      <c r="M288" s="8"/>
      <c r="N288" s="8"/>
      <c r="O288" s="8"/>
      <c r="P288" s="8"/>
    </row>
    <row r="289" spans="6:16" x14ac:dyDescent="0.3">
      <c r="F289" s="161"/>
      <c r="G289" s="161"/>
      <c r="H289" s="161"/>
      <c r="I289" s="161"/>
      <c r="J289" s="161"/>
      <c r="L289" s="8"/>
      <c r="M289" s="8"/>
      <c r="N289" s="8"/>
      <c r="O289" s="8"/>
      <c r="P289" s="8"/>
    </row>
    <row r="290" spans="6:16" x14ac:dyDescent="0.3">
      <c r="F290" s="161"/>
      <c r="G290" s="161"/>
      <c r="H290" s="161"/>
      <c r="I290" s="161"/>
      <c r="J290" s="161"/>
      <c r="L290" s="8"/>
      <c r="M290" s="8"/>
      <c r="N290" s="8"/>
      <c r="O290" s="8"/>
      <c r="P290" s="8"/>
    </row>
    <row r="291" spans="6:16" x14ac:dyDescent="0.3">
      <c r="F291" s="161"/>
      <c r="G291" s="161"/>
      <c r="H291" s="161"/>
      <c r="I291" s="161"/>
      <c r="J291" s="161"/>
      <c r="L291" s="8"/>
      <c r="M291" s="8"/>
      <c r="N291" s="8"/>
      <c r="O291" s="8"/>
      <c r="P291" s="8"/>
    </row>
    <row r="292" spans="6:16" x14ac:dyDescent="0.3">
      <c r="F292" s="161"/>
      <c r="G292" s="161"/>
      <c r="H292" s="161"/>
      <c r="I292" s="161"/>
      <c r="J292" s="161"/>
      <c r="L292" s="8"/>
      <c r="M292" s="8"/>
      <c r="N292" s="8"/>
      <c r="O292" s="8"/>
      <c r="P292" s="8"/>
    </row>
    <row r="293" spans="6:16" x14ac:dyDescent="0.3">
      <c r="F293" s="161"/>
      <c r="G293" s="161"/>
      <c r="H293" s="161"/>
      <c r="I293" s="161"/>
      <c r="J293" s="161"/>
      <c r="L293" s="8"/>
      <c r="M293" s="8"/>
      <c r="N293" s="8"/>
      <c r="O293" s="8"/>
      <c r="P293" s="8"/>
    </row>
    <row r="294" spans="6:16" x14ac:dyDescent="0.3">
      <c r="F294" s="161"/>
      <c r="G294" s="161"/>
      <c r="H294" s="161"/>
      <c r="I294" s="161"/>
      <c r="J294" s="161"/>
      <c r="L294" s="8"/>
      <c r="M294" s="8"/>
      <c r="N294" s="8"/>
      <c r="O294" s="8"/>
      <c r="P294" s="8"/>
    </row>
    <row r="295" spans="6:16" x14ac:dyDescent="0.3">
      <c r="F295" s="161"/>
      <c r="G295" s="161"/>
      <c r="H295" s="161"/>
      <c r="I295" s="161"/>
      <c r="J295" s="161"/>
      <c r="L295" s="8"/>
      <c r="M295" s="8"/>
      <c r="N295" s="8"/>
      <c r="O295" s="8"/>
      <c r="P295" s="8"/>
    </row>
    <row r="296" spans="6:16" x14ac:dyDescent="0.3">
      <c r="F296" s="161"/>
      <c r="G296" s="161"/>
      <c r="H296" s="161"/>
      <c r="I296" s="161"/>
      <c r="J296" s="161"/>
      <c r="L296" s="8"/>
      <c r="M296" s="8"/>
      <c r="N296" s="8"/>
      <c r="O296" s="8"/>
      <c r="P296" s="8"/>
    </row>
    <row r="297" spans="6:16" x14ac:dyDescent="0.3">
      <c r="F297" s="161"/>
      <c r="G297" s="161"/>
      <c r="H297" s="161"/>
      <c r="I297" s="161"/>
      <c r="J297" s="161"/>
      <c r="L297" s="8"/>
      <c r="M297" s="8"/>
      <c r="N297" s="8"/>
      <c r="O297" s="8"/>
      <c r="P297" s="8"/>
    </row>
    <row r="298" spans="6:16" x14ac:dyDescent="0.3">
      <c r="F298" s="161"/>
      <c r="G298" s="161"/>
      <c r="H298" s="161"/>
      <c r="I298" s="161"/>
      <c r="J298" s="161"/>
      <c r="L298" s="8"/>
      <c r="M298" s="8"/>
      <c r="N298" s="8"/>
      <c r="O298" s="8"/>
      <c r="P298" s="8"/>
    </row>
    <row r="299" spans="6:16" x14ac:dyDescent="0.3">
      <c r="F299" s="161"/>
      <c r="G299" s="161"/>
      <c r="H299" s="161"/>
      <c r="I299" s="161"/>
      <c r="J299" s="161"/>
      <c r="L299" s="8"/>
      <c r="M299" s="8"/>
      <c r="N299" s="8"/>
      <c r="O299" s="8"/>
      <c r="P299" s="8"/>
    </row>
    <row r="300" spans="6:16" x14ac:dyDescent="0.3">
      <c r="F300" s="161"/>
      <c r="G300" s="161"/>
      <c r="H300" s="161"/>
      <c r="I300" s="161"/>
      <c r="J300" s="161"/>
      <c r="L300" s="8"/>
      <c r="M300" s="8"/>
      <c r="N300" s="8"/>
      <c r="O300" s="8"/>
      <c r="P300" s="8"/>
    </row>
    <row r="301" spans="6:16" x14ac:dyDescent="0.3">
      <c r="F301" s="161"/>
      <c r="G301" s="161"/>
      <c r="H301" s="161"/>
      <c r="I301" s="161"/>
      <c r="J301" s="161"/>
      <c r="L301" s="8"/>
      <c r="M301" s="8"/>
      <c r="N301" s="8"/>
      <c r="O301" s="8"/>
      <c r="P301" s="8"/>
    </row>
    <row r="302" spans="6:16" x14ac:dyDescent="0.3">
      <c r="F302" s="161"/>
      <c r="G302" s="161"/>
      <c r="H302" s="161"/>
      <c r="I302" s="161"/>
      <c r="J302" s="161"/>
      <c r="L302" s="8"/>
      <c r="M302" s="8"/>
      <c r="N302" s="8"/>
      <c r="O302" s="8"/>
      <c r="P302" s="8"/>
    </row>
    <row r="303" spans="6:16" x14ac:dyDescent="0.3">
      <c r="F303" s="161"/>
      <c r="G303" s="161"/>
      <c r="H303" s="161"/>
      <c r="I303" s="161"/>
      <c r="J303" s="161"/>
      <c r="L303" s="8"/>
      <c r="M303" s="8"/>
      <c r="N303" s="8"/>
      <c r="O303" s="8"/>
      <c r="P303" s="8"/>
    </row>
  </sheetData>
  <mergeCells count="6">
    <mergeCell ref="A34:A36"/>
    <mergeCell ref="A7:A14"/>
    <mergeCell ref="A16:A18"/>
    <mergeCell ref="A19:A24"/>
    <mergeCell ref="C19:C24"/>
    <mergeCell ref="A25:A3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3"/>
  <sheetViews>
    <sheetView workbookViewId="0">
      <selection sqref="A1:XFD1048576"/>
    </sheetView>
  </sheetViews>
  <sheetFormatPr defaultColWidth="35.77734375" defaultRowHeight="14.4" x14ac:dyDescent="0.3"/>
  <cols>
    <col min="1" max="1" width="23.88671875" customWidth="1"/>
    <col min="2" max="2" width="48.5546875" style="8" customWidth="1"/>
    <col min="3" max="3" width="37.21875" style="8" customWidth="1"/>
    <col min="4" max="4" width="44.6640625" style="8" customWidth="1"/>
    <col min="5" max="5" width="33.7773437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21875" customWidth="1"/>
    <col min="15" max="15" width="37.33203125" bestFit="1" customWidth="1"/>
    <col min="16" max="16" width="37.33203125" customWidth="1"/>
  </cols>
  <sheetData>
    <row r="1" spans="1:17" x14ac:dyDescent="0.3">
      <c r="B1"/>
    </row>
    <row r="2" spans="1:17" ht="31.2" x14ac:dyDescent="0.3">
      <c r="B2"/>
      <c r="K2" s="132"/>
      <c r="L2" s="133" t="s">
        <v>649</v>
      </c>
      <c r="M2" s="133" t="s">
        <v>650</v>
      </c>
    </row>
    <row r="3" spans="1:17" ht="12" customHeight="1" x14ac:dyDescent="0.55000000000000004">
      <c r="A3" s="134"/>
      <c r="B3" s="134"/>
      <c r="C3" s="135"/>
      <c r="D3" s="135"/>
      <c r="E3" s="134"/>
      <c r="F3" s="134"/>
      <c r="G3" s="134"/>
      <c r="H3" s="134"/>
      <c r="I3" s="134"/>
      <c r="J3" s="134"/>
      <c r="K3" s="134"/>
      <c r="L3" s="134"/>
      <c r="M3" s="134"/>
    </row>
    <row r="4" spans="1:17" s="134" customFormat="1" ht="26.4" customHeight="1" x14ac:dyDescent="0.55000000000000004">
      <c r="A4" s="136" t="s">
        <v>651</v>
      </c>
      <c r="B4" s="136"/>
      <c r="C4" s="137"/>
      <c r="D4" s="137"/>
      <c r="E4" s="136"/>
      <c r="F4" s="253" t="s">
        <v>652</v>
      </c>
      <c r="G4" s="253"/>
      <c r="H4" s="254" t="s">
        <v>653</v>
      </c>
      <c r="I4" s="254"/>
      <c r="J4" s="254"/>
      <c r="K4" s="138"/>
      <c r="L4" s="138"/>
      <c r="M4" s="138"/>
    </row>
    <row r="5" spans="1:17" ht="15.6" x14ac:dyDescent="0.3">
      <c r="B5"/>
      <c r="F5" s="139" t="s">
        <v>654</v>
      </c>
      <c r="G5" s="139" t="s">
        <v>655</v>
      </c>
      <c r="H5" s="140" t="s">
        <v>656</v>
      </c>
      <c r="I5" s="140" t="s">
        <v>657</v>
      </c>
      <c r="J5" s="140" t="s">
        <v>658</v>
      </c>
      <c r="K5" s="140"/>
      <c r="L5" s="140"/>
      <c r="M5" s="140"/>
    </row>
    <row r="6" spans="1:17" ht="28.8" x14ac:dyDescent="0.3">
      <c r="B6" s="141" t="s">
        <v>158</v>
      </c>
      <c r="C6" s="141" t="s">
        <v>159</v>
      </c>
      <c r="D6" s="141" t="s">
        <v>160</v>
      </c>
      <c r="E6" s="141" t="s">
        <v>659</v>
      </c>
      <c r="F6" s="142" t="s">
        <v>660</v>
      </c>
      <c r="G6" s="143" t="s">
        <v>661</v>
      </c>
      <c r="H6" s="144" t="s">
        <v>662</v>
      </c>
      <c r="I6" s="145" t="s">
        <v>663</v>
      </c>
      <c r="J6" s="146" t="s">
        <v>664</v>
      </c>
      <c r="K6" s="141"/>
      <c r="L6" s="141"/>
      <c r="M6" s="141"/>
    </row>
    <row r="7" spans="1:17" x14ac:dyDescent="0.3">
      <c r="A7" s="249" t="s">
        <v>162</v>
      </c>
      <c r="B7" s="148" t="s">
        <v>56</v>
      </c>
      <c r="C7" s="148" t="s">
        <v>163</v>
      </c>
      <c r="D7" s="148" t="s">
        <v>164</v>
      </c>
      <c r="E7" s="149" t="s">
        <v>165</v>
      </c>
      <c r="F7" s="50" t="s">
        <v>665</v>
      </c>
      <c r="G7" s="50" t="s">
        <v>665</v>
      </c>
      <c r="H7" s="50" t="s">
        <v>665</v>
      </c>
      <c r="I7" s="50" t="s">
        <v>665</v>
      </c>
      <c r="J7" s="50" t="s">
        <v>665</v>
      </c>
      <c r="K7" s="50"/>
      <c r="L7" s="149"/>
      <c r="M7" s="149"/>
      <c r="N7" s="148"/>
      <c r="O7" s="148"/>
      <c r="P7" s="148"/>
      <c r="Q7" s="148"/>
    </row>
    <row r="8" spans="1:17" x14ac:dyDescent="0.3">
      <c r="A8" s="249"/>
      <c r="B8" s="148" t="s">
        <v>63</v>
      </c>
      <c r="C8" s="148" t="s">
        <v>163</v>
      </c>
      <c r="D8" s="148" t="s">
        <v>166</v>
      </c>
      <c r="E8" s="149" t="s">
        <v>165</v>
      </c>
      <c r="F8" s="50" t="s">
        <v>665</v>
      </c>
      <c r="G8" s="50" t="s">
        <v>665</v>
      </c>
      <c r="H8" s="50" t="s">
        <v>665</v>
      </c>
      <c r="I8" s="50" t="s">
        <v>665</v>
      </c>
      <c r="J8" s="50" t="s">
        <v>665</v>
      </c>
      <c r="K8" s="50"/>
      <c r="L8" s="149"/>
      <c r="M8" s="149"/>
      <c r="N8" s="148"/>
      <c r="O8" s="148"/>
      <c r="P8" s="148"/>
      <c r="Q8" s="148"/>
    </row>
    <row r="9" spans="1:17" x14ac:dyDescent="0.3">
      <c r="A9" s="249"/>
      <c r="B9" s="148" t="s">
        <v>69</v>
      </c>
      <c r="C9" s="148" t="s">
        <v>163</v>
      </c>
      <c r="D9" s="148" t="s">
        <v>167</v>
      </c>
      <c r="E9" s="149" t="s">
        <v>165</v>
      </c>
      <c r="F9" s="50" t="s">
        <v>665</v>
      </c>
      <c r="G9" s="50" t="s">
        <v>665</v>
      </c>
      <c r="H9" s="50" t="s">
        <v>665</v>
      </c>
      <c r="I9" s="50" t="s">
        <v>665</v>
      </c>
      <c r="J9" s="50" t="s">
        <v>665</v>
      </c>
      <c r="K9" s="50"/>
      <c r="L9" s="149"/>
      <c r="M9" s="149"/>
      <c r="N9" s="148"/>
      <c r="O9" s="148"/>
      <c r="P9" s="148"/>
      <c r="Q9" s="148"/>
    </row>
    <row r="10" spans="1:17" ht="49.2" customHeight="1" x14ac:dyDescent="0.3">
      <c r="A10" s="249"/>
      <c r="B10" s="148" t="s">
        <v>74</v>
      </c>
      <c r="C10" s="148" t="s">
        <v>168</v>
      </c>
      <c r="D10" s="148" t="s">
        <v>169</v>
      </c>
      <c r="E10" s="149" t="s">
        <v>165</v>
      </c>
      <c r="F10" s="50" t="s">
        <v>665</v>
      </c>
      <c r="G10" s="50" t="s">
        <v>665</v>
      </c>
      <c r="H10" s="50" t="s">
        <v>665</v>
      </c>
      <c r="I10" s="50" t="s">
        <v>665</v>
      </c>
      <c r="J10" s="50" t="s">
        <v>665</v>
      </c>
      <c r="K10" s="50"/>
      <c r="L10" s="149"/>
      <c r="M10" s="149"/>
      <c r="N10" s="150" t="s">
        <v>666</v>
      </c>
      <c r="O10" s="148"/>
      <c r="P10" s="148"/>
      <c r="Q10" s="148"/>
    </row>
    <row r="11" spans="1:17" ht="38.4" customHeight="1" x14ac:dyDescent="0.3">
      <c r="A11" s="249"/>
      <c r="B11" s="148" t="s">
        <v>82</v>
      </c>
      <c r="C11" s="148" t="s">
        <v>170</v>
      </c>
      <c r="D11" s="148" t="s">
        <v>171</v>
      </c>
      <c r="E11" s="149" t="s">
        <v>165</v>
      </c>
      <c r="F11" s="50" t="s">
        <v>665</v>
      </c>
      <c r="G11" s="50" t="s">
        <v>665</v>
      </c>
      <c r="H11" s="50" t="s">
        <v>665</v>
      </c>
      <c r="I11" s="50" t="s">
        <v>665</v>
      </c>
      <c r="J11" s="50" t="s">
        <v>665</v>
      </c>
      <c r="K11" s="50"/>
      <c r="L11" s="149"/>
      <c r="M11" s="149"/>
      <c r="N11" s="148"/>
      <c r="O11" s="148"/>
      <c r="P11" s="148"/>
      <c r="Q11" s="148"/>
    </row>
    <row r="12" spans="1:17" x14ac:dyDescent="0.3">
      <c r="A12" s="249"/>
      <c r="B12" s="148" t="s">
        <v>89</v>
      </c>
      <c r="C12" s="148" t="s">
        <v>172</v>
      </c>
      <c r="D12" s="148" t="s">
        <v>173</v>
      </c>
      <c r="E12" s="149" t="s">
        <v>165</v>
      </c>
      <c r="F12" s="50" t="s">
        <v>665</v>
      </c>
      <c r="G12" s="50" t="s">
        <v>665</v>
      </c>
      <c r="H12" s="50" t="s">
        <v>665</v>
      </c>
      <c r="I12" s="50" t="s">
        <v>665</v>
      </c>
      <c r="J12" s="50" t="s">
        <v>665</v>
      </c>
      <c r="K12" s="50"/>
      <c r="L12" s="149"/>
      <c r="M12" s="149"/>
      <c r="N12" s="148"/>
      <c r="O12" s="148"/>
      <c r="P12" s="148"/>
      <c r="Q12" s="148"/>
    </row>
    <row r="13" spans="1:17" x14ac:dyDescent="0.3">
      <c r="A13" s="249"/>
      <c r="B13" s="148" t="s">
        <v>94</v>
      </c>
      <c r="C13" s="148" t="str">
        <f>C12</f>
        <v>Global/ Swedish</v>
      </c>
      <c r="D13" s="148" t="str">
        <f t="shared" ref="D13:J13" si="0">D12</f>
        <v>IMPORT price of all Biofuels commodities</v>
      </c>
      <c r="E13" s="149" t="str">
        <f t="shared" si="0"/>
        <v>Input to model</v>
      </c>
      <c r="F13" s="50" t="str">
        <f t="shared" si="0"/>
        <v>No impact</v>
      </c>
      <c r="G13" s="50" t="str">
        <f t="shared" si="0"/>
        <v>No impact</v>
      </c>
      <c r="H13" s="50" t="str">
        <f t="shared" si="0"/>
        <v>No impact</v>
      </c>
      <c r="I13" s="50" t="str">
        <f t="shared" si="0"/>
        <v>No impact</v>
      </c>
      <c r="J13" s="50" t="str">
        <f t="shared" si="0"/>
        <v>No impact</v>
      </c>
      <c r="K13" s="50"/>
      <c r="L13" s="149"/>
      <c r="M13" s="149"/>
      <c r="N13" s="148"/>
      <c r="O13" s="148"/>
      <c r="P13" s="148"/>
      <c r="Q13" s="148"/>
    </row>
    <row r="14" spans="1:17" x14ac:dyDescent="0.3">
      <c r="A14" s="249"/>
      <c r="B14" s="148" t="s">
        <v>98</v>
      </c>
      <c r="C14" s="148" t="s">
        <v>172</v>
      </c>
      <c r="D14" s="148" t="s">
        <v>174</v>
      </c>
      <c r="E14" s="149" t="s">
        <v>165</v>
      </c>
      <c r="F14" s="50" t="s">
        <v>665</v>
      </c>
      <c r="G14" s="50" t="s">
        <v>665</v>
      </c>
      <c r="H14" s="50" t="s">
        <v>665</v>
      </c>
      <c r="I14" s="50" t="s">
        <v>665</v>
      </c>
      <c r="J14" s="50" t="s">
        <v>665</v>
      </c>
      <c r="K14" s="50"/>
      <c r="L14" s="149"/>
      <c r="M14" s="149"/>
      <c r="N14" s="148"/>
      <c r="O14" s="148"/>
      <c r="P14" s="148"/>
      <c r="Q14" s="148"/>
    </row>
    <row r="15" spans="1:17" x14ac:dyDescent="0.3">
      <c r="A15" s="147"/>
      <c r="B15" s="148" t="s">
        <v>100</v>
      </c>
      <c r="C15" s="148" t="str">
        <f>C14</f>
        <v>Global/ Swedish</v>
      </c>
      <c r="D15" s="148" t="str">
        <f t="shared" ref="D15:J15" si="1">D14</f>
        <v>IMPORT price of all Solid biomass commodities</v>
      </c>
      <c r="E15" s="149" t="str">
        <f t="shared" si="1"/>
        <v>Input to model</v>
      </c>
      <c r="F15" s="50" t="str">
        <f t="shared" si="1"/>
        <v>No impact</v>
      </c>
      <c r="G15" s="50" t="str">
        <f t="shared" si="1"/>
        <v>No impact</v>
      </c>
      <c r="H15" s="50" t="str">
        <f t="shared" si="1"/>
        <v>No impact</v>
      </c>
      <c r="I15" s="50" t="str">
        <f t="shared" si="1"/>
        <v>No impact</v>
      </c>
      <c r="J15" s="50" t="str">
        <f t="shared" si="1"/>
        <v>No impact</v>
      </c>
      <c r="K15" s="50"/>
      <c r="L15" s="149"/>
      <c r="M15" s="149"/>
      <c r="N15" s="148"/>
      <c r="O15" s="148"/>
      <c r="P15" s="148"/>
      <c r="Q15" s="148"/>
    </row>
    <row r="16" spans="1:17" ht="92.4" customHeight="1" x14ac:dyDescent="0.3">
      <c r="A16" s="250" t="s">
        <v>175</v>
      </c>
      <c r="B16" s="148" t="s">
        <v>176</v>
      </c>
      <c r="C16" s="148" t="s">
        <v>177</v>
      </c>
      <c r="D16" s="148" t="s">
        <v>667</v>
      </c>
      <c r="E16" s="149" t="s">
        <v>165</v>
      </c>
      <c r="F16" s="50" t="s">
        <v>54</v>
      </c>
      <c r="G16" s="50" t="s">
        <v>52</v>
      </c>
      <c r="H16" s="50" t="s">
        <v>665</v>
      </c>
      <c r="I16" s="50" t="s">
        <v>665</v>
      </c>
      <c r="J16" s="50" t="s">
        <v>665</v>
      </c>
      <c r="K16" s="50"/>
      <c r="L16" s="148" t="s">
        <v>668</v>
      </c>
      <c r="M16" s="148"/>
      <c r="N16" s="148"/>
      <c r="O16" s="148"/>
      <c r="P16" s="148"/>
      <c r="Q16" s="148"/>
    </row>
    <row r="17" spans="1:17" ht="75" customHeight="1" x14ac:dyDescent="0.3">
      <c r="A17" s="250"/>
      <c r="B17" s="148" t="s">
        <v>179</v>
      </c>
      <c r="C17" s="148" t="s">
        <v>180</v>
      </c>
      <c r="D17" s="148" t="s">
        <v>669</v>
      </c>
      <c r="E17" s="149" t="s">
        <v>165</v>
      </c>
      <c r="F17" s="50" t="s">
        <v>665</v>
      </c>
      <c r="G17" s="50" t="s">
        <v>665</v>
      </c>
      <c r="H17" s="50" t="s">
        <v>53</v>
      </c>
      <c r="I17" s="50" t="s">
        <v>54</v>
      </c>
      <c r="J17" s="151" t="s">
        <v>182</v>
      </c>
      <c r="K17" s="151"/>
      <c r="L17" s="149"/>
      <c r="M17" s="148" t="s">
        <v>670</v>
      </c>
      <c r="N17" s="148"/>
      <c r="O17" s="148"/>
      <c r="P17" s="148"/>
      <c r="Q17" s="148"/>
    </row>
    <row r="18" spans="1:17" ht="82.2" customHeight="1" x14ac:dyDescent="0.3">
      <c r="A18" s="250"/>
      <c r="B18" s="148" t="s">
        <v>183</v>
      </c>
      <c r="C18" s="148" t="s">
        <v>184</v>
      </c>
      <c r="D18" s="148" t="s">
        <v>185</v>
      </c>
      <c r="E18" s="149" t="s">
        <v>165</v>
      </c>
      <c r="F18" s="50" t="s">
        <v>665</v>
      </c>
      <c r="G18" s="50" t="s">
        <v>665</v>
      </c>
      <c r="H18" s="50" t="s">
        <v>53</v>
      </c>
      <c r="I18" s="50" t="s">
        <v>54</v>
      </c>
      <c r="J18" s="151" t="s">
        <v>182</v>
      </c>
      <c r="K18" s="151"/>
      <c r="L18" s="149"/>
      <c r="M18" s="149"/>
      <c r="N18" s="148"/>
      <c r="O18" s="148"/>
      <c r="P18" s="148"/>
      <c r="Q18" s="148"/>
    </row>
    <row r="19" spans="1:17" ht="47.4" customHeight="1" x14ac:dyDescent="0.3">
      <c r="A19" s="251" t="s">
        <v>186</v>
      </c>
      <c r="B19" s="148" t="s">
        <v>125</v>
      </c>
      <c r="C19" s="148"/>
      <c r="D19" s="148" t="s">
        <v>187</v>
      </c>
      <c r="E19" s="149" t="s">
        <v>165</v>
      </c>
      <c r="F19" s="50" t="s">
        <v>665</v>
      </c>
      <c r="G19" s="50" t="s">
        <v>665</v>
      </c>
      <c r="H19" s="50" t="s">
        <v>665</v>
      </c>
      <c r="I19" s="50" t="s">
        <v>665</v>
      </c>
      <c r="J19" s="50" t="s">
        <v>665</v>
      </c>
      <c r="K19" s="50"/>
      <c r="L19" s="149"/>
      <c r="M19" s="149"/>
      <c r="N19" s="148"/>
      <c r="O19" s="148"/>
      <c r="P19" s="148"/>
      <c r="Q19" s="148"/>
    </row>
    <row r="20" spans="1:17" ht="43.2" customHeight="1" x14ac:dyDescent="0.3">
      <c r="A20" s="251"/>
      <c r="B20" s="148" t="s">
        <v>129</v>
      </c>
      <c r="C20" s="239" t="s">
        <v>172</v>
      </c>
      <c r="D20" s="148" t="s">
        <v>188</v>
      </c>
      <c r="E20" s="149" t="s">
        <v>165</v>
      </c>
      <c r="F20" s="50" t="s">
        <v>665</v>
      </c>
      <c r="G20" s="50" t="s">
        <v>665</v>
      </c>
      <c r="H20" s="50" t="s">
        <v>665</v>
      </c>
      <c r="I20" s="50" t="s">
        <v>665</v>
      </c>
      <c r="J20" s="50" t="s">
        <v>665</v>
      </c>
      <c r="K20" s="50"/>
      <c r="L20" s="149"/>
      <c r="M20" s="149"/>
      <c r="N20" s="148"/>
      <c r="O20" s="148"/>
      <c r="P20" s="148"/>
      <c r="Q20" s="148"/>
    </row>
    <row r="21" spans="1:17" ht="57" customHeight="1" x14ac:dyDescent="0.3">
      <c r="A21" s="251"/>
      <c r="B21" s="148" t="s">
        <v>131</v>
      </c>
      <c r="C21" s="239"/>
      <c r="D21" s="148" t="s">
        <v>189</v>
      </c>
      <c r="E21" s="149" t="s">
        <v>165</v>
      </c>
      <c r="F21" s="50" t="s">
        <v>665</v>
      </c>
      <c r="G21" s="50" t="s">
        <v>665</v>
      </c>
      <c r="H21" s="50" t="s">
        <v>665</v>
      </c>
      <c r="I21" s="50" t="s">
        <v>665</v>
      </c>
      <c r="J21" s="50" t="s">
        <v>665</v>
      </c>
      <c r="K21" s="50"/>
      <c r="L21" s="149"/>
      <c r="M21" s="149"/>
      <c r="N21" s="148"/>
      <c r="O21" s="148"/>
      <c r="P21" s="148"/>
      <c r="Q21" s="148"/>
    </row>
    <row r="22" spans="1:17" ht="43.2" customHeight="1" x14ac:dyDescent="0.3">
      <c r="A22" s="251"/>
      <c r="B22" s="148" t="s">
        <v>132</v>
      </c>
      <c r="C22" s="239" t="s">
        <v>172</v>
      </c>
      <c r="D22" s="148" t="s">
        <v>191</v>
      </c>
      <c r="E22" s="149" t="s">
        <v>165</v>
      </c>
      <c r="F22" s="50" t="s">
        <v>665</v>
      </c>
      <c r="G22" s="50" t="s">
        <v>665</v>
      </c>
      <c r="H22" s="50" t="s">
        <v>665</v>
      </c>
      <c r="I22" s="50" t="s">
        <v>665</v>
      </c>
      <c r="J22" s="50" t="s">
        <v>665</v>
      </c>
      <c r="K22" s="50"/>
      <c r="L22" s="149"/>
      <c r="M22" s="149"/>
      <c r="N22" s="148"/>
      <c r="O22" s="148"/>
      <c r="P22" s="148"/>
      <c r="Q22" s="148"/>
    </row>
    <row r="23" spans="1:17" ht="57" customHeight="1" x14ac:dyDescent="0.3">
      <c r="A23" s="251"/>
      <c r="B23" s="148" t="s">
        <v>133</v>
      </c>
      <c r="C23" s="239"/>
      <c r="D23" s="148" t="s">
        <v>189</v>
      </c>
      <c r="E23" s="149" t="s">
        <v>165</v>
      </c>
      <c r="F23" s="50" t="s">
        <v>665</v>
      </c>
      <c r="G23" s="50" t="s">
        <v>665</v>
      </c>
      <c r="H23" s="50" t="s">
        <v>665</v>
      </c>
      <c r="I23" s="50" t="s">
        <v>665</v>
      </c>
      <c r="J23" s="50" t="s">
        <v>665</v>
      </c>
      <c r="K23" s="50"/>
      <c r="L23" s="149"/>
      <c r="M23" s="149"/>
      <c r="N23" s="148"/>
      <c r="O23" s="148"/>
      <c r="P23" s="148"/>
      <c r="Q23" s="148"/>
    </row>
    <row r="24" spans="1:17" ht="43.2" customHeight="1" x14ac:dyDescent="0.3">
      <c r="A24" s="251"/>
      <c r="B24" s="148" t="s">
        <v>134</v>
      </c>
      <c r="C24" s="239"/>
      <c r="D24" s="148" t="s">
        <v>191</v>
      </c>
      <c r="E24" s="149" t="s">
        <v>165</v>
      </c>
      <c r="F24" s="50" t="s">
        <v>665</v>
      </c>
      <c r="G24" s="50" t="s">
        <v>665</v>
      </c>
      <c r="H24" s="50" t="s">
        <v>665</v>
      </c>
      <c r="I24" s="50" t="s">
        <v>665</v>
      </c>
      <c r="J24" s="50" t="s">
        <v>665</v>
      </c>
      <c r="K24" s="50"/>
      <c r="L24" s="149"/>
      <c r="M24" s="149"/>
      <c r="N24" s="148"/>
      <c r="O24" s="148"/>
      <c r="P24" s="148"/>
      <c r="Q24" s="148"/>
    </row>
    <row r="25" spans="1:17" ht="49.2" customHeight="1" x14ac:dyDescent="0.3">
      <c r="A25" s="252" t="s">
        <v>194</v>
      </c>
      <c r="B25" s="148" t="s">
        <v>195</v>
      </c>
      <c r="C25" s="148" t="s">
        <v>196</v>
      </c>
      <c r="D25" s="148" t="s">
        <v>197</v>
      </c>
      <c r="E25" s="148" t="s">
        <v>198</v>
      </c>
      <c r="F25" s="50" t="s">
        <v>54</v>
      </c>
      <c r="G25" s="50" t="s">
        <v>52</v>
      </c>
      <c r="H25" s="50" t="s">
        <v>53</v>
      </c>
      <c r="I25" s="50" t="s">
        <v>54</v>
      </c>
      <c r="J25" s="151" t="s">
        <v>182</v>
      </c>
      <c r="K25" s="151"/>
      <c r="L25" s="148" t="s">
        <v>671</v>
      </c>
      <c r="M25" s="148" t="s">
        <v>670</v>
      </c>
      <c r="N25" s="148"/>
      <c r="O25" s="148"/>
      <c r="P25" s="148"/>
      <c r="Q25" s="148"/>
    </row>
    <row r="26" spans="1:17" ht="31.2" customHeight="1" x14ac:dyDescent="0.3">
      <c r="A26" s="252"/>
      <c r="B26" s="148" t="s">
        <v>200</v>
      </c>
      <c r="C26" s="148" t="s">
        <v>201</v>
      </c>
      <c r="D26" s="148" t="s">
        <v>202</v>
      </c>
      <c r="E26" s="148" t="s">
        <v>198</v>
      </c>
      <c r="F26" s="50" t="s">
        <v>665</v>
      </c>
      <c r="G26" s="50" t="s">
        <v>665</v>
      </c>
      <c r="H26" s="50" t="s">
        <v>665</v>
      </c>
      <c r="I26" s="50" t="s">
        <v>665</v>
      </c>
      <c r="J26" s="50" t="s">
        <v>665</v>
      </c>
      <c r="K26" s="50"/>
      <c r="L26" s="148"/>
      <c r="M26" s="148"/>
      <c r="N26" s="148"/>
      <c r="O26" s="148"/>
      <c r="P26" s="148"/>
      <c r="Q26" s="148"/>
    </row>
    <row r="27" spans="1:17" ht="43.2" x14ac:dyDescent="0.3">
      <c r="A27" s="252"/>
      <c r="B27" s="148" t="s">
        <v>203</v>
      </c>
      <c r="C27" s="148" t="s">
        <v>204</v>
      </c>
      <c r="D27" s="148" t="s">
        <v>205</v>
      </c>
      <c r="E27" s="149" t="s">
        <v>165</v>
      </c>
      <c r="F27" s="50" t="s">
        <v>665</v>
      </c>
      <c r="G27" s="50" t="s">
        <v>665</v>
      </c>
      <c r="H27" s="50" t="s">
        <v>53</v>
      </c>
      <c r="I27" s="50" t="s">
        <v>54</v>
      </c>
      <c r="J27" s="151" t="s">
        <v>182</v>
      </c>
      <c r="K27" s="151"/>
      <c r="L27" s="149"/>
      <c r="M27" s="149"/>
      <c r="N27" s="148"/>
      <c r="O27" s="148"/>
      <c r="P27" s="148"/>
      <c r="Q27" s="148"/>
    </row>
    <row r="28" spans="1:17" ht="28.8" x14ac:dyDescent="0.3">
      <c r="A28" s="252"/>
      <c r="B28" s="148" t="s">
        <v>206</v>
      </c>
      <c r="C28" s="148" t="s">
        <v>172</v>
      </c>
      <c r="D28" s="148" t="s">
        <v>207</v>
      </c>
      <c r="E28" s="149" t="s">
        <v>165</v>
      </c>
      <c r="F28" s="50" t="s">
        <v>665</v>
      </c>
      <c r="G28" s="50" t="s">
        <v>665</v>
      </c>
      <c r="H28" s="50" t="s">
        <v>665</v>
      </c>
      <c r="I28" s="50" t="s">
        <v>665</v>
      </c>
      <c r="J28" s="50" t="s">
        <v>665</v>
      </c>
      <c r="K28" s="50"/>
      <c r="L28" s="149"/>
      <c r="M28" s="149"/>
      <c r="N28" s="148"/>
      <c r="O28" s="148"/>
      <c r="P28" s="148"/>
      <c r="Q28" s="148"/>
    </row>
    <row r="29" spans="1:17" ht="28.8" x14ac:dyDescent="0.3">
      <c r="A29" s="252"/>
      <c r="B29" s="148" t="s">
        <v>208</v>
      </c>
      <c r="C29" s="148" t="s">
        <v>201</v>
      </c>
      <c r="D29" s="148" t="s">
        <v>209</v>
      </c>
      <c r="E29" s="148" t="s">
        <v>198</v>
      </c>
      <c r="F29" s="50" t="str">
        <f>F26</f>
        <v>No impact</v>
      </c>
      <c r="G29" s="50" t="str">
        <f t="shared" ref="G29:J29" si="2">G26</f>
        <v>No impact</v>
      </c>
      <c r="H29" s="50" t="str">
        <f t="shared" si="2"/>
        <v>No impact</v>
      </c>
      <c r="I29" s="50" t="str">
        <f t="shared" si="2"/>
        <v>No impact</v>
      </c>
      <c r="J29" s="50" t="str">
        <f t="shared" si="2"/>
        <v>No impact</v>
      </c>
      <c r="K29" s="50"/>
      <c r="L29" s="149"/>
      <c r="M29" s="149"/>
      <c r="N29" s="148"/>
      <c r="O29" s="148"/>
      <c r="P29" s="148"/>
      <c r="Q29" s="148"/>
    </row>
    <row r="30" spans="1:17" ht="43.2" x14ac:dyDescent="0.3">
      <c r="A30" s="252"/>
      <c r="B30" s="148" t="s">
        <v>210</v>
      </c>
      <c r="C30" s="148" t="s">
        <v>204</v>
      </c>
      <c r="D30" s="148" t="s">
        <v>211</v>
      </c>
      <c r="E30" s="149" t="s">
        <v>165</v>
      </c>
      <c r="F30" s="50" t="str">
        <f t="shared" ref="F30:J31" si="3">F27</f>
        <v>No impact</v>
      </c>
      <c r="G30" s="50" t="str">
        <f t="shared" si="3"/>
        <v>No impact</v>
      </c>
      <c r="H30" s="50" t="str">
        <f t="shared" si="3"/>
        <v>Medium</v>
      </c>
      <c r="I30" s="50" t="str">
        <f t="shared" si="3"/>
        <v>High</v>
      </c>
      <c r="J30" s="151" t="str">
        <f t="shared" si="3"/>
        <v>Low in begining
High around 2040</v>
      </c>
      <c r="K30" s="50"/>
      <c r="L30" s="149"/>
      <c r="M30" s="148" t="s">
        <v>670</v>
      </c>
      <c r="N30" s="148"/>
      <c r="O30" s="148"/>
      <c r="P30" s="148"/>
      <c r="Q30" s="148"/>
    </row>
    <row r="31" spans="1:17" ht="27" customHeight="1" x14ac:dyDescent="0.3">
      <c r="A31" s="252"/>
      <c r="B31" s="148" t="s">
        <v>212</v>
      </c>
      <c r="C31" s="148" t="s">
        <v>172</v>
      </c>
      <c r="D31" s="148" t="s">
        <v>207</v>
      </c>
      <c r="E31" s="149" t="s">
        <v>165</v>
      </c>
      <c r="F31" s="50" t="str">
        <f t="shared" si="3"/>
        <v>No impact</v>
      </c>
      <c r="G31" s="50" t="str">
        <f t="shared" si="3"/>
        <v>No impact</v>
      </c>
      <c r="H31" s="50" t="str">
        <f t="shared" si="3"/>
        <v>No impact</v>
      </c>
      <c r="I31" s="50" t="str">
        <f t="shared" si="3"/>
        <v>No impact</v>
      </c>
      <c r="J31" s="50" t="str">
        <f t="shared" si="3"/>
        <v>No impact</v>
      </c>
      <c r="K31" s="50"/>
      <c r="L31" s="148"/>
      <c r="M31" s="148"/>
      <c r="N31" s="148"/>
      <c r="O31" s="148"/>
      <c r="P31" s="148"/>
      <c r="Q31" s="148"/>
    </row>
    <row r="32" spans="1:17" ht="60.6" customHeight="1" x14ac:dyDescent="0.3">
      <c r="A32" s="252"/>
      <c r="B32" s="148" t="s">
        <v>213</v>
      </c>
      <c r="C32" s="148" t="s">
        <v>172</v>
      </c>
      <c r="D32" s="148" t="s">
        <v>214</v>
      </c>
      <c r="E32" s="149" t="s">
        <v>165</v>
      </c>
      <c r="F32" s="50" t="s">
        <v>665</v>
      </c>
      <c r="G32" s="50" t="s">
        <v>665</v>
      </c>
      <c r="H32" s="50" t="s">
        <v>665</v>
      </c>
      <c r="I32" s="50" t="s">
        <v>665</v>
      </c>
      <c r="J32" s="50" t="s">
        <v>665</v>
      </c>
      <c r="K32" s="50"/>
      <c r="L32" s="148"/>
      <c r="M32" s="148"/>
      <c r="N32" s="148"/>
      <c r="O32" s="148"/>
      <c r="P32" s="148"/>
      <c r="Q32" s="148"/>
    </row>
    <row r="33" spans="1:17" ht="28.8" x14ac:dyDescent="0.3">
      <c r="A33" s="252"/>
      <c r="B33" s="148" t="s">
        <v>215</v>
      </c>
      <c r="C33" s="148" t="s">
        <v>172</v>
      </c>
      <c r="D33" s="148" t="s">
        <v>216</v>
      </c>
      <c r="E33" s="149" t="s">
        <v>165</v>
      </c>
      <c r="F33" s="50" t="s">
        <v>665</v>
      </c>
      <c r="G33" s="50" t="s">
        <v>665</v>
      </c>
      <c r="H33" s="50" t="s">
        <v>665</v>
      </c>
      <c r="I33" s="50" t="s">
        <v>665</v>
      </c>
      <c r="J33" s="50" t="s">
        <v>665</v>
      </c>
      <c r="K33" s="50"/>
      <c r="L33" s="148"/>
      <c r="M33" s="148"/>
      <c r="N33" s="148"/>
      <c r="O33" s="148"/>
      <c r="P33" s="148"/>
      <c r="Q33" s="148"/>
    </row>
    <row r="34" spans="1:17" ht="21.6" customHeight="1" x14ac:dyDescent="0.3">
      <c r="A34" s="249" t="s">
        <v>217</v>
      </c>
      <c r="B34" s="148" t="s">
        <v>135</v>
      </c>
      <c r="C34" s="148" t="s">
        <v>218</v>
      </c>
      <c r="D34" s="148" t="s">
        <v>219</v>
      </c>
      <c r="E34" s="149" t="s">
        <v>165</v>
      </c>
      <c r="F34" s="50" t="s">
        <v>665</v>
      </c>
      <c r="G34" s="50" t="s">
        <v>665</v>
      </c>
      <c r="H34" s="50" t="s">
        <v>665</v>
      </c>
      <c r="I34" s="50" t="s">
        <v>665</v>
      </c>
      <c r="J34" s="50" t="s">
        <v>665</v>
      </c>
      <c r="K34" s="50"/>
      <c r="L34" s="149"/>
      <c r="M34" s="149"/>
      <c r="N34" s="148"/>
      <c r="O34" s="148"/>
      <c r="P34" s="148"/>
      <c r="Q34" s="148"/>
    </row>
    <row r="35" spans="1:17" ht="27" customHeight="1" x14ac:dyDescent="0.3">
      <c r="A35" s="249"/>
      <c r="B35" s="148" t="s">
        <v>139</v>
      </c>
      <c r="C35" s="148" t="s">
        <v>218</v>
      </c>
      <c r="D35" s="148" t="s">
        <v>672</v>
      </c>
      <c r="E35" s="149" t="s">
        <v>165</v>
      </c>
      <c r="F35" s="50" t="s">
        <v>665</v>
      </c>
      <c r="G35" s="50" t="s">
        <v>665</v>
      </c>
      <c r="H35" s="50" t="s">
        <v>665</v>
      </c>
      <c r="I35" s="50" t="s">
        <v>665</v>
      </c>
      <c r="J35" s="50" t="s">
        <v>665</v>
      </c>
      <c r="K35" s="50"/>
      <c r="L35" s="149"/>
      <c r="M35" s="149"/>
      <c r="N35" s="148"/>
      <c r="O35" s="148"/>
      <c r="P35" s="148"/>
      <c r="Q35" s="148"/>
    </row>
    <row r="36" spans="1:17" x14ac:dyDescent="0.3">
      <c r="A36" s="249"/>
      <c r="B36" s="148" t="s">
        <v>221</v>
      </c>
      <c r="C36" s="148" t="s">
        <v>218</v>
      </c>
      <c r="D36" s="148" t="s">
        <v>222</v>
      </c>
      <c r="E36" s="149" t="s">
        <v>165</v>
      </c>
      <c r="F36" s="50" t="s">
        <v>665</v>
      </c>
      <c r="G36" s="50" t="s">
        <v>665</v>
      </c>
      <c r="H36" s="50" t="s">
        <v>665</v>
      </c>
      <c r="I36" s="50" t="s">
        <v>665</v>
      </c>
      <c r="J36" s="50" t="s">
        <v>665</v>
      </c>
      <c r="K36" s="50"/>
      <c r="L36" s="149"/>
      <c r="M36" s="149"/>
      <c r="N36" s="148"/>
      <c r="O36" s="148"/>
      <c r="P36" s="148"/>
      <c r="Q36" s="148"/>
    </row>
    <row r="37" spans="1:17" x14ac:dyDescent="0.3">
      <c r="F37" s="50"/>
      <c r="G37" s="50"/>
      <c r="N37" s="8"/>
      <c r="O37" s="8"/>
      <c r="P37" s="8"/>
      <c r="Q37" s="8"/>
    </row>
    <row r="38" spans="1:17" x14ac:dyDescent="0.3">
      <c r="N38" s="8"/>
      <c r="O38" s="8"/>
      <c r="P38" s="8"/>
      <c r="Q38" s="8"/>
    </row>
    <row r="39" spans="1:17" x14ac:dyDescent="0.3">
      <c r="N39" s="8"/>
      <c r="O39" s="8"/>
      <c r="P39" s="8"/>
      <c r="Q39" s="8"/>
    </row>
    <row r="40" spans="1:17" x14ac:dyDescent="0.3">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sheetData>
  <mergeCells count="9">
    <mergeCell ref="A25:A33"/>
    <mergeCell ref="A34:A36"/>
    <mergeCell ref="F4:G4"/>
    <mergeCell ref="H4:J4"/>
    <mergeCell ref="A7:A14"/>
    <mergeCell ref="A16:A18"/>
    <mergeCell ref="A19:A24"/>
    <mergeCell ref="C20:C21"/>
    <mergeCell ref="C22:C24"/>
  </mergeCells>
  <hyperlinks>
    <hyperlink ref="N10" r:id="rId1" xr:uid="{F5064D0A-2732-4D23-B3A0-7DF985F3BDDB}"/>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6"/>
  <sheetViews>
    <sheetView workbookViewId="0">
      <selection activeCell="B9" sqref="B9"/>
    </sheetView>
  </sheetViews>
  <sheetFormatPr defaultRowHeight="14.4" x14ac:dyDescent="0.3"/>
  <cols>
    <col min="2" max="2" width="21.6640625" style="9" customWidth="1"/>
    <col min="3" max="3" width="9.6640625" style="9" customWidth="1"/>
    <col min="4" max="4" width="8.21875" style="9" bestFit="1" customWidth="1"/>
    <col min="5" max="5" width="7.6640625" style="9" customWidth="1"/>
    <col min="6" max="6" width="8.77734375" style="9" customWidth="1"/>
    <col min="7" max="7" width="11" style="9" customWidth="1"/>
    <col min="10" max="10" width="12.21875" style="9" customWidth="1"/>
    <col min="11" max="11" width="10.109375" style="112" customWidth="1"/>
    <col min="12" max="12" width="6.88671875" bestFit="1" customWidth="1"/>
    <col min="25" max="25" width="21.33203125" bestFit="1" customWidth="1"/>
  </cols>
  <sheetData>
    <row r="1" spans="1:31" x14ac:dyDescent="0.3">
      <c r="A1" s="111" t="s">
        <v>78</v>
      </c>
      <c r="Z1" s="34" t="s">
        <v>250</v>
      </c>
    </row>
    <row r="2" spans="1:31" x14ac:dyDescent="0.3">
      <c r="B2" s="113"/>
      <c r="C2" s="255" t="s">
        <v>251</v>
      </c>
      <c r="D2" s="255"/>
      <c r="E2" s="255"/>
      <c r="F2" s="113"/>
      <c r="G2" s="255" t="s">
        <v>252</v>
      </c>
      <c r="H2" s="255"/>
      <c r="I2" s="255"/>
      <c r="L2" s="256" t="s">
        <v>253</v>
      </c>
      <c r="M2" s="256"/>
      <c r="N2" s="256"/>
      <c r="O2" s="256"/>
      <c r="P2" s="256" t="s">
        <v>254</v>
      </c>
      <c r="Q2" s="256"/>
      <c r="R2" s="256"/>
      <c r="S2" s="256"/>
      <c r="T2" s="256" t="s">
        <v>255</v>
      </c>
      <c r="U2" s="256"/>
      <c r="V2" s="256"/>
      <c r="W2" s="256"/>
      <c r="X2" s="114"/>
      <c r="Y2" s="115" t="s">
        <v>54</v>
      </c>
      <c r="Z2" s="9"/>
      <c r="AA2" s="114"/>
      <c r="AB2" s="114"/>
      <c r="AC2" s="114"/>
      <c r="AD2" s="114"/>
      <c r="AE2" s="114"/>
    </row>
    <row r="3" spans="1:31" x14ac:dyDescent="0.3">
      <c r="B3" s="116" t="s">
        <v>256</v>
      </c>
      <c r="C3" s="9" t="s">
        <v>54</v>
      </c>
      <c r="D3" s="9" t="s">
        <v>53</v>
      </c>
      <c r="E3" s="9" t="s">
        <v>52</v>
      </c>
      <c r="F3" s="113"/>
      <c r="G3" s="9" t="s">
        <v>257</v>
      </c>
      <c r="H3" s="9" t="s">
        <v>53</v>
      </c>
      <c r="I3" s="9" t="s">
        <v>52</v>
      </c>
      <c r="L3" s="117" t="s">
        <v>258</v>
      </c>
      <c r="M3" s="118" t="s">
        <v>259</v>
      </c>
      <c r="N3" s="118" t="s">
        <v>260</v>
      </c>
      <c r="O3" s="118" t="s">
        <v>261</v>
      </c>
      <c r="P3" s="119" t="s">
        <v>258</v>
      </c>
      <c r="Q3" s="119" t="s">
        <v>259</v>
      </c>
      <c r="R3" s="119" t="s">
        <v>260</v>
      </c>
      <c r="S3" s="119" t="s">
        <v>261</v>
      </c>
      <c r="T3" s="117" t="s">
        <v>258</v>
      </c>
      <c r="U3" s="118" t="s">
        <v>259</v>
      </c>
      <c r="V3" s="118" t="s">
        <v>260</v>
      </c>
      <c r="W3" s="118" t="s">
        <v>261</v>
      </c>
      <c r="X3" s="114"/>
      <c r="Y3" s="10" t="s">
        <v>262</v>
      </c>
      <c r="AA3" s="114"/>
      <c r="AB3" s="114"/>
      <c r="AC3" s="114"/>
      <c r="AD3" s="114"/>
      <c r="AE3" s="114"/>
    </row>
    <row r="4" spans="1:31" x14ac:dyDescent="0.3">
      <c r="B4" s="9" t="s">
        <v>236</v>
      </c>
      <c r="C4" s="52">
        <f>G4*0.277</f>
        <v>33.364694677419351</v>
      </c>
      <c r="D4" s="52">
        <f t="shared" ref="D4:E15" si="0">H4*0.277</f>
        <v>17.019728870967739</v>
      </c>
      <c r="E4" s="52">
        <f t="shared" si="0"/>
        <v>6.3317732258064536</v>
      </c>
      <c r="G4" s="120">
        <f>L21</f>
        <v>120.45016129032255</v>
      </c>
      <c r="H4" s="120">
        <f>P21</f>
        <v>61.44306451612902</v>
      </c>
      <c r="I4" s="120">
        <f>T20</f>
        <v>22.858387096774198</v>
      </c>
      <c r="J4" s="52"/>
      <c r="K4" s="34" t="s">
        <v>263</v>
      </c>
      <c r="L4" s="121">
        <v>95.152580645161294</v>
      </c>
      <c r="M4" s="121">
        <v>29.317166666666662</v>
      </c>
      <c r="N4" s="121">
        <v>18.705543478260878</v>
      </c>
      <c r="O4" s="121">
        <v>60.542527472527475</v>
      </c>
      <c r="P4" s="52">
        <v>46.129677419354856</v>
      </c>
      <c r="Q4" s="52">
        <v>28.78266666666666</v>
      </c>
      <c r="R4" s="52">
        <v>43.78478260869565</v>
      </c>
      <c r="S4" s="52">
        <v>34.719670329670336</v>
      </c>
      <c r="T4" s="114">
        <v>18.861129032258063</v>
      </c>
      <c r="U4" s="114">
        <v>8.6433884297520631</v>
      </c>
      <c r="V4" s="114">
        <v>9.4633695652173913</v>
      </c>
      <c r="W4" s="114">
        <v>13.445494505494505</v>
      </c>
      <c r="X4" s="114"/>
      <c r="Y4" s="10" t="s">
        <v>264</v>
      </c>
      <c r="Z4" s="122" t="s">
        <v>265</v>
      </c>
      <c r="AA4" s="114"/>
      <c r="AB4" s="114"/>
      <c r="AC4" s="114"/>
      <c r="AD4" s="114"/>
      <c r="AE4" s="114"/>
    </row>
    <row r="5" spans="1:31" x14ac:dyDescent="0.3">
      <c r="B5" s="9" t="s">
        <v>239</v>
      </c>
      <c r="C5" s="52">
        <f t="shared" ref="C5:C15" si="1">G5*0.277</f>
        <v>33.059614919354843</v>
      </c>
      <c r="D5" s="52">
        <f t="shared" si="0"/>
        <v>17.105219112903228</v>
      </c>
      <c r="E5" s="52">
        <f t="shared" si="0"/>
        <v>6.0782344556451617</v>
      </c>
      <c r="G5" s="52">
        <f>AVERAGE(L12:L19)</f>
        <v>119.34879032258064</v>
      </c>
      <c r="H5" s="52">
        <f>AVERAGE(P12:P19)</f>
        <v>61.751693548387095</v>
      </c>
      <c r="I5" s="52">
        <f>AVERAGE(T12:T19)</f>
        <v>21.943084677419353</v>
      </c>
      <c r="J5" s="52"/>
      <c r="K5" s="34" t="s">
        <v>266</v>
      </c>
      <c r="L5" s="52">
        <v>89.646451612903235</v>
      </c>
      <c r="M5" s="52">
        <v>27.57616666666668</v>
      </c>
      <c r="N5" s="52">
        <v>17.101086956521737</v>
      </c>
      <c r="O5" s="52">
        <v>59.820000000000022</v>
      </c>
      <c r="P5" s="52">
        <v>44.79870967741936</v>
      </c>
      <c r="Q5" s="52">
        <v>27.591500000000003</v>
      </c>
      <c r="R5" s="52">
        <v>42.397499999999994</v>
      </c>
      <c r="S5" s="52">
        <v>33.300109890109894</v>
      </c>
      <c r="T5" s="114">
        <v>17.640161290322578</v>
      </c>
      <c r="U5" s="114">
        <v>8.2009090909090894</v>
      </c>
      <c r="V5" s="114">
        <v>8.7318478260869536</v>
      </c>
      <c r="W5" s="114">
        <v>12.728351648351646</v>
      </c>
      <c r="X5" s="114"/>
      <c r="Y5" s="10" t="s">
        <v>267</v>
      </c>
      <c r="Z5" s="122" t="s">
        <v>648</v>
      </c>
      <c r="AA5" s="114"/>
      <c r="AB5" s="114"/>
      <c r="AC5" s="114"/>
      <c r="AD5" s="114"/>
      <c r="AE5" s="114"/>
    </row>
    <row r="6" spans="1:31" x14ac:dyDescent="0.3">
      <c r="B6" s="9" t="s">
        <v>240</v>
      </c>
      <c r="C6" s="52">
        <f t="shared" si="1"/>
        <v>28.081256247311831</v>
      </c>
      <c r="D6" s="52">
        <f t="shared" si="0"/>
        <v>14.007717247311827</v>
      </c>
      <c r="E6" s="52">
        <f t="shared" si="0"/>
        <v>5.5000315806451612</v>
      </c>
      <c r="G6" s="52">
        <f>AVERAGE(L4:L11,L22:L27,L20)</f>
        <v>101.37637634408603</v>
      </c>
      <c r="H6" s="52">
        <f>AVERAGE(P4:P11,P22:P27,P20)</f>
        <v>50.569376344086017</v>
      </c>
      <c r="I6" s="52">
        <f>AVERAGE(T4:T11,T21:T27)</f>
        <v>19.855709677419352</v>
      </c>
      <c r="J6" s="52"/>
      <c r="K6" s="34" t="s">
        <v>268</v>
      </c>
      <c r="L6" s="52">
        <v>87.481290322580605</v>
      </c>
      <c r="M6" s="52">
        <v>26.961596638655458</v>
      </c>
      <c r="N6" s="52">
        <v>16.021304347826092</v>
      </c>
      <c r="O6" s="52">
        <v>57.055652173913053</v>
      </c>
      <c r="P6" s="52">
        <v>43.572741935483876</v>
      </c>
      <c r="Q6" s="52">
        <v>26.90386554621848</v>
      </c>
      <c r="R6" s="52">
        <v>40.907499999999999</v>
      </c>
      <c r="S6" s="52">
        <v>32.481086956521729</v>
      </c>
      <c r="T6" s="114">
        <v>17.069838709677416</v>
      </c>
      <c r="U6" s="114">
        <v>8.0600833333333348</v>
      </c>
      <c r="V6" s="114">
        <v>8.2816304347826115</v>
      </c>
      <c r="W6" s="114">
        <v>12.505326086956524</v>
      </c>
      <c r="X6" s="114"/>
      <c r="Y6" s="10" t="s">
        <v>269</v>
      </c>
      <c r="Z6" s="122" t="s">
        <v>648</v>
      </c>
      <c r="AA6" s="114"/>
      <c r="AB6" s="114"/>
      <c r="AC6" s="114"/>
      <c r="AD6" s="114"/>
      <c r="AE6" s="114"/>
    </row>
    <row r="7" spans="1:31" x14ac:dyDescent="0.3">
      <c r="B7" s="9" t="s">
        <v>241</v>
      </c>
      <c r="C7" s="52">
        <f t="shared" si="1"/>
        <v>16.213617916666667</v>
      </c>
      <c r="D7" s="52">
        <f t="shared" si="0"/>
        <v>11.348159083333332</v>
      </c>
      <c r="E7" s="52">
        <f t="shared" si="0"/>
        <v>3.0360802479338833</v>
      </c>
      <c r="G7" s="120">
        <f>M12</f>
        <v>58.532916666666665</v>
      </c>
      <c r="H7" s="120">
        <f>Q12</f>
        <v>40.968083333333325</v>
      </c>
      <c r="I7" s="120">
        <f>U12</f>
        <v>10.96057851239669</v>
      </c>
      <c r="J7" s="52"/>
      <c r="K7" s="34" t="s">
        <v>270</v>
      </c>
      <c r="L7" s="52">
        <v>85.762903225806454</v>
      </c>
      <c r="M7" s="52">
        <v>27.356083333333334</v>
      </c>
      <c r="N7" s="52">
        <v>15.661086956521741</v>
      </c>
      <c r="O7" s="52">
        <v>56.149780219780205</v>
      </c>
      <c r="P7" s="52">
        <v>43.369677419354851</v>
      </c>
      <c r="Q7" s="52">
        <v>26.752333333333336</v>
      </c>
      <c r="R7" s="52">
        <v>40.267173913043464</v>
      </c>
      <c r="S7" s="52">
        <v>32.677582417582414</v>
      </c>
      <c r="T7" s="114">
        <v>16.955161290322582</v>
      </c>
      <c r="U7" s="114">
        <v>7.9876859504132236</v>
      </c>
      <c r="V7" s="114">
        <v>8.1389130434782597</v>
      </c>
      <c r="W7" s="114">
        <v>12.677582417582416</v>
      </c>
      <c r="X7" s="114"/>
      <c r="Y7" s="10" t="s">
        <v>271</v>
      </c>
      <c r="Z7" s="122" t="s">
        <v>648</v>
      </c>
      <c r="AA7" s="114"/>
      <c r="AB7" s="114"/>
      <c r="AC7" s="114"/>
      <c r="AD7" s="114"/>
      <c r="AE7" s="114"/>
    </row>
    <row r="8" spans="1:31" x14ac:dyDescent="0.3">
      <c r="B8" s="9" t="s">
        <v>242</v>
      </c>
      <c r="C8" s="52">
        <f t="shared" si="1"/>
        <v>11.973263444444445</v>
      </c>
      <c r="D8" s="52">
        <f t="shared" si="0"/>
        <v>9.6655456666666684</v>
      </c>
      <c r="E8" s="52">
        <f t="shared" si="0"/>
        <v>2.7556158402203859</v>
      </c>
      <c r="G8" s="52">
        <f>AVERAGE(M10:M11,M13:M22)</f>
        <v>43.224777777777774</v>
      </c>
      <c r="H8" s="52">
        <f>AVERAGE(Q10:Q11,Q13:Q22)</f>
        <v>34.893666666666668</v>
      </c>
      <c r="I8" s="52">
        <f>AVERAGE(U10:U11,U13:U22)</f>
        <v>9.9480716253443529</v>
      </c>
      <c r="J8" s="52"/>
      <c r="K8" s="34" t="s">
        <v>272</v>
      </c>
      <c r="L8" s="52">
        <v>87.717419354838711</v>
      </c>
      <c r="M8" s="52">
        <v>28.178500000000007</v>
      </c>
      <c r="N8" s="123">
        <v>16.631630434782608</v>
      </c>
      <c r="O8" s="52">
        <v>59.552417582417576</v>
      </c>
      <c r="P8" s="52">
        <v>44.705322580645152</v>
      </c>
      <c r="Q8" s="52">
        <v>27.513333333333332</v>
      </c>
      <c r="R8" s="123">
        <v>40.653913043478248</v>
      </c>
      <c r="S8" s="52">
        <v>34.193956043956049</v>
      </c>
      <c r="T8" s="52">
        <v>17.718387096774194</v>
      </c>
      <c r="U8" s="52">
        <v>8.1070247933884296</v>
      </c>
      <c r="V8" s="123">
        <v>8.3767391304347818</v>
      </c>
      <c r="W8" s="52">
        <v>13.634175824175825</v>
      </c>
      <c r="Y8" s="115" t="s">
        <v>53</v>
      </c>
      <c r="Z8" s="122"/>
    </row>
    <row r="9" spans="1:31" x14ac:dyDescent="0.3">
      <c r="B9" s="9" t="s">
        <v>243</v>
      </c>
      <c r="C9" s="52">
        <f t="shared" si="1"/>
        <v>8.6732123880825061</v>
      </c>
      <c r="D9" s="52">
        <f t="shared" si="0"/>
        <v>8.4192647202699273</v>
      </c>
      <c r="E9" s="52">
        <f t="shared" si="0"/>
        <v>2.4358331277861258</v>
      </c>
      <c r="G9" s="52">
        <f>AVERAGE(M4:M9,M23:M27)</f>
        <v>31.311236058059588</v>
      </c>
      <c r="H9" s="52">
        <f>AVERAGE(Q4:Q9,Q23:Q27)</f>
        <v>30.394457473898651</v>
      </c>
      <c r="I9" s="52">
        <f>AVERAGE(U4:U9,U23:U27)</f>
        <v>8.7936213999499113</v>
      </c>
      <c r="J9" s="52"/>
      <c r="K9" s="34" t="s">
        <v>273</v>
      </c>
      <c r="L9" s="52">
        <v>94.74435483870964</v>
      </c>
      <c r="M9" s="52">
        <v>31.774250000000002</v>
      </c>
      <c r="N9" s="123">
        <v>20.796195652173925</v>
      </c>
      <c r="O9" s="52">
        <v>66.279010989011013</v>
      </c>
      <c r="P9" s="52">
        <v>47.810645161290317</v>
      </c>
      <c r="Q9" s="52">
        <v>29.625166666666669</v>
      </c>
      <c r="R9" s="123">
        <v>42.993586956521725</v>
      </c>
      <c r="S9" s="52">
        <v>37.152417582417591</v>
      </c>
      <c r="T9" s="52">
        <v>19.219677419354831</v>
      </c>
      <c r="U9" s="52">
        <v>8.7033884297520707</v>
      </c>
      <c r="V9" s="123">
        <v>9.7091304347826117</v>
      </c>
      <c r="W9" s="52">
        <v>15.792747252747249</v>
      </c>
      <c r="Y9" s="10" t="s">
        <v>274</v>
      </c>
      <c r="Z9" s="122"/>
    </row>
    <row r="10" spans="1:31" x14ac:dyDescent="0.3">
      <c r="B10" s="9" t="s">
        <v>244</v>
      </c>
      <c r="C10" s="52">
        <f t="shared" si="1"/>
        <v>11.303195760869565</v>
      </c>
      <c r="D10" s="52">
        <f t="shared" si="0"/>
        <v>14.76440108695652</v>
      </c>
      <c r="E10" s="52">
        <f t="shared" si="0"/>
        <v>4.233403043478261</v>
      </c>
      <c r="G10" s="120">
        <f>N12</f>
        <v>40.805760869565212</v>
      </c>
      <c r="H10" s="120">
        <f>R12</f>
        <v>53.301086956521729</v>
      </c>
      <c r="I10" s="120">
        <f>V12</f>
        <v>15.283043478260868</v>
      </c>
      <c r="J10" s="52"/>
      <c r="K10" s="34" t="s">
        <v>275</v>
      </c>
      <c r="L10" s="52">
        <v>99.599032258064497</v>
      </c>
      <c r="M10" s="123">
        <v>39.509833333333361</v>
      </c>
      <c r="N10" s="123">
        <v>25.891086956521736</v>
      </c>
      <c r="O10" s="123">
        <v>80.358131868131878</v>
      </c>
      <c r="P10" s="52">
        <v>50.635967741935502</v>
      </c>
      <c r="Q10" s="123">
        <v>33.149000000000008</v>
      </c>
      <c r="R10" s="123">
        <v>46.473260869565216</v>
      </c>
      <c r="S10" s="123">
        <v>39.506813186813197</v>
      </c>
      <c r="T10" s="52">
        <v>19.848870967741938</v>
      </c>
      <c r="U10" s="123">
        <v>9.3038016528925596</v>
      </c>
      <c r="V10" s="123">
        <v>11.215543478260866</v>
      </c>
      <c r="W10" s="123">
        <v>18.4178021978022</v>
      </c>
      <c r="Y10" s="10" t="s">
        <v>276</v>
      </c>
      <c r="Z10" s="122" t="s">
        <v>265</v>
      </c>
    </row>
    <row r="11" spans="1:31" x14ac:dyDescent="0.3">
      <c r="B11" s="9" t="s">
        <v>245</v>
      </c>
      <c r="C11" s="52">
        <f t="shared" si="1"/>
        <v>8.8005835597826092</v>
      </c>
      <c r="D11" s="52">
        <f t="shared" si="0"/>
        <v>13.623885577445652</v>
      </c>
      <c r="E11" s="52">
        <f t="shared" si="0"/>
        <v>3.5390701766304349</v>
      </c>
      <c r="G11" s="52">
        <f>AVERAGE(N8:N11,N13:N24)</f>
        <v>31.771059782608695</v>
      </c>
      <c r="H11" s="52">
        <f>AVERAGE(R8:R11,R13:R24)</f>
        <v>49.183702445652166</v>
      </c>
      <c r="I11" s="52">
        <f>AVERAGE(V8:V11,V13:V24)</f>
        <v>12.776426630434782</v>
      </c>
      <c r="J11" s="52"/>
      <c r="K11" s="34" t="s">
        <v>277</v>
      </c>
      <c r="L11" s="124">
        <v>115.15919354838709</v>
      </c>
      <c r="M11" s="125">
        <v>50.621416666666669</v>
      </c>
      <c r="N11" s="125">
        <v>34.232391304347829</v>
      </c>
      <c r="O11" s="125">
        <v>96.791758241758217</v>
      </c>
      <c r="P11" s="124">
        <v>56.21612903225806</v>
      </c>
      <c r="Q11" s="125">
        <v>37.211333333333322</v>
      </c>
      <c r="R11" s="125">
        <v>50.373152173913063</v>
      </c>
      <c r="S11" s="125">
        <v>41.766373626373621</v>
      </c>
      <c r="T11" s="124">
        <v>20.910645161290315</v>
      </c>
      <c r="U11" s="125">
        <v>10.562975206611569</v>
      </c>
      <c r="V11" s="125">
        <v>13.095760869565222</v>
      </c>
      <c r="W11" s="125">
        <v>21.909230769230764</v>
      </c>
      <c r="Y11" s="10" t="s">
        <v>278</v>
      </c>
      <c r="Z11" s="122" t="s">
        <v>648</v>
      </c>
    </row>
    <row r="12" spans="1:31" x14ac:dyDescent="0.3">
      <c r="B12" s="9" t="s">
        <v>246</v>
      </c>
      <c r="C12" s="52">
        <f t="shared" si="1"/>
        <v>5.6250914751552816</v>
      </c>
      <c r="D12" s="52">
        <f t="shared" si="0"/>
        <v>12.125068524844719</v>
      </c>
      <c r="E12" s="52">
        <f t="shared" si="0"/>
        <v>2.6814202173913051</v>
      </c>
      <c r="G12" s="52">
        <f>AVERAGE(N4:N7,N25:N27)</f>
        <v>20.307189440993795</v>
      </c>
      <c r="H12" s="52">
        <f>AVERAGE(R4:R7,R25:R27)</f>
        <v>43.772810559006203</v>
      </c>
      <c r="I12" s="52">
        <f>AVERAGE(V4:V7,V25:V27)</f>
        <v>9.6802173913043497</v>
      </c>
      <c r="J12" s="52"/>
      <c r="K12" s="34" t="s">
        <v>279</v>
      </c>
      <c r="L12" s="125">
        <v>121.06032258064516</v>
      </c>
      <c r="M12" s="126">
        <v>58.532916666666665</v>
      </c>
      <c r="N12" s="126">
        <v>40.805760869565212</v>
      </c>
      <c r="O12" s="126">
        <v>103.16021978021973</v>
      </c>
      <c r="P12" s="125">
        <v>64.214677419354842</v>
      </c>
      <c r="Q12" s="126">
        <v>40.968083333333325</v>
      </c>
      <c r="R12" s="126">
        <v>53.301086956521729</v>
      </c>
      <c r="S12" s="125">
        <v>44.319560439560426</v>
      </c>
      <c r="T12" s="125">
        <v>21.882258064516133</v>
      </c>
      <c r="U12" s="126">
        <v>10.96057851239669</v>
      </c>
      <c r="V12" s="126">
        <v>15.283043478260868</v>
      </c>
      <c r="W12" s="126">
        <v>24.258461538461539</v>
      </c>
      <c r="Y12" s="10" t="s">
        <v>280</v>
      </c>
      <c r="Z12" s="122" t="s">
        <v>648</v>
      </c>
    </row>
    <row r="13" spans="1:31" x14ac:dyDescent="0.3">
      <c r="B13" s="9" t="s">
        <v>247</v>
      </c>
      <c r="C13" s="52">
        <f t="shared" si="1"/>
        <v>28.575380879120868</v>
      </c>
      <c r="D13" s="52">
        <f t="shared" si="0"/>
        <v>12.633330769230765</v>
      </c>
      <c r="E13" s="52">
        <f t="shared" si="0"/>
        <v>6.7195938461538471</v>
      </c>
      <c r="G13" s="120">
        <f>O12</f>
        <v>103.16021978021973</v>
      </c>
      <c r="H13" s="120">
        <f>S22</f>
        <v>45.60769230769229</v>
      </c>
      <c r="I13" s="120">
        <f>W12</f>
        <v>24.258461538461539</v>
      </c>
      <c r="J13" s="52"/>
      <c r="K13" s="34" t="s">
        <v>281</v>
      </c>
      <c r="L13" s="125">
        <v>121.97854838709678</v>
      </c>
      <c r="M13" s="125">
        <v>57.293666666666688</v>
      </c>
      <c r="N13" s="125">
        <v>43.749130434782607</v>
      </c>
      <c r="O13" s="125">
        <v>108.30384615384611</v>
      </c>
      <c r="P13" s="125">
        <v>64.56774193548388</v>
      </c>
      <c r="Q13" s="125">
        <v>38.736333333333363</v>
      </c>
      <c r="R13" s="125">
        <v>53.602173913043472</v>
      </c>
      <c r="S13" s="125">
        <v>44.819670329670345</v>
      </c>
      <c r="T13" s="125">
        <v>21.897580645161288</v>
      </c>
      <c r="U13" s="125">
        <v>10.820413223140498</v>
      </c>
      <c r="V13" s="125">
        <v>15.228152173913042</v>
      </c>
      <c r="W13" s="125">
        <v>24.413736263736268</v>
      </c>
      <c r="Y13" s="10" t="s">
        <v>282</v>
      </c>
      <c r="Z13" s="122" t="s">
        <v>283</v>
      </c>
    </row>
    <row r="14" spans="1:31" x14ac:dyDescent="0.3">
      <c r="B14" s="9" t="s">
        <v>248</v>
      </c>
      <c r="C14" s="52">
        <f t="shared" si="1"/>
        <v>26.449350073260074</v>
      </c>
      <c r="D14" s="52">
        <f t="shared" si="0"/>
        <v>12.343754157509158</v>
      </c>
      <c r="E14" s="52">
        <f t="shared" si="0"/>
        <v>6.0075643315018334</v>
      </c>
      <c r="G14" s="52">
        <f>AVERAGE(O10:O11,O13:O22)</f>
        <v>95.485018315018308</v>
      </c>
      <c r="H14" s="52">
        <f>AVERAGE(S10:S21)</f>
        <v>44.562289377289375</v>
      </c>
      <c r="I14" s="52">
        <f>AVERAGE(W10:W11,W13:W22)</f>
        <v>21.687957875457879</v>
      </c>
      <c r="J14" s="52"/>
      <c r="K14" s="34" t="s">
        <v>284</v>
      </c>
      <c r="L14" s="125">
        <v>121.44193548387099</v>
      </c>
      <c r="M14" s="125">
        <v>52.927166666666679</v>
      </c>
      <c r="N14" s="125">
        <v>41.680217391304346</v>
      </c>
      <c r="O14" s="125">
        <v>106.32065934065929</v>
      </c>
      <c r="P14" s="125">
        <v>62.761935483870957</v>
      </c>
      <c r="Q14" s="125">
        <v>37.27024999999999</v>
      </c>
      <c r="R14" s="125">
        <v>52.6782608695652</v>
      </c>
      <c r="S14" s="125">
        <v>44.950439560439555</v>
      </c>
      <c r="T14" s="125">
        <v>21.945967741935473</v>
      </c>
      <c r="U14" s="125">
        <v>10.651322314049583</v>
      </c>
      <c r="V14" s="125">
        <v>14.7075</v>
      </c>
      <c r="W14" s="125">
        <v>23.392087912087906</v>
      </c>
      <c r="Y14" s="115" t="s">
        <v>52</v>
      </c>
      <c r="Z14" s="122"/>
    </row>
    <row r="15" spans="1:31" x14ac:dyDescent="0.3">
      <c r="B15" s="9" t="s">
        <v>249</v>
      </c>
      <c r="C15" s="52">
        <f t="shared" si="1"/>
        <v>18.960684409937887</v>
      </c>
      <c r="D15" s="52">
        <f t="shared" si="0"/>
        <v>10.285980997915132</v>
      </c>
      <c r="E15" s="52">
        <f t="shared" si="0"/>
        <v>4.3660332314424712</v>
      </c>
      <c r="G15" s="52">
        <f>AVERAGE(O4:O9,O23:O27)</f>
        <v>68.450124223602472</v>
      </c>
      <c r="H15" s="52">
        <f>AVERAGE(S4:S9,S23:S27)</f>
        <v>37.133505407635852</v>
      </c>
      <c r="I15" s="52">
        <f>AVERAGE(W4:W9,W23:W27)</f>
        <v>15.761852821091951</v>
      </c>
      <c r="J15" s="52"/>
      <c r="K15" s="34" t="s">
        <v>285</v>
      </c>
      <c r="L15" s="125">
        <v>120.1595161290323</v>
      </c>
      <c r="M15" s="125">
        <v>47.474083333333347</v>
      </c>
      <c r="N15" s="125">
        <v>37.53608695652175</v>
      </c>
      <c r="O15" s="125">
        <v>99.853406593406575</v>
      </c>
      <c r="P15" s="125">
        <v>60.211290322580645</v>
      </c>
      <c r="Q15" s="125">
        <v>35.57716666666667</v>
      </c>
      <c r="R15" s="125">
        <v>51.759565217391298</v>
      </c>
      <c r="S15" s="125">
        <v>44.502967032967035</v>
      </c>
      <c r="T15" s="125">
        <v>21.927419354838708</v>
      </c>
      <c r="U15" s="125">
        <v>10.274297520661158</v>
      </c>
      <c r="V15" s="125">
        <v>14.226413043478267</v>
      </c>
      <c r="W15" s="125">
        <v>22.662637362637369</v>
      </c>
      <c r="Y15" s="10" t="s">
        <v>286</v>
      </c>
      <c r="Z15" s="122" t="s">
        <v>287</v>
      </c>
    </row>
    <row r="16" spans="1:31" x14ac:dyDescent="0.3">
      <c r="K16" s="34" t="s">
        <v>288</v>
      </c>
      <c r="L16" s="123">
        <v>117.36016129032258</v>
      </c>
      <c r="M16" s="123">
        <v>43.225000000000009</v>
      </c>
      <c r="N16" s="123">
        <v>34.463260869565232</v>
      </c>
      <c r="O16" s="123">
        <v>91.197032967032953</v>
      </c>
      <c r="P16" s="123">
        <v>59.380806451612891</v>
      </c>
      <c r="Q16" s="123">
        <v>34.703083333333332</v>
      </c>
      <c r="R16" s="123">
        <v>50.685978260869561</v>
      </c>
      <c r="S16" s="123">
        <v>44.667802197802196</v>
      </c>
      <c r="T16" s="123">
        <v>21.738225806451617</v>
      </c>
      <c r="U16" s="123">
        <v>9.9853719008264417</v>
      </c>
      <c r="V16" s="123">
        <v>14.549347826086962</v>
      </c>
      <c r="W16" s="123">
        <v>21.838131868131875</v>
      </c>
      <c r="Y16" s="10" t="s">
        <v>289</v>
      </c>
      <c r="Z16" s="122" t="s">
        <v>648</v>
      </c>
    </row>
    <row r="17" spans="1:26" x14ac:dyDescent="0.3">
      <c r="K17" s="34" t="s">
        <v>290</v>
      </c>
      <c r="L17" s="123">
        <v>116.42532258064516</v>
      </c>
      <c r="M17" s="123">
        <v>40.356416666666668</v>
      </c>
      <c r="N17" s="123">
        <v>32.17271739130436</v>
      </c>
      <c r="O17" s="123">
        <v>89.198791208791221</v>
      </c>
      <c r="P17" s="123">
        <v>60.442419354838698</v>
      </c>
      <c r="Q17" s="123">
        <v>33.323416666666645</v>
      </c>
      <c r="R17" s="123">
        <v>49.314130434782584</v>
      </c>
      <c r="S17" s="123">
        <v>44.826703296703293</v>
      </c>
      <c r="T17" s="123">
        <v>21.690161290322582</v>
      </c>
      <c r="U17" s="123">
        <v>9.5917355371900896</v>
      </c>
      <c r="V17" s="123">
        <v>14.360108695652178</v>
      </c>
      <c r="W17" s="123">
        <v>20.808901098901107</v>
      </c>
      <c r="Y17" s="10" t="s">
        <v>291</v>
      </c>
      <c r="Z17" s="122" t="s">
        <v>648</v>
      </c>
    </row>
    <row r="18" spans="1:26" x14ac:dyDescent="0.3">
      <c r="K18" s="34" t="s">
        <v>292</v>
      </c>
      <c r="L18" s="123">
        <v>117.08983870967742</v>
      </c>
      <c r="M18" s="123">
        <v>37.651166666666668</v>
      </c>
      <c r="N18" s="123">
        <v>30.86228260869564</v>
      </c>
      <c r="O18" s="123">
        <v>88.921318681318667</v>
      </c>
      <c r="P18" s="123">
        <v>60.439354838709647</v>
      </c>
      <c r="Q18" s="123">
        <v>31.818666666666683</v>
      </c>
      <c r="R18" s="123">
        <v>48.519673913043462</v>
      </c>
      <c r="S18" s="123">
        <v>45.086923076923085</v>
      </c>
      <c r="T18" s="123">
        <v>21.891290322580641</v>
      </c>
      <c r="U18" s="123">
        <v>9.351239669421485</v>
      </c>
      <c r="V18" s="123">
        <v>13.47902173913044</v>
      </c>
      <c r="W18" s="123">
        <v>19.71384615384617</v>
      </c>
      <c r="Y18" s="10" t="s">
        <v>293</v>
      </c>
      <c r="Z18" s="122" t="s">
        <v>648</v>
      </c>
    </row>
    <row r="19" spans="1:26" x14ac:dyDescent="0.3">
      <c r="K19" s="34" t="s">
        <v>294</v>
      </c>
      <c r="L19" s="123">
        <v>119.27467741935482</v>
      </c>
      <c r="M19" s="123">
        <v>35.076416666666674</v>
      </c>
      <c r="N19" s="123">
        <v>30.516304347826086</v>
      </c>
      <c r="O19" s="123">
        <v>90.833956043956036</v>
      </c>
      <c r="P19" s="123">
        <v>61.995322580645151</v>
      </c>
      <c r="Q19" s="123">
        <v>31.952833333333338</v>
      </c>
      <c r="R19" s="123">
        <v>48.26141304347825</v>
      </c>
      <c r="S19" s="123">
        <v>46.271758241758228</v>
      </c>
      <c r="T19" s="123">
        <v>22.571774193548396</v>
      </c>
      <c r="U19" s="123">
        <v>9.3213223140495831</v>
      </c>
      <c r="V19" s="123">
        <v>13.009021739130439</v>
      </c>
      <c r="W19" s="123">
        <v>19.854065934065932</v>
      </c>
    </row>
    <row r="20" spans="1:26" x14ac:dyDescent="0.3">
      <c r="K20" s="34" t="s">
        <v>295</v>
      </c>
      <c r="L20" s="52">
        <v>119.60161290322579</v>
      </c>
      <c r="M20" s="123">
        <v>35.091083333333323</v>
      </c>
      <c r="N20" s="123">
        <v>29.887826086956519</v>
      </c>
      <c r="O20" s="123">
        <v>96.049780219780232</v>
      </c>
      <c r="P20" s="52">
        <v>62.501451612903239</v>
      </c>
      <c r="Q20" s="123">
        <v>33.103166666666674</v>
      </c>
      <c r="R20" s="123">
        <v>48.57315217391303</v>
      </c>
      <c r="S20" s="123">
        <v>46.729890109890114</v>
      </c>
      <c r="T20" s="127">
        <v>22.858387096774198</v>
      </c>
      <c r="U20" s="123">
        <v>9.4026446280991731</v>
      </c>
      <c r="V20" s="123">
        <v>12.539782608695651</v>
      </c>
      <c r="W20" s="123">
        <v>20.785054945054956</v>
      </c>
    </row>
    <row r="21" spans="1:26" x14ac:dyDescent="0.3">
      <c r="K21" s="34" t="s">
        <v>296</v>
      </c>
      <c r="L21" s="127">
        <v>120.45016129032255</v>
      </c>
      <c r="M21" s="123">
        <v>39.924499999999981</v>
      </c>
      <c r="N21" s="123">
        <v>32.215543478260876</v>
      </c>
      <c r="O21" s="123">
        <v>100.76659340659342</v>
      </c>
      <c r="P21" s="127">
        <v>61.44306451612902</v>
      </c>
      <c r="Q21" s="123">
        <v>35.719666666666669</v>
      </c>
      <c r="R21" s="123">
        <v>50.309891304347836</v>
      </c>
      <c r="S21" s="123">
        <v>47.298571428571421</v>
      </c>
      <c r="T21" s="52">
        <v>22.853709677419367</v>
      </c>
      <c r="U21" s="123">
        <v>9.9514049586776832</v>
      </c>
      <c r="V21" s="123">
        <v>12.794673913043484</v>
      </c>
      <c r="W21" s="123">
        <v>22.846043956043953</v>
      </c>
    </row>
    <row r="22" spans="1:26" x14ac:dyDescent="0.3">
      <c r="K22" s="34" t="s">
        <v>297</v>
      </c>
      <c r="L22" s="52">
        <v>117.47419354838711</v>
      </c>
      <c r="M22" s="123">
        <v>39.546583333333317</v>
      </c>
      <c r="N22" s="123">
        <v>32.811847826086947</v>
      </c>
      <c r="O22" s="123">
        <v>97.224945054945067</v>
      </c>
      <c r="P22" s="52">
        <v>59.408709677419374</v>
      </c>
      <c r="Q22" s="123">
        <v>36.159083333333342</v>
      </c>
      <c r="R22" s="123">
        <v>51.771195652173908</v>
      </c>
      <c r="S22" s="126">
        <v>45.60769230769229</v>
      </c>
      <c r="T22" s="52">
        <v>22.239032258064515</v>
      </c>
      <c r="U22" s="123">
        <v>10.160330578512397</v>
      </c>
      <c r="V22" s="123">
        <v>12.649782608695649</v>
      </c>
      <c r="W22" s="123">
        <v>23.613956043956048</v>
      </c>
    </row>
    <row r="23" spans="1:26" x14ac:dyDescent="0.3">
      <c r="K23" s="34" t="s">
        <v>298</v>
      </c>
      <c r="L23" s="52">
        <v>115.12048387096772</v>
      </c>
      <c r="M23" s="52">
        <v>39.394833333333331</v>
      </c>
      <c r="N23" s="123">
        <v>33.305652173913039</v>
      </c>
      <c r="O23" s="52">
        <v>92.040549450549463</v>
      </c>
      <c r="P23" s="52">
        <v>59.131774193548395</v>
      </c>
      <c r="Q23" s="52">
        <v>36.621166666666653</v>
      </c>
      <c r="R23" s="123">
        <v>51.786413043478248</v>
      </c>
      <c r="S23" s="52">
        <v>43.972087912087936</v>
      </c>
      <c r="T23" s="52">
        <v>21.885322580645163</v>
      </c>
      <c r="U23" s="52">
        <v>9.9699173553718996</v>
      </c>
      <c r="V23" s="123">
        <v>12.529456521739128</v>
      </c>
      <c r="W23" s="52">
        <v>24.292857142857148</v>
      </c>
    </row>
    <row r="24" spans="1:26" x14ac:dyDescent="0.3">
      <c r="K24" s="34" t="s">
        <v>299</v>
      </c>
      <c r="L24" s="52">
        <v>112.10983870967739</v>
      </c>
      <c r="M24" s="52">
        <v>37.531499999999987</v>
      </c>
      <c r="N24" s="123">
        <v>31.584782608695651</v>
      </c>
      <c r="O24" s="52">
        <v>85.669780219780222</v>
      </c>
      <c r="P24" s="52">
        <v>54.445161290322595</v>
      </c>
      <c r="Q24" s="52">
        <v>34.953083333333332</v>
      </c>
      <c r="R24" s="123">
        <v>49.183478260869556</v>
      </c>
      <c r="S24" s="52">
        <v>42.458901098901109</v>
      </c>
      <c r="T24" s="52">
        <v>21.275806451612898</v>
      </c>
      <c r="U24" s="52">
        <v>9.6618181818181785</v>
      </c>
      <c r="V24" s="123">
        <v>11.952391304347826</v>
      </c>
      <c r="W24" s="52">
        <v>19.849780219780218</v>
      </c>
    </row>
    <row r="25" spans="1:26" x14ac:dyDescent="0.3">
      <c r="K25" s="34" t="s">
        <v>300</v>
      </c>
      <c r="L25" s="52">
        <v>105.44870967741937</v>
      </c>
      <c r="M25" s="52">
        <v>35.904333333333327</v>
      </c>
      <c r="N25" s="52">
        <v>28.462826086956539</v>
      </c>
      <c r="O25" s="52">
        <v>80.063516483516466</v>
      </c>
      <c r="P25" s="52">
        <v>51.508387096774193</v>
      </c>
      <c r="Q25" s="52">
        <v>33.788000000000004</v>
      </c>
      <c r="R25" s="52">
        <v>48.296086956521734</v>
      </c>
      <c r="S25" s="52">
        <v>41.772417582417582</v>
      </c>
      <c r="T25" s="114">
        <v>21.125000000000004</v>
      </c>
      <c r="U25" s="114">
        <v>9.4770247933884324</v>
      </c>
      <c r="V25" s="114">
        <v>11.762934782608694</v>
      </c>
      <c r="W25" s="114">
        <v>18.13461538461539</v>
      </c>
    </row>
    <row r="26" spans="1:26" x14ac:dyDescent="0.3">
      <c r="K26" s="34" t="s">
        <v>301</v>
      </c>
      <c r="L26" s="52">
        <v>101.97387096774193</v>
      </c>
      <c r="M26" s="52">
        <v>32.219250000000002</v>
      </c>
      <c r="N26" s="52">
        <v>24.844347826086956</v>
      </c>
      <c r="O26" s="52">
        <v>73.236373626373648</v>
      </c>
      <c r="P26" s="52">
        <v>48.878548387096764</v>
      </c>
      <c r="Q26" s="52">
        <v>32.286333333333346</v>
      </c>
      <c r="R26" s="52">
        <v>46.85967391304348</v>
      </c>
      <c r="S26" s="52">
        <v>39.819999999999979</v>
      </c>
      <c r="T26" s="114">
        <v>20.705967741935481</v>
      </c>
      <c r="U26" s="114">
        <v>9.3686776859504128</v>
      </c>
      <c r="V26" s="114">
        <v>11.352826086956521</v>
      </c>
      <c r="W26" s="114">
        <v>16.487032967032963</v>
      </c>
    </row>
    <row r="27" spans="1:26" x14ac:dyDescent="0.3">
      <c r="K27" s="34" t="s">
        <v>302</v>
      </c>
      <c r="L27" s="52">
        <v>93.653709677419343</v>
      </c>
      <c r="M27" s="52">
        <v>28.209916666666665</v>
      </c>
      <c r="N27" s="52">
        <v>21.354130434782618</v>
      </c>
      <c r="O27" s="52">
        <v>62.541758241758224</v>
      </c>
      <c r="P27" s="52">
        <v>45.427741935483873</v>
      </c>
      <c r="Q27" s="52">
        <v>29.521583333333332</v>
      </c>
      <c r="R27" s="52">
        <v>43.896956521739135</v>
      </c>
      <c r="S27" s="52">
        <v>35.920329670329679</v>
      </c>
      <c r="T27" s="114">
        <v>19.526935483870965</v>
      </c>
      <c r="U27" s="114">
        <v>8.5499173553718961</v>
      </c>
      <c r="V27" s="114">
        <v>10.030000000000001</v>
      </c>
      <c r="W27" s="114">
        <v>13.832417582417587</v>
      </c>
    </row>
    <row r="28" spans="1:26" x14ac:dyDescent="0.3">
      <c r="K28" s="34"/>
      <c r="L28" s="52"/>
      <c r="M28" s="52"/>
      <c r="N28" s="52"/>
      <c r="O28" s="52"/>
      <c r="P28" s="52"/>
      <c r="Q28" s="52"/>
      <c r="R28" s="52"/>
      <c r="S28" s="52"/>
      <c r="T28" s="114"/>
      <c r="U28" s="114"/>
      <c r="V28" s="114"/>
      <c r="W28" s="114"/>
    </row>
    <row r="29" spans="1:26" s="128" customFormat="1" x14ac:dyDescent="0.3">
      <c r="B29" s="129"/>
      <c r="C29" s="129"/>
      <c r="D29" s="129"/>
      <c r="E29" s="129"/>
      <c r="F29" s="129"/>
      <c r="G29" s="129"/>
      <c r="J29" s="129"/>
      <c r="K29" s="130"/>
    </row>
    <row r="31" spans="1:26" x14ac:dyDescent="0.3">
      <c r="A31" s="111" t="s">
        <v>78</v>
      </c>
      <c r="B31" s="113"/>
      <c r="C31" s="255" t="s">
        <v>251</v>
      </c>
      <c r="D31" s="255"/>
      <c r="E31" s="255"/>
      <c r="F31" s="113"/>
      <c r="G31" s="255" t="s">
        <v>252</v>
      </c>
      <c r="H31" s="255"/>
      <c r="I31" s="255"/>
      <c r="L31" s="256" t="s">
        <v>253</v>
      </c>
      <c r="M31" s="256"/>
      <c r="N31" s="256"/>
      <c r="O31" s="256"/>
      <c r="P31" s="256" t="s">
        <v>254</v>
      </c>
      <c r="Q31" s="256"/>
      <c r="R31" s="256"/>
      <c r="S31" s="256"/>
      <c r="T31" s="256" t="s">
        <v>255</v>
      </c>
      <c r="U31" s="256"/>
      <c r="V31" s="256"/>
      <c r="W31" s="256"/>
    </row>
    <row r="32" spans="1:26" x14ac:dyDescent="0.3">
      <c r="B32" s="116" t="s">
        <v>256</v>
      </c>
      <c r="C32" s="9" t="s">
        <v>257</v>
      </c>
      <c r="D32" s="9" t="s">
        <v>53</v>
      </c>
      <c r="E32" s="9" t="s">
        <v>52</v>
      </c>
      <c r="F32" s="113"/>
      <c r="G32" s="9" t="s">
        <v>257</v>
      </c>
      <c r="H32" s="9" t="s">
        <v>53</v>
      </c>
      <c r="I32" s="9" t="s">
        <v>52</v>
      </c>
      <c r="L32" s="117" t="s">
        <v>258</v>
      </c>
      <c r="M32" s="118" t="s">
        <v>259</v>
      </c>
      <c r="N32" s="118" t="s">
        <v>260</v>
      </c>
      <c r="O32" s="118" t="s">
        <v>261</v>
      </c>
      <c r="P32" s="119" t="s">
        <v>258</v>
      </c>
      <c r="Q32" s="119" t="s">
        <v>259</v>
      </c>
      <c r="R32" s="119" t="s">
        <v>260</v>
      </c>
      <c r="S32" s="119" t="s">
        <v>261</v>
      </c>
      <c r="T32" s="117" t="s">
        <v>258</v>
      </c>
      <c r="U32" s="118" t="s">
        <v>259</v>
      </c>
      <c r="V32" s="118" t="s">
        <v>260</v>
      </c>
      <c r="W32" s="118" t="s">
        <v>261</v>
      </c>
    </row>
    <row r="33" spans="2:23" x14ac:dyDescent="0.3">
      <c r="B33" s="9" t="s">
        <v>236</v>
      </c>
      <c r="C33" s="52">
        <f>G33*0.277</f>
        <v>33.788057903225813</v>
      </c>
      <c r="D33" s="52">
        <f t="shared" ref="D33:E44" si="2">H33*0.277</f>
        <v>17.885264516129038</v>
      </c>
      <c r="E33" s="52">
        <f t="shared" si="2"/>
        <v>6.0656298387096772</v>
      </c>
      <c r="G33" s="120">
        <f>L42</f>
        <v>121.97854838709678</v>
      </c>
      <c r="H33" s="120">
        <f>P42</f>
        <v>64.56774193548388</v>
      </c>
      <c r="I33" s="120">
        <f>T42</f>
        <v>21.897580645161288</v>
      </c>
      <c r="J33" s="52"/>
      <c r="K33" s="34" t="s">
        <v>263</v>
      </c>
      <c r="L33" s="121">
        <v>95.152580645161294</v>
      </c>
      <c r="M33" s="121">
        <v>29.317166666666662</v>
      </c>
      <c r="N33" s="121">
        <v>18.705543478260878</v>
      </c>
      <c r="O33" s="121">
        <v>60.542527472527475</v>
      </c>
      <c r="P33" s="52">
        <v>46.129677419354856</v>
      </c>
      <c r="Q33" s="52">
        <v>28.78266666666666</v>
      </c>
      <c r="R33" s="52">
        <v>43.78478260869565</v>
      </c>
      <c r="S33" s="52">
        <v>34.719670329670336</v>
      </c>
      <c r="T33" s="114">
        <v>18.861129032258063</v>
      </c>
      <c r="U33" s="114">
        <v>8.6433884297520631</v>
      </c>
      <c r="V33" s="114">
        <v>9.4633695652173913</v>
      </c>
      <c r="W33" s="114">
        <v>13.445494505494505</v>
      </c>
    </row>
    <row r="34" spans="2:23" x14ac:dyDescent="0.3">
      <c r="B34" s="9" t="s">
        <v>239</v>
      </c>
      <c r="C34" s="52">
        <f t="shared" ref="C34:C44" si="3">G34*0.277</f>
        <v>32.955551635944708</v>
      </c>
      <c r="D34" s="52">
        <f t="shared" si="2"/>
        <v>16.993784055299539</v>
      </c>
      <c r="E34" s="52">
        <f t="shared" si="2"/>
        <v>6.0800351152073748</v>
      </c>
      <c r="G34" s="52">
        <f>AVERAGE(L41,L43:L48)</f>
        <v>118.97311059907835</v>
      </c>
      <c r="H34" s="52">
        <f>AVERAGE(P41,P43:P48)</f>
        <v>61.349400921658976</v>
      </c>
      <c r="I34" s="52">
        <f>AVERAGE(T41,T43:T48)</f>
        <v>21.949585253456224</v>
      </c>
      <c r="J34" s="52"/>
      <c r="K34" s="34" t="s">
        <v>266</v>
      </c>
      <c r="L34" s="52">
        <v>89.646451612903235</v>
      </c>
      <c r="M34" s="52">
        <v>27.57616666666668</v>
      </c>
      <c r="N34" s="52">
        <v>17.101086956521737</v>
      </c>
      <c r="O34" s="52">
        <v>59.820000000000022</v>
      </c>
      <c r="P34" s="52">
        <v>44.79870967741936</v>
      </c>
      <c r="Q34" s="52">
        <v>27.591500000000003</v>
      </c>
      <c r="R34" s="52">
        <v>42.397499999999994</v>
      </c>
      <c r="S34" s="52">
        <v>33.300109890109894</v>
      </c>
      <c r="T34" s="114">
        <v>17.640161290322578</v>
      </c>
      <c r="U34" s="114">
        <v>8.2009090909090894</v>
      </c>
      <c r="V34" s="114">
        <v>8.7318478260869536</v>
      </c>
      <c r="W34" s="114">
        <v>12.728351648351646</v>
      </c>
    </row>
    <row r="35" spans="2:23" x14ac:dyDescent="0.3">
      <c r="B35" s="9" t="s">
        <v>240</v>
      </c>
      <c r="C35" s="52">
        <f t="shared" si="3"/>
        <v>28.411471149193549</v>
      </c>
      <c r="D35" s="52">
        <f t="shared" si="2"/>
        <v>14.195967973790323</v>
      </c>
      <c r="E35" s="52">
        <f t="shared" si="2"/>
        <v>5.5520154334677416</v>
      </c>
      <c r="G35" s="52">
        <f>AVERAGE(L33:L40,L49:L56)</f>
        <v>102.5684879032258</v>
      </c>
      <c r="H35" s="52">
        <f>AVERAGE(P33:P40,P49:P56)</f>
        <v>51.248981854838703</v>
      </c>
      <c r="I35" s="52">
        <f>AVERAGE(T33:T40,T49:T56)</f>
        <v>20.043377016129028</v>
      </c>
      <c r="J35" s="52"/>
      <c r="K35" s="34" t="s">
        <v>268</v>
      </c>
      <c r="L35" s="52">
        <v>87.481290322580605</v>
      </c>
      <c r="M35" s="52">
        <v>26.961596638655458</v>
      </c>
      <c r="N35" s="52">
        <v>16.021304347826092</v>
      </c>
      <c r="O35" s="52">
        <v>57.055652173913053</v>
      </c>
      <c r="P35" s="52">
        <v>43.572741935483876</v>
      </c>
      <c r="Q35" s="52">
        <v>26.90386554621848</v>
      </c>
      <c r="R35" s="52">
        <v>40.907499999999999</v>
      </c>
      <c r="S35" s="52">
        <v>32.481086956521729</v>
      </c>
      <c r="T35" s="114">
        <v>17.069838709677416</v>
      </c>
      <c r="U35" s="114">
        <v>8.0600833333333348</v>
      </c>
      <c r="V35" s="114">
        <v>8.2816304347826115</v>
      </c>
      <c r="W35" s="114">
        <v>12.505326086956524</v>
      </c>
    </row>
    <row r="36" spans="2:23" x14ac:dyDescent="0.3">
      <c r="B36" s="9" t="s">
        <v>241</v>
      </c>
      <c r="C36" s="52">
        <f t="shared" si="3"/>
        <v>16.213617916666667</v>
      </c>
      <c r="D36" s="52">
        <f t="shared" si="2"/>
        <v>11.348159083333332</v>
      </c>
      <c r="E36" s="52">
        <f t="shared" si="2"/>
        <v>3.0360802479338833</v>
      </c>
      <c r="G36" s="120">
        <f>M41</f>
        <v>58.532916666666665</v>
      </c>
      <c r="H36" s="120">
        <f>Q41</f>
        <v>40.968083333333325</v>
      </c>
      <c r="I36" s="120">
        <f>U41</f>
        <v>10.96057851239669</v>
      </c>
      <c r="J36" s="52"/>
      <c r="K36" s="34" t="s">
        <v>270</v>
      </c>
      <c r="L36" s="52">
        <v>85.762903225806454</v>
      </c>
      <c r="M36" s="52">
        <v>27.356083333333334</v>
      </c>
      <c r="N36" s="52">
        <v>15.661086956521741</v>
      </c>
      <c r="O36" s="52">
        <v>56.149780219780205</v>
      </c>
      <c r="P36" s="52">
        <v>43.369677419354851</v>
      </c>
      <c r="Q36" s="52">
        <v>26.752333333333336</v>
      </c>
      <c r="R36" s="52">
        <v>40.267173913043464</v>
      </c>
      <c r="S36" s="52">
        <v>32.677582417582414</v>
      </c>
      <c r="T36" s="114">
        <v>16.955161290322582</v>
      </c>
      <c r="U36" s="114">
        <v>7.9876859504132236</v>
      </c>
      <c r="V36" s="114">
        <v>8.1389130434782597</v>
      </c>
      <c r="W36" s="114">
        <v>12.677582417582416</v>
      </c>
    </row>
    <row r="37" spans="2:23" x14ac:dyDescent="0.3">
      <c r="B37" s="9" t="s">
        <v>242</v>
      </c>
      <c r="C37" s="52">
        <f t="shared" si="3"/>
        <v>11.973263444444445</v>
      </c>
      <c r="D37" s="52">
        <f t="shared" si="2"/>
        <v>9.6655456666666684</v>
      </c>
      <c r="E37" s="52">
        <f t="shared" si="2"/>
        <v>2.7556158402203859</v>
      </c>
      <c r="G37" s="52">
        <f>AVERAGE(M39:M40,M42:M51)</f>
        <v>43.224777777777774</v>
      </c>
      <c r="H37" s="52">
        <f>AVERAGE(Q39:Q40,Q42:Q51)</f>
        <v>34.893666666666668</v>
      </c>
      <c r="I37" s="52">
        <f>AVERAGE(U39:U40,U42:U51)</f>
        <v>9.9480716253443529</v>
      </c>
      <c r="J37" s="52"/>
      <c r="K37" s="34" t="s">
        <v>272</v>
      </c>
      <c r="L37" s="52">
        <v>87.717419354838711</v>
      </c>
      <c r="M37" s="52">
        <v>28.178500000000007</v>
      </c>
      <c r="N37" s="123">
        <v>16.631630434782608</v>
      </c>
      <c r="O37" s="52">
        <v>59.552417582417576</v>
      </c>
      <c r="P37" s="52">
        <v>44.705322580645152</v>
      </c>
      <c r="Q37" s="52">
        <v>27.513333333333332</v>
      </c>
      <c r="R37" s="123">
        <v>40.653913043478248</v>
      </c>
      <c r="S37" s="52">
        <v>34.193956043956049</v>
      </c>
      <c r="T37" s="52">
        <v>17.718387096774194</v>
      </c>
      <c r="U37" s="52">
        <v>8.1070247933884296</v>
      </c>
      <c r="V37" s="123">
        <v>8.3767391304347818</v>
      </c>
      <c r="W37" s="52">
        <v>13.634175824175825</v>
      </c>
    </row>
    <row r="38" spans="2:23" x14ac:dyDescent="0.3">
      <c r="B38" s="9" t="s">
        <v>243</v>
      </c>
      <c r="C38" s="52">
        <f t="shared" si="3"/>
        <v>8.6732123880825061</v>
      </c>
      <c r="D38" s="52">
        <f t="shared" si="2"/>
        <v>8.4192647202699273</v>
      </c>
      <c r="E38" s="52">
        <f t="shared" si="2"/>
        <v>2.4358331277861258</v>
      </c>
      <c r="G38" s="52">
        <f>AVERAGE(M33:M38,M52:M56)</f>
        <v>31.311236058059588</v>
      </c>
      <c r="H38" s="52">
        <f>AVERAGE(Q33:Q38,Q52:Q56)</f>
        <v>30.394457473898651</v>
      </c>
      <c r="I38" s="52">
        <f>AVERAGE(U33:U38,U52:U56)</f>
        <v>8.7936213999499113</v>
      </c>
      <c r="J38" s="52"/>
      <c r="K38" s="34" t="s">
        <v>273</v>
      </c>
      <c r="L38" s="52">
        <v>94.74435483870964</v>
      </c>
      <c r="M38" s="52">
        <v>31.774250000000002</v>
      </c>
      <c r="N38" s="123">
        <v>20.796195652173925</v>
      </c>
      <c r="O38" s="52">
        <v>66.279010989011013</v>
      </c>
      <c r="P38" s="52">
        <v>47.810645161290317</v>
      </c>
      <c r="Q38" s="52">
        <v>29.625166666666669</v>
      </c>
      <c r="R38" s="123">
        <v>42.993586956521725</v>
      </c>
      <c r="S38" s="52">
        <v>37.152417582417591</v>
      </c>
      <c r="T38" s="52">
        <v>19.219677419354831</v>
      </c>
      <c r="U38" s="52">
        <v>8.7033884297520707</v>
      </c>
      <c r="V38" s="123">
        <v>9.7091304347826117</v>
      </c>
      <c r="W38" s="52">
        <v>15.792747252747249</v>
      </c>
    </row>
    <row r="39" spans="2:23" x14ac:dyDescent="0.3">
      <c r="B39" s="9" t="s">
        <v>244</v>
      </c>
      <c r="C39" s="52">
        <f t="shared" si="3"/>
        <v>12.118509130434783</v>
      </c>
      <c r="D39" s="52">
        <f t="shared" si="2"/>
        <v>14.847802173913044</v>
      </c>
      <c r="E39" s="52">
        <f t="shared" si="2"/>
        <v>4.2181981521739127</v>
      </c>
      <c r="G39" s="120">
        <f>N42</f>
        <v>43.749130434782607</v>
      </c>
      <c r="H39" s="120">
        <f>R42</f>
        <v>53.602173913043472</v>
      </c>
      <c r="I39" s="120">
        <f>V42</f>
        <v>15.228152173913042</v>
      </c>
      <c r="J39" s="52"/>
      <c r="K39" s="34" t="s">
        <v>275</v>
      </c>
      <c r="L39" s="52">
        <v>99.599032258064497</v>
      </c>
      <c r="M39" s="123">
        <v>39.509833333333361</v>
      </c>
      <c r="N39" s="123">
        <v>25.891086956521736</v>
      </c>
      <c r="O39" s="123">
        <v>80.358131868131878</v>
      </c>
      <c r="P39" s="52">
        <v>50.635967741935502</v>
      </c>
      <c r="Q39" s="123">
        <v>33.149000000000008</v>
      </c>
      <c r="R39" s="123">
        <v>46.473260869565216</v>
      </c>
      <c r="S39" s="123">
        <v>39.506813186813197</v>
      </c>
      <c r="T39" s="52">
        <v>19.848870967741938</v>
      </c>
      <c r="U39" s="123">
        <v>9.3038016528925596</v>
      </c>
      <c r="V39" s="123">
        <v>11.215543478260866</v>
      </c>
      <c r="W39" s="123">
        <v>18.4178021978022</v>
      </c>
    </row>
    <row r="40" spans="2:23" x14ac:dyDescent="0.3">
      <c r="B40" s="9" t="s">
        <v>245</v>
      </c>
      <c r="C40" s="52">
        <f t="shared" si="3"/>
        <v>8.7496264741847831</v>
      </c>
      <c r="D40" s="52">
        <f t="shared" si="2"/>
        <v>13.618673009510868</v>
      </c>
      <c r="E40" s="52">
        <f t="shared" si="2"/>
        <v>3.5400204823369572</v>
      </c>
      <c r="G40" s="52">
        <f>AVERAGE(N37:N41,N43:N53)</f>
        <v>31.587099184782605</v>
      </c>
      <c r="H40" s="52">
        <f>AVERAGE(R37:R41,R43:R53)</f>
        <v>49.164884510869555</v>
      </c>
      <c r="I40" s="52">
        <f>AVERAGE(V37:V41,V43:V53)</f>
        <v>12.779857336956523</v>
      </c>
      <c r="J40" s="52"/>
      <c r="K40" s="34" t="s">
        <v>277</v>
      </c>
      <c r="L40" s="52">
        <v>115.15919354838709</v>
      </c>
      <c r="M40" s="123">
        <v>50.621416666666669</v>
      </c>
      <c r="N40" s="123">
        <v>34.232391304347829</v>
      </c>
      <c r="O40" s="123">
        <v>96.791758241758217</v>
      </c>
      <c r="P40" s="52">
        <v>56.21612903225806</v>
      </c>
      <c r="Q40" s="123">
        <v>37.211333333333322</v>
      </c>
      <c r="R40" s="123">
        <v>50.373152173913063</v>
      </c>
      <c r="S40" s="123">
        <v>41.766373626373621</v>
      </c>
      <c r="T40" s="52">
        <v>20.910645161290315</v>
      </c>
      <c r="U40" s="123">
        <v>10.562975206611569</v>
      </c>
      <c r="V40" s="123">
        <v>13.095760869565222</v>
      </c>
      <c r="W40" s="123">
        <v>21.909230769230764</v>
      </c>
    </row>
    <row r="41" spans="2:23" x14ac:dyDescent="0.3">
      <c r="B41" s="9" t="s">
        <v>246</v>
      </c>
      <c r="C41" s="52">
        <f t="shared" si="3"/>
        <v>5.6250914751552816</v>
      </c>
      <c r="D41" s="52">
        <f t="shared" si="2"/>
        <v>12.125068524844719</v>
      </c>
      <c r="E41" s="52">
        <f t="shared" si="2"/>
        <v>2.6814202173913051</v>
      </c>
      <c r="G41" s="52">
        <f>AVERAGE(N33:N36,N54:N56)</f>
        <v>20.307189440993795</v>
      </c>
      <c r="H41" s="52">
        <f>AVERAGE(R33:R36,R54:R56)</f>
        <v>43.772810559006203</v>
      </c>
      <c r="I41" s="52">
        <f>AVERAGE(V33:V36,V54:V56)</f>
        <v>9.6802173913043497</v>
      </c>
      <c r="J41" s="52"/>
      <c r="K41" s="34" t="s">
        <v>279</v>
      </c>
      <c r="L41" s="123">
        <v>121.06032258064516</v>
      </c>
      <c r="M41" s="126">
        <v>58.532916666666665</v>
      </c>
      <c r="N41" s="123">
        <v>40.805760869565212</v>
      </c>
      <c r="O41" s="123">
        <v>103.16021978021973</v>
      </c>
      <c r="P41" s="123">
        <v>64.214677419354842</v>
      </c>
      <c r="Q41" s="126">
        <v>40.968083333333325</v>
      </c>
      <c r="R41" s="123">
        <v>53.301086956521729</v>
      </c>
      <c r="S41" s="123">
        <v>44.319560439560426</v>
      </c>
      <c r="T41" s="123">
        <v>21.882258064516133</v>
      </c>
      <c r="U41" s="126">
        <v>10.96057851239669</v>
      </c>
      <c r="V41" s="123">
        <v>15.283043478260868</v>
      </c>
      <c r="W41" s="123">
        <v>24.258461538461539</v>
      </c>
    </row>
    <row r="42" spans="2:23" x14ac:dyDescent="0.3">
      <c r="B42" s="9" t="s">
        <v>247</v>
      </c>
      <c r="C42" s="52">
        <f t="shared" si="3"/>
        <v>30.000165384615375</v>
      </c>
      <c r="D42" s="52">
        <f t="shared" si="2"/>
        <v>12.415048681318687</v>
      </c>
      <c r="E42" s="52">
        <f t="shared" si="2"/>
        <v>6.7626049450549468</v>
      </c>
      <c r="G42" s="120">
        <f>O42</f>
        <v>108.30384615384611</v>
      </c>
      <c r="H42" s="120">
        <f>S42</f>
        <v>44.819670329670345</v>
      </c>
      <c r="I42" s="120">
        <f>W42</f>
        <v>24.413736263736268</v>
      </c>
      <c r="J42" s="52"/>
      <c r="K42" s="34" t="s">
        <v>281</v>
      </c>
      <c r="L42" s="126">
        <v>121.97854838709678</v>
      </c>
      <c r="M42" s="123">
        <v>57.293666666666688</v>
      </c>
      <c r="N42" s="126">
        <v>43.749130434782607</v>
      </c>
      <c r="O42" s="126">
        <v>108.30384615384611</v>
      </c>
      <c r="P42" s="126">
        <v>64.56774193548388</v>
      </c>
      <c r="Q42" s="123">
        <v>38.736333333333363</v>
      </c>
      <c r="R42" s="126">
        <v>53.602173913043472</v>
      </c>
      <c r="S42" s="126">
        <v>44.819670329670345</v>
      </c>
      <c r="T42" s="126">
        <v>21.897580645161288</v>
      </c>
      <c r="U42" s="123">
        <v>10.820413223140498</v>
      </c>
      <c r="V42" s="126">
        <v>15.228152173913042</v>
      </c>
      <c r="W42" s="126">
        <v>24.413736263736268</v>
      </c>
    </row>
    <row r="43" spans="2:23" x14ac:dyDescent="0.3">
      <c r="B43" s="9" t="s">
        <v>248</v>
      </c>
      <c r="C43" s="52">
        <f t="shared" si="3"/>
        <v>26.330618031135533</v>
      </c>
      <c r="D43" s="52">
        <f t="shared" si="2"/>
        <v>12.361944331501832</v>
      </c>
      <c r="E43" s="52">
        <f t="shared" si="2"/>
        <v>6.0039800732600739</v>
      </c>
      <c r="G43" s="52">
        <f>AVERAGE(O39:O41,O43:O51)</f>
        <v>95.056382783882782</v>
      </c>
      <c r="H43" s="52">
        <f>AVERAGE(S39:S41,S43:S51)</f>
        <v>44.627957875457874</v>
      </c>
      <c r="I43" s="52">
        <f>AVERAGE(W39:W41,W43:W51)</f>
        <v>21.675018315018317</v>
      </c>
      <c r="J43" s="52"/>
      <c r="K43" s="34" t="s">
        <v>284</v>
      </c>
      <c r="L43" s="123">
        <v>121.44193548387099</v>
      </c>
      <c r="M43" s="123">
        <v>52.927166666666679</v>
      </c>
      <c r="N43" s="123">
        <v>41.680217391304346</v>
      </c>
      <c r="O43" s="123">
        <v>106.32065934065929</v>
      </c>
      <c r="P43" s="123">
        <v>62.761935483870957</v>
      </c>
      <c r="Q43" s="123">
        <v>37.27024999999999</v>
      </c>
      <c r="R43" s="123">
        <v>52.6782608695652</v>
      </c>
      <c r="S43" s="123">
        <v>44.950439560439555</v>
      </c>
      <c r="T43" s="123">
        <v>21.945967741935473</v>
      </c>
      <c r="U43" s="123">
        <v>10.651322314049583</v>
      </c>
      <c r="V43" s="123">
        <v>14.7075</v>
      </c>
      <c r="W43" s="123">
        <v>23.392087912087906</v>
      </c>
    </row>
    <row r="44" spans="2:23" x14ac:dyDescent="0.3">
      <c r="B44" s="9" t="s">
        <v>249</v>
      </c>
      <c r="C44" s="52">
        <f t="shared" si="3"/>
        <v>18.960684409937887</v>
      </c>
      <c r="D44" s="52">
        <f t="shared" si="2"/>
        <v>10.285980997915132</v>
      </c>
      <c r="E44" s="52">
        <f t="shared" si="2"/>
        <v>4.3660332314424712</v>
      </c>
      <c r="G44" s="52">
        <f>AVERAGE(O33:O38,O52:O56)</f>
        <v>68.450124223602472</v>
      </c>
      <c r="H44" s="52">
        <f>AVERAGE(S33:S38,S52:S56)</f>
        <v>37.133505407635852</v>
      </c>
      <c r="I44" s="52">
        <f>AVERAGE(W33:W38,W52:W56)</f>
        <v>15.761852821091951</v>
      </c>
      <c r="J44" s="52"/>
      <c r="K44" s="34" t="s">
        <v>285</v>
      </c>
      <c r="L44" s="123">
        <v>120.1595161290323</v>
      </c>
      <c r="M44" s="123">
        <v>47.474083333333347</v>
      </c>
      <c r="N44" s="123">
        <v>37.53608695652175</v>
      </c>
      <c r="O44" s="123">
        <v>99.853406593406575</v>
      </c>
      <c r="P44" s="123">
        <v>60.211290322580645</v>
      </c>
      <c r="Q44" s="123">
        <v>35.57716666666667</v>
      </c>
      <c r="R44" s="123">
        <v>51.759565217391298</v>
      </c>
      <c r="S44" s="123">
        <v>44.502967032967035</v>
      </c>
      <c r="T44" s="123">
        <v>21.927419354838708</v>
      </c>
      <c r="U44" s="123">
        <v>10.274297520661158</v>
      </c>
      <c r="V44" s="123">
        <v>14.226413043478267</v>
      </c>
      <c r="W44" s="123">
        <v>22.662637362637369</v>
      </c>
    </row>
    <row r="45" spans="2:23" x14ac:dyDescent="0.3">
      <c r="K45" s="34" t="s">
        <v>288</v>
      </c>
      <c r="L45" s="123">
        <v>117.36016129032258</v>
      </c>
      <c r="M45" s="123">
        <v>43.225000000000009</v>
      </c>
      <c r="N45" s="123">
        <v>34.463260869565232</v>
      </c>
      <c r="O45" s="123">
        <v>91.197032967032953</v>
      </c>
      <c r="P45" s="123">
        <v>59.380806451612891</v>
      </c>
      <c r="Q45" s="123">
        <v>34.703083333333332</v>
      </c>
      <c r="R45" s="123">
        <v>50.685978260869561</v>
      </c>
      <c r="S45" s="123">
        <v>44.667802197802196</v>
      </c>
      <c r="T45" s="123">
        <v>21.738225806451617</v>
      </c>
      <c r="U45" s="123">
        <v>9.9853719008264417</v>
      </c>
      <c r="V45" s="123">
        <v>14.549347826086962</v>
      </c>
      <c r="W45" s="123">
        <v>21.838131868131875</v>
      </c>
    </row>
    <row r="46" spans="2:23" x14ac:dyDescent="0.3">
      <c r="K46" s="34" t="s">
        <v>290</v>
      </c>
      <c r="L46" s="123">
        <v>116.42532258064516</v>
      </c>
      <c r="M46" s="123">
        <v>40.356416666666668</v>
      </c>
      <c r="N46" s="123">
        <v>32.17271739130436</v>
      </c>
      <c r="O46" s="123">
        <v>89.198791208791221</v>
      </c>
      <c r="P46" s="123">
        <v>60.442419354838698</v>
      </c>
      <c r="Q46" s="123">
        <v>33.323416666666645</v>
      </c>
      <c r="R46" s="123">
        <v>49.314130434782584</v>
      </c>
      <c r="S46" s="123">
        <v>44.826703296703293</v>
      </c>
      <c r="T46" s="123">
        <v>21.690161290322582</v>
      </c>
      <c r="U46" s="123">
        <v>9.5917355371900896</v>
      </c>
      <c r="V46" s="123">
        <v>14.360108695652178</v>
      </c>
      <c r="W46" s="123">
        <v>20.808901098901107</v>
      </c>
    </row>
    <row r="47" spans="2:23" x14ac:dyDescent="0.3">
      <c r="K47" s="34" t="s">
        <v>292</v>
      </c>
      <c r="L47" s="123">
        <v>117.08983870967742</v>
      </c>
      <c r="M47" s="123">
        <v>37.651166666666668</v>
      </c>
      <c r="N47" s="123">
        <v>30.86228260869564</v>
      </c>
      <c r="O47" s="123">
        <v>88.921318681318667</v>
      </c>
      <c r="P47" s="123">
        <v>60.439354838709647</v>
      </c>
      <c r="Q47" s="123">
        <v>31.818666666666683</v>
      </c>
      <c r="R47" s="123">
        <v>48.519673913043462</v>
      </c>
      <c r="S47" s="123">
        <v>45.086923076923085</v>
      </c>
      <c r="T47" s="123">
        <v>21.891290322580641</v>
      </c>
      <c r="U47" s="123">
        <v>9.351239669421485</v>
      </c>
      <c r="V47" s="123">
        <v>13.47902173913044</v>
      </c>
      <c r="W47" s="123">
        <v>19.71384615384617</v>
      </c>
    </row>
    <row r="48" spans="2:23" x14ac:dyDescent="0.3">
      <c r="K48" s="34" t="s">
        <v>294</v>
      </c>
      <c r="L48" s="123">
        <v>119.27467741935482</v>
      </c>
      <c r="M48" s="123">
        <v>35.076416666666674</v>
      </c>
      <c r="N48" s="123">
        <v>30.516304347826086</v>
      </c>
      <c r="O48" s="123">
        <v>90.833956043956036</v>
      </c>
      <c r="P48" s="123">
        <v>61.995322580645151</v>
      </c>
      <c r="Q48" s="123">
        <v>31.952833333333338</v>
      </c>
      <c r="R48" s="123">
        <v>48.26141304347825</v>
      </c>
      <c r="S48" s="123">
        <v>46.271758241758228</v>
      </c>
      <c r="T48" s="123">
        <v>22.571774193548396</v>
      </c>
      <c r="U48" s="123">
        <v>9.3213223140495831</v>
      </c>
      <c r="V48" s="123">
        <v>13.009021739130439</v>
      </c>
      <c r="W48" s="123">
        <v>19.854065934065932</v>
      </c>
    </row>
    <row r="49" spans="11:23" x14ac:dyDescent="0.3">
      <c r="K49" s="34" t="s">
        <v>295</v>
      </c>
      <c r="L49" s="52">
        <v>119.60161290322579</v>
      </c>
      <c r="M49" s="123">
        <v>35.091083333333323</v>
      </c>
      <c r="N49" s="123">
        <v>29.887826086956519</v>
      </c>
      <c r="O49" s="123">
        <v>96.049780219780232</v>
      </c>
      <c r="P49" s="52">
        <v>62.501451612903239</v>
      </c>
      <c r="Q49" s="123">
        <v>33.103166666666674</v>
      </c>
      <c r="R49" s="123">
        <v>48.57315217391303</v>
      </c>
      <c r="S49" s="123">
        <v>46.729890109890114</v>
      </c>
      <c r="T49" s="52">
        <v>22.858387096774198</v>
      </c>
      <c r="U49" s="123">
        <v>9.4026446280991731</v>
      </c>
      <c r="V49" s="123">
        <v>12.539782608695651</v>
      </c>
      <c r="W49" s="123">
        <v>20.785054945054956</v>
      </c>
    </row>
    <row r="50" spans="11:23" x14ac:dyDescent="0.3">
      <c r="K50" s="34" t="s">
        <v>296</v>
      </c>
      <c r="L50" s="131">
        <v>120.45016129032255</v>
      </c>
      <c r="M50" s="123">
        <v>39.924499999999981</v>
      </c>
      <c r="N50" s="123">
        <v>32.215543478260876</v>
      </c>
      <c r="O50" s="123">
        <v>100.76659340659342</v>
      </c>
      <c r="P50" s="52">
        <v>61.44306451612902</v>
      </c>
      <c r="Q50" s="123">
        <v>35.719666666666669</v>
      </c>
      <c r="R50" s="123">
        <v>50.309891304347836</v>
      </c>
      <c r="S50" s="123">
        <v>47.298571428571421</v>
      </c>
      <c r="T50" s="52">
        <v>22.853709677419367</v>
      </c>
      <c r="U50" s="123">
        <v>9.9514049586776832</v>
      </c>
      <c r="V50" s="123">
        <v>12.794673913043484</v>
      </c>
      <c r="W50" s="123">
        <v>22.846043956043953</v>
      </c>
    </row>
    <row r="51" spans="11:23" x14ac:dyDescent="0.3">
      <c r="K51" s="34" t="s">
        <v>297</v>
      </c>
      <c r="L51" s="52">
        <v>117.47419354838711</v>
      </c>
      <c r="M51" s="123">
        <v>39.546583333333317</v>
      </c>
      <c r="N51" s="123">
        <v>32.811847826086947</v>
      </c>
      <c r="O51" s="123">
        <v>97.224945054945067</v>
      </c>
      <c r="P51" s="52">
        <v>59.408709677419374</v>
      </c>
      <c r="Q51" s="123">
        <v>36.159083333333342</v>
      </c>
      <c r="R51" s="123">
        <v>51.771195652173908</v>
      </c>
      <c r="S51" s="123">
        <v>45.60769230769229</v>
      </c>
      <c r="T51" s="52">
        <v>22.239032258064515</v>
      </c>
      <c r="U51" s="123">
        <v>10.160330578512397</v>
      </c>
      <c r="V51" s="123">
        <v>12.649782608695649</v>
      </c>
      <c r="W51" s="123">
        <v>23.613956043956048</v>
      </c>
    </row>
    <row r="52" spans="11:23" x14ac:dyDescent="0.3">
      <c r="K52" s="34" t="s">
        <v>298</v>
      </c>
      <c r="L52" s="52">
        <v>115.12048387096772</v>
      </c>
      <c r="M52" s="52">
        <v>39.394833333333331</v>
      </c>
      <c r="N52" s="123">
        <v>33.305652173913039</v>
      </c>
      <c r="O52" s="52">
        <v>92.040549450549463</v>
      </c>
      <c r="P52" s="52">
        <v>59.131774193548395</v>
      </c>
      <c r="Q52" s="52">
        <v>36.621166666666653</v>
      </c>
      <c r="R52" s="123">
        <v>51.786413043478248</v>
      </c>
      <c r="S52" s="52">
        <v>43.972087912087936</v>
      </c>
      <c r="T52" s="52">
        <v>21.885322580645163</v>
      </c>
      <c r="U52" s="52">
        <v>9.9699173553718996</v>
      </c>
      <c r="V52" s="123">
        <v>12.529456521739128</v>
      </c>
      <c r="W52" s="52">
        <v>24.292857142857148</v>
      </c>
    </row>
    <row r="53" spans="11:23" x14ac:dyDescent="0.3">
      <c r="K53" s="34" t="s">
        <v>299</v>
      </c>
      <c r="L53" s="52">
        <v>112.10983870967739</v>
      </c>
      <c r="M53" s="52">
        <v>37.531499999999987</v>
      </c>
      <c r="N53" s="123">
        <v>31.584782608695651</v>
      </c>
      <c r="O53" s="52">
        <v>85.669780219780222</v>
      </c>
      <c r="P53" s="52">
        <v>54.445161290322595</v>
      </c>
      <c r="Q53" s="52">
        <v>34.953083333333332</v>
      </c>
      <c r="R53" s="123">
        <v>49.183478260869556</v>
      </c>
      <c r="S53" s="52">
        <v>42.458901098901109</v>
      </c>
      <c r="T53" s="52">
        <v>21.275806451612898</v>
      </c>
      <c r="U53" s="52">
        <v>9.6618181818181785</v>
      </c>
      <c r="V53" s="123">
        <v>11.952391304347826</v>
      </c>
      <c r="W53" s="52">
        <v>19.849780219780218</v>
      </c>
    </row>
    <row r="54" spans="11:23" x14ac:dyDescent="0.3">
      <c r="K54" s="34" t="s">
        <v>300</v>
      </c>
      <c r="L54" s="52">
        <v>105.44870967741937</v>
      </c>
      <c r="M54" s="52">
        <v>35.904333333333327</v>
      </c>
      <c r="N54" s="52">
        <v>28.462826086956539</v>
      </c>
      <c r="O54" s="52">
        <v>80.063516483516466</v>
      </c>
      <c r="P54" s="52">
        <v>51.508387096774193</v>
      </c>
      <c r="Q54" s="52">
        <v>33.788000000000004</v>
      </c>
      <c r="R54" s="52">
        <v>48.296086956521734</v>
      </c>
      <c r="S54" s="52">
        <v>41.772417582417582</v>
      </c>
      <c r="T54" s="114">
        <v>21.125000000000004</v>
      </c>
      <c r="U54" s="114">
        <v>9.4770247933884324</v>
      </c>
      <c r="V54" s="114">
        <v>11.762934782608694</v>
      </c>
      <c r="W54" s="114">
        <v>18.13461538461539</v>
      </c>
    </row>
    <row r="55" spans="11:23" x14ac:dyDescent="0.3">
      <c r="K55" s="34" t="s">
        <v>301</v>
      </c>
      <c r="L55" s="52">
        <v>101.97387096774193</v>
      </c>
      <c r="M55" s="52">
        <v>32.219250000000002</v>
      </c>
      <c r="N55" s="52">
        <v>24.844347826086956</v>
      </c>
      <c r="O55" s="52">
        <v>73.236373626373648</v>
      </c>
      <c r="P55" s="52">
        <v>48.878548387096764</v>
      </c>
      <c r="Q55" s="52">
        <v>32.286333333333346</v>
      </c>
      <c r="R55" s="52">
        <v>46.85967391304348</v>
      </c>
      <c r="S55" s="52">
        <v>39.819999999999979</v>
      </c>
      <c r="T55" s="114">
        <v>20.705967741935481</v>
      </c>
      <c r="U55" s="114">
        <v>9.3686776859504128</v>
      </c>
      <c r="V55" s="114">
        <v>11.352826086956521</v>
      </c>
      <c r="W55" s="114">
        <v>16.487032967032963</v>
      </c>
    </row>
    <row r="56" spans="11:23" x14ac:dyDescent="0.3">
      <c r="K56" s="34" t="s">
        <v>302</v>
      </c>
      <c r="L56" s="52">
        <v>93.653709677419343</v>
      </c>
      <c r="M56" s="52">
        <v>28.209916666666665</v>
      </c>
      <c r="N56" s="52">
        <v>21.354130434782618</v>
      </c>
      <c r="O56" s="52">
        <v>62.541758241758224</v>
      </c>
      <c r="P56" s="52">
        <v>45.427741935483873</v>
      </c>
      <c r="Q56" s="52">
        <v>29.521583333333332</v>
      </c>
      <c r="R56" s="52">
        <v>43.896956521739135</v>
      </c>
      <c r="S56" s="52">
        <v>35.920329670329679</v>
      </c>
      <c r="T56" s="114">
        <v>19.526935483870965</v>
      </c>
      <c r="U56" s="114">
        <v>8.5499173553718961</v>
      </c>
      <c r="V56" s="114">
        <v>10.030000000000001</v>
      </c>
      <c r="W56" s="114">
        <v>13.832417582417587</v>
      </c>
    </row>
  </sheetData>
  <mergeCells count="10">
    <mergeCell ref="C2:E2"/>
    <mergeCell ref="G2:I2"/>
    <mergeCell ref="L2:O2"/>
    <mergeCell ref="P2:S2"/>
    <mergeCell ref="T2:W2"/>
    <mergeCell ref="C31:E31"/>
    <mergeCell ref="G31:I31"/>
    <mergeCell ref="L31:O31"/>
    <mergeCell ref="P31:S31"/>
    <mergeCell ref="T31:W3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259" t="s">
        <v>71</v>
      </c>
      <c r="B1" s="259"/>
      <c r="C1" s="259"/>
      <c r="D1" s="259"/>
      <c r="E1" s="259"/>
      <c r="F1" s="259"/>
      <c r="G1" s="259"/>
      <c r="H1" s="259"/>
      <c r="J1" s="259" t="s">
        <v>60</v>
      </c>
      <c r="K1" s="259"/>
      <c r="L1" s="259"/>
      <c r="M1" s="259"/>
      <c r="N1" s="259"/>
      <c r="O1" s="259"/>
      <c r="P1" s="259"/>
      <c r="Q1" s="259"/>
      <c r="R1" s="259"/>
      <c r="S1" s="259"/>
      <c r="T1" s="259"/>
      <c r="U1" s="259"/>
    </row>
    <row r="2" spans="1:27" ht="21" x14ac:dyDescent="0.3">
      <c r="A2" s="32" t="s">
        <v>588</v>
      </c>
      <c r="B2" s="33"/>
      <c r="C2" s="33"/>
      <c r="D2" s="33"/>
      <c r="E2" s="33"/>
      <c r="F2" s="33"/>
      <c r="G2" s="33"/>
      <c r="J2" s="79"/>
      <c r="K2" s="80" t="s">
        <v>626</v>
      </c>
      <c r="L2" s="81"/>
      <c r="M2" s="81"/>
      <c r="N2" s="81"/>
      <c r="O2" s="81"/>
      <c r="P2" s="81"/>
      <c r="Q2" s="81"/>
      <c r="R2" s="81"/>
      <c r="S2" s="81"/>
      <c r="T2" s="79"/>
      <c r="U2" s="79"/>
      <c r="V2" s="79"/>
      <c r="W2" s="79"/>
      <c r="X2" s="79"/>
      <c r="Y2" s="79"/>
      <c r="Z2" s="79"/>
      <c r="AA2" s="79"/>
    </row>
    <row r="3" spans="1:27" ht="15.6" x14ac:dyDescent="0.3">
      <c r="A3" s="35"/>
      <c r="B3" s="33"/>
      <c r="C3" s="33"/>
      <c r="D3" s="33"/>
      <c r="E3" s="33"/>
      <c r="F3" s="33"/>
      <c r="G3" s="33"/>
      <c r="J3" s="82"/>
      <c r="K3" s="83"/>
      <c r="L3" s="83"/>
      <c r="M3" s="83"/>
      <c r="N3" s="83"/>
      <c r="O3" s="84"/>
      <c r="P3" s="83"/>
      <c r="Q3" s="83"/>
      <c r="R3" s="83"/>
      <c r="S3" s="84"/>
      <c r="T3" s="82"/>
      <c r="U3" s="82"/>
      <c r="V3" s="82"/>
      <c r="W3" s="85"/>
      <c r="X3" s="85"/>
      <c r="Y3" s="85"/>
      <c r="Z3" s="85"/>
      <c r="AA3" s="85"/>
    </row>
    <row r="4" spans="1:27" ht="21" x14ac:dyDescent="0.4">
      <c r="A4" s="37">
        <v>64</v>
      </c>
      <c r="B4" s="38" t="s">
        <v>589</v>
      </c>
      <c r="C4" s="38" t="s">
        <v>590</v>
      </c>
      <c r="D4" s="38" t="s">
        <v>591</v>
      </c>
      <c r="E4" s="38" t="s">
        <v>592</v>
      </c>
      <c r="F4" s="38" t="s">
        <v>593</v>
      </c>
      <c r="G4" s="38" t="s">
        <v>594</v>
      </c>
      <c r="J4" s="82"/>
      <c r="K4" s="86" t="s">
        <v>627</v>
      </c>
      <c r="L4" s="84"/>
      <c r="M4" s="84"/>
      <c r="N4" s="84"/>
      <c r="O4" s="84"/>
      <c r="P4" s="84"/>
      <c r="Q4" s="84"/>
      <c r="R4" s="84"/>
      <c r="S4" s="84"/>
      <c r="T4" s="82"/>
      <c r="U4" s="82"/>
      <c r="V4" s="82"/>
      <c r="W4" s="85"/>
      <c r="X4" s="85"/>
      <c r="Y4" s="85"/>
      <c r="Z4" s="85"/>
      <c r="AA4" s="85"/>
    </row>
    <row r="5" spans="1:27" ht="27.6" x14ac:dyDescent="0.3">
      <c r="A5" s="39"/>
      <c r="B5" s="40" t="s">
        <v>597</v>
      </c>
      <c r="C5" s="40" t="s">
        <v>598</v>
      </c>
      <c r="D5" s="40" t="s">
        <v>599</v>
      </c>
      <c r="E5" s="40" t="s">
        <v>600</v>
      </c>
      <c r="F5" s="40" t="s">
        <v>601</v>
      </c>
      <c r="G5" s="40" t="s">
        <v>602</v>
      </c>
    </row>
    <row r="6" spans="1:27" x14ac:dyDescent="0.3">
      <c r="A6" s="42">
        <v>1993</v>
      </c>
      <c r="B6" s="43"/>
      <c r="C6" s="43">
        <v>119</v>
      </c>
      <c r="D6" s="43">
        <v>93</v>
      </c>
      <c r="E6" s="43">
        <v>113</v>
      </c>
      <c r="F6" s="43">
        <v>120</v>
      </c>
      <c r="G6" s="43"/>
      <c r="K6" s="260"/>
      <c r="L6" s="261"/>
      <c r="M6" s="261"/>
      <c r="N6" s="261" t="s">
        <v>628</v>
      </c>
      <c r="O6" s="261"/>
      <c r="P6" s="261"/>
      <c r="Q6" s="261" t="s">
        <v>629</v>
      </c>
      <c r="R6" s="261"/>
      <c r="S6" s="261"/>
      <c r="T6" s="261" t="s">
        <v>630</v>
      </c>
      <c r="U6" s="261"/>
    </row>
    <row r="7" spans="1:27" ht="15" thickBot="1" x14ac:dyDescent="0.35">
      <c r="A7" s="46">
        <v>1994</v>
      </c>
      <c r="B7" s="47">
        <v>143</v>
      </c>
      <c r="C7" s="47">
        <v>109</v>
      </c>
      <c r="D7" s="47">
        <v>85</v>
      </c>
      <c r="E7" s="47">
        <v>116</v>
      </c>
      <c r="F7" s="47">
        <v>104</v>
      </c>
      <c r="G7" s="47"/>
      <c r="K7" s="260"/>
      <c r="L7" s="261"/>
      <c r="M7" s="261"/>
      <c r="N7" s="262" t="s">
        <v>631</v>
      </c>
      <c r="O7" s="262"/>
      <c r="P7" s="261"/>
      <c r="Q7" s="262"/>
      <c r="R7" s="262"/>
      <c r="S7" s="261"/>
      <c r="T7" s="262" t="s">
        <v>217</v>
      </c>
      <c r="U7" s="262"/>
    </row>
    <row r="8" spans="1:27" x14ac:dyDescent="0.3">
      <c r="A8" s="42">
        <v>1995</v>
      </c>
      <c r="B8" s="43">
        <v>146</v>
      </c>
      <c r="C8" s="43">
        <v>109</v>
      </c>
      <c r="D8" s="43">
        <v>91</v>
      </c>
      <c r="E8" s="43">
        <v>109</v>
      </c>
      <c r="F8" s="43">
        <v>113</v>
      </c>
      <c r="G8" s="43"/>
      <c r="K8" s="87" t="s">
        <v>632</v>
      </c>
      <c r="L8" s="88">
        <v>2010</v>
      </c>
      <c r="M8" s="88">
        <v>2021</v>
      </c>
      <c r="N8" s="89">
        <v>2030</v>
      </c>
      <c r="O8" s="89">
        <v>2050</v>
      </c>
      <c r="P8" s="88" t="s">
        <v>586</v>
      </c>
      <c r="Q8" s="89">
        <v>2030</v>
      </c>
      <c r="R8" s="89">
        <v>2050</v>
      </c>
      <c r="S8" s="88" t="s">
        <v>586</v>
      </c>
      <c r="T8" s="89">
        <v>2030</v>
      </c>
      <c r="U8" s="89">
        <v>2050</v>
      </c>
    </row>
    <row r="9" spans="1:27" ht="15" thickBot="1" x14ac:dyDescent="0.35">
      <c r="A9" s="46">
        <v>1996</v>
      </c>
      <c r="B9" s="47">
        <v>157</v>
      </c>
      <c r="C9" s="47">
        <v>112</v>
      </c>
      <c r="D9" s="47">
        <v>99</v>
      </c>
      <c r="E9" s="47">
        <v>104</v>
      </c>
      <c r="F9" s="47">
        <v>120</v>
      </c>
      <c r="G9" s="47"/>
      <c r="K9" s="90" t="s">
        <v>633</v>
      </c>
      <c r="L9" s="91">
        <v>96</v>
      </c>
      <c r="M9" s="92">
        <v>69</v>
      </c>
      <c r="N9" s="91">
        <v>35</v>
      </c>
      <c r="O9" s="91">
        <v>24</v>
      </c>
      <c r="P9" s="92"/>
      <c r="Q9" s="91">
        <v>64</v>
      </c>
      <c r="R9" s="91">
        <v>60</v>
      </c>
      <c r="S9" s="93"/>
      <c r="T9" s="91">
        <v>82</v>
      </c>
      <c r="U9" s="91">
        <v>95</v>
      </c>
    </row>
    <row r="10" spans="1:27" x14ac:dyDescent="0.3">
      <c r="A10" s="42">
        <v>1997</v>
      </c>
      <c r="B10" s="43">
        <v>152</v>
      </c>
      <c r="C10" s="43">
        <v>113</v>
      </c>
      <c r="D10" s="43">
        <v>94</v>
      </c>
      <c r="E10" s="43">
        <v>108</v>
      </c>
      <c r="F10" s="43">
        <v>109</v>
      </c>
      <c r="G10" s="43"/>
      <c r="K10" s="94" t="s">
        <v>634</v>
      </c>
      <c r="L10" s="95"/>
      <c r="M10" s="96"/>
      <c r="N10" s="97"/>
      <c r="O10" s="98"/>
      <c r="P10" s="96"/>
      <c r="Q10" s="97"/>
      <c r="R10" s="97"/>
      <c r="S10" s="99"/>
      <c r="T10" s="97"/>
      <c r="U10" s="98"/>
    </row>
    <row r="11" spans="1:27" x14ac:dyDescent="0.3">
      <c r="A11" s="46">
        <v>1998</v>
      </c>
      <c r="B11" s="47">
        <v>161</v>
      </c>
      <c r="C11" s="47">
        <v>115</v>
      </c>
      <c r="D11" s="47">
        <v>98</v>
      </c>
      <c r="E11" s="47">
        <v>108</v>
      </c>
      <c r="F11" s="47">
        <v>99</v>
      </c>
      <c r="G11" s="47">
        <v>69</v>
      </c>
      <c r="K11" s="100" t="s">
        <v>635</v>
      </c>
      <c r="L11" s="98">
        <v>5.3</v>
      </c>
      <c r="M11" s="96">
        <v>3.9</v>
      </c>
      <c r="N11" s="98">
        <v>1.9</v>
      </c>
      <c r="O11" s="98">
        <v>1.8</v>
      </c>
      <c r="P11" s="96"/>
      <c r="Q11" s="98">
        <v>3.7</v>
      </c>
      <c r="R11" s="98">
        <v>2.6</v>
      </c>
      <c r="S11" s="96"/>
      <c r="T11" s="98">
        <v>4</v>
      </c>
      <c r="U11" s="98">
        <v>4.7</v>
      </c>
    </row>
    <row r="12" spans="1:27" x14ac:dyDescent="0.3">
      <c r="A12" s="42">
        <v>1999</v>
      </c>
      <c r="B12" s="43">
        <v>164</v>
      </c>
      <c r="C12" s="43">
        <v>115</v>
      </c>
      <c r="D12" s="43">
        <v>96</v>
      </c>
      <c r="E12" s="43">
        <v>110</v>
      </c>
      <c r="F12" s="43">
        <v>111</v>
      </c>
      <c r="G12" s="43">
        <v>78</v>
      </c>
      <c r="K12" s="101" t="s">
        <v>636</v>
      </c>
      <c r="L12" s="102">
        <v>9</v>
      </c>
      <c r="M12" s="96">
        <v>9.5</v>
      </c>
      <c r="N12" s="102">
        <v>4.5999999999999996</v>
      </c>
      <c r="O12" s="102">
        <v>3.8</v>
      </c>
      <c r="P12" s="96"/>
      <c r="Q12" s="102">
        <v>7.9</v>
      </c>
      <c r="R12" s="102">
        <v>6.3</v>
      </c>
      <c r="S12" s="96"/>
      <c r="T12" s="102">
        <v>8.5</v>
      </c>
      <c r="U12" s="102">
        <v>9.1999999999999993</v>
      </c>
    </row>
    <row r="13" spans="1:27" x14ac:dyDescent="0.3">
      <c r="A13" s="46">
        <v>2000</v>
      </c>
      <c r="B13" s="47">
        <v>168</v>
      </c>
      <c r="C13" s="47">
        <v>112</v>
      </c>
      <c r="D13" s="47">
        <v>89</v>
      </c>
      <c r="E13" s="47">
        <v>109</v>
      </c>
      <c r="F13" s="47">
        <v>108</v>
      </c>
      <c r="G13" s="47">
        <v>69</v>
      </c>
      <c r="K13" s="100" t="s">
        <v>637</v>
      </c>
      <c r="L13" s="98">
        <v>8</v>
      </c>
      <c r="M13" s="96">
        <v>10.1</v>
      </c>
      <c r="N13" s="98">
        <v>6.1</v>
      </c>
      <c r="O13" s="98">
        <v>5.0999999999999996</v>
      </c>
      <c r="P13" s="96"/>
      <c r="Q13" s="98">
        <v>8.8000000000000007</v>
      </c>
      <c r="R13" s="98">
        <v>7.4</v>
      </c>
      <c r="S13" s="96"/>
      <c r="T13" s="98">
        <v>9.8000000000000007</v>
      </c>
      <c r="U13" s="98">
        <v>10.199999999999999</v>
      </c>
    </row>
    <row r="14" spans="1:27" ht="15" thickBot="1" x14ac:dyDescent="0.35">
      <c r="A14" s="42">
        <v>2001</v>
      </c>
      <c r="B14" s="43">
        <v>163</v>
      </c>
      <c r="C14" s="43">
        <v>109</v>
      </c>
      <c r="D14" s="43">
        <v>96</v>
      </c>
      <c r="E14" s="43">
        <v>110</v>
      </c>
      <c r="F14" s="43">
        <v>113</v>
      </c>
      <c r="G14" s="43">
        <v>66</v>
      </c>
      <c r="K14" s="103" t="s">
        <v>638</v>
      </c>
      <c r="L14" s="91">
        <v>13.3</v>
      </c>
      <c r="M14" s="92">
        <v>10.199999999999999</v>
      </c>
      <c r="N14" s="91">
        <v>6</v>
      </c>
      <c r="O14" s="91">
        <v>5.0999999999999996</v>
      </c>
      <c r="P14" s="96"/>
      <c r="Q14" s="91">
        <v>9.1</v>
      </c>
      <c r="R14" s="91">
        <v>7.4</v>
      </c>
      <c r="S14" s="92"/>
      <c r="T14" s="91">
        <v>10.9</v>
      </c>
      <c r="U14" s="91">
        <v>10.6</v>
      </c>
    </row>
    <row r="15" spans="1:27" x14ac:dyDescent="0.3">
      <c r="A15" s="46">
        <v>2002</v>
      </c>
      <c r="B15" s="47">
        <v>178</v>
      </c>
      <c r="C15" s="47">
        <v>124</v>
      </c>
      <c r="D15" s="47">
        <v>104</v>
      </c>
      <c r="E15" s="47">
        <v>114</v>
      </c>
      <c r="F15" s="47">
        <v>114</v>
      </c>
      <c r="G15" s="47">
        <v>69</v>
      </c>
      <c r="K15" s="94" t="s">
        <v>639</v>
      </c>
      <c r="L15" s="95"/>
      <c r="M15" s="96"/>
      <c r="N15" s="97"/>
      <c r="O15" s="98"/>
      <c r="P15" s="96"/>
      <c r="Q15" s="97"/>
      <c r="R15" s="97"/>
      <c r="S15" s="99"/>
      <c r="T15" s="97"/>
      <c r="U15" s="98"/>
    </row>
    <row r="16" spans="1:27" x14ac:dyDescent="0.3">
      <c r="A16" s="42">
        <v>2003</v>
      </c>
      <c r="B16" s="43">
        <v>196</v>
      </c>
      <c r="C16" s="43">
        <v>126</v>
      </c>
      <c r="D16" s="43">
        <v>109</v>
      </c>
      <c r="E16" s="43">
        <v>110</v>
      </c>
      <c r="F16" s="43">
        <v>116</v>
      </c>
      <c r="G16" s="43">
        <v>71</v>
      </c>
      <c r="K16" s="100" t="s">
        <v>635</v>
      </c>
      <c r="L16" s="98">
        <v>63</v>
      </c>
      <c r="M16" s="96">
        <v>44</v>
      </c>
      <c r="N16" s="98">
        <v>22</v>
      </c>
      <c r="O16" s="98">
        <v>17</v>
      </c>
      <c r="P16" s="96"/>
      <c r="Q16" s="98">
        <v>42</v>
      </c>
      <c r="R16" s="98">
        <v>24</v>
      </c>
      <c r="S16" s="96"/>
      <c r="T16" s="98">
        <v>46</v>
      </c>
      <c r="U16" s="98">
        <v>44</v>
      </c>
    </row>
    <row r="17" spans="1:22" x14ac:dyDescent="0.3">
      <c r="A17" s="46">
        <v>2004</v>
      </c>
      <c r="B17" s="47">
        <v>206</v>
      </c>
      <c r="C17" s="47">
        <v>138</v>
      </c>
      <c r="D17" s="47">
        <v>114</v>
      </c>
      <c r="E17" s="47">
        <v>126</v>
      </c>
      <c r="F17" s="47">
        <v>116</v>
      </c>
      <c r="G17" s="47">
        <v>74</v>
      </c>
      <c r="K17" s="101" t="s">
        <v>636</v>
      </c>
      <c r="L17" s="102">
        <v>113</v>
      </c>
      <c r="M17" s="96">
        <v>120</v>
      </c>
      <c r="N17" s="102">
        <v>52</v>
      </c>
      <c r="O17" s="102">
        <v>42</v>
      </c>
      <c r="P17" s="96"/>
      <c r="Q17" s="102">
        <v>62</v>
      </c>
      <c r="R17" s="102">
        <v>53</v>
      </c>
      <c r="S17" s="96"/>
      <c r="T17" s="102">
        <v>60</v>
      </c>
      <c r="U17" s="102">
        <v>64</v>
      </c>
    </row>
    <row r="18" spans="1:22" x14ac:dyDescent="0.3">
      <c r="A18" s="42">
        <v>2005</v>
      </c>
      <c r="B18" s="43">
        <v>204</v>
      </c>
      <c r="C18" s="43">
        <v>137</v>
      </c>
      <c r="D18" s="43">
        <v>121</v>
      </c>
      <c r="E18" s="43">
        <v>118</v>
      </c>
      <c r="F18" s="43">
        <v>105</v>
      </c>
      <c r="G18" s="43">
        <v>80</v>
      </c>
      <c r="K18" s="100" t="s">
        <v>638</v>
      </c>
      <c r="L18" s="98">
        <v>132</v>
      </c>
      <c r="M18" s="96">
        <v>153</v>
      </c>
      <c r="N18" s="98">
        <v>59</v>
      </c>
      <c r="O18" s="98">
        <v>46</v>
      </c>
      <c r="P18" s="96"/>
      <c r="Q18" s="98">
        <v>74</v>
      </c>
      <c r="R18" s="98">
        <v>59</v>
      </c>
      <c r="S18" s="96"/>
      <c r="T18" s="98">
        <v>91</v>
      </c>
      <c r="U18" s="98">
        <v>72</v>
      </c>
    </row>
    <row r="19" spans="1:22" ht="15" thickBot="1" x14ac:dyDescent="0.35">
      <c r="A19" s="46">
        <v>2006</v>
      </c>
      <c r="B19" s="47">
        <v>211</v>
      </c>
      <c r="C19" s="47">
        <v>146</v>
      </c>
      <c r="D19" s="47">
        <v>128</v>
      </c>
      <c r="E19" s="47">
        <v>120</v>
      </c>
      <c r="F19" s="47">
        <v>116</v>
      </c>
      <c r="G19" s="47">
        <v>78</v>
      </c>
      <c r="K19" s="103" t="s">
        <v>640</v>
      </c>
      <c r="L19" s="91">
        <v>142</v>
      </c>
      <c r="M19" s="92">
        <v>164</v>
      </c>
      <c r="N19" s="91">
        <v>58</v>
      </c>
      <c r="O19" s="91">
        <v>48</v>
      </c>
      <c r="P19" s="92"/>
      <c r="Q19" s="91">
        <v>73</v>
      </c>
      <c r="R19" s="91">
        <v>62</v>
      </c>
      <c r="S19" s="92"/>
      <c r="T19" s="91">
        <v>89</v>
      </c>
      <c r="U19" s="91">
        <v>74</v>
      </c>
    </row>
    <row r="20" spans="1:22" x14ac:dyDescent="0.3">
      <c r="A20" s="42">
        <v>2007</v>
      </c>
      <c r="B20" s="43">
        <v>244</v>
      </c>
      <c r="C20" s="43">
        <v>158</v>
      </c>
      <c r="D20" s="43">
        <v>134</v>
      </c>
      <c r="E20" s="43">
        <v>132</v>
      </c>
      <c r="F20" s="43">
        <v>126</v>
      </c>
      <c r="G20" s="54">
        <v>64</v>
      </c>
    </row>
    <row r="21" spans="1:22" x14ac:dyDescent="0.3">
      <c r="A21" s="46">
        <v>2008</v>
      </c>
      <c r="B21" s="47">
        <v>271</v>
      </c>
      <c r="C21" s="47">
        <v>167</v>
      </c>
      <c r="D21" s="47">
        <v>157</v>
      </c>
      <c r="E21" s="47">
        <v>148</v>
      </c>
      <c r="F21" s="47">
        <v>123</v>
      </c>
      <c r="G21" s="47">
        <v>69</v>
      </c>
    </row>
    <row r="22" spans="1:22" ht="15" thickBot="1" x14ac:dyDescent="0.35">
      <c r="A22" s="42">
        <v>2009</v>
      </c>
      <c r="B22" s="43">
        <v>298</v>
      </c>
      <c r="C22" s="43">
        <v>181</v>
      </c>
      <c r="D22" s="43">
        <v>170</v>
      </c>
      <c r="E22" s="43">
        <v>148</v>
      </c>
      <c r="F22" s="43">
        <v>149</v>
      </c>
      <c r="G22" s="43">
        <v>78</v>
      </c>
      <c r="N22" s="262" t="s">
        <v>628</v>
      </c>
      <c r="O22" s="262"/>
      <c r="Q22" s="262" t="s">
        <v>629</v>
      </c>
      <c r="R22" s="262"/>
      <c r="T22" s="262" t="s">
        <v>641</v>
      </c>
      <c r="U22" s="262"/>
    </row>
    <row r="23" spans="1:22" x14ac:dyDescent="0.3">
      <c r="A23" s="46">
        <v>2010</v>
      </c>
      <c r="B23" s="47">
        <v>300</v>
      </c>
      <c r="C23" s="47">
        <v>197</v>
      </c>
      <c r="D23" s="47">
        <v>179</v>
      </c>
      <c r="E23" s="47">
        <v>154</v>
      </c>
      <c r="F23" s="47">
        <v>141</v>
      </c>
      <c r="G23" s="47">
        <v>107</v>
      </c>
      <c r="N23" s="89">
        <v>2030</v>
      </c>
      <c r="O23" s="89">
        <v>2050</v>
      </c>
      <c r="P23" s="104"/>
      <c r="Q23" s="89">
        <v>2030</v>
      </c>
      <c r="R23" s="89">
        <v>2050</v>
      </c>
      <c r="S23" s="104"/>
      <c r="T23" s="89">
        <v>2030</v>
      </c>
      <c r="U23" s="89">
        <v>2050</v>
      </c>
      <c r="V23" s="104"/>
    </row>
    <row r="24" spans="1:22" x14ac:dyDescent="0.3">
      <c r="A24" s="42">
        <v>2011</v>
      </c>
      <c r="B24" s="43">
        <v>300</v>
      </c>
      <c r="C24" s="43">
        <v>214</v>
      </c>
      <c r="D24" s="43">
        <v>184</v>
      </c>
      <c r="E24" s="43">
        <v>158</v>
      </c>
      <c r="F24" s="43">
        <v>146</v>
      </c>
      <c r="G24" s="43">
        <v>117</v>
      </c>
      <c r="K24" s="104" t="s">
        <v>642</v>
      </c>
      <c r="L24" s="104"/>
      <c r="N24" s="105">
        <f>N9/$D$9</f>
        <v>0.35353535353535354</v>
      </c>
      <c r="O24" s="105">
        <f>O9/$D$9</f>
        <v>0.24242424242424243</v>
      </c>
      <c r="P24" s="105"/>
      <c r="Q24" s="105">
        <f>Q9/$D$9</f>
        <v>0.64646464646464652</v>
      </c>
      <c r="R24" s="105">
        <f>R9/$D$9</f>
        <v>0.60606060606060608</v>
      </c>
      <c r="S24" s="105"/>
      <c r="T24" s="105">
        <f>T9/$D$9</f>
        <v>0.82828282828282829</v>
      </c>
      <c r="U24" s="105">
        <f>U9/$D$9</f>
        <v>0.95959595959595956</v>
      </c>
      <c r="V24" s="106"/>
    </row>
    <row r="25" spans="1:22" x14ac:dyDescent="0.3">
      <c r="A25" s="46">
        <v>2012</v>
      </c>
      <c r="B25" s="47">
        <v>292</v>
      </c>
      <c r="C25" s="47">
        <v>209</v>
      </c>
      <c r="D25" s="47">
        <v>185</v>
      </c>
      <c r="E25" s="47">
        <v>161</v>
      </c>
      <c r="F25" s="47">
        <v>140</v>
      </c>
      <c r="G25" s="47">
        <v>107</v>
      </c>
      <c r="K25" s="104" t="s">
        <v>643</v>
      </c>
      <c r="L25" s="104"/>
      <c r="N25" s="105">
        <f>N12/$D$12</f>
        <v>4.7916666666666663E-2</v>
      </c>
      <c r="O25" s="105">
        <f>O12/$D$12</f>
        <v>3.9583333333333331E-2</v>
      </c>
      <c r="P25" s="105"/>
      <c r="Q25" s="105">
        <f>Q12/$D$12</f>
        <v>8.2291666666666666E-2</v>
      </c>
      <c r="R25" s="105">
        <f>R12/$D$12</f>
        <v>6.5625000000000003E-2</v>
      </c>
      <c r="S25" s="105"/>
      <c r="T25" s="105">
        <f>T12/$D$12</f>
        <v>8.8541666666666671E-2</v>
      </c>
      <c r="U25" s="105">
        <f>U12/$D$12</f>
        <v>9.5833333333333326E-2</v>
      </c>
      <c r="V25" s="106"/>
    </row>
    <row r="26" spans="1:22" x14ac:dyDescent="0.3">
      <c r="A26" s="42">
        <v>2013</v>
      </c>
      <c r="B26" s="43">
        <v>296</v>
      </c>
      <c r="C26" s="43">
        <v>199</v>
      </c>
      <c r="D26" s="43">
        <v>179</v>
      </c>
      <c r="E26" s="43">
        <v>166</v>
      </c>
      <c r="F26" s="43">
        <v>145</v>
      </c>
      <c r="G26" s="43">
        <v>102</v>
      </c>
      <c r="K26" s="104" t="s">
        <v>146</v>
      </c>
      <c r="L26" s="104"/>
      <c r="N26" s="105">
        <f>N17/$D$17</f>
        <v>0.45614035087719296</v>
      </c>
      <c r="O26" s="105">
        <f>O17/$D$17</f>
        <v>0.36842105263157893</v>
      </c>
      <c r="P26" s="105"/>
      <c r="Q26" s="105">
        <f>Q17/$D$17</f>
        <v>0.54385964912280704</v>
      </c>
      <c r="R26" s="105">
        <f>R17/$D$17</f>
        <v>0.46491228070175439</v>
      </c>
      <c r="S26" s="105"/>
      <c r="T26" s="105">
        <f>T17/$D$17</f>
        <v>0.52631578947368418</v>
      </c>
      <c r="U26" s="105">
        <f>U17/$D$17</f>
        <v>0.56140350877192979</v>
      </c>
      <c r="V26" s="106"/>
    </row>
    <row r="27" spans="1:22" x14ac:dyDescent="0.3">
      <c r="A27" s="46">
        <v>2014</v>
      </c>
      <c r="B27" s="47">
        <v>277</v>
      </c>
      <c r="C27" s="47">
        <v>192</v>
      </c>
      <c r="D27" s="47">
        <v>167</v>
      </c>
      <c r="E27" s="47">
        <v>161</v>
      </c>
      <c r="F27" s="47">
        <v>149</v>
      </c>
      <c r="G27" s="47">
        <v>93</v>
      </c>
      <c r="K27" s="107" t="s">
        <v>644</v>
      </c>
      <c r="L27" s="107"/>
      <c r="M27" s="108"/>
      <c r="N27" s="109">
        <f>N26*$F$34</f>
        <v>66.710526315789465</v>
      </c>
      <c r="O27" s="109">
        <f>O26*$F$34</f>
        <v>53.881578947368418</v>
      </c>
      <c r="P27" s="109"/>
      <c r="Q27" s="109">
        <f>Q26*$F$34</f>
        <v>79.539473684210535</v>
      </c>
      <c r="R27" s="109">
        <f>R26*$F$34</f>
        <v>67.993421052631575</v>
      </c>
      <c r="S27" s="109"/>
      <c r="T27" s="109">
        <f>T26*$F$34</f>
        <v>76.973684210526315</v>
      </c>
      <c r="U27" s="109">
        <f>U26*$F$34</f>
        <v>82.105263157894726</v>
      </c>
    </row>
    <row r="28" spans="1:22" ht="20.399999999999999" x14ac:dyDescent="0.3">
      <c r="A28" s="42">
        <v>2015</v>
      </c>
      <c r="B28" s="43">
        <v>286</v>
      </c>
      <c r="C28" s="43">
        <v>186</v>
      </c>
      <c r="D28" s="43">
        <v>159</v>
      </c>
      <c r="E28" s="43">
        <v>159</v>
      </c>
      <c r="F28" s="43">
        <v>155</v>
      </c>
      <c r="G28" s="43">
        <v>97</v>
      </c>
      <c r="K28" s="110" t="s">
        <v>645</v>
      </c>
      <c r="L28" s="104"/>
      <c r="M28" s="104"/>
      <c r="N28" s="104"/>
      <c r="O28" s="104"/>
      <c r="P28" s="104"/>
      <c r="Q28" s="104"/>
      <c r="R28" s="104"/>
      <c r="S28" s="104"/>
      <c r="T28" s="104"/>
      <c r="U28" s="104"/>
    </row>
    <row r="29" spans="1:22" ht="20.399999999999999" x14ac:dyDescent="0.3">
      <c r="A29" s="46">
        <v>2016</v>
      </c>
      <c r="B29" s="47">
        <v>273</v>
      </c>
      <c r="C29" s="47">
        <v>181</v>
      </c>
      <c r="D29" s="47">
        <v>151</v>
      </c>
      <c r="E29" s="47">
        <v>156</v>
      </c>
      <c r="F29" s="47">
        <v>155</v>
      </c>
      <c r="G29" s="47">
        <v>89</v>
      </c>
      <c r="K29" s="110" t="s">
        <v>646</v>
      </c>
    </row>
    <row r="30" spans="1:22" x14ac:dyDescent="0.3">
      <c r="A30" s="42">
        <v>2017</v>
      </c>
      <c r="B30" s="43">
        <v>266</v>
      </c>
      <c r="C30" s="43">
        <v>180</v>
      </c>
      <c r="D30" s="43">
        <v>152</v>
      </c>
      <c r="E30" s="43">
        <v>152</v>
      </c>
      <c r="F30" s="43">
        <v>144</v>
      </c>
      <c r="G30" s="43">
        <v>80</v>
      </c>
    </row>
    <row r="31" spans="1:22" ht="15" thickBot="1" x14ac:dyDescent="0.35">
      <c r="A31" s="46">
        <v>2018</v>
      </c>
      <c r="B31" s="47">
        <v>277</v>
      </c>
      <c r="C31" s="47">
        <v>189</v>
      </c>
      <c r="D31" s="47">
        <v>159</v>
      </c>
      <c r="E31" s="47">
        <v>161</v>
      </c>
      <c r="F31" s="47">
        <v>146</v>
      </c>
      <c r="G31" s="47">
        <v>72</v>
      </c>
    </row>
    <row r="32" spans="1:22" x14ac:dyDescent="0.3">
      <c r="A32" s="42">
        <v>2019</v>
      </c>
      <c r="B32" s="43">
        <v>294</v>
      </c>
      <c r="C32" s="43">
        <v>199</v>
      </c>
      <c r="D32" s="43">
        <v>168</v>
      </c>
      <c r="E32" s="43">
        <v>165</v>
      </c>
      <c r="F32" s="43">
        <v>143</v>
      </c>
      <c r="G32" s="43">
        <v>91</v>
      </c>
      <c r="K32" s="257" t="s">
        <v>647</v>
      </c>
      <c r="L32" s="257"/>
      <c r="M32" s="257"/>
      <c r="N32" s="257"/>
      <c r="O32" s="257"/>
      <c r="P32" s="257"/>
      <c r="Q32" s="257"/>
      <c r="R32" s="257"/>
      <c r="S32" s="257"/>
      <c r="T32" s="257"/>
      <c r="U32" s="257"/>
    </row>
    <row r="33" spans="1:21" x14ac:dyDescent="0.3">
      <c r="A33" s="46">
        <v>2020</v>
      </c>
      <c r="B33" s="56">
        <v>310.75</v>
      </c>
      <c r="C33" s="56">
        <v>198.75</v>
      </c>
      <c r="D33" s="56">
        <v>171.25</v>
      </c>
      <c r="E33" s="56">
        <v>160.66666666666666</v>
      </c>
      <c r="F33" s="56">
        <v>150.25</v>
      </c>
      <c r="G33" s="56">
        <v>99.5</v>
      </c>
      <c r="K33" s="258"/>
      <c r="L33" s="258"/>
      <c r="M33" s="258"/>
      <c r="N33" s="258"/>
      <c r="O33" s="258"/>
      <c r="P33" s="258"/>
      <c r="Q33" s="258"/>
      <c r="R33" s="258"/>
      <c r="S33" s="258"/>
      <c r="T33" s="258"/>
      <c r="U33" s="258"/>
    </row>
    <row r="34" spans="1:21" x14ac:dyDescent="0.3">
      <c r="A34" s="42">
        <v>2021</v>
      </c>
      <c r="B34" s="54">
        <v>323.75</v>
      </c>
      <c r="C34" s="54">
        <v>192.25</v>
      </c>
      <c r="D34" s="54">
        <v>163.5</v>
      </c>
      <c r="E34" s="54">
        <v>176</v>
      </c>
      <c r="F34" s="54">
        <v>146.25</v>
      </c>
      <c r="G34" s="54">
        <v>99.5</v>
      </c>
      <c r="K34" s="258"/>
      <c r="L34" s="258"/>
      <c r="M34" s="258"/>
      <c r="N34" s="258"/>
      <c r="O34" s="258"/>
      <c r="P34" s="258"/>
      <c r="Q34" s="258"/>
      <c r="R34" s="258"/>
      <c r="S34" s="258"/>
      <c r="T34" s="258"/>
      <c r="U34" s="258"/>
    </row>
    <row r="35" spans="1:21" x14ac:dyDescent="0.3">
      <c r="A35" s="46"/>
      <c r="B35" s="57"/>
      <c r="C35" s="57"/>
      <c r="D35" s="57"/>
      <c r="E35" s="57"/>
      <c r="F35" s="57"/>
      <c r="G35" s="57"/>
      <c r="K35" s="258"/>
      <c r="L35" s="258"/>
      <c r="M35" s="258"/>
      <c r="N35" s="258"/>
      <c r="O35" s="258"/>
      <c r="P35" s="258"/>
      <c r="Q35" s="258"/>
      <c r="R35" s="258"/>
      <c r="S35" s="258"/>
      <c r="T35" s="258"/>
      <c r="U35" s="258"/>
    </row>
    <row r="37" spans="1:21" x14ac:dyDescent="0.3">
      <c r="A37" s="58" t="s">
        <v>612</v>
      </c>
      <c r="B37" s="59"/>
      <c r="C37" s="59"/>
      <c r="D37" s="59"/>
      <c r="E37" s="59"/>
      <c r="F37" s="59"/>
      <c r="G37" s="59"/>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263" t="s">
        <v>613</v>
      </c>
      <c r="B1" s="263"/>
      <c r="C1" s="263"/>
      <c r="D1" s="263"/>
      <c r="E1" s="263"/>
      <c r="F1" s="263"/>
      <c r="H1" s="61" t="s">
        <v>614</v>
      </c>
      <c r="I1" t="s">
        <v>615</v>
      </c>
    </row>
    <row r="2" spans="1:16" ht="15" x14ac:dyDescent="0.35">
      <c r="A2" s="263"/>
      <c r="B2" s="263"/>
      <c r="C2" s="263"/>
      <c r="D2" s="263"/>
      <c r="E2" s="263"/>
      <c r="F2" s="263"/>
      <c r="H2" s="61"/>
    </row>
    <row r="3" spans="1:16" x14ac:dyDescent="0.3">
      <c r="A3" s="60"/>
      <c r="B3" s="60"/>
      <c r="C3" s="60"/>
      <c r="D3" s="60"/>
      <c r="E3" s="60"/>
      <c r="F3" s="60"/>
      <c r="I3" t="s">
        <v>616</v>
      </c>
    </row>
    <row r="4" spans="1:16" x14ac:dyDescent="0.3">
      <c r="A4" s="62"/>
      <c r="B4" s="63"/>
      <c r="C4" s="62" t="s">
        <v>617</v>
      </c>
      <c r="D4" s="62" t="s">
        <v>618</v>
      </c>
      <c r="E4" s="62" t="s">
        <v>619</v>
      </c>
      <c r="F4" s="64" t="s">
        <v>620</v>
      </c>
      <c r="I4" t="s">
        <v>621</v>
      </c>
    </row>
    <row r="5" spans="1:16" x14ac:dyDescent="0.3">
      <c r="A5" s="65" t="s">
        <v>622</v>
      </c>
      <c r="B5" s="66">
        <v>2010</v>
      </c>
      <c r="C5" s="67">
        <v>52.344000000000001</v>
      </c>
      <c r="D5" s="67">
        <v>69.348820314010396</v>
      </c>
      <c r="E5" s="67">
        <v>94.186000000000007</v>
      </c>
      <c r="F5" s="68">
        <v>117.98936567164201</v>
      </c>
    </row>
    <row r="6" spans="1:16" ht="36.6" x14ac:dyDescent="0.3">
      <c r="A6" s="69"/>
      <c r="B6" s="70">
        <v>2011</v>
      </c>
      <c r="C6" s="71">
        <v>73.268000000000001</v>
      </c>
      <c r="D6" s="71">
        <v>70.0317169808431</v>
      </c>
      <c r="E6" s="71">
        <v>132.88</v>
      </c>
      <c r="F6" s="72">
        <v>109.31352611940299</v>
      </c>
      <c r="I6" s="264">
        <v>2030</v>
      </c>
      <c r="J6" s="264"/>
      <c r="K6" s="264"/>
      <c r="L6" s="265">
        <v>2050</v>
      </c>
      <c r="M6" s="265"/>
      <c r="N6" s="265"/>
      <c r="P6" s="73" t="s">
        <v>623</v>
      </c>
    </row>
    <row r="7" spans="1:16" x14ac:dyDescent="0.3">
      <c r="A7" s="65"/>
      <c r="B7" s="66">
        <v>2012</v>
      </c>
      <c r="C7" s="67">
        <v>65.484999999999999</v>
      </c>
      <c r="D7" s="67">
        <v>72.800715139495196</v>
      </c>
      <c r="E7" s="67">
        <v>118.101</v>
      </c>
      <c r="F7" s="68">
        <v>93.727705223880605</v>
      </c>
      <c r="I7" s="50" t="s">
        <v>52</v>
      </c>
      <c r="J7" s="50" t="s">
        <v>53</v>
      </c>
      <c r="K7" s="50" t="s">
        <v>54</v>
      </c>
      <c r="L7" s="50" t="s">
        <v>52</v>
      </c>
      <c r="M7" s="50" t="s">
        <v>53</v>
      </c>
      <c r="N7" s="50" t="s">
        <v>54</v>
      </c>
    </row>
    <row r="8" spans="1:16" x14ac:dyDescent="0.3">
      <c r="A8" s="69"/>
      <c r="B8" s="70">
        <v>2013</v>
      </c>
      <c r="C8" s="71">
        <v>67.742999999999995</v>
      </c>
      <c r="D8" s="71">
        <v>49.998729218686698</v>
      </c>
      <c r="E8" s="71">
        <v>112.739</v>
      </c>
      <c r="F8" s="72">
        <v>85.309608208955197</v>
      </c>
      <c r="I8" s="51"/>
      <c r="J8" s="51"/>
      <c r="K8" s="51"/>
      <c r="L8" s="51"/>
      <c r="M8" s="51"/>
      <c r="N8" s="51"/>
    </row>
    <row r="9" spans="1:16" x14ac:dyDescent="0.3">
      <c r="A9" s="65"/>
      <c r="B9" s="66">
        <v>2014</v>
      </c>
      <c r="C9" s="67">
        <v>62.856000000000002</v>
      </c>
      <c r="D9" s="67">
        <v>42.100435092805697</v>
      </c>
      <c r="E9" s="67">
        <v>96.378</v>
      </c>
      <c r="F9" s="68">
        <v>68.783768656716404</v>
      </c>
      <c r="H9" s="74" t="s">
        <v>624</v>
      </c>
      <c r="I9" s="52">
        <f>J9*(1-$I$12)</f>
        <v>38.611007875148701</v>
      </c>
      <c r="J9" s="52">
        <f>C25</f>
        <v>51.481343833531596</v>
      </c>
      <c r="K9" s="52">
        <f>J9*(1+$I$12)</f>
        <v>64.351679791914492</v>
      </c>
      <c r="L9" s="52">
        <f>M9*(1-$I$12)</f>
        <v>48.75</v>
      </c>
      <c r="M9" s="9">
        <f>J36</f>
        <v>65</v>
      </c>
      <c r="N9" s="52">
        <f>M9*(1+$I$12)</f>
        <v>81.25</v>
      </c>
    </row>
    <row r="10" spans="1:16" x14ac:dyDescent="0.3">
      <c r="A10" s="69"/>
      <c r="B10" s="70">
        <v>2015</v>
      </c>
      <c r="C10" s="71">
        <v>44.965000000000003</v>
      </c>
      <c r="D10" s="71">
        <v>41.2410799822025</v>
      </c>
      <c r="E10" s="71">
        <v>76.527000000000001</v>
      </c>
      <c r="F10" s="72">
        <v>69.009235074626901</v>
      </c>
      <c r="H10" s="74" t="s">
        <v>619</v>
      </c>
      <c r="I10" s="52">
        <f>J10*(1-$I$12)</f>
        <v>73.00817996694488</v>
      </c>
      <c r="J10" s="52">
        <f>E25</f>
        <v>97.344239955926497</v>
      </c>
      <c r="K10" s="52">
        <f>J10*(1+$I$12)</f>
        <v>121.68029994490811</v>
      </c>
      <c r="L10" s="52">
        <f>M10*(1-$I$12)</f>
        <v>81</v>
      </c>
      <c r="M10" s="9">
        <f>K36</f>
        <v>108</v>
      </c>
      <c r="N10" s="52">
        <f>M10*(1+$I$12)</f>
        <v>135</v>
      </c>
    </row>
    <row r="11" spans="1:16" x14ac:dyDescent="0.3">
      <c r="A11" s="65"/>
      <c r="B11" s="66">
        <v>2016</v>
      </c>
      <c r="C11" s="67">
        <v>44.814</v>
      </c>
      <c r="D11" s="67">
        <v>39.065493398340799</v>
      </c>
      <c r="E11" s="67">
        <v>81.736999999999995</v>
      </c>
      <c r="F11" s="68">
        <v>74.387686567164195</v>
      </c>
    </row>
    <row r="12" spans="1:16" x14ac:dyDescent="0.3">
      <c r="A12" s="69"/>
      <c r="B12" s="70">
        <v>2017</v>
      </c>
      <c r="C12" s="71">
        <v>43.664000000000001</v>
      </c>
      <c r="D12" s="71">
        <v>39.2418069262609</v>
      </c>
      <c r="E12" s="71">
        <v>89.087999999999994</v>
      </c>
      <c r="F12" s="72">
        <v>69.706809701492503</v>
      </c>
      <c r="H12" t="s">
        <v>611</v>
      </c>
      <c r="I12" s="53">
        <v>0.25</v>
      </c>
    </row>
    <row r="13" spans="1:16" x14ac:dyDescent="0.3">
      <c r="A13" s="65"/>
      <c r="B13" s="66">
        <v>2018</v>
      </c>
      <c r="C13" s="67">
        <v>39.406999999999996</v>
      </c>
      <c r="D13" s="67">
        <v>41.629196543884497</v>
      </c>
      <c r="E13" s="67">
        <v>85.704999999999998</v>
      </c>
      <c r="F13" s="68">
        <v>61.444962686567202</v>
      </c>
    </row>
    <row r="14" spans="1:16" x14ac:dyDescent="0.3">
      <c r="A14" s="69"/>
      <c r="B14" s="70">
        <v>2019</v>
      </c>
      <c r="C14" s="71">
        <v>40.030999999999999</v>
      </c>
      <c r="D14" s="71">
        <v>39.592604258450301</v>
      </c>
      <c r="E14" s="71">
        <v>82.513999999999996</v>
      </c>
      <c r="F14" s="72">
        <v>70.065111940298493</v>
      </c>
      <c r="I14" s="266" t="s">
        <v>623</v>
      </c>
      <c r="J14" s="266"/>
      <c r="K14" s="266"/>
      <c r="L14" s="266"/>
    </row>
    <row r="15" spans="1:16" x14ac:dyDescent="0.3">
      <c r="A15" s="65"/>
      <c r="B15" s="66">
        <v>2020</v>
      </c>
      <c r="C15" s="67">
        <v>37.905999999999999</v>
      </c>
      <c r="D15" s="67">
        <v>49.032497410465098</v>
      </c>
      <c r="E15" s="67">
        <v>84.968999999999994</v>
      </c>
      <c r="F15" s="68">
        <v>87.777611940298499</v>
      </c>
      <c r="J15" s="259" t="s">
        <v>622</v>
      </c>
      <c r="K15" s="259"/>
    </row>
    <row r="16" spans="1:16" x14ac:dyDescent="0.3">
      <c r="A16" s="69"/>
      <c r="B16" s="70">
        <v>2021</v>
      </c>
      <c r="C16" s="71">
        <v>42.441099908577598</v>
      </c>
      <c r="D16" s="71">
        <v>46.372087699535101</v>
      </c>
      <c r="E16" s="71">
        <v>88.532785816117695</v>
      </c>
      <c r="F16" s="72">
        <v>83.884766791044797</v>
      </c>
      <c r="J16" s="74" t="s">
        <v>617</v>
      </c>
      <c r="K16" s="74" t="s">
        <v>619</v>
      </c>
    </row>
    <row r="17" spans="1:11" x14ac:dyDescent="0.3">
      <c r="A17" s="65"/>
      <c r="B17" s="66">
        <v>2022</v>
      </c>
      <c r="C17" s="67">
        <v>45.707845653918703</v>
      </c>
      <c r="D17" s="67">
        <v>42.674832819079398</v>
      </c>
      <c r="E17" s="67">
        <v>89.353701449438205</v>
      </c>
      <c r="F17" s="68">
        <v>81.947434701492497</v>
      </c>
      <c r="I17" s="9">
        <v>2031</v>
      </c>
      <c r="J17" s="52">
        <v>51.7</v>
      </c>
      <c r="K17" s="9">
        <v>98</v>
      </c>
    </row>
    <row r="18" spans="1:11" x14ac:dyDescent="0.3">
      <c r="A18" s="69"/>
      <c r="B18" s="70">
        <v>2023</v>
      </c>
      <c r="C18" s="71">
        <v>47.951905816198803</v>
      </c>
      <c r="D18" s="71">
        <v>42.1056883313017</v>
      </c>
      <c r="E18" s="71">
        <v>92.474761157170803</v>
      </c>
      <c r="F18" s="72">
        <v>81.249738805970196</v>
      </c>
      <c r="I18" s="9">
        <v>2032</v>
      </c>
      <c r="J18" s="52">
        <v>52.4</v>
      </c>
      <c r="K18" s="9">
        <v>98</v>
      </c>
    </row>
    <row r="19" spans="1:11" x14ac:dyDescent="0.3">
      <c r="A19" s="65"/>
      <c r="B19" s="66">
        <v>2024</v>
      </c>
      <c r="C19" s="67">
        <v>48.084925518829102</v>
      </c>
      <c r="D19" s="67">
        <v>43.135945685248601</v>
      </c>
      <c r="E19" s="67">
        <v>92.922487829011502</v>
      </c>
      <c r="F19" s="68">
        <v>82.425727611940303</v>
      </c>
      <c r="I19" s="9">
        <v>2033</v>
      </c>
      <c r="J19" s="52">
        <v>53.1</v>
      </c>
      <c r="K19" s="9">
        <v>99</v>
      </c>
    </row>
    <row r="20" spans="1:11" x14ac:dyDescent="0.3">
      <c r="A20" s="69"/>
      <c r="B20" s="70">
        <v>2025</v>
      </c>
      <c r="C20" s="71">
        <v>49.092198075726103</v>
      </c>
      <c r="D20" s="71">
        <v>45.0642828556024</v>
      </c>
      <c r="E20" s="71">
        <v>93.739099481231193</v>
      </c>
      <c r="F20" s="72">
        <v>85.082854477611903</v>
      </c>
      <c r="I20" s="9">
        <v>2034</v>
      </c>
      <c r="J20" s="52">
        <v>53.8</v>
      </c>
      <c r="K20" s="9">
        <v>100</v>
      </c>
    </row>
    <row r="21" spans="1:11" x14ac:dyDescent="0.3">
      <c r="A21" s="65"/>
      <c r="B21" s="66">
        <v>2026</v>
      </c>
      <c r="C21" s="67">
        <v>49.041658146851603</v>
      </c>
      <c r="D21" s="67">
        <v>46.382277276113498</v>
      </c>
      <c r="E21" s="67">
        <v>94.490036063388104</v>
      </c>
      <c r="F21" s="68">
        <v>87.215774253731297</v>
      </c>
      <c r="I21" s="9">
        <v>2035</v>
      </c>
      <c r="J21" s="52">
        <v>54.5</v>
      </c>
      <c r="K21" s="9">
        <v>100</v>
      </c>
    </row>
    <row r="22" spans="1:11" x14ac:dyDescent="0.3">
      <c r="A22" s="69"/>
      <c r="B22" s="70">
        <v>2027</v>
      </c>
      <c r="C22" s="71">
        <v>49.819638856203298</v>
      </c>
      <c r="D22" s="71">
        <v>47.398945765000498</v>
      </c>
      <c r="E22" s="71">
        <v>95.6304900700556</v>
      </c>
      <c r="F22" s="72">
        <v>88.509878731343306</v>
      </c>
      <c r="I22" s="9">
        <v>2036</v>
      </c>
      <c r="J22" s="52">
        <v>55.2</v>
      </c>
      <c r="K22" s="9">
        <v>101</v>
      </c>
    </row>
    <row r="23" spans="1:11" x14ac:dyDescent="0.3">
      <c r="A23" s="65"/>
      <c r="B23" s="66">
        <v>2028</v>
      </c>
      <c r="C23" s="67">
        <v>50.664685481949199</v>
      </c>
      <c r="D23" s="67">
        <v>48.178968960283001</v>
      </c>
      <c r="E23" s="67">
        <v>96.955337967915796</v>
      </c>
      <c r="F23" s="68">
        <v>90.639076492537299</v>
      </c>
      <c r="I23" s="9">
        <v>2037</v>
      </c>
      <c r="J23" s="52">
        <v>55.9</v>
      </c>
      <c r="K23" s="9">
        <v>101</v>
      </c>
    </row>
    <row r="24" spans="1:11" x14ac:dyDescent="0.3">
      <c r="A24" s="69"/>
      <c r="B24" s="70">
        <v>2029</v>
      </c>
      <c r="C24" s="71">
        <v>51.2519378289686</v>
      </c>
      <c r="D24" s="71">
        <v>48.9149441404954</v>
      </c>
      <c r="E24" s="71">
        <v>97.095504915761595</v>
      </c>
      <c r="F24" s="72">
        <v>92.152658582089501</v>
      </c>
      <c r="I24" s="9">
        <v>2038</v>
      </c>
      <c r="J24" s="52">
        <v>56.6</v>
      </c>
      <c r="K24" s="9">
        <v>102</v>
      </c>
    </row>
    <row r="25" spans="1:11" x14ac:dyDescent="0.3">
      <c r="A25" s="65"/>
      <c r="B25" s="66">
        <v>2030</v>
      </c>
      <c r="C25" s="67">
        <v>51.481343833531596</v>
      </c>
      <c r="D25" s="67">
        <v>49.621231604856597</v>
      </c>
      <c r="E25" s="67">
        <v>97.344239955926497</v>
      </c>
      <c r="F25" s="68">
        <v>93.819001865671595</v>
      </c>
      <c r="I25" s="9">
        <v>2039</v>
      </c>
      <c r="J25" s="52">
        <v>57.3</v>
      </c>
      <c r="K25" s="9">
        <v>102</v>
      </c>
    </row>
    <row r="26" spans="1:11" x14ac:dyDescent="0.3">
      <c r="A26" s="69" t="s">
        <v>625</v>
      </c>
      <c r="B26" s="70"/>
      <c r="C26" s="71"/>
      <c r="D26" s="71"/>
      <c r="E26" s="71"/>
      <c r="F26" s="72"/>
      <c r="I26" s="9">
        <v>2040</v>
      </c>
      <c r="J26" s="9">
        <v>58</v>
      </c>
      <c r="K26" s="9">
        <v>103</v>
      </c>
    </row>
    <row r="27" spans="1:11" x14ac:dyDescent="0.3">
      <c r="A27" s="65"/>
      <c r="B27" s="66">
        <v>2010</v>
      </c>
      <c r="C27" s="67">
        <v>61.845110884303097</v>
      </c>
      <c r="D27" s="67">
        <v>81.936525332714098</v>
      </c>
      <c r="E27" s="67">
        <v>111.28197336369</v>
      </c>
      <c r="F27" s="68">
        <v>139.40595680749001</v>
      </c>
      <c r="I27" s="9">
        <v>2041</v>
      </c>
      <c r="J27" s="52">
        <v>58.7</v>
      </c>
      <c r="K27" s="9">
        <v>103</v>
      </c>
    </row>
    <row r="28" spans="1:11" x14ac:dyDescent="0.3">
      <c r="A28" s="69"/>
      <c r="B28" s="70">
        <v>2011</v>
      </c>
      <c r="C28" s="71">
        <v>84.795775305579198</v>
      </c>
      <c r="D28" s="71">
        <v>81.050304872133594</v>
      </c>
      <c r="E28" s="71">
        <v>153.78695505002699</v>
      </c>
      <c r="F28" s="72">
        <v>126.51260029865</v>
      </c>
      <c r="I28" s="9">
        <v>2042</v>
      </c>
      <c r="J28" s="52">
        <v>59.4</v>
      </c>
      <c r="K28" s="9">
        <v>104</v>
      </c>
    </row>
    <row r="29" spans="1:11" x14ac:dyDescent="0.3">
      <c r="A29" s="65"/>
      <c r="B29" s="66">
        <v>2012</v>
      </c>
      <c r="C29" s="67">
        <v>74.3620730629723</v>
      </c>
      <c r="D29" s="67">
        <v>82.669498331522902</v>
      </c>
      <c r="E29" s="67">
        <v>134.110638937315</v>
      </c>
      <c r="F29" s="68">
        <v>106.43332769157701</v>
      </c>
      <c r="I29" s="9">
        <v>2043</v>
      </c>
      <c r="J29" s="52">
        <v>60.1</v>
      </c>
      <c r="K29" s="9">
        <v>104</v>
      </c>
    </row>
    <row r="30" spans="1:11" x14ac:dyDescent="0.3">
      <c r="A30" s="69"/>
      <c r="B30" s="70">
        <v>2013</v>
      </c>
      <c r="C30" s="71">
        <v>75.599451804950704</v>
      </c>
      <c r="D30" s="71">
        <v>55.7973003834623</v>
      </c>
      <c r="E30" s="71">
        <v>125.81383459602201</v>
      </c>
      <c r="F30" s="72">
        <v>95.203336349026998</v>
      </c>
      <c r="I30" s="9">
        <v>2044</v>
      </c>
      <c r="J30" s="52">
        <v>60.8</v>
      </c>
      <c r="K30" s="9">
        <v>105</v>
      </c>
    </row>
    <row r="31" spans="1:11" x14ac:dyDescent="0.3">
      <c r="A31" s="65"/>
      <c r="B31" s="66">
        <v>2014</v>
      </c>
      <c r="C31" s="67">
        <v>68.871310001085504</v>
      </c>
      <c r="D31" s="67">
        <v>46.129440569829399</v>
      </c>
      <c r="E31" s="67">
        <v>105.601360495173</v>
      </c>
      <c r="F31" s="68">
        <v>75.366365250726503</v>
      </c>
      <c r="I31" s="9">
        <v>2045</v>
      </c>
      <c r="J31" s="52">
        <v>61.5</v>
      </c>
      <c r="K31" s="9">
        <v>105</v>
      </c>
    </row>
    <row r="32" spans="1:11" x14ac:dyDescent="0.3">
      <c r="A32" s="69"/>
      <c r="B32" s="70">
        <v>2015</v>
      </c>
      <c r="C32" s="71">
        <v>48.803539587024602</v>
      </c>
      <c r="D32" s="71">
        <v>44.761718659469999</v>
      </c>
      <c r="E32" s="71">
        <v>83.0599015673575</v>
      </c>
      <c r="F32" s="72">
        <v>74.900365525071507</v>
      </c>
      <c r="I32" s="9">
        <v>2046</v>
      </c>
      <c r="J32" s="52">
        <v>62.2</v>
      </c>
      <c r="K32" s="9">
        <v>106</v>
      </c>
    </row>
    <row r="33" spans="1:11" x14ac:dyDescent="0.3">
      <c r="A33" s="65"/>
      <c r="B33" s="66">
        <v>2016</v>
      </c>
      <c r="C33" s="67">
        <v>48.134598859838803</v>
      </c>
      <c r="D33" s="67">
        <v>41.960143124711401</v>
      </c>
      <c r="E33" s="67">
        <v>87.793495492628196</v>
      </c>
      <c r="F33" s="68">
        <v>79.899617374522805</v>
      </c>
      <c r="I33" s="9">
        <v>2047</v>
      </c>
      <c r="J33" s="52">
        <v>62.9</v>
      </c>
      <c r="K33" s="9">
        <v>106</v>
      </c>
    </row>
    <row r="34" spans="1:11" x14ac:dyDescent="0.3">
      <c r="A34" s="69"/>
      <c r="B34" s="70">
        <v>2017</v>
      </c>
      <c r="C34" s="71">
        <v>46.033917634181101</v>
      </c>
      <c r="D34" s="71">
        <v>41.371704558902799</v>
      </c>
      <c r="E34" s="71">
        <v>93.923361446361497</v>
      </c>
      <c r="F34" s="72">
        <v>73.490233060187904</v>
      </c>
      <c r="I34" s="9">
        <v>2048</v>
      </c>
      <c r="J34" s="52">
        <v>63.6</v>
      </c>
      <c r="K34" s="9">
        <v>107</v>
      </c>
    </row>
    <row r="35" spans="1:11" x14ac:dyDescent="0.3">
      <c r="A35" s="65"/>
      <c r="B35" s="66">
        <v>2018</v>
      </c>
      <c r="C35" s="67">
        <v>40.571743486514798</v>
      </c>
      <c r="D35" s="67">
        <v>42.859620974146502</v>
      </c>
      <c r="E35" s="67">
        <v>88.238162649066297</v>
      </c>
      <c r="F35" s="68">
        <v>63.261077084220602</v>
      </c>
      <c r="I35" s="9">
        <v>2049</v>
      </c>
      <c r="J35" s="52">
        <v>64.3</v>
      </c>
      <c r="K35" s="9">
        <v>107</v>
      </c>
    </row>
    <row r="36" spans="1:11" x14ac:dyDescent="0.3">
      <c r="A36" s="69"/>
      <c r="B36" s="70">
        <v>2019</v>
      </c>
      <c r="C36" s="71">
        <v>40.491352501123899</v>
      </c>
      <c r="D36" s="71">
        <v>40.047915252339699</v>
      </c>
      <c r="E36" s="71">
        <v>83.462902757306594</v>
      </c>
      <c r="F36" s="72">
        <v>70.870853728493799</v>
      </c>
      <c r="I36" s="9">
        <v>2050</v>
      </c>
      <c r="J36" s="9">
        <v>65</v>
      </c>
      <c r="K36" s="9">
        <v>108</v>
      </c>
    </row>
    <row r="37" spans="1:11" x14ac:dyDescent="0.3">
      <c r="A37" s="65"/>
      <c r="B37" s="66">
        <v>2020</v>
      </c>
      <c r="C37" s="67">
        <v>37.905999999999999</v>
      </c>
      <c r="D37" s="67">
        <v>49.032497410465098</v>
      </c>
      <c r="E37" s="67">
        <v>84.968999999999994</v>
      </c>
      <c r="F37" s="68">
        <v>87.777611940298499</v>
      </c>
      <c r="K37" t="str">
        <f t="shared" ref="K37" si="0">RIGHT(L38,3)</f>
        <v/>
      </c>
    </row>
    <row r="38" spans="1:11" x14ac:dyDescent="0.3">
      <c r="A38" s="69"/>
      <c r="B38" s="70">
        <v>2021</v>
      </c>
      <c r="C38" s="71">
        <v>41.969536535735699</v>
      </c>
      <c r="D38" s="71">
        <v>45.856847092472201</v>
      </c>
      <c r="E38" s="71">
        <v>87.549097382583497</v>
      </c>
      <c r="F38" s="72">
        <v>82.952722531040806</v>
      </c>
    </row>
    <row r="39" spans="1:11" x14ac:dyDescent="0.3">
      <c r="A39" s="65"/>
      <c r="B39" s="66">
        <v>2022</v>
      </c>
      <c r="C39" s="67">
        <v>44.546935843222599</v>
      </c>
      <c r="D39" s="67">
        <v>41.590956924674003</v>
      </c>
      <c r="E39" s="67">
        <v>87.084253236541201</v>
      </c>
      <c r="F39" s="68">
        <v>79.866094407603995</v>
      </c>
    </row>
    <row r="40" spans="1:11" x14ac:dyDescent="0.3">
      <c r="A40" s="69"/>
      <c r="B40" s="70">
        <v>2023</v>
      </c>
      <c r="C40" s="71">
        <v>45.901886882870002</v>
      </c>
      <c r="D40" s="71">
        <v>40.305604334413999</v>
      </c>
      <c r="E40" s="71">
        <v>88.521320558711594</v>
      </c>
      <c r="F40" s="72">
        <v>77.776185460276295</v>
      </c>
    </row>
    <row r="41" spans="1:11" x14ac:dyDescent="0.3">
      <c r="A41" s="65"/>
      <c r="B41" s="66">
        <v>2024</v>
      </c>
      <c r="C41" s="67">
        <v>45.165846129239199</v>
      </c>
      <c r="D41" s="67">
        <v>40.517302760430702</v>
      </c>
      <c r="E41" s="67">
        <v>87.281465905313794</v>
      </c>
      <c r="F41" s="68">
        <v>77.421929851044396</v>
      </c>
    </row>
    <row r="42" spans="1:11" x14ac:dyDescent="0.3">
      <c r="A42" s="69"/>
      <c r="B42" s="70">
        <v>2025</v>
      </c>
      <c r="C42" s="71">
        <v>45.226844238700799</v>
      </c>
      <c r="D42" s="71">
        <v>41.516073456218699</v>
      </c>
      <c r="E42" s="71">
        <v>86.358399450237201</v>
      </c>
      <c r="F42" s="72">
        <v>78.383717936347196</v>
      </c>
    </row>
    <row r="43" spans="1:11" x14ac:dyDescent="0.3">
      <c r="A43" s="65"/>
      <c r="B43" s="66">
        <v>2026</v>
      </c>
      <c r="C43" s="67">
        <v>44.313041313658502</v>
      </c>
      <c r="D43" s="67">
        <v>41.910079039403897</v>
      </c>
      <c r="E43" s="67">
        <v>85.379267953540804</v>
      </c>
      <c r="F43" s="68">
        <v>78.806393457078002</v>
      </c>
    </row>
    <row r="44" spans="1:11" x14ac:dyDescent="0.3">
      <c r="A44" s="69"/>
      <c r="B44" s="70">
        <v>2027</v>
      </c>
      <c r="C44" s="71">
        <v>44.151919744297601</v>
      </c>
      <c r="D44" s="71">
        <v>42.006616214562101</v>
      </c>
      <c r="E44" s="71">
        <v>84.751110598530602</v>
      </c>
      <c r="F44" s="72">
        <v>78.440573878973197</v>
      </c>
    </row>
    <row r="45" spans="1:11" x14ac:dyDescent="0.3">
      <c r="A45" s="65"/>
      <c r="B45" s="66">
        <v>2028</v>
      </c>
      <c r="C45" s="67">
        <v>44.038951664368803</v>
      </c>
      <c r="D45" s="67">
        <v>41.878307643634002</v>
      </c>
      <c r="E45" s="67">
        <v>84.275889640977496</v>
      </c>
      <c r="F45" s="68">
        <v>78.785644686968894</v>
      </c>
    </row>
    <row r="46" spans="1:11" x14ac:dyDescent="0.3">
      <c r="A46" s="69"/>
      <c r="B46" s="70">
        <v>2029</v>
      </c>
      <c r="C46" s="71">
        <v>43.694272858792502</v>
      </c>
      <c r="D46" s="71">
        <v>41.701894731858502</v>
      </c>
      <c r="E46" s="71">
        <v>82.777699046406894</v>
      </c>
      <c r="F46" s="72">
        <v>78.563730061989801</v>
      </c>
    </row>
    <row r="47" spans="1:11" x14ac:dyDescent="0.3">
      <c r="A47" s="75"/>
      <c r="B47" s="76">
        <v>2030</v>
      </c>
      <c r="C47" s="77">
        <v>43.047378131950602</v>
      </c>
      <c r="D47" s="77">
        <v>41.492000037420603</v>
      </c>
      <c r="E47" s="77">
        <v>81.396754519464196</v>
      </c>
      <c r="F47" s="78">
        <v>78.449040925058895</v>
      </c>
    </row>
  </sheetData>
  <mergeCells count="5">
    <mergeCell ref="A1:F2"/>
    <mergeCell ref="I6:K6"/>
    <mergeCell ref="L6:N6"/>
    <mergeCell ref="I14:L14"/>
    <mergeCell ref="J15:K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21875" customWidth="1"/>
    <col min="3" max="3" width="14.33203125" customWidth="1"/>
    <col min="4" max="4" width="15.6640625" customWidth="1"/>
    <col min="6" max="6" width="10.88671875" customWidth="1"/>
    <col min="7" max="7" width="14.109375" customWidth="1"/>
    <col min="9" max="9" width="11.21875" customWidth="1"/>
    <col min="10" max="10" width="10.88671875" customWidth="1"/>
    <col min="11" max="11" width="6.44140625" customWidth="1"/>
    <col min="12" max="12" width="18.88671875" customWidth="1"/>
    <col min="13" max="13" width="11.109375" customWidth="1"/>
    <col min="14" max="14" width="11.44140625" customWidth="1"/>
    <col min="15" max="15" width="16.21875" customWidth="1"/>
    <col min="18" max="18" width="18.33203125" customWidth="1"/>
  </cols>
  <sheetData>
    <row r="1" spans="1:18" x14ac:dyDescent="0.3">
      <c r="A1" s="259" t="s">
        <v>71</v>
      </c>
      <c r="B1" s="259"/>
      <c r="C1" s="259"/>
      <c r="D1" s="259"/>
      <c r="E1" s="259"/>
      <c r="F1" s="259"/>
      <c r="G1" s="259"/>
      <c r="H1" s="259"/>
      <c r="I1" s="31" t="s">
        <v>587</v>
      </c>
      <c r="J1" s="31"/>
      <c r="L1" s="267" t="s">
        <v>107</v>
      </c>
      <c r="M1" s="267"/>
      <c r="N1" s="267"/>
      <c r="O1" s="267"/>
      <c r="P1" s="267"/>
      <c r="Q1" s="267"/>
      <c r="R1" s="267"/>
    </row>
    <row r="2" spans="1:18" ht="15.6" x14ac:dyDescent="0.3">
      <c r="A2" s="32" t="s">
        <v>588</v>
      </c>
      <c r="B2" s="33"/>
      <c r="C2" s="33"/>
      <c r="D2" s="33"/>
      <c r="E2" s="33"/>
      <c r="F2" s="33"/>
      <c r="G2" s="33"/>
      <c r="I2" s="34">
        <v>9.4</v>
      </c>
      <c r="J2" s="34">
        <v>3.6</v>
      </c>
    </row>
    <row r="3" spans="1:18" ht="16.2" x14ac:dyDescent="0.35">
      <c r="A3" s="35"/>
      <c r="B3" s="33"/>
      <c r="C3" s="33"/>
      <c r="D3" s="33"/>
      <c r="E3" s="33"/>
      <c r="F3" s="33"/>
      <c r="G3" s="33"/>
      <c r="I3" s="36"/>
    </row>
    <row r="4" spans="1:18" ht="15" thickBot="1" x14ac:dyDescent="0.35">
      <c r="A4" s="37">
        <v>64</v>
      </c>
      <c r="B4" s="38" t="s">
        <v>589</v>
      </c>
      <c r="C4" s="38" t="s">
        <v>590</v>
      </c>
      <c r="D4" s="38" t="s">
        <v>591</v>
      </c>
      <c r="E4" s="38" t="s">
        <v>592</v>
      </c>
      <c r="F4" s="38" t="s">
        <v>593</v>
      </c>
      <c r="G4" s="38" t="s">
        <v>594</v>
      </c>
      <c r="I4" s="268" t="s">
        <v>595</v>
      </c>
      <c r="J4" s="268"/>
      <c r="L4" s="269" t="s">
        <v>596</v>
      </c>
      <c r="M4" s="269"/>
      <c r="N4" s="269"/>
      <c r="O4" s="269"/>
      <c r="P4" s="269"/>
      <c r="Q4" s="269"/>
      <c r="R4" s="269"/>
    </row>
    <row r="5" spans="1:18" ht="15" thickBot="1" x14ac:dyDescent="0.35">
      <c r="A5" s="39"/>
      <c r="B5" s="40" t="s">
        <v>597</v>
      </c>
      <c r="C5" s="40" t="s">
        <v>598</v>
      </c>
      <c r="D5" s="40" t="s">
        <v>599</v>
      </c>
      <c r="E5" s="40" t="s">
        <v>600</v>
      </c>
      <c r="F5" s="40" t="s">
        <v>601</v>
      </c>
      <c r="G5" s="40" t="s">
        <v>602</v>
      </c>
      <c r="I5" s="40" t="s">
        <v>598</v>
      </c>
      <c r="J5" s="40" t="s">
        <v>599</v>
      </c>
      <c r="L5" s="41"/>
      <c r="M5" s="270" t="s">
        <v>603</v>
      </c>
      <c r="N5" s="271"/>
      <c r="O5" s="272"/>
      <c r="P5" s="270" t="s">
        <v>604</v>
      </c>
      <c r="Q5" s="271"/>
      <c r="R5" s="272"/>
    </row>
    <row r="6" spans="1:18" ht="15" thickBot="1" x14ac:dyDescent="0.35">
      <c r="A6" s="42">
        <v>1993</v>
      </c>
      <c r="B6" s="43"/>
      <c r="C6" s="43">
        <v>119</v>
      </c>
      <c r="D6" s="43">
        <v>93</v>
      </c>
      <c r="E6" s="43">
        <v>113</v>
      </c>
      <c r="F6" s="43">
        <v>120</v>
      </c>
      <c r="G6" s="43"/>
      <c r="I6" s="24">
        <f t="shared" ref="I6:J34" si="0">C6*(1/$I$2)*(1/$J$2)</f>
        <v>3.5165484633569739</v>
      </c>
      <c r="J6" s="24">
        <f t="shared" si="0"/>
        <v>2.74822695035461</v>
      </c>
      <c r="L6" s="44" t="s">
        <v>605</v>
      </c>
      <c r="M6" s="45">
        <v>2010</v>
      </c>
      <c r="N6" s="45">
        <v>2030</v>
      </c>
      <c r="O6" s="44">
        <v>2050</v>
      </c>
      <c r="P6" s="45">
        <v>2010</v>
      </c>
      <c r="Q6" s="45">
        <v>2030</v>
      </c>
      <c r="R6" s="45">
        <v>2050</v>
      </c>
    </row>
    <row r="7" spans="1:18" ht="15" thickBot="1" x14ac:dyDescent="0.35">
      <c r="A7" s="46">
        <v>1994</v>
      </c>
      <c r="B7" s="47">
        <v>143</v>
      </c>
      <c r="C7" s="47">
        <v>109</v>
      </c>
      <c r="D7" s="47">
        <v>85</v>
      </c>
      <c r="E7" s="47">
        <v>116</v>
      </c>
      <c r="F7" s="47">
        <v>104</v>
      </c>
      <c r="G7" s="47"/>
      <c r="I7" s="24">
        <f t="shared" si="0"/>
        <v>3.2210401891252958</v>
      </c>
      <c r="J7" s="24">
        <f t="shared" si="0"/>
        <v>2.5118203309692673</v>
      </c>
      <c r="L7" s="48" t="s">
        <v>606</v>
      </c>
      <c r="M7" s="49">
        <v>11.087999991129601</v>
      </c>
      <c r="N7" s="49">
        <v>9.5039999923968015</v>
      </c>
      <c r="O7" s="49">
        <v>8.3159999933472033</v>
      </c>
      <c r="P7" s="49">
        <v>7.9199999936640015</v>
      </c>
      <c r="Q7" s="49">
        <v>7.1279999942976016</v>
      </c>
      <c r="R7" s="49">
        <v>5.9399999952480007</v>
      </c>
    </row>
    <row r="8" spans="1:18" x14ac:dyDescent="0.3">
      <c r="A8" s="42">
        <v>1995</v>
      </c>
      <c r="B8" s="43">
        <v>146</v>
      </c>
      <c r="C8" s="43">
        <v>109</v>
      </c>
      <c r="D8" s="43">
        <v>91</v>
      </c>
      <c r="E8" s="43">
        <v>109</v>
      </c>
      <c r="F8" s="43">
        <v>113</v>
      </c>
      <c r="G8" s="43"/>
      <c r="I8" s="24">
        <f t="shared" si="0"/>
        <v>3.2210401891252958</v>
      </c>
      <c r="J8" s="24">
        <f t="shared" si="0"/>
        <v>2.6891252955082741</v>
      </c>
    </row>
    <row r="9" spans="1:18" x14ac:dyDescent="0.3">
      <c r="A9" s="46">
        <v>1996</v>
      </c>
      <c r="B9" s="47">
        <v>157</v>
      </c>
      <c r="C9" s="47">
        <v>112</v>
      </c>
      <c r="D9" s="47">
        <v>99</v>
      </c>
      <c r="E9" s="47">
        <v>104</v>
      </c>
      <c r="F9" s="47">
        <v>120</v>
      </c>
      <c r="G9" s="47"/>
      <c r="I9" s="24">
        <f t="shared" si="0"/>
        <v>3.3096926713947989</v>
      </c>
      <c r="J9" s="24">
        <f t="shared" si="0"/>
        <v>2.9255319148936172</v>
      </c>
      <c r="M9" s="9" t="s">
        <v>607</v>
      </c>
      <c r="N9" s="9" t="s">
        <v>608</v>
      </c>
      <c r="O9" s="9" t="s">
        <v>609</v>
      </c>
      <c r="P9" s="9" t="s">
        <v>607</v>
      </c>
      <c r="Q9" s="9" t="s">
        <v>608</v>
      </c>
      <c r="R9" s="9" t="s">
        <v>609</v>
      </c>
    </row>
    <row r="10" spans="1:18" x14ac:dyDescent="0.3">
      <c r="A10" s="42">
        <v>1997</v>
      </c>
      <c r="B10" s="43">
        <v>152</v>
      </c>
      <c r="C10" s="43">
        <v>113</v>
      </c>
      <c r="D10" s="43">
        <v>94</v>
      </c>
      <c r="E10" s="43">
        <v>108</v>
      </c>
      <c r="F10" s="43">
        <v>109</v>
      </c>
      <c r="G10" s="43"/>
      <c r="I10" s="24">
        <f t="shared" si="0"/>
        <v>3.3392434988179671</v>
      </c>
      <c r="J10" s="24">
        <f t="shared" si="0"/>
        <v>2.7777777777777777</v>
      </c>
      <c r="M10" s="264">
        <v>2030</v>
      </c>
      <c r="N10" s="264"/>
      <c r="O10" s="264"/>
      <c r="P10" s="265">
        <v>2050</v>
      </c>
      <c r="Q10" s="265"/>
      <c r="R10" s="265"/>
    </row>
    <row r="11" spans="1:18" x14ac:dyDescent="0.3">
      <c r="A11" s="46">
        <v>1998</v>
      </c>
      <c r="B11" s="47">
        <v>161</v>
      </c>
      <c r="C11" s="47">
        <v>115</v>
      </c>
      <c r="D11" s="47">
        <v>98</v>
      </c>
      <c r="E11" s="47">
        <v>108</v>
      </c>
      <c r="F11" s="47">
        <v>99</v>
      </c>
      <c r="G11" s="47">
        <v>69</v>
      </c>
      <c r="I11" s="24">
        <f t="shared" si="0"/>
        <v>3.398345153664303</v>
      </c>
      <c r="J11" s="24">
        <f t="shared" si="0"/>
        <v>2.895981087470449</v>
      </c>
      <c r="M11" s="50" t="s">
        <v>52</v>
      </c>
      <c r="N11" s="50" t="s">
        <v>53</v>
      </c>
      <c r="O11" s="50" t="s">
        <v>54</v>
      </c>
      <c r="P11" s="50" t="s">
        <v>52</v>
      </c>
      <c r="Q11" s="50" t="s">
        <v>53</v>
      </c>
      <c r="R11" s="50" t="s">
        <v>54</v>
      </c>
    </row>
    <row r="12" spans="1:18" x14ac:dyDescent="0.3">
      <c r="A12" s="42">
        <v>1999</v>
      </c>
      <c r="B12" s="43">
        <v>164</v>
      </c>
      <c r="C12" s="43">
        <v>115</v>
      </c>
      <c r="D12" s="43">
        <v>96</v>
      </c>
      <c r="E12" s="43">
        <v>110</v>
      </c>
      <c r="F12" s="43">
        <v>111</v>
      </c>
      <c r="G12" s="43">
        <v>78</v>
      </c>
      <c r="I12" s="24">
        <f t="shared" si="0"/>
        <v>3.398345153664303</v>
      </c>
      <c r="J12" s="24">
        <f t="shared" si="0"/>
        <v>2.8368794326241136</v>
      </c>
      <c r="M12" s="51"/>
      <c r="N12" s="51"/>
      <c r="O12" s="51"/>
      <c r="P12" s="51"/>
      <c r="Q12" s="51"/>
      <c r="R12" s="51"/>
    </row>
    <row r="13" spans="1:18" x14ac:dyDescent="0.3">
      <c r="A13" s="46">
        <v>2000</v>
      </c>
      <c r="B13" s="47">
        <v>168</v>
      </c>
      <c r="C13" s="47">
        <v>112</v>
      </c>
      <c r="D13" s="47">
        <v>89</v>
      </c>
      <c r="E13" s="47">
        <v>109</v>
      </c>
      <c r="F13" s="47">
        <v>108</v>
      </c>
      <c r="G13" s="47">
        <v>69</v>
      </c>
      <c r="I13" s="24">
        <f t="shared" si="0"/>
        <v>3.3096926713947989</v>
      </c>
      <c r="J13" s="24">
        <f t="shared" si="0"/>
        <v>2.6300236406619386</v>
      </c>
      <c r="L13" s="40" t="s">
        <v>598</v>
      </c>
      <c r="M13" s="52">
        <f>N13*(1-$M$16)</f>
        <v>7.1279999942976016</v>
      </c>
      <c r="N13" s="52">
        <f>N7</f>
        <v>9.5039999923968015</v>
      </c>
      <c r="O13" s="52">
        <f>N13*(1+$M$16)</f>
        <v>11.879999990496001</v>
      </c>
      <c r="P13" s="52">
        <f>Q13*(1-$M$16)</f>
        <v>6.236999995010402</v>
      </c>
      <c r="Q13" s="52">
        <f>O7</f>
        <v>8.3159999933472033</v>
      </c>
      <c r="R13" s="52">
        <f>Q13*(1+$M$16)</f>
        <v>10.394999991684005</v>
      </c>
    </row>
    <row r="14" spans="1:18" ht="27.6" x14ac:dyDescent="0.3">
      <c r="A14" s="42">
        <v>2001</v>
      </c>
      <c r="B14" s="43">
        <v>163</v>
      </c>
      <c r="C14" s="43">
        <v>109</v>
      </c>
      <c r="D14" s="43">
        <v>96</v>
      </c>
      <c r="E14" s="43">
        <v>110</v>
      </c>
      <c r="F14" s="43">
        <v>113</v>
      </c>
      <c r="G14" s="43">
        <v>66</v>
      </c>
      <c r="I14" s="24">
        <f t="shared" si="0"/>
        <v>3.2210401891252958</v>
      </c>
      <c r="J14" s="24">
        <f t="shared" si="0"/>
        <v>2.8368794326241136</v>
      </c>
      <c r="L14" s="40" t="s">
        <v>610</v>
      </c>
      <c r="M14" s="52">
        <f>N14*(1-$M$16)</f>
        <v>5.3459999957232007</v>
      </c>
      <c r="N14" s="52">
        <f>Q7</f>
        <v>7.1279999942976016</v>
      </c>
      <c r="O14" s="52">
        <f>N14*(1+$M$16)</f>
        <v>8.9099999928720024</v>
      </c>
      <c r="P14" s="52">
        <f>Q14*(1-$M$16)</f>
        <v>4.4549999964360003</v>
      </c>
      <c r="Q14" s="52">
        <f>R7</f>
        <v>5.9399999952480007</v>
      </c>
      <c r="R14" s="52">
        <f>Q14*(1+$M$16)</f>
        <v>7.4249999940600011</v>
      </c>
    </row>
    <row r="15" spans="1:18" x14ac:dyDescent="0.3">
      <c r="A15" s="46">
        <v>2002</v>
      </c>
      <c r="B15" s="47">
        <v>178</v>
      </c>
      <c r="C15" s="47">
        <v>124</v>
      </c>
      <c r="D15" s="47">
        <v>104</v>
      </c>
      <c r="E15" s="47">
        <v>114</v>
      </c>
      <c r="F15" s="47">
        <v>114</v>
      </c>
      <c r="G15" s="47">
        <v>69</v>
      </c>
      <c r="I15" s="24">
        <f t="shared" si="0"/>
        <v>3.6643026004728134</v>
      </c>
      <c r="J15" s="24">
        <f t="shared" si="0"/>
        <v>3.0732860520094567</v>
      </c>
    </row>
    <row r="16" spans="1:18" x14ac:dyDescent="0.3">
      <c r="A16" s="42">
        <v>2003</v>
      </c>
      <c r="B16" s="43">
        <v>196</v>
      </c>
      <c r="C16" s="43">
        <v>126</v>
      </c>
      <c r="D16" s="43">
        <v>109</v>
      </c>
      <c r="E16" s="43">
        <v>110</v>
      </c>
      <c r="F16" s="43">
        <v>116</v>
      </c>
      <c r="G16" s="43">
        <v>71</v>
      </c>
      <c r="I16" s="24">
        <f t="shared" si="0"/>
        <v>3.7234042553191489</v>
      </c>
      <c r="J16" s="24">
        <f t="shared" si="0"/>
        <v>3.2210401891252958</v>
      </c>
      <c r="L16" t="s">
        <v>611</v>
      </c>
      <c r="M16" s="53">
        <v>0.25</v>
      </c>
    </row>
    <row r="17" spans="1:10" x14ac:dyDescent="0.3">
      <c r="A17" s="46">
        <v>2004</v>
      </c>
      <c r="B17" s="47">
        <v>206</v>
      </c>
      <c r="C17" s="47">
        <v>138</v>
      </c>
      <c r="D17" s="47">
        <v>114</v>
      </c>
      <c r="E17" s="47">
        <v>126</v>
      </c>
      <c r="F17" s="47">
        <v>116</v>
      </c>
      <c r="G17" s="47">
        <v>74</v>
      </c>
      <c r="I17" s="24">
        <f t="shared" si="0"/>
        <v>4.0780141843971638</v>
      </c>
      <c r="J17" s="24">
        <f t="shared" si="0"/>
        <v>3.3687943262411348</v>
      </c>
    </row>
    <row r="18" spans="1:10" x14ac:dyDescent="0.3">
      <c r="A18" s="42">
        <v>2005</v>
      </c>
      <c r="B18" s="43">
        <v>204</v>
      </c>
      <c r="C18" s="43">
        <v>137</v>
      </c>
      <c r="D18" s="43">
        <v>121</v>
      </c>
      <c r="E18" s="43">
        <v>118</v>
      </c>
      <c r="F18" s="43">
        <v>105</v>
      </c>
      <c r="G18" s="43">
        <v>80</v>
      </c>
      <c r="I18" s="24">
        <f t="shared" si="0"/>
        <v>4.0484633569739961</v>
      </c>
      <c r="J18" s="24">
        <f t="shared" si="0"/>
        <v>3.5756501182033098</v>
      </c>
    </row>
    <row r="19" spans="1:10" x14ac:dyDescent="0.3">
      <c r="A19" s="46">
        <v>2006</v>
      </c>
      <c r="B19" s="47">
        <v>211</v>
      </c>
      <c r="C19" s="47">
        <v>146</v>
      </c>
      <c r="D19" s="47">
        <v>128</v>
      </c>
      <c r="E19" s="47">
        <v>120</v>
      </c>
      <c r="F19" s="47">
        <v>116</v>
      </c>
      <c r="G19" s="47">
        <v>78</v>
      </c>
      <c r="I19" s="24">
        <f t="shared" si="0"/>
        <v>4.3144208037825056</v>
      </c>
      <c r="J19" s="24">
        <f t="shared" si="0"/>
        <v>3.7825059101654848</v>
      </c>
    </row>
    <row r="20" spans="1:10" x14ac:dyDescent="0.3">
      <c r="A20" s="42">
        <v>2007</v>
      </c>
      <c r="B20" s="43">
        <v>244</v>
      </c>
      <c r="C20" s="43">
        <v>158</v>
      </c>
      <c r="D20" s="43">
        <v>134</v>
      </c>
      <c r="E20" s="43">
        <v>132</v>
      </c>
      <c r="F20" s="43">
        <v>126</v>
      </c>
      <c r="G20" s="54">
        <v>64</v>
      </c>
      <c r="I20" s="24">
        <f t="shared" si="0"/>
        <v>4.6690307328605201</v>
      </c>
      <c r="J20" s="24">
        <f t="shared" si="0"/>
        <v>3.959810874704492</v>
      </c>
    </row>
    <row r="21" spans="1:10" x14ac:dyDescent="0.3">
      <c r="A21" s="46">
        <v>2008</v>
      </c>
      <c r="B21" s="47">
        <v>271</v>
      </c>
      <c r="C21" s="47">
        <v>167</v>
      </c>
      <c r="D21" s="47">
        <v>157</v>
      </c>
      <c r="E21" s="47">
        <v>148</v>
      </c>
      <c r="F21" s="47">
        <v>123</v>
      </c>
      <c r="G21" s="47">
        <v>69</v>
      </c>
      <c r="I21" s="24">
        <f t="shared" si="0"/>
        <v>4.9349881796690305</v>
      </c>
      <c r="J21" s="24">
        <f t="shared" si="0"/>
        <v>4.6394799054373523</v>
      </c>
    </row>
    <row r="22" spans="1:10" x14ac:dyDescent="0.3">
      <c r="A22" s="42">
        <v>2009</v>
      </c>
      <c r="B22" s="43">
        <v>298</v>
      </c>
      <c r="C22" s="43">
        <v>181</v>
      </c>
      <c r="D22" s="43">
        <v>170</v>
      </c>
      <c r="E22" s="43">
        <v>148</v>
      </c>
      <c r="F22" s="43">
        <v>149</v>
      </c>
      <c r="G22" s="43">
        <v>78</v>
      </c>
      <c r="I22" s="24">
        <f t="shared" si="0"/>
        <v>5.3486997635933804</v>
      </c>
      <c r="J22" s="24">
        <f t="shared" si="0"/>
        <v>5.0236406619385345</v>
      </c>
    </row>
    <row r="23" spans="1:10" x14ac:dyDescent="0.3">
      <c r="A23" s="46">
        <v>2010</v>
      </c>
      <c r="B23" s="47">
        <v>300</v>
      </c>
      <c r="C23" s="47">
        <v>197</v>
      </c>
      <c r="D23" s="47">
        <v>179</v>
      </c>
      <c r="E23" s="47">
        <v>154</v>
      </c>
      <c r="F23" s="47">
        <v>141</v>
      </c>
      <c r="G23" s="47">
        <v>107</v>
      </c>
      <c r="I23" s="55">
        <f t="shared" si="0"/>
        <v>5.8215130023640667</v>
      </c>
      <c r="J23" s="55">
        <f t="shared" si="0"/>
        <v>5.2895981087470449</v>
      </c>
    </row>
    <row r="24" spans="1:10" x14ac:dyDescent="0.3">
      <c r="A24" s="42">
        <v>2011</v>
      </c>
      <c r="B24" s="43">
        <v>300</v>
      </c>
      <c r="C24" s="43">
        <v>214</v>
      </c>
      <c r="D24" s="43">
        <v>184</v>
      </c>
      <c r="E24" s="43">
        <v>158</v>
      </c>
      <c r="F24" s="43">
        <v>146</v>
      </c>
      <c r="G24" s="43">
        <v>117</v>
      </c>
      <c r="I24" s="24">
        <f t="shared" si="0"/>
        <v>6.3238770685579198</v>
      </c>
      <c r="J24" s="24">
        <f t="shared" si="0"/>
        <v>5.4373522458628845</v>
      </c>
    </row>
    <row r="25" spans="1:10" x14ac:dyDescent="0.3">
      <c r="A25" s="46">
        <v>2012</v>
      </c>
      <c r="B25" s="47">
        <v>292</v>
      </c>
      <c r="C25" s="47">
        <v>209</v>
      </c>
      <c r="D25" s="47">
        <v>185</v>
      </c>
      <c r="E25" s="47">
        <v>161</v>
      </c>
      <c r="F25" s="47">
        <v>140</v>
      </c>
      <c r="G25" s="47">
        <v>107</v>
      </c>
      <c r="I25" s="24">
        <f t="shared" si="0"/>
        <v>6.1761229314420811</v>
      </c>
      <c r="J25" s="24">
        <f t="shared" si="0"/>
        <v>5.4669030732860522</v>
      </c>
    </row>
    <row r="26" spans="1:10" x14ac:dyDescent="0.3">
      <c r="A26" s="42">
        <v>2013</v>
      </c>
      <c r="B26" s="43">
        <v>296</v>
      </c>
      <c r="C26" s="43">
        <v>199</v>
      </c>
      <c r="D26" s="43">
        <v>179</v>
      </c>
      <c r="E26" s="43">
        <v>166</v>
      </c>
      <c r="F26" s="43">
        <v>145</v>
      </c>
      <c r="G26" s="43">
        <v>102</v>
      </c>
      <c r="I26" s="24">
        <f t="shared" si="0"/>
        <v>5.8806146572104021</v>
      </c>
      <c r="J26" s="24">
        <f t="shared" si="0"/>
        <v>5.2895981087470449</v>
      </c>
    </row>
    <row r="27" spans="1:10" x14ac:dyDescent="0.3">
      <c r="A27" s="46">
        <v>2014</v>
      </c>
      <c r="B27" s="47">
        <v>277</v>
      </c>
      <c r="C27" s="47">
        <v>192</v>
      </c>
      <c r="D27" s="47">
        <v>167</v>
      </c>
      <c r="E27" s="47">
        <v>161</v>
      </c>
      <c r="F27" s="47">
        <v>149</v>
      </c>
      <c r="G27" s="47">
        <v>93</v>
      </c>
      <c r="I27" s="24">
        <f t="shared" si="0"/>
        <v>5.6737588652482271</v>
      </c>
      <c r="J27" s="24">
        <f t="shared" si="0"/>
        <v>4.9349881796690305</v>
      </c>
    </row>
    <row r="28" spans="1:10" x14ac:dyDescent="0.3">
      <c r="A28" s="42">
        <v>2015</v>
      </c>
      <c r="B28" s="43">
        <v>286</v>
      </c>
      <c r="C28" s="43">
        <v>186</v>
      </c>
      <c r="D28" s="43">
        <v>159</v>
      </c>
      <c r="E28" s="43">
        <v>159</v>
      </c>
      <c r="F28" s="43">
        <v>155</v>
      </c>
      <c r="G28" s="43">
        <v>97</v>
      </c>
      <c r="I28" s="24">
        <f t="shared" si="0"/>
        <v>5.4964539007092199</v>
      </c>
      <c r="J28" s="24">
        <f t="shared" si="0"/>
        <v>4.6985815602836887</v>
      </c>
    </row>
    <row r="29" spans="1:10" x14ac:dyDescent="0.3">
      <c r="A29" s="46">
        <v>2016</v>
      </c>
      <c r="B29" s="47">
        <v>273</v>
      </c>
      <c r="C29" s="47">
        <v>181</v>
      </c>
      <c r="D29" s="47">
        <v>151</v>
      </c>
      <c r="E29" s="47">
        <v>156</v>
      </c>
      <c r="F29" s="47">
        <v>155</v>
      </c>
      <c r="G29" s="47">
        <v>89</v>
      </c>
      <c r="I29" s="24">
        <f t="shared" si="0"/>
        <v>5.3486997635933804</v>
      </c>
      <c r="J29" s="24">
        <f t="shared" si="0"/>
        <v>4.4621749408983451</v>
      </c>
    </row>
    <row r="30" spans="1:10" x14ac:dyDescent="0.3">
      <c r="A30" s="42">
        <v>2017</v>
      </c>
      <c r="B30" s="43">
        <v>266</v>
      </c>
      <c r="C30" s="43">
        <v>180</v>
      </c>
      <c r="D30" s="43">
        <v>152</v>
      </c>
      <c r="E30" s="43">
        <v>152</v>
      </c>
      <c r="F30" s="43">
        <v>144</v>
      </c>
      <c r="G30" s="43">
        <v>80</v>
      </c>
      <c r="I30" s="24">
        <f t="shared" si="0"/>
        <v>5.3191489361702136</v>
      </c>
      <c r="J30" s="24">
        <f t="shared" si="0"/>
        <v>4.4917257683215137</v>
      </c>
    </row>
    <row r="31" spans="1:10" x14ac:dyDescent="0.3">
      <c r="A31" s="46">
        <v>2018</v>
      </c>
      <c r="B31" s="47">
        <v>277</v>
      </c>
      <c r="C31" s="47">
        <v>189</v>
      </c>
      <c r="D31" s="47">
        <v>159</v>
      </c>
      <c r="E31" s="47">
        <v>161</v>
      </c>
      <c r="F31" s="47">
        <v>146</v>
      </c>
      <c r="G31" s="47">
        <v>72</v>
      </c>
      <c r="I31" s="24">
        <f t="shared" si="0"/>
        <v>5.5851063829787231</v>
      </c>
      <c r="J31" s="24">
        <f t="shared" si="0"/>
        <v>4.6985815602836887</v>
      </c>
    </row>
    <row r="32" spans="1:10" x14ac:dyDescent="0.3">
      <c r="A32" s="42">
        <v>2019</v>
      </c>
      <c r="B32" s="43">
        <v>294</v>
      </c>
      <c r="C32" s="43">
        <v>199</v>
      </c>
      <c r="D32" s="43">
        <v>168</v>
      </c>
      <c r="E32" s="43">
        <v>165</v>
      </c>
      <c r="F32" s="43">
        <v>143</v>
      </c>
      <c r="G32" s="43">
        <v>91</v>
      </c>
      <c r="I32" s="24">
        <f t="shared" si="0"/>
        <v>5.8806146572104021</v>
      </c>
      <c r="J32" s="24">
        <f t="shared" si="0"/>
        <v>4.9645390070921991</v>
      </c>
    </row>
    <row r="33" spans="1:10" x14ac:dyDescent="0.3">
      <c r="A33" s="46">
        <v>2020</v>
      </c>
      <c r="B33" s="56">
        <v>310.75</v>
      </c>
      <c r="C33" s="56">
        <v>198.75</v>
      </c>
      <c r="D33" s="56">
        <v>171.25</v>
      </c>
      <c r="E33" s="56">
        <v>160.66666666666666</v>
      </c>
      <c r="F33" s="56">
        <v>150.25</v>
      </c>
      <c r="G33" s="56">
        <v>99.5</v>
      </c>
      <c r="I33" s="24">
        <f t="shared" si="0"/>
        <v>5.8732269503546108</v>
      </c>
      <c r="J33" s="24">
        <f t="shared" si="0"/>
        <v>5.0605791962174944</v>
      </c>
    </row>
    <row r="34" spans="1:10" x14ac:dyDescent="0.3">
      <c r="A34" s="42">
        <v>2021</v>
      </c>
      <c r="B34" s="54">
        <v>323.75</v>
      </c>
      <c r="C34" s="54">
        <v>192.25</v>
      </c>
      <c r="D34" s="54">
        <v>163.5</v>
      </c>
      <c r="E34" s="54">
        <v>176</v>
      </c>
      <c r="F34" s="54">
        <v>146.25</v>
      </c>
      <c r="G34" s="54">
        <v>99.5</v>
      </c>
      <c r="I34" s="24">
        <f t="shared" si="0"/>
        <v>5.6811465721040193</v>
      </c>
      <c r="J34" s="24">
        <f t="shared" si="0"/>
        <v>4.8315602836879439</v>
      </c>
    </row>
    <row r="35" spans="1:10" x14ac:dyDescent="0.3">
      <c r="A35" s="46"/>
      <c r="B35" s="57"/>
      <c r="C35" s="57"/>
      <c r="D35" s="57"/>
      <c r="E35" s="57"/>
      <c r="F35" s="57"/>
      <c r="G35" s="57"/>
    </row>
    <row r="37" spans="1:10" x14ac:dyDescent="0.3">
      <c r="A37" s="58" t="s">
        <v>612</v>
      </c>
      <c r="B37" s="59"/>
      <c r="C37" s="59"/>
      <c r="D37" s="59"/>
      <c r="E37" s="59"/>
      <c r="F37" s="59"/>
      <c r="G37" s="59"/>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controller</vt:lpstr>
      <vt:lpstr>Demand</vt:lpstr>
      <vt:lpstr>Prices</vt:lpstr>
      <vt:lpstr>TechnicalSpec</vt:lpstr>
      <vt:lpstr>INDATA_FILL_DEMAND</vt:lpstr>
      <vt:lpstr>Scenarios_Data</vt:lpstr>
      <vt:lpstr>INDATA_Defining_Quantitative</vt:lpstr>
      <vt:lpstr>Scenarios_Qualitative</vt:lpstr>
      <vt:lpstr>Global</vt:lpstr>
      <vt:lpstr>Gällivare</vt:lpstr>
      <vt:lpstr>Price of Electricity</vt:lpstr>
      <vt:lpstr>Price of Peat</vt:lpstr>
      <vt:lpstr>Price of Biofuels</vt:lpstr>
      <vt:lpstr>Price of Solid biomass</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2023-03-20T07:02:44Z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