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FIRE" sheetId="1" r:id="rId4"/>
    <sheet state="visible" name="Income per month" sheetId="2" r:id="rId5"/>
    <sheet state="visible" name="Values 1" sheetId="3" r:id="rId6"/>
    <sheet state="visible" name="Values 2" sheetId="4" r:id="rId7"/>
    <sheet state="visible" name="VGS" sheetId="5" r:id="rId8"/>
    <sheet state="visible" name="IVV" sheetId="6" r:id="rId9"/>
    <sheet state="visible" name="VTS" sheetId="7" r:id="rId10"/>
    <sheet state="visible" name="VAS" sheetId="8" r:id="rId11"/>
    <sheet state="visible" name="A200" sheetId="9" r:id="rId12"/>
    <sheet state="visible" name="VEU" sheetId="10" r:id="rId13"/>
  </sheets>
  <definedNames/>
  <calcPr/>
</workbook>
</file>

<file path=xl/sharedStrings.xml><?xml version="1.0" encoding="utf-8"?>
<sst xmlns="http://schemas.openxmlformats.org/spreadsheetml/2006/main" count="207" uniqueCount="29">
  <si>
    <t>Current total</t>
  </si>
  <si>
    <t>Saving per month</t>
  </si>
  <si>
    <t>Allocation strategy</t>
  </si>
  <si>
    <t>Current price</t>
  </si>
  <si>
    <t>VGS</t>
  </si>
  <si>
    <t>aus</t>
  </si>
  <si>
    <t>corrected with cash savings when ETF was not available</t>
  </si>
  <si>
    <t>IVV</t>
  </si>
  <si>
    <t>VTS</t>
  </si>
  <si>
    <t>US</t>
  </si>
  <si>
    <t>VAS</t>
  </si>
  <si>
    <t>A200</t>
  </si>
  <si>
    <t>VEU</t>
  </si>
  <si>
    <t>VAS 20 + VGS 80</t>
  </si>
  <si>
    <t>VAS 25 + VGS 75</t>
  </si>
  <si>
    <t>VAS 50 + VGS 50</t>
  </si>
  <si>
    <t>A200 25 + VGS 75</t>
  </si>
  <si>
    <t>A200 50 + VGS 50</t>
  </si>
  <si>
    <t>A200 33 + VTS 34 + VEU 33</t>
  </si>
  <si>
    <t>VAS 33 + VTS 34 + VEU 33</t>
  </si>
  <si>
    <t>VAS 20 + VTS 60 + VEU 20</t>
  </si>
  <si>
    <t>A200 35 + VAS 35 + VTS 15 + VEU 15</t>
  </si>
  <si>
    <t>VAS 20 + IVV 60 + VEU 20</t>
  </si>
  <si>
    <t>Month</t>
  </si>
  <si>
    <t>Income/Salary</t>
  </si>
  <si>
    <t>NOV-DEC 2011</t>
  </si>
  <si>
    <t>NDQ</t>
  </si>
  <si>
    <t>Saved</t>
  </si>
  <si>
    <t>Invested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</si>
</sst>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/d/yyyy h:mm:ss"/>
  </numFmts>
  <fonts count="13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rgb="FFFFFFFF"/>
      <name val="Arial"/>
      <scheme val="minor"/>
    </font>
    <font>
      <b/>
      <sz val="9.0"/>
      <color rgb="FFFFFFFF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b/>
      <sz val="9.0"/>
      <color rgb="FF000000"/>
      <name val="Arial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2" fontId="3" numFmtId="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5" numFmtId="4" xfId="0" applyAlignment="1" applyFill="1" applyFont="1" applyNumberFormat="1">
      <alignment readingOrder="0"/>
    </xf>
    <xf borderId="0" fillId="0" fontId="5" numFmtId="4" xfId="0" applyFont="1" applyNumberFormat="1"/>
    <xf borderId="0" fillId="0" fontId="4" numFmtId="4" xfId="0" applyFont="1" applyNumberFormat="1"/>
    <xf borderId="0" fillId="3" fontId="4" numFmtId="4" xfId="0" applyFont="1" applyNumberFormat="1"/>
    <xf borderId="0" fillId="0" fontId="5" numFmtId="0" xfId="0" applyFont="1"/>
    <xf borderId="0" fillId="0" fontId="6" numFmtId="0" xfId="0" applyAlignment="1" applyFont="1">
      <alignment horizontal="right" readingOrder="0"/>
    </xf>
    <xf borderId="0" fillId="4" fontId="5" numFmtId="4" xfId="0" applyAlignment="1" applyFill="1" applyFont="1" applyNumberFormat="1">
      <alignment horizontal="right" readingOrder="0"/>
    </xf>
    <xf borderId="0" fillId="0" fontId="6" numFmtId="164" xfId="0" applyAlignment="1" applyFont="1" applyNumberFormat="1">
      <alignment horizontal="right" readingOrder="0"/>
    </xf>
    <xf borderId="1" fillId="0" fontId="6" numFmtId="164" xfId="0" applyAlignment="1" applyBorder="1" applyFont="1" applyNumberFormat="1">
      <alignment horizontal="right" readingOrder="0"/>
    </xf>
    <xf borderId="2" fillId="0" fontId="6" numFmtId="164" xfId="0" applyAlignment="1" applyBorder="1" applyFont="1" applyNumberFormat="1">
      <alignment horizontal="right" readingOrder="0"/>
    </xf>
    <xf borderId="0" fillId="0" fontId="7" numFmtId="0" xfId="0" applyFont="1"/>
    <xf borderId="0" fillId="4" fontId="5" numFmtId="0" xfId="0" applyFont="1"/>
    <xf borderId="0" fillId="5" fontId="8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5" fontId="9" numFmtId="0" xfId="0" applyAlignment="1" applyFont="1">
      <alignment vertical="bottom"/>
    </xf>
    <xf borderId="0" fillId="0" fontId="9" numFmtId="165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9" numFmtId="165" xfId="0" applyAlignment="1" applyFont="1" applyNumberFormat="1">
      <alignment vertical="bottom"/>
    </xf>
    <xf borderId="0" fillId="6" fontId="8" numFmtId="0" xfId="0" applyAlignment="1" applyFill="1" applyFont="1">
      <alignment vertical="bottom"/>
    </xf>
    <xf borderId="0" fillId="6" fontId="9" numFmtId="0" xfId="0" applyAlignment="1" applyFont="1">
      <alignment vertical="bottom"/>
    </xf>
    <xf borderId="0" fillId="6" fontId="10" numFmtId="0" xfId="0" applyAlignment="1" applyFont="1">
      <alignment readingOrder="0"/>
    </xf>
    <xf borderId="0" fillId="6" fontId="4" numFmtId="0" xfId="0" applyFont="1"/>
    <xf borderId="0" fillId="0" fontId="9" numFmtId="0" xfId="0" applyAlignment="1" applyFont="1">
      <alignment readingOrder="0" vertical="bottom"/>
    </xf>
    <xf borderId="0" fillId="0" fontId="4" numFmtId="0" xfId="0" applyFont="1"/>
    <xf borderId="0" fillId="2" fontId="11" numFmtId="0" xfId="0" applyAlignment="1" applyFont="1">
      <alignment vertical="bottom"/>
    </xf>
    <xf borderId="0" fillId="2" fontId="1" numFmtId="0" xfId="0" applyFont="1"/>
    <xf borderId="0" fillId="2" fontId="1" numFmtId="4" xfId="0" applyFont="1" applyNumberFormat="1"/>
    <xf borderId="0" fillId="2" fontId="1" numFmtId="4" xfId="0" applyAlignment="1" applyFont="1" applyNumberFormat="1">
      <alignment readingOrder="0"/>
    </xf>
    <xf borderId="0" fillId="2" fontId="12" numFmtId="0" xfId="0" applyFont="1"/>
    <xf borderId="0" fillId="0" fontId="5" numFmtId="2" xfId="0" applyFont="1" applyNumberForma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0.38"/>
    <col customWidth="1" min="3" max="13" width="12.0"/>
  </cols>
  <sheetData>
    <row r="1">
      <c r="A1" s="1" t="s">
        <v>0</v>
      </c>
      <c r="B1" s="2"/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</row>
    <row r="2">
      <c r="A2" s="1" t="s">
        <v>2</v>
      </c>
      <c r="B2" s="1" t="s">
        <v>3</v>
      </c>
      <c r="C2" s="4">
        <v>0.05</v>
      </c>
      <c r="D2" s="4">
        <v>0.1</v>
      </c>
      <c r="E2" s="4">
        <v>0.15</v>
      </c>
      <c r="F2" s="4">
        <v>0.2</v>
      </c>
      <c r="G2" s="4">
        <v>0.3</v>
      </c>
      <c r="H2" s="4">
        <v>0.4</v>
      </c>
      <c r="I2" s="4">
        <v>0.5</v>
      </c>
      <c r="J2" s="4">
        <v>0.6</v>
      </c>
      <c r="K2" s="4">
        <v>0.7</v>
      </c>
      <c r="L2" s="4">
        <v>0.8</v>
      </c>
      <c r="M2" s="4">
        <v>0.9</v>
      </c>
    </row>
    <row r="3">
      <c r="A3" s="5" t="s">
        <v>4</v>
      </c>
      <c r="B3" s="6">
        <f>IFERROR(__xludf.DUMMYFUNCTION("GOOGLEFINANCE(CONCAT(""ASX:"",A3))"),105.01)</f>
        <v>105.01</v>
      </c>
      <c r="C3" s="7">
        <f>VGS!F$352*$B3+SUM(VGS!E3:E37)</f>
        <v>9618.91986</v>
      </c>
      <c r="D3" s="7">
        <f>VGS!H$352*$B3+SUM(VGS!G3:G37)</f>
        <v>19237.83972</v>
      </c>
      <c r="E3" s="7">
        <f>VGS!J$352*$B3+SUM(VGS!I3:I37)</f>
        <v>28856.75958</v>
      </c>
      <c r="F3" s="7">
        <f>VGS!L$352*$B3+SUM(VGS!K3:K37)</f>
        <v>38475.67944</v>
      </c>
      <c r="G3" s="7">
        <f>VGS!N$352*$B3+SUM(VGS!M3:M37)</f>
        <v>57713.51916</v>
      </c>
      <c r="H3" s="7">
        <f>VGS!P$352*$B3+SUM(VGS!O3:O37)</f>
        <v>76951.35888</v>
      </c>
      <c r="I3" s="7">
        <f>VGS!R$352*$B3+SUM(VGS!Q3:Q37)</f>
        <v>96189.1986</v>
      </c>
      <c r="J3" s="7">
        <f>VGS!T$352*$B3+SUM(VGS!S3:S37)</f>
        <v>115427.0383</v>
      </c>
      <c r="K3" s="7">
        <f>VGS!V$352*$B3+SUM(VGS!U3:U37)</f>
        <v>134664.878</v>
      </c>
      <c r="L3" s="7">
        <f>VGS!X$352*$B3+SUM(VGS!W3:W37)</f>
        <v>153902.7178</v>
      </c>
      <c r="M3" s="7">
        <f>VGS!Z$352*$B3+SUM(VGS!Y3:Y37)</f>
        <v>173140.5575</v>
      </c>
      <c r="N3" s="5" t="s">
        <v>5</v>
      </c>
      <c r="O3" s="5" t="s">
        <v>6</v>
      </c>
    </row>
    <row r="4">
      <c r="A4" s="5" t="s">
        <v>7</v>
      </c>
      <c r="B4" s="6">
        <f>IFERROR(__xludf.DUMMYFUNCTION("GOOGLEFINANCE(CONCAT(""ASX:"",A4))"),44.48)</f>
        <v>44.48</v>
      </c>
      <c r="C4" s="7">
        <f>IVV!F$352*$B4</f>
        <v>16250.80164</v>
      </c>
      <c r="D4" s="7">
        <f>IVV!H$352*$B4</f>
        <v>32501.60328</v>
      </c>
      <c r="E4" s="7">
        <f>IVV!J$352*$B4</f>
        <v>48752.40493</v>
      </c>
      <c r="F4" s="7">
        <f>IVV!L$352*$B4</f>
        <v>65003.20657</v>
      </c>
      <c r="G4" s="7">
        <f>IVV!N$352*$B4</f>
        <v>97504.80985</v>
      </c>
      <c r="H4" s="7">
        <f>IVV!P$352*$B4</f>
        <v>130006.4131</v>
      </c>
      <c r="I4" s="7">
        <f>IVV!R$352*$B4</f>
        <v>162508.0164</v>
      </c>
      <c r="J4" s="7">
        <f>IVV!T$352*$B4</f>
        <v>195009.6197</v>
      </c>
      <c r="K4" s="7">
        <f>IVV!V$352*$B4</f>
        <v>227511.223</v>
      </c>
      <c r="L4" s="7">
        <f>IVV!X$352*$B4</f>
        <v>260012.8263</v>
      </c>
      <c r="M4" s="7">
        <f>IVV!Z$352*$B4</f>
        <v>292514.4296</v>
      </c>
      <c r="N4" s="5" t="s">
        <v>5</v>
      </c>
    </row>
    <row r="5">
      <c r="A5" s="5" t="s">
        <v>8</v>
      </c>
      <c r="B5" s="6">
        <f>IFERROR(__xludf.DUMMYFUNCTION("GOOGLEFINANCE(CONCAT(""ASX:"",A5))"),330.23)</f>
        <v>330.23</v>
      </c>
      <c r="C5" s="7">
        <f>VTS!F$352*$B5</f>
        <v>15732.59027</v>
      </c>
      <c r="D5" s="7">
        <f>VTS!H$352*$B5</f>
        <v>31465.18054</v>
      </c>
      <c r="E5" s="7">
        <f>VTS!J$352*$B5</f>
        <v>47197.77081</v>
      </c>
      <c r="F5" s="7">
        <f>VTS!L$352*$B5</f>
        <v>62930.36107</v>
      </c>
      <c r="G5" s="7">
        <f>VTS!N$352*$B5</f>
        <v>94395.54161</v>
      </c>
      <c r="H5" s="7">
        <f>VTS!P$352*$B5</f>
        <v>125860.7221</v>
      </c>
      <c r="I5" s="7">
        <f>VTS!R$352*$B5</f>
        <v>157325.9027</v>
      </c>
      <c r="J5" s="7">
        <f>VTS!T$352*$B5</f>
        <v>188791.0832</v>
      </c>
      <c r="K5" s="7">
        <f>VTS!V$352*$B5</f>
        <v>220256.2638</v>
      </c>
      <c r="L5" s="7">
        <f>VTS!X$352*$B5</f>
        <v>251721.4443</v>
      </c>
      <c r="M5" s="7">
        <f>VTS!Z$352*$B5</f>
        <v>283186.6248</v>
      </c>
      <c r="N5" s="5" t="s">
        <v>9</v>
      </c>
    </row>
    <row r="6">
      <c r="A6" s="5" t="s">
        <v>10</v>
      </c>
      <c r="B6" s="6">
        <f>IFERROR(__xludf.DUMMYFUNCTION("GOOGLEFINANCE(CONCAT(""ASX:"",A6))"),85.98)</f>
        <v>85.98</v>
      </c>
      <c r="C6" s="7">
        <f>VAS!F$352*$B6</f>
        <v>8299.66726</v>
      </c>
      <c r="D6" s="7">
        <f>VAS!H$352*$B6</f>
        <v>16599.33452</v>
      </c>
      <c r="E6" s="7">
        <f>VAS!J$352*$B6</f>
        <v>24899.00178</v>
      </c>
      <c r="F6" s="7">
        <f>VAS!L$352*$B6</f>
        <v>33198.66904</v>
      </c>
      <c r="G6" s="7">
        <f>VAS!N$352*$B6</f>
        <v>49798.00356</v>
      </c>
      <c r="H6" s="7">
        <f>VAS!P$352*$B6</f>
        <v>66397.33808</v>
      </c>
      <c r="I6" s="7">
        <f>VAS!R$352*$B6</f>
        <v>82996.6726</v>
      </c>
      <c r="J6" s="7">
        <f>VAS!T$352*$B6</f>
        <v>99596.00713</v>
      </c>
      <c r="K6" s="7">
        <f>VAS!V$352*$B6</f>
        <v>116195.3416</v>
      </c>
      <c r="L6" s="7">
        <f>VAS!X$352*$B6</f>
        <v>132794.6762</v>
      </c>
      <c r="M6" s="7">
        <f>VAS!Z$352*$B6</f>
        <v>149394.0107</v>
      </c>
      <c r="N6" s="5" t="s">
        <v>5</v>
      </c>
    </row>
    <row r="7">
      <c r="A7" s="5" t="s">
        <v>11</v>
      </c>
      <c r="B7" s="6">
        <f>IFERROR(__xludf.DUMMYFUNCTION("GOOGLEFINANCE(CONCAT(""ASX:"",A7))"),115.56)</f>
        <v>115.56</v>
      </c>
      <c r="C7" s="7">
        <f>'A200'!F$352*$B7+SUM('A200'!E3:E79)</f>
        <v>7288.637913</v>
      </c>
      <c r="D7" s="7">
        <f>'A200'!H$352*$B7+SUM('A200'!G3:G79)</f>
        <v>14577.27583</v>
      </c>
      <c r="E7" s="7">
        <f>'A200'!J$352*$B7+SUM('A200'!I3:I79)</f>
        <v>21865.91374</v>
      </c>
      <c r="F7" s="7">
        <f>SUM('A200'!E3:E79)+SUM('A200'!K3:K79)</f>
        <v>19250</v>
      </c>
      <c r="G7" s="7">
        <f>'A200'!N$352*$B7+SUM('A200'!M3:M79)</f>
        <v>43731.82748</v>
      </c>
      <c r="H7" s="7">
        <f>'A200'!P$352*$B7+SUM('A200'!O3:O79)</f>
        <v>58309.1033</v>
      </c>
      <c r="I7" s="7">
        <f>'A200'!R$352*$B7+SUM('A200'!Q3:Q79)</f>
        <v>72886.37913</v>
      </c>
      <c r="J7" s="7">
        <f>'A200'!T$352*$B7+SUM('A200'!S3:S79)</f>
        <v>87463.65496</v>
      </c>
      <c r="K7" s="7">
        <f>'A200'!V$352*$B7+SUM('A200'!U3:U79)</f>
        <v>102040.9308</v>
      </c>
      <c r="L7" s="7">
        <f>'A200'!X$352*$B7+SUM('A200'!W3:W79)</f>
        <v>116618.2066</v>
      </c>
      <c r="M7" s="7">
        <f>'A200'!Z$352*$B7+SUM('A200'!Y3:Y79)</f>
        <v>131195.4824</v>
      </c>
      <c r="N7" s="5" t="s">
        <v>5</v>
      </c>
      <c r="O7" s="5" t="s">
        <v>6</v>
      </c>
    </row>
    <row r="8">
      <c r="A8" s="5" t="s">
        <v>12</v>
      </c>
      <c r="B8" s="6">
        <f>IFERROR(__xludf.DUMMYFUNCTION("GOOGLEFINANCE(CONCAT(""ASX:"",A8))"),80.23)</f>
        <v>80.23</v>
      </c>
      <c r="C8" s="7">
        <f>VEU!F$352*$B8</f>
        <v>9105.9381</v>
      </c>
      <c r="D8" s="7">
        <f>VEU!H$352*$B8</f>
        <v>18211.8762</v>
      </c>
      <c r="E8" s="7">
        <f>VEU!J$352*$B8</f>
        <v>27317.8143</v>
      </c>
      <c r="F8" s="7">
        <f>VEU!L$352*$B8</f>
        <v>36423.7524</v>
      </c>
      <c r="G8" s="7">
        <f>VEU!N$352*$B8</f>
        <v>54635.6286</v>
      </c>
      <c r="H8" s="7">
        <f>VEU!P$352*$B8</f>
        <v>72847.5048</v>
      </c>
      <c r="I8" s="7">
        <f>VEU!R$352*$B8</f>
        <v>91059.381</v>
      </c>
      <c r="J8" s="7">
        <f>VEU!T$352*$B8</f>
        <v>109271.2572</v>
      </c>
      <c r="K8" s="7">
        <f>VEU!V$352*$B8</f>
        <v>127483.1334</v>
      </c>
      <c r="L8" s="7">
        <f>VEU!X$352*$B8</f>
        <v>145695.0096</v>
      </c>
      <c r="M8" s="7">
        <f>VEU!Z$352*$B8</f>
        <v>163906.8858</v>
      </c>
      <c r="N8" s="5" t="s">
        <v>9</v>
      </c>
    </row>
    <row r="9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3">
      <c r="A13" s="5" t="s">
        <v>13</v>
      </c>
      <c r="B13" s="9"/>
      <c r="C13" s="8">
        <f t="shared" ref="C13:M13" si="1">C6*20%+C3*80%</f>
        <v>9355.06934</v>
      </c>
      <c r="D13" s="8">
        <f t="shared" si="1"/>
        <v>18710.13868</v>
      </c>
      <c r="E13" s="8">
        <f t="shared" si="1"/>
        <v>28065.20802</v>
      </c>
      <c r="F13" s="8">
        <f t="shared" si="1"/>
        <v>37420.27736</v>
      </c>
      <c r="G13" s="8">
        <f t="shared" si="1"/>
        <v>56130.41604</v>
      </c>
      <c r="H13" s="8">
        <f t="shared" si="1"/>
        <v>74840.55472</v>
      </c>
      <c r="I13" s="8">
        <f t="shared" si="1"/>
        <v>93550.6934</v>
      </c>
      <c r="J13" s="8">
        <f t="shared" si="1"/>
        <v>112260.8321</v>
      </c>
      <c r="K13" s="8">
        <f t="shared" si="1"/>
        <v>130970.9708</v>
      </c>
      <c r="L13" s="8">
        <f t="shared" si="1"/>
        <v>149681.1094</v>
      </c>
      <c r="M13" s="8">
        <f t="shared" si="1"/>
        <v>168391.2481</v>
      </c>
    </row>
    <row r="14">
      <c r="A14" s="5" t="s">
        <v>14</v>
      </c>
      <c r="B14" s="9"/>
      <c r="C14" s="8">
        <f t="shared" ref="C14:M14" si="2">C6*25%+C3*75%</f>
        <v>9289.10671</v>
      </c>
      <c r="D14" s="8">
        <f t="shared" si="2"/>
        <v>18578.21342</v>
      </c>
      <c r="E14" s="8">
        <f t="shared" si="2"/>
        <v>27867.32013</v>
      </c>
      <c r="F14" s="8">
        <f t="shared" si="2"/>
        <v>37156.42684</v>
      </c>
      <c r="G14" s="8">
        <f t="shared" si="2"/>
        <v>55734.64026</v>
      </c>
      <c r="H14" s="8">
        <f t="shared" si="2"/>
        <v>74312.85368</v>
      </c>
      <c r="I14" s="8">
        <f t="shared" si="2"/>
        <v>92891.0671</v>
      </c>
      <c r="J14" s="8">
        <f t="shared" si="2"/>
        <v>111469.2805</v>
      </c>
      <c r="K14" s="8">
        <f t="shared" si="2"/>
        <v>130047.4939</v>
      </c>
      <c r="L14" s="8">
        <f t="shared" si="2"/>
        <v>148625.7074</v>
      </c>
      <c r="M14" s="8">
        <f t="shared" si="2"/>
        <v>167203.9208</v>
      </c>
    </row>
    <row r="15">
      <c r="A15" s="5" t="s">
        <v>15</v>
      </c>
      <c r="B15" s="9"/>
      <c r="C15" s="8">
        <f t="shared" ref="C15:M15" si="3">C6*50%+C3*50%</f>
        <v>8959.29356</v>
      </c>
      <c r="D15" s="8">
        <f t="shared" si="3"/>
        <v>17918.58712</v>
      </c>
      <c r="E15" s="8">
        <f t="shared" si="3"/>
        <v>26877.88068</v>
      </c>
      <c r="F15" s="8">
        <f t="shared" si="3"/>
        <v>35837.17424</v>
      </c>
      <c r="G15" s="8">
        <f t="shared" si="3"/>
        <v>53755.76136</v>
      </c>
      <c r="H15" s="8">
        <f t="shared" si="3"/>
        <v>71674.34848</v>
      </c>
      <c r="I15" s="8">
        <f t="shared" si="3"/>
        <v>89592.9356</v>
      </c>
      <c r="J15" s="8">
        <f t="shared" si="3"/>
        <v>107511.5227</v>
      </c>
      <c r="K15" s="8">
        <f t="shared" si="3"/>
        <v>125430.1098</v>
      </c>
      <c r="L15" s="8">
        <f t="shared" si="3"/>
        <v>143348.697</v>
      </c>
      <c r="M15" s="8">
        <f t="shared" si="3"/>
        <v>161267.2841</v>
      </c>
    </row>
    <row r="16">
      <c r="A16" s="5" t="s">
        <v>16</v>
      </c>
      <c r="B16" s="9"/>
      <c r="C16" s="8">
        <f t="shared" ref="C16:M16" si="4">C7*25%+C3*75%</f>
        <v>9036.349373</v>
      </c>
      <c r="D16" s="8">
        <f t="shared" si="4"/>
        <v>18072.69875</v>
      </c>
      <c r="E16" s="8">
        <f t="shared" si="4"/>
        <v>27109.04812</v>
      </c>
      <c r="F16" s="8">
        <f t="shared" si="4"/>
        <v>33669.25958</v>
      </c>
      <c r="G16" s="8">
        <f t="shared" si="4"/>
        <v>54218.09624</v>
      </c>
      <c r="H16" s="8">
        <f t="shared" si="4"/>
        <v>72290.79499</v>
      </c>
      <c r="I16" s="8">
        <f t="shared" si="4"/>
        <v>90363.49373</v>
      </c>
      <c r="J16" s="8">
        <f t="shared" si="4"/>
        <v>108436.1925</v>
      </c>
      <c r="K16" s="8">
        <f t="shared" si="4"/>
        <v>126508.8912</v>
      </c>
      <c r="L16" s="8">
        <f t="shared" si="4"/>
        <v>144581.59</v>
      </c>
      <c r="M16" s="8">
        <f t="shared" si="4"/>
        <v>162654.2887</v>
      </c>
    </row>
    <row r="17">
      <c r="A17" s="5" t="s">
        <v>17</v>
      </c>
      <c r="B17" s="9"/>
      <c r="C17" s="8">
        <f t="shared" ref="C17:M17" si="5">C7*50%+C3*50%</f>
        <v>8453.778887</v>
      </c>
      <c r="D17" s="8">
        <f t="shared" si="5"/>
        <v>16907.55777</v>
      </c>
      <c r="E17" s="8">
        <f t="shared" si="5"/>
        <v>25361.33666</v>
      </c>
      <c r="F17" s="8">
        <f t="shared" si="5"/>
        <v>28862.83972</v>
      </c>
      <c r="G17" s="8">
        <f t="shared" si="5"/>
        <v>50722.67332</v>
      </c>
      <c r="H17" s="8">
        <f t="shared" si="5"/>
        <v>67630.23109</v>
      </c>
      <c r="I17" s="8">
        <f t="shared" si="5"/>
        <v>84537.78887</v>
      </c>
      <c r="J17" s="8">
        <f t="shared" si="5"/>
        <v>101445.3466</v>
      </c>
      <c r="K17" s="8">
        <f t="shared" si="5"/>
        <v>118352.9044</v>
      </c>
      <c r="L17" s="8">
        <f t="shared" si="5"/>
        <v>135260.4622</v>
      </c>
      <c r="M17" s="8">
        <f t="shared" si="5"/>
        <v>152168.02</v>
      </c>
    </row>
    <row r="18">
      <c r="A18" s="5" t="s">
        <v>18</v>
      </c>
      <c r="B18" s="9"/>
      <c r="C18" s="8">
        <f t="shared" ref="C18:M18" si="6">C7*33%+C5*34%+C8*33%</f>
        <v>10759.29078</v>
      </c>
      <c r="D18" s="8">
        <f t="shared" si="6"/>
        <v>21518.58155</v>
      </c>
      <c r="E18" s="8">
        <f t="shared" si="6"/>
        <v>32277.87233</v>
      </c>
      <c r="F18" s="8">
        <f t="shared" si="6"/>
        <v>39768.66106</v>
      </c>
      <c r="G18" s="8">
        <f t="shared" si="6"/>
        <v>64555.74465</v>
      </c>
      <c r="H18" s="8">
        <f t="shared" si="6"/>
        <v>86074.3262</v>
      </c>
      <c r="I18" s="8">
        <f t="shared" si="6"/>
        <v>107592.9078</v>
      </c>
      <c r="J18" s="8">
        <f t="shared" si="6"/>
        <v>129111.4893</v>
      </c>
      <c r="K18" s="8">
        <f t="shared" si="6"/>
        <v>150630.0709</v>
      </c>
      <c r="L18" s="8">
        <f t="shared" si="6"/>
        <v>172148.6524</v>
      </c>
      <c r="M18" s="8">
        <f t="shared" si="6"/>
        <v>193667.234</v>
      </c>
    </row>
    <row r="19">
      <c r="A19" s="5" t="s">
        <v>19</v>
      </c>
      <c r="B19" s="9"/>
      <c r="C19" s="8">
        <f t="shared" ref="C19:M19" si="7">C6*33%+C5*34%+C8*33%</f>
        <v>11092.93046</v>
      </c>
      <c r="D19" s="8">
        <f t="shared" si="7"/>
        <v>22185.86092</v>
      </c>
      <c r="E19" s="8">
        <f t="shared" si="7"/>
        <v>33278.79138</v>
      </c>
      <c r="F19" s="8">
        <f t="shared" si="7"/>
        <v>44371.72184</v>
      </c>
      <c r="G19" s="8">
        <f t="shared" si="7"/>
        <v>66557.58276</v>
      </c>
      <c r="H19" s="8">
        <f t="shared" si="7"/>
        <v>88743.44368</v>
      </c>
      <c r="I19" s="8">
        <f t="shared" si="7"/>
        <v>110929.3046</v>
      </c>
      <c r="J19" s="8">
        <f t="shared" si="7"/>
        <v>133115.1655</v>
      </c>
      <c r="K19" s="8">
        <f t="shared" si="7"/>
        <v>155301.0264</v>
      </c>
      <c r="L19" s="8">
        <f t="shared" si="7"/>
        <v>177486.8874</v>
      </c>
      <c r="M19" s="8">
        <f t="shared" si="7"/>
        <v>199672.7483</v>
      </c>
    </row>
    <row r="20">
      <c r="A20" s="5" t="s">
        <v>20</v>
      </c>
      <c r="B20" s="9"/>
      <c r="C20" s="8">
        <f t="shared" ref="C20:M20" si="8">C6*20%+C5*60%+C8*20%</f>
        <v>12920.67523</v>
      </c>
      <c r="D20" s="8">
        <f t="shared" si="8"/>
        <v>25841.35047</v>
      </c>
      <c r="E20" s="8">
        <f t="shared" si="8"/>
        <v>38762.0257</v>
      </c>
      <c r="F20" s="8">
        <f t="shared" si="8"/>
        <v>51682.70093</v>
      </c>
      <c r="G20" s="8">
        <f t="shared" si="8"/>
        <v>77524.0514</v>
      </c>
      <c r="H20" s="8">
        <f t="shared" si="8"/>
        <v>103365.4019</v>
      </c>
      <c r="I20" s="8">
        <f t="shared" si="8"/>
        <v>129206.7523</v>
      </c>
      <c r="J20" s="8">
        <f t="shared" si="8"/>
        <v>155048.1028</v>
      </c>
      <c r="K20" s="8">
        <f t="shared" si="8"/>
        <v>180889.4533</v>
      </c>
      <c r="L20" s="8">
        <f t="shared" si="8"/>
        <v>206730.8037</v>
      </c>
      <c r="M20" s="8">
        <f t="shared" si="8"/>
        <v>232572.1542</v>
      </c>
      <c r="N20" s="7"/>
    </row>
    <row r="21">
      <c r="A21" s="5" t="s">
        <v>21</v>
      </c>
      <c r="B21" s="9"/>
      <c r="C21" s="8">
        <f t="shared" ref="C21:M21" si="9">C7*35%+C6*35%+C5*15%+C8*15%</f>
        <v>9181.686066</v>
      </c>
      <c r="D21" s="8">
        <f t="shared" si="9"/>
        <v>18363.37213</v>
      </c>
      <c r="E21" s="8">
        <f t="shared" si="9"/>
        <v>27545.0582</v>
      </c>
      <c r="F21" s="8">
        <f t="shared" si="9"/>
        <v>33260.15119</v>
      </c>
      <c r="G21" s="8">
        <f t="shared" si="9"/>
        <v>55090.1164</v>
      </c>
      <c r="H21" s="8">
        <f t="shared" si="9"/>
        <v>73453.48853</v>
      </c>
      <c r="I21" s="8">
        <f t="shared" si="9"/>
        <v>91816.86066</v>
      </c>
      <c r="J21" s="8">
        <f t="shared" si="9"/>
        <v>110180.2328</v>
      </c>
      <c r="K21" s="8">
        <f t="shared" si="9"/>
        <v>128543.6049</v>
      </c>
      <c r="L21" s="8">
        <f t="shared" si="9"/>
        <v>146906.9771</v>
      </c>
      <c r="M21" s="8">
        <f t="shared" si="9"/>
        <v>165270.3492</v>
      </c>
    </row>
    <row r="22">
      <c r="A22" s="5" t="s">
        <v>22</v>
      </c>
      <c r="B22" s="9"/>
      <c r="C22" s="8">
        <f t="shared" ref="C22:M22" si="10">C6*20%+C4*60%+C8*20%</f>
        <v>13231.60206</v>
      </c>
      <c r="D22" s="8">
        <f t="shared" si="10"/>
        <v>26463.20411</v>
      </c>
      <c r="E22" s="8">
        <f t="shared" si="10"/>
        <v>39694.80617</v>
      </c>
      <c r="F22" s="8">
        <f t="shared" si="10"/>
        <v>52926.40823</v>
      </c>
      <c r="G22" s="8">
        <f t="shared" si="10"/>
        <v>79389.61234</v>
      </c>
      <c r="H22" s="8">
        <f t="shared" si="10"/>
        <v>105852.8165</v>
      </c>
      <c r="I22" s="8">
        <f t="shared" si="10"/>
        <v>132316.0206</v>
      </c>
      <c r="J22" s="8">
        <f t="shared" si="10"/>
        <v>158779.2247</v>
      </c>
      <c r="K22" s="8">
        <f t="shared" si="10"/>
        <v>185242.4288</v>
      </c>
      <c r="L22" s="8">
        <f t="shared" si="10"/>
        <v>211705.6329</v>
      </c>
      <c r="M22" s="8">
        <f t="shared" si="10"/>
        <v>238168.837</v>
      </c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</sheetData>
  <conditionalFormatting sqref="C3:M8">
    <cfRule type="colorScale" priority="1">
      <colorScale>
        <cfvo type="min"/>
        <cfvo type="max"/>
        <color rgb="FFFFFFFF"/>
        <color rgb="FF57BB8A"/>
      </colorScale>
    </cfRule>
  </conditionalFormatting>
  <conditionalFormatting sqref="C13:M23">
    <cfRule type="colorScale" priority="2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5"/>
  </cols>
  <sheetData>
    <row r="1">
      <c r="A1" s="1"/>
      <c r="B1" s="1"/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10"/>
    </row>
    <row r="2">
      <c r="A2" s="1" t="s">
        <v>23</v>
      </c>
      <c r="B2" s="1" t="s">
        <v>24</v>
      </c>
      <c r="C2" s="4">
        <v>0.05</v>
      </c>
      <c r="D2" s="4">
        <v>0.1</v>
      </c>
      <c r="E2" s="4">
        <v>0.15</v>
      </c>
      <c r="F2" s="4">
        <v>0.2</v>
      </c>
      <c r="G2" s="4">
        <v>0.3</v>
      </c>
      <c r="H2" s="4">
        <v>0.4</v>
      </c>
      <c r="I2" s="4">
        <v>0.5</v>
      </c>
      <c r="J2" s="4">
        <v>0.6</v>
      </c>
      <c r="K2" s="4">
        <v>0.7</v>
      </c>
      <c r="L2" s="4">
        <v>0.8</v>
      </c>
      <c r="M2" s="4">
        <v>0.9</v>
      </c>
      <c r="N2" s="10"/>
    </row>
    <row r="3">
      <c r="A3" s="11" t="s">
        <v>25</v>
      </c>
      <c r="B3" s="12">
        <v>1000.0</v>
      </c>
      <c r="C3" s="7">
        <f t="shared" ref="C3:M3" si="1">$B3*C$2</f>
        <v>50</v>
      </c>
      <c r="D3" s="7">
        <f t="shared" si="1"/>
        <v>100</v>
      </c>
      <c r="E3" s="7">
        <f t="shared" si="1"/>
        <v>150</v>
      </c>
      <c r="F3" s="7">
        <f t="shared" si="1"/>
        <v>200</v>
      </c>
      <c r="G3" s="7">
        <f t="shared" si="1"/>
        <v>300</v>
      </c>
      <c r="H3" s="7">
        <f t="shared" si="1"/>
        <v>400</v>
      </c>
      <c r="I3" s="7">
        <f t="shared" si="1"/>
        <v>500</v>
      </c>
      <c r="J3" s="7">
        <f t="shared" si="1"/>
        <v>600</v>
      </c>
      <c r="K3" s="7">
        <f t="shared" si="1"/>
        <v>700</v>
      </c>
      <c r="L3" s="7">
        <f t="shared" si="1"/>
        <v>800</v>
      </c>
      <c r="M3" s="7">
        <f t="shared" si="1"/>
        <v>900</v>
      </c>
      <c r="N3" s="10"/>
    </row>
    <row r="4">
      <c r="A4" s="13">
        <v>40909.0</v>
      </c>
      <c r="B4" s="12">
        <v>1000.0</v>
      </c>
      <c r="C4" s="7">
        <f t="shared" ref="C4:M4" si="2">$B4*C$2</f>
        <v>50</v>
      </c>
      <c r="D4" s="7">
        <f t="shared" si="2"/>
        <v>100</v>
      </c>
      <c r="E4" s="7">
        <f t="shared" si="2"/>
        <v>150</v>
      </c>
      <c r="F4" s="7">
        <f t="shared" si="2"/>
        <v>200</v>
      </c>
      <c r="G4" s="7">
        <f t="shared" si="2"/>
        <v>300</v>
      </c>
      <c r="H4" s="7">
        <f t="shared" si="2"/>
        <v>400</v>
      </c>
      <c r="I4" s="7">
        <f t="shared" si="2"/>
        <v>500</v>
      </c>
      <c r="J4" s="7">
        <f t="shared" si="2"/>
        <v>600</v>
      </c>
      <c r="K4" s="7">
        <f t="shared" si="2"/>
        <v>700</v>
      </c>
      <c r="L4" s="7">
        <f t="shared" si="2"/>
        <v>800</v>
      </c>
      <c r="M4" s="7">
        <f t="shared" si="2"/>
        <v>900</v>
      </c>
      <c r="N4" s="10"/>
    </row>
    <row r="5">
      <c r="A5" s="13">
        <v>40940.0</v>
      </c>
      <c r="B5" s="12">
        <v>1000.0</v>
      </c>
      <c r="C5" s="7">
        <f t="shared" ref="C5:M5" si="3">$B5*C$2</f>
        <v>50</v>
      </c>
      <c r="D5" s="7">
        <f t="shared" si="3"/>
        <v>100</v>
      </c>
      <c r="E5" s="7">
        <f t="shared" si="3"/>
        <v>150</v>
      </c>
      <c r="F5" s="7">
        <f t="shared" si="3"/>
        <v>200</v>
      </c>
      <c r="G5" s="7">
        <f t="shared" si="3"/>
        <v>300</v>
      </c>
      <c r="H5" s="7">
        <f t="shared" si="3"/>
        <v>400</v>
      </c>
      <c r="I5" s="7">
        <f t="shared" si="3"/>
        <v>500</v>
      </c>
      <c r="J5" s="7">
        <f t="shared" si="3"/>
        <v>600</v>
      </c>
      <c r="K5" s="7">
        <f t="shared" si="3"/>
        <v>700</v>
      </c>
      <c r="L5" s="7">
        <f t="shared" si="3"/>
        <v>800</v>
      </c>
      <c r="M5" s="7">
        <f t="shared" si="3"/>
        <v>900</v>
      </c>
      <c r="N5" s="10"/>
    </row>
    <row r="6">
      <c r="A6" s="13">
        <v>40969.0</v>
      </c>
      <c r="B6" s="12">
        <v>1000.0</v>
      </c>
      <c r="C6" s="7">
        <f t="shared" ref="C6:M6" si="4">$B6*C$2</f>
        <v>50</v>
      </c>
      <c r="D6" s="7">
        <f t="shared" si="4"/>
        <v>100</v>
      </c>
      <c r="E6" s="7">
        <f t="shared" si="4"/>
        <v>150</v>
      </c>
      <c r="F6" s="7">
        <f t="shared" si="4"/>
        <v>200</v>
      </c>
      <c r="G6" s="7">
        <f t="shared" si="4"/>
        <v>300</v>
      </c>
      <c r="H6" s="7">
        <f t="shared" si="4"/>
        <v>400</v>
      </c>
      <c r="I6" s="7">
        <f t="shared" si="4"/>
        <v>500</v>
      </c>
      <c r="J6" s="7">
        <f t="shared" si="4"/>
        <v>600</v>
      </c>
      <c r="K6" s="7">
        <f t="shared" si="4"/>
        <v>700</v>
      </c>
      <c r="L6" s="7">
        <f t="shared" si="4"/>
        <v>800</v>
      </c>
      <c r="M6" s="7">
        <f t="shared" si="4"/>
        <v>900</v>
      </c>
      <c r="N6" s="10"/>
    </row>
    <row r="7">
      <c r="A7" s="13">
        <v>41000.0</v>
      </c>
      <c r="B7" s="12">
        <v>1000.0</v>
      </c>
      <c r="C7" s="7">
        <f t="shared" ref="C7:M7" si="5">$B7*C$2</f>
        <v>50</v>
      </c>
      <c r="D7" s="7">
        <f t="shared" si="5"/>
        <v>100</v>
      </c>
      <c r="E7" s="7">
        <f t="shared" si="5"/>
        <v>150</v>
      </c>
      <c r="F7" s="7">
        <f t="shared" si="5"/>
        <v>200</v>
      </c>
      <c r="G7" s="7">
        <f t="shared" si="5"/>
        <v>300</v>
      </c>
      <c r="H7" s="7">
        <f t="shared" si="5"/>
        <v>400</v>
      </c>
      <c r="I7" s="7">
        <f t="shared" si="5"/>
        <v>500</v>
      </c>
      <c r="J7" s="7">
        <f t="shared" si="5"/>
        <v>600</v>
      </c>
      <c r="K7" s="7">
        <f t="shared" si="5"/>
        <v>700</v>
      </c>
      <c r="L7" s="7">
        <f t="shared" si="5"/>
        <v>800</v>
      </c>
      <c r="M7" s="7">
        <f t="shared" si="5"/>
        <v>900</v>
      </c>
      <c r="N7" s="10"/>
    </row>
    <row r="8">
      <c r="A8" s="13">
        <v>41030.0</v>
      </c>
      <c r="B8" s="12">
        <v>1000.0</v>
      </c>
      <c r="C8" s="7">
        <f t="shared" ref="C8:M8" si="6">$B8*C$2</f>
        <v>50</v>
      </c>
      <c r="D8" s="7">
        <f t="shared" si="6"/>
        <v>100</v>
      </c>
      <c r="E8" s="7">
        <f t="shared" si="6"/>
        <v>150</v>
      </c>
      <c r="F8" s="7">
        <f t="shared" si="6"/>
        <v>200</v>
      </c>
      <c r="G8" s="7">
        <f t="shared" si="6"/>
        <v>300</v>
      </c>
      <c r="H8" s="7">
        <f t="shared" si="6"/>
        <v>400</v>
      </c>
      <c r="I8" s="7">
        <f t="shared" si="6"/>
        <v>500</v>
      </c>
      <c r="J8" s="7">
        <f t="shared" si="6"/>
        <v>600</v>
      </c>
      <c r="K8" s="7">
        <f t="shared" si="6"/>
        <v>700</v>
      </c>
      <c r="L8" s="7">
        <f t="shared" si="6"/>
        <v>800</v>
      </c>
      <c r="M8" s="7">
        <f t="shared" si="6"/>
        <v>900</v>
      </c>
      <c r="N8" s="10"/>
    </row>
    <row r="9">
      <c r="A9" s="13">
        <v>41061.0</v>
      </c>
      <c r="B9" s="12">
        <v>1000.0</v>
      </c>
      <c r="C9" s="7">
        <f t="shared" ref="C9:M9" si="7">$B9*C$2</f>
        <v>50</v>
      </c>
      <c r="D9" s="7">
        <f t="shared" si="7"/>
        <v>100</v>
      </c>
      <c r="E9" s="7">
        <f t="shared" si="7"/>
        <v>150</v>
      </c>
      <c r="F9" s="7">
        <f t="shared" si="7"/>
        <v>200</v>
      </c>
      <c r="G9" s="7">
        <f t="shared" si="7"/>
        <v>300</v>
      </c>
      <c r="H9" s="7">
        <f t="shared" si="7"/>
        <v>400</v>
      </c>
      <c r="I9" s="7">
        <f t="shared" si="7"/>
        <v>500</v>
      </c>
      <c r="J9" s="7">
        <f t="shared" si="7"/>
        <v>600</v>
      </c>
      <c r="K9" s="7">
        <f t="shared" si="7"/>
        <v>700</v>
      </c>
      <c r="L9" s="7">
        <f t="shared" si="7"/>
        <v>800</v>
      </c>
      <c r="M9" s="7">
        <f t="shared" si="7"/>
        <v>900</v>
      </c>
      <c r="N9" s="10"/>
    </row>
    <row r="10">
      <c r="A10" s="13">
        <v>41091.0</v>
      </c>
      <c r="B10" s="12">
        <v>1000.0</v>
      </c>
      <c r="C10" s="7">
        <f t="shared" ref="C10:M10" si="8">$B10*C$2</f>
        <v>50</v>
      </c>
      <c r="D10" s="7">
        <f t="shared" si="8"/>
        <v>100</v>
      </c>
      <c r="E10" s="7">
        <f t="shared" si="8"/>
        <v>150</v>
      </c>
      <c r="F10" s="7">
        <f t="shared" si="8"/>
        <v>200</v>
      </c>
      <c r="G10" s="7">
        <f t="shared" si="8"/>
        <v>300</v>
      </c>
      <c r="H10" s="7">
        <f t="shared" si="8"/>
        <v>400</v>
      </c>
      <c r="I10" s="7">
        <f t="shared" si="8"/>
        <v>500</v>
      </c>
      <c r="J10" s="7">
        <f t="shared" si="8"/>
        <v>600</v>
      </c>
      <c r="K10" s="7">
        <f t="shared" si="8"/>
        <v>700</v>
      </c>
      <c r="L10" s="7">
        <f t="shared" si="8"/>
        <v>800</v>
      </c>
      <c r="M10" s="7">
        <f t="shared" si="8"/>
        <v>900</v>
      </c>
      <c r="N10" s="10"/>
    </row>
    <row r="11">
      <c r="A11" s="13">
        <v>41122.0</v>
      </c>
      <c r="B11" s="12">
        <v>1000.0</v>
      </c>
      <c r="C11" s="7">
        <f t="shared" ref="C11:M11" si="9">$B11*C$2</f>
        <v>50</v>
      </c>
      <c r="D11" s="7">
        <f t="shared" si="9"/>
        <v>100</v>
      </c>
      <c r="E11" s="7">
        <f t="shared" si="9"/>
        <v>150</v>
      </c>
      <c r="F11" s="7">
        <f t="shared" si="9"/>
        <v>200</v>
      </c>
      <c r="G11" s="7">
        <f t="shared" si="9"/>
        <v>300</v>
      </c>
      <c r="H11" s="7">
        <f t="shared" si="9"/>
        <v>400</v>
      </c>
      <c r="I11" s="7">
        <f t="shared" si="9"/>
        <v>500</v>
      </c>
      <c r="J11" s="7">
        <f t="shared" si="9"/>
        <v>600</v>
      </c>
      <c r="K11" s="7">
        <f t="shared" si="9"/>
        <v>700</v>
      </c>
      <c r="L11" s="7">
        <f t="shared" si="9"/>
        <v>800</v>
      </c>
      <c r="M11" s="7">
        <f t="shared" si="9"/>
        <v>900</v>
      </c>
      <c r="N11" s="10"/>
    </row>
    <row r="12">
      <c r="A12" s="13">
        <v>41153.0</v>
      </c>
      <c r="B12" s="12">
        <v>1000.0</v>
      </c>
      <c r="C12" s="7">
        <f t="shared" ref="C12:M12" si="10">$B12*C$2</f>
        <v>50</v>
      </c>
      <c r="D12" s="7">
        <f t="shared" si="10"/>
        <v>100</v>
      </c>
      <c r="E12" s="7">
        <f t="shared" si="10"/>
        <v>150</v>
      </c>
      <c r="F12" s="7">
        <f t="shared" si="10"/>
        <v>200</v>
      </c>
      <c r="G12" s="7">
        <f t="shared" si="10"/>
        <v>300</v>
      </c>
      <c r="H12" s="7">
        <f t="shared" si="10"/>
        <v>400</v>
      </c>
      <c r="I12" s="7">
        <f t="shared" si="10"/>
        <v>500</v>
      </c>
      <c r="J12" s="7">
        <f t="shared" si="10"/>
        <v>600</v>
      </c>
      <c r="K12" s="7">
        <f t="shared" si="10"/>
        <v>700</v>
      </c>
      <c r="L12" s="7">
        <f t="shared" si="10"/>
        <v>800</v>
      </c>
      <c r="M12" s="7">
        <f t="shared" si="10"/>
        <v>900</v>
      </c>
      <c r="N12" s="10"/>
    </row>
    <row r="13">
      <c r="A13" s="13">
        <v>41183.0</v>
      </c>
      <c r="B13" s="12">
        <v>1000.0</v>
      </c>
      <c r="C13" s="7">
        <f t="shared" ref="C13:M13" si="11">$B13*C$2</f>
        <v>50</v>
      </c>
      <c r="D13" s="7">
        <f t="shared" si="11"/>
        <v>100</v>
      </c>
      <c r="E13" s="7">
        <f t="shared" si="11"/>
        <v>150</v>
      </c>
      <c r="F13" s="7">
        <f t="shared" si="11"/>
        <v>200</v>
      </c>
      <c r="G13" s="7">
        <f t="shared" si="11"/>
        <v>300</v>
      </c>
      <c r="H13" s="7">
        <f t="shared" si="11"/>
        <v>400</v>
      </c>
      <c r="I13" s="7">
        <f t="shared" si="11"/>
        <v>500</v>
      </c>
      <c r="J13" s="7">
        <f t="shared" si="11"/>
        <v>600</v>
      </c>
      <c r="K13" s="7">
        <f t="shared" si="11"/>
        <v>700</v>
      </c>
      <c r="L13" s="7">
        <f t="shared" si="11"/>
        <v>800</v>
      </c>
      <c r="M13" s="7">
        <f t="shared" si="11"/>
        <v>900</v>
      </c>
      <c r="N13" s="10"/>
    </row>
    <row r="14">
      <c r="A14" s="13">
        <v>41214.0</v>
      </c>
      <c r="B14" s="12">
        <v>1000.0</v>
      </c>
      <c r="C14" s="7">
        <f t="shared" ref="C14:M14" si="12">$B14*C$2</f>
        <v>50</v>
      </c>
      <c r="D14" s="7">
        <f t="shared" si="12"/>
        <v>100</v>
      </c>
      <c r="E14" s="7">
        <f t="shared" si="12"/>
        <v>150</v>
      </c>
      <c r="F14" s="7">
        <f t="shared" si="12"/>
        <v>200</v>
      </c>
      <c r="G14" s="7">
        <f t="shared" si="12"/>
        <v>300</v>
      </c>
      <c r="H14" s="7">
        <f t="shared" si="12"/>
        <v>400</v>
      </c>
      <c r="I14" s="7">
        <f t="shared" si="12"/>
        <v>500</v>
      </c>
      <c r="J14" s="7">
        <f t="shared" si="12"/>
        <v>600</v>
      </c>
      <c r="K14" s="7">
        <f t="shared" si="12"/>
        <v>700</v>
      </c>
      <c r="L14" s="7">
        <f t="shared" si="12"/>
        <v>800</v>
      </c>
      <c r="M14" s="7">
        <f t="shared" si="12"/>
        <v>900</v>
      </c>
      <c r="N14" s="10"/>
    </row>
    <row r="15">
      <c r="A15" s="14">
        <v>41244.0</v>
      </c>
      <c r="B15" s="12">
        <v>1000.0</v>
      </c>
      <c r="C15" s="7">
        <f t="shared" ref="C15:M15" si="13">$B15*C$2</f>
        <v>50</v>
      </c>
      <c r="D15" s="7">
        <f t="shared" si="13"/>
        <v>100</v>
      </c>
      <c r="E15" s="7">
        <f t="shared" si="13"/>
        <v>150</v>
      </c>
      <c r="F15" s="7">
        <f t="shared" si="13"/>
        <v>200</v>
      </c>
      <c r="G15" s="7">
        <f t="shared" si="13"/>
        <v>300</v>
      </c>
      <c r="H15" s="7">
        <f t="shared" si="13"/>
        <v>400</v>
      </c>
      <c r="I15" s="7">
        <f t="shared" si="13"/>
        <v>500</v>
      </c>
      <c r="J15" s="7">
        <f t="shared" si="13"/>
        <v>600</v>
      </c>
      <c r="K15" s="7">
        <f t="shared" si="13"/>
        <v>700</v>
      </c>
      <c r="L15" s="7">
        <f t="shared" si="13"/>
        <v>800</v>
      </c>
      <c r="M15" s="7">
        <f t="shared" si="13"/>
        <v>900</v>
      </c>
      <c r="N15" s="10"/>
    </row>
    <row r="16">
      <c r="A16" s="13">
        <v>41275.0</v>
      </c>
      <c r="B16" s="12">
        <v>1000.0</v>
      </c>
      <c r="C16" s="7">
        <f t="shared" ref="C16:M16" si="14">$B16*C$2</f>
        <v>50</v>
      </c>
      <c r="D16" s="7">
        <f t="shared" si="14"/>
        <v>100</v>
      </c>
      <c r="E16" s="7">
        <f t="shared" si="14"/>
        <v>150</v>
      </c>
      <c r="F16" s="7">
        <f t="shared" si="14"/>
        <v>200</v>
      </c>
      <c r="G16" s="7">
        <f t="shared" si="14"/>
        <v>300</v>
      </c>
      <c r="H16" s="7">
        <f t="shared" si="14"/>
        <v>400</v>
      </c>
      <c r="I16" s="7">
        <f t="shared" si="14"/>
        <v>500</v>
      </c>
      <c r="J16" s="7">
        <f t="shared" si="14"/>
        <v>600</v>
      </c>
      <c r="K16" s="7">
        <f t="shared" si="14"/>
        <v>700</v>
      </c>
      <c r="L16" s="7">
        <f t="shared" si="14"/>
        <v>800</v>
      </c>
      <c r="M16" s="7">
        <f t="shared" si="14"/>
        <v>900</v>
      </c>
      <c r="N16" s="10"/>
    </row>
    <row r="17">
      <c r="A17" s="13">
        <v>41306.0</v>
      </c>
      <c r="B17" s="12">
        <v>1000.0</v>
      </c>
      <c r="C17" s="7">
        <f t="shared" ref="C17:M17" si="15">$B17*C$2</f>
        <v>50</v>
      </c>
      <c r="D17" s="7">
        <f t="shared" si="15"/>
        <v>100</v>
      </c>
      <c r="E17" s="7">
        <f t="shared" si="15"/>
        <v>150</v>
      </c>
      <c r="F17" s="7">
        <f t="shared" si="15"/>
        <v>200</v>
      </c>
      <c r="G17" s="7">
        <f t="shared" si="15"/>
        <v>300</v>
      </c>
      <c r="H17" s="7">
        <f t="shared" si="15"/>
        <v>400</v>
      </c>
      <c r="I17" s="7">
        <f t="shared" si="15"/>
        <v>500</v>
      </c>
      <c r="J17" s="7">
        <f t="shared" si="15"/>
        <v>600</v>
      </c>
      <c r="K17" s="7">
        <f t="shared" si="15"/>
        <v>700</v>
      </c>
      <c r="L17" s="7">
        <f t="shared" si="15"/>
        <v>800</v>
      </c>
      <c r="M17" s="7">
        <f t="shared" si="15"/>
        <v>900</v>
      </c>
      <c r="N17" s="10"/>
    </row>
    <row r="18">
      <c r="A18" s="13">
        <v>41334.0</v>
      </c>
      <c r="B18" s="12">
        <v>1000.0</v>
      </c>
      <c r="C18" s="7">
        <f t="shared" ref="C18:M18" si="16">$B18*C$2</f>
        <v>50</v>
      </c>
      <c r="D18" s="7">
        <f t="shared" si="16"/>
        <v>100</v>
      </c>
      <c r="E18" s="7">
        <f t="shared" si="16"/>
        <v>150</v>
      </c>
      <c r="F18" s="7">
        <f t="shared" si="16"/>
        <v>200</v>
      </c>
      <c r="G18" s="7">
        <f t="shared" si="16"/>
        <v>300</v>
      </c>
      <c r="H18" s="7">
        <f t="shared" si="16"/>
        <v>400</v>
      </c>
      <c r="I18" s="7">
        <f t="shared" si="16"/>
        <v>500</v>
      </c>
      <c r="J18" s="7">
        <f t="shared" si="16"/>
        <v>600</v>
      </c>
      <c r="K18" s="7">
        <f t="shared" si="16"/>
        <v>700</v>
      </c>
      <c r="L18" s="7">
        <f t="shared" si="16"/>
        <v>800</v>
      </c>
      <c r="M18" s="7">
        <f t="shared" si="16"/>
        <v>900</v>
      </c>
      <c r="N18" s="10"/>
    </row>
    <row r="19">
      <c r="A19" s="13">
        <v>41365.0</v>
      </c>
      <c r="B19" s="12">
        <v>1000.0</v>
      </c>
      <c r="C19" s="7">
        <f t="shared" ref="C19:M19" si="17">$B19*C$2</f>
        <v>50</v>
      </c>
      <c r="D19" s="7">
        <f t="shared" si="17"/>
        <v>100</v>
      </c>
      <c r="E19" s="7">
        <f t="shared" si="17"/>
        <v>150</v>
      </c>
      <c r="F19" s="7">
        <f t="shared" si="17"/>
        <v>200</v>
      </c>
      <c r="G19" s="7">
        <f t="shared" si="17"/>
        <v>300</v>
      </c>
      <c r="H19" s="7">
        <f t="shared" si="17"/>
        <v>400</v>
      </c>
      <c r="I19" s="7">
        <f t="shared" si="17"/>
        <v>500</v>
      </c>
      <c r="J19" s="7">
        <f t="shared" si="17"/>
        <v>600</v>
      </c>
      <c r="K19" s="7">
        <f t="shared" si="17"/>
        <v>700</v>
      </c>
      <c r="L19" s="7">
        <f t="shared" si="17"/>
        <v>800</v>
      </c>
      <c r="M19" s="7">
        <f t="shared" si="17"/>
        <v>900</v>
      </c>
      <c r="N19" s="10"/>
    </row>
    <row r="20">
      <c r="A20" s="13">
        <v>41395.0</v>
      </c>
      <c r="B20" s="12">
        <v>1000.0</v>
      </c>
      <c r="C20" s="7">
        <f t="shared" ref="C20:M20" si="18">$B20*C$2</f>
        <v>50</v>
      </c>
      <c r="D20" s="7">
        <f t="shared" si="18"/>
        <v>100</v>
      </c>
      <c r="E20" s="7">
        <f t="shared" si="18"/>
        <v>150</v>
      </c>
      <c r="F20" s="7">
        <f t="shared" si="18"/>
        <v>200</v>
      </c>
      <c r="G20" s="7">
        <f t="shared" si="18"/>
        <v>300</v>
      </c>
      <c r="H20" s="7">
        <f t="shared" si="18"/>
        <v>400</v>
      </c>
      <c r="I20" s="7">
        <f t="shared" si="18"/>
        <v>500</v>
      </c>
      <c r="J20" s="7">
        <f t="shared" si="18"/>
        <v>600</v>
      </c>
      <c r="K20" s="7">
        <f t="shared" si="18"/>
        <v>700</v>
      </c>
      <c r="L20" s="7">
        <f t="shared" si="18"/>
        <v>800</v>
      </c>
      <c r="M20" s="7">
        <f t="shared" si="18"/>
        <v>900</v>
      </c>
      <c r="N20" s="10"/>
    </row>
    <row r="21">
      <c r="A21" s="13">
        <v>41426.0</v>
      </c>
      <c r="B21" s="12">
        <v>1000.0</v>
      </c>
      <c r="C21" s="7">
        <f t="shared" ref="C21:M21" si="19">$B21*C$2</f>
        <v>50</v>
      </c>
      <c r="D21" s="7">
        <f t="shared" si="19"/>
        <v>100</v>
      </c>
      <c r="E21" s="7">
        <f t="shared" si="19"/>
        <v>150</v>
      </c>
      <c r="F21" s="7">
        <f t="shared" si="19"/>
        <v>200</v>
      </c>
      <c r="G21" s="7">
        <f t="shared" si="19"/>
        <v>300</v>
      </c>
      <c r="H21" s="7">
        <f t="shared" si="19"/>
        <v>400</v>
      </c>
      <c r="I21" s="7">
        <f t="shared" si="19"/>
        <v>500</v>
      </c>
      <c r="J21" s="7">
        <f t="shared" si="19"/>
        <v>600</v>
      </c>
      <c r="K21" s="7">
        <f t="shared" si="19"/>
        <v>700</v>
      </c>
      <c r="L21" s="7">
        <f t="shared" si="19"/>
        <v>800</v>
      </c>
      <c r="M21" s="7">
        <f t="shared" si="19"/>
        <v>900</v>
      </c>
      <c r="N21" s="10"/>
    </row>
    <row r="22">
      <c r="A22" s="13">
        <v>41456.0</v>
      </c>
      <c r="B22" s="12">
        <v>1000.0</v>
      </c>
      <c r="C22" s="7">
        <f t="shared" ref="C22:M22" si="20">$B22*C$2</f>
        <v>50</v>
      </c>
      <c r="D22" s="7">
        <f t="shared" si="20"/>
        <v>100</v>
      </c>
      <c r="E22" s="7">
        <f t="shared" si="20"/>
        <v>150</v>
      </c>
      <c r="F22" s="7">
        <f t="shared" si="20"/>
        <v>200</v>
      </c>
      <c r="G22" s="7">
        <f t="shared" si="20"/>
        <v>300</v>
      </c>
      <c r="H22" s="7">
        <f t="shared" si="20"/>
        <v>400</v>
      </c>
      <c r="I22" s="7">
        <f t="shared" si="20"/>
        <v>500</v>
      </c>
      <c r="J22" s="7">
        <f t="shared" si="20"/>
        <v>600</v>
      </c>
      <c r="K22" s="7">
        <f t="shared" si="20"/>
        <v>700</v>
      </c>
      <c r="L22" s="7">
        <f t="shared" si="20"/>
        <v>800</v>
      </c>
      <c r="M22" s="7">
        <f t="shared" si="20"/>
        <v>900</v>
      </c>
      <c r="N22" s="10"/>
    </row>
    <row r="23">
      <c r="A23" s="13">
        <v>41487.0</v>
      </c>
      <c r="B23" s="12">
        <v>1000.0</v>
      </c>
      <c r="C23" s="7">
        <f t="shared" ref="C23:M23" si="21">$B23*C$2</f>
        <v>50</v>
      </c>
      <c r="D23" s="7">
        <f t="shared" si="21"/>
        <v>100</v>
      </c>
      <c r="E23" s="7">
        <f t="shared" si="21"/>
        <v>150</v>
      </c>
      <c r="F23" s="7">
        <f t="shared" si="21"/>
        <v>200</v>
      </c>
      <c r="G23" s="7">
        <f t="shared" si="21"/>
        <v>300</v>
      </c>
      <c r="H23" s="7">
        <f t="shared" si="21"/>
        <v>400</v>
      </c>
      <c r="I23" s="7">
        <f t="shared" si="21"/>
        <v>500</v>
      </c>
      <c r="J23" s="7">
        <f t="shared" si="21"/>
        <v>600</v>
      </c>
      <c r="K23" s="7">
        <f t="shared" si="21"/>
        <v>700</v>
      </c>
      <c r="L23" s="7">
        <f t="shared" si="21"/>
        <v>800</v>
      </c>
      <c r="M23" s="7">
        <f t="shared" si="21"/>
        <v>900</v>
      </c>
      <c r="N23" s="10"/>
    </row>
    <row r="24">
      <c r="A24" s="13">
        <v>41518.0</v>
      </c>
      <c r="B24" s="12">
        <v>1000.0</v>
      </c>
      <c r="C24" s="7">
        <f t="shared" ref="C24:M24" si="22">$B24*C$2</f>
        <v>50</v>
      </c>
      <c r="D24" s="7">
        <f t="shared" si="22"/>
        <v>100</v>
      </c>
      <c r="E24" s="7">
        <f t="shared" si="22"/>
        <v>150</v>
      </c>
      <c r="F24" s="7">
        <f t="shared" si="22"/>
        <v>200</v>
      </c>
      <c r="G24" s="7">
        <f t="shared" si="22"/>
        <v>300</v>
      </c>
      <c r="H24" s="7">
        <f t="shared" si="22"/>
        <v>400</v>
      </c>
      <c r="I24" s="7">
        <f t="shared" si="22"/>
        <v>500</v>
      </c>
      <c r="J24" s="7">
        <f t="shared" si="22"/>
        <v>600</v>
      </c>
      <c r="K24" s="7">
        <f t="shared" si="22"/>
        <v>700</v>
      </c>
      <c r="L24" s="7">
        <f t="shared" si="22"/>
        <v>800</v>
      </c>
      <c r="M24" s="7">
        <f t="shared" si="22"/>
        <v>900</v>
      </c>
      <c r="N24" s="10"/>
    </row>
    <row r="25">
      <c r="A25" s="13">
        <v>41548.0</v>
      </c>
      <c r="B25" s="12">
        <v>1000.0</v>
      </c>
      <c r="C25" s="7">
        <f t="shared" ref="C25:M25" si="23">$B25*C$2</f>
        <v>50</v>
      </c>
      <c r="D25" s="7">
        <f t="shared" si="23"/>
        <v>100</v>
      </c>
      <c r="E25" s="7">
        <f t="shared" si="23"/>
        <v>150</v>
      </c>
      <c r="F25" s="7">
        <f t="shared" si="23"/>
        <v>200</v>
      </c>
      <c r="G25" s="7">
        <f t="shared" si="23"/>
        <v>300</v>
      </c>
      <c r="H25" s="7">
        <f t="shared" si="23"/>
        <v>400</v>
      </c>
      <c r="I25" s="7">
        <f t="shared" si="23"/>
        <v>500</v>
      </c>
      <c r="J25" s="7">
        <f t="shared" si="23"/>
        <v>600</v>
      </c>
      <c r="K25" s="7">
        <f t="shared" si="23"/>
        <v>700</v>
      </c>
      <c r="L25" s="7">
        <f t="shared" si="23"/>
        <v>800</v>
      </c>
      <c r="M25" s="7">
        <f t="shared" si="23"/>
        <v>900</v>
      </c>
      <c r="N25" s="10"/>
    </row>
    <row r="26">
      <c r="A26" s="13">
        <v>41579.0</v>
      </c>
      <c r="B26" s="12">
        <v>1000.0</v>
      </c>
      <c r="C26" s="7">
        <f t="shared" ref="C26:M26" si="24">$B26*C$2</f>
        <v>50</v>
      </c>
      <c r="D26" s="7">
        <f t="shared" si="24"/>
        <v>100</v>
      </c>
      <c r="E26" s="7">
        <f t="shared" si="24"/>
        <v>150</v>
      </c>
      <c r="F26" s="7">
        <f t="shared" si="24"/>
        <v>200</v>
      </c>
      <c r="G26" s="7">
        <f t="shared" si="24"/>
        <v>300</v>
      </c>
      <c r="H26" s="7">
        <f t="shared" si="24"/>
        <v>400</v>
      </c>
      <c r="I26" s="7">
        <f t="shared" si="24"/>
        <v>500</v>
      </c>
      <c r="J26" s="7">
        <f t="shared" si="24"/>
        <v>600</v>
      </c>
      <c r="K26" s="7">
        <f t="shared" si="24"/>
        <v>700</v>
      </c>
      <c r="L26" s="7">
        <f t="shared" si="24"/>
        <v>800</v>
      </c>
      <c r="M26" s="7">
        <f t="shared" si="24"/>
        <v>900</v>
      </c>
      <c r="N26" s="10"/>
    </row>
    <row r="27">
      <c r="A27" s="14">
        <v>41609.0</v>
      </c>
      <c r="B27" s="12">
        <v>1000.0</v>
      </c>
      <c r="C27" s="7">
        <f t="shared" ref="C27:M27" si="25">$B27*C$2</f>
        <v>50</v>
      </c>
      <c r="D27" s="7">
        <f t="shared" si="25"/>
        <v>100</v>
      </c>
      <c r="E27" s="7">
        <f t="shared" si="25"/>
        <v>150</v>
      </c>
      <c r="F27" s="7">
        <f t="shared" si="25"/>
        <v>200</v>
      </c>
      <c r="G27" s="7">
        <f t="shared" si="25"/>
        <v>300</v>
      </c>
      <c r="H27" s="7">
        <f t="shared" si="25"/>
        <v>400</v>
      </c>
      <c r="I27" s="7">
        <f t="shared" si="25"/>
        <v>500</v>
      </c>
      <c r="J27" s="7">
        <f t="shared" si="25"/>
        <v>600</v>
      </c>
      <c r="K27" s="7">
        <f t="shared" si="25"/>
        <v>700</v>
      </c>
      <c r="L27" s="7">
        <f t="shared" si="25"/>
        <v>800</v>
      </c>
      <c r="M27" s="7">
        <f t="shared" si="25"/>
        <v>900</v>
      </c>
      <c r="N27" s="10"/>
    </row>
    <row r="28">
      <c r="A28" s="13">
        <v>41640.0</v>
      </c>
      <c r="B28" s="12">
        <v>1000.0</v>
      </c>
      <c r="C28" s="7">
        <f t="shared" ref="C28:M28" si="26">$B28*C$2</f>
        <v>50</v>
      </c>
      <c r="D28" s="7">
        <f t="shared" si="26"/>
        <v>100</v>
      </c>
      <c r="E28" s="7">
        <f t="shared" si="26"/>
        <v>150</v>
      </c>
      <c r="F28" s="7">
        <f t="shared" si="26"/>
        <v>200</v>
      </c>
      <c r="G28" s="7">
        <f t="shared" si="26"/>
        <v>300</v>
      </c>
      <c r="H28" s="7">
        <f t="shared" si="26"/>
        <v>400</v>
      </c>
      <c r="I28" s="7">
        <f t="shared" si="26"/>
        <v>500</v>
      </c>
      <c r="J28" s="7">
        <f t="shared" si="26"/>
        <v>600</v>
      </c>
      <c r="K28" s="7">
        <f t="shared" si="26"/>
        <v>700</v>
      </c>
      <c r="L28" s="7">
        <f t="shared" si="26"/>
        <v>800</v>
      </c>
      <c r="M28" s="7">
        <f t="shared" si="26"/>
        <v>900</v>
      </c>
      <c r="N28" s="10"/>
    </row>
    <row r="29">
      <c r="A29" s="13">
        <v>41671.0</v>
      </c>
      <c r="B29" s="12">
        <v>1000.0</v>
      </c>
      <c r="C29" s="7">
        <f t="shared" ref="C29:M29" si="27">$B29*C$2</f>
        <v>50</v>
      </c>
      <c r="D29" s="7">
        <f t="shared" si="27"/>
        <v>100</v>
      </c>
      <c r="E29" s="7">
        <f t="shared" si="27"/>
        <v>150</v>
      </c>
      <c r="F29" s="7">
        <f t="shared" si="27"/>
        <v>200</v>
      </c>
      <c r="G29" s="7">
        <f t="shared" si="27"/>
        <v>300</v>
      </c>
      <c r="H29" s="7">
        <f t="shared" si="27"/>
        <v>400</v>
      </c>
      <c r="I29" s="7">
        <f t="shared" si="27"/>
        <v>500</v>
      </c>
      <c r="J29" s="7">
        <f t="shared" si="27"/>
        <v>600</v>
      </c>
      <c r="K29" s="7">
        <f t="shared" si="27"/>
        <v>700</v>
      </c>
      <c r="L29" s="7">
        <f t="shared" si="27"/>
        <v>800</v>
      </c>
      <c r="M29" s="7">
        <f t="shared" si="27"/>
        <v>900</v>
      </c>
      <c r="N29" s="10"/>
    </row>
    <row r="30">
      <c r="A30" s="13">
        <v>41699.0</v>
      </c>
      <c r="B30" s="12">
        <v>1000.0</v>
      </c>
      <c r="C30" s="7">
        <f t="shared" ref="C30:M30" si="28">$B30*C$2</f>
        <v>50</v>
      </c>
      <c r="D30" s="7">
        <f t="shared" si="28"/>
        <v>100</v>
      </c>
      <c r="E30" s="7">
        <f t="shared" si="28"/>
        <v>150</v>
      </c>
      <c r="F30" s="7">
        <f t="shared" si="28"/>
        <v>200</v>
      </c>
      <c r="G30" s="7">
        <f t="shared" si="28"/>
        <v>300</v>
      </c>
      <c r="H30" s="7">
        <f t="shared" si="28"/>
        <v>400</v>
      </c>
      <c r="I30" s="7">
        <f t="shared" si="28"/>
        <v>500</v>
      </c>
      <c r="J30" s="7">
        <f t="shared" si="28"/>
        <v>600</v>
      </c>
      <c r="K30" s="7">
        <f t="shared" si="28"/>
        <v>700</v>
      </c>
      <c r="L30" s="7">
        <f t="shared" si="28"/>
        <v>800</v>
      </c>
      <c r="M30" s="7">
        <f t="shared" si="28"/>
        <v>900</v>
      </c>
      <c r="N30" s="10"/>
    </row>
    <row r="31">
      <c r="A31" s="13">
        <v>41730.0</v>
      </c>
      <c r="B31" s="12">
        <v>1000.0</v>
      </c>
      <c r="C31" s="7">
        <f t="shared" ref="C31:M31" si="29">$B31*C$2</f>
        <v>50</v>
      </c>
      <c r="D31" s="7">
        <f t="shared" si="29"/>
        <v>100</v>
      </c>
      <c r="E31" s="7">
        <f t="shared" si="29"/>
        <v>150</v>
      </c>
      <c r="F31" s="7">
        <f t="shared" si="29"/>
        <v>200</v>
      </c>
      <c r="G31" s="7">
        <f t="shared" si="29"/>
        <v>300</v>
      </c>
      <c r="H31" s="7">
        <f t="shared" si="29"/>
        <v>400</v>
      </c>
      <c r="I31" s="7">
        <f t="shared" si="29"/>
        <v>500</v>
      </c>
      <c r="J31" s="7">
        <f t="shared" si="29"/>
        <v>600</v>
      </c>
      <c r="K31" s="7">
        <f t="shared" si="29"/>
        <v>700</v>
      </c>
      <c r="L31" s="7">
        <f t="shared" si="29"/>
        <v>800</v>
      </c>
      <c r="M31" s="7">
        <f t="shared" si="29"/>
        <v>900</v>
      </c>
      <c r="N31" s="10"/>
    </row>
    <row r="32">
      <c r="A32" s="13">
        <v>41760.0</v>
      </c>
      <c r="B32" s="12">
        <v>1000.0</v>
      </c>
      <c r="C32" s="7">
        <f t="shared" ref="C32:M32" si="30">$B32*C$2</f>
        <v>50</v>
      </c>
      <c r="D32" s="7">
        <f t="shared" si="30"/>
        <v>100</v>
      </c>
      <c r="E32" s="7">
        <f t="shared" si="30"/>
        <v>150</v>
      </c>
      <c r="F32" s="7">
        <f t="shared" si="30"/>
        <v>200</v>
      </c>
      <c r="G32" s="7">
        <f t="shared" si="30"/>
        <v>300</v>
      </c>
      <c r="H32" s="7">
        <f t="shared" si="30"/>
        <v>400</v>
      </c>
      <c r="I32" s="7">
        <f t="shared" si="30"/>
        <v>500</v>
      </c>
      <c r="J32" s="7">
        <f t="shared" si="30"/>
        <v>600</v>
      </c>
      <c r="K32" s="7">
        <f t="shared" si="30"/>
        <v>700</v>
      </c>
      <c r="L32" s="7">
        <f t="shared" si="30"/>
        <v>800</v>
      </c>
      <c r="M32" s="7">
        <f t="shared" si="30"/>
        <v>900</v>
      </c>
      <c r="N32" s="10"/>
    </row>
    <row r="33">
      <c r="A33" s="13">
        <v>41791.0</v>
      </c>
      <c r="B33" s="12">
        <v>1000.0</v>
      </c>
      <c r="C33" s="7">
        <f t="shared" ref="C33:M33" si="31">$B33*C$2</f>
        <v>50</v>
      </c>
      <c r="D33" s="7">
        <f t="shared" si="31"/>
        <v>100</v>
      </c>
      <c r="E33" s="7">
        <f t="shared" si="31"/>
        <v>150</v>
      </c>
      <c r="F33" s="7">
        <f t="shared" si="31"/>
        <v>200</v>
      </c>
      <c r="G33" s="7">
        <f t="shared" si="31"/>
        <v>300</v>
      </c>
      <c r="H33" s="7">
        <f t="shared" si="31"/>
        <v>400</v>
      </c>
      <c r="I33" s="7">
        <f t="shared" si="31"/>
        <v>500</v>
      </c>
      <c r="J33" s="7">
        <f t="shared" si="31"/>
        <v>600</v>
      </c>
      <c r="K33" s="7">
        <f t="shared" si="31"/>
        <v>700</v>
      </c>
      <c r="L33" s="7">
        <f t="shared" si="31"/>
        <v>800</v>
      </c>
      <c r="M33" s="7">
        <f t="shared" si="31"/>
        <v>900</v>
      </c>
      <c r="N33" s="10"/>
    </row>
    <row r="34">
      <c r="A34" s="13">
        <v>41821.0</v>
      </c>
      <c r="B34" s="12">
        <v>1000.0</v>
      </c>
      <c r="C34" s="7">
        <f t="shared" ref="C34:M34" si="32">$B34*C$2</f>
        <v>50</v>
      </c>
      <c r="D34" s="7">
        <f t="shared" si="32"/>
        <v>100</v>
      </c>
      <c r="E34" s="7">
        <f t="shared" si="32"/>
        <v>150</v>
      </c>
      <c r="F34" s="7">
        <f t="shared" si="32"/>
        <v>200</v>
      </c>
      <c r="G34" s="7">
        <f t="shared" si="32"/>
        <v>300</v>
      </c>
      <c r="H34" s="7">
        <f t="shared" si="32"/>
        <v>400</v>
      </c>
      <c r="I34" s="7">
        <f t="shared" si="32"/>
        <v>500</v>
      </c>
      <c r="J34" s="7">
        <f t="shared" si="32"/>
        <v>600</v>
      </c>
      <c r="K34" s="7">
        <f t="shared" si="32"/>
        <v>700</v>
      </c>
      <c r="L34" s="7">
        <f t="shared" si="32"/>
        <v>800</v>
      </c>
      <c r="M34" s="7">
        <f t="shared" si="32"/>
        <v>900</v>
      </c>
      <c r="N34" s="10"/>
    </row>
    <row r="35">
      <c r="A35" s="13">
        <v>41852.0</v>
      </c>
      <c r="B35" s="12">
        <v>1000.0</v>
      </c>
      <c r="C35" s="7">
        <f t="shared" ref="C35:M35" si="33">$B35*C$2</f>
        <v>50</v>
      </c>
      <c r="D35" s="7">
        <f t="shared" si="33"/>
        <v>100</v>
      </c>
      <c r="E35" s="7">
        <f t="shared" si="33"/>
        <v>150</v>
      </c>
      <c r="F35" s="7">
        <f t="shared" si="33"/>
        <v>200</v>
      </c>
      <c r="G35" s="7">
        <f t="shared" si="33"/>
        <v>300</v>
      </c>
      <c r="H35" s="7">
        <f t="shared" si="33"/>
        <v>400</v>
      </c>
      <c r="I35" s="7">
        <f t="shared" si="33"/>
        <v>500</v>
      </c>
      <c r="J35" s="7">
        <f t="shared" si="33"/>
        <v>600</v>
      </c>
      <c r="K35" s="7">
        <f t="shared" si="33"/>
        <v>700</v>
      </c>
      <c r="L35" s="7">
        <f t="shared" si="33"/>
        <v>800</v>
      </c>
      <c r="M35" s="7">
        <f t="shared" si="33"/>
        <v>900</v>
      </c>
      <c r="N35" s="10"/>
    </row>
    <row r="36">
      <c r="A36" s="13">
        <v>41883.0</v>
      </c>
      <c r="B36" s="12">
        <v>1000.0</v>
      </c>
      <c r="C36" s="7">
        <f t="shared" ref="C36:M36" si="34">$B36*C$2</f>
        <v>50</v>
      </c>
      <c r="D36" s="7">
        <f t="shared" si="34"/>
        <v>100</v>
      </c>
      <c r="E36" s="7">
        <f t="shared" si="34"/>
        <v>150</v>
      </c>
      <c r="F36" s="7">
        <f t="shared" si="34"/>
        <v>200</v>
      </c>
      <c r="G36" s="7">
        <f t="shared" si="34"/>
        <v>300</v>
      </c>
      <c r="H36" s="7">
        <f t="shared" si="34"/>
        <v>400</v>
      </c>
      <c r="I36" s="7">
        <f t="shared" si="34"/>
        <v>500</v>
      </c>
      <c r="J36" s="7">
        <f t="shared" si="34"/>
        <v>600</v>
      </c>
      <c r="K36" s="7">
        <f t="shared" si="34"/>
        <v>700</v>
      </c>
      <c r="L36" s="7">
        <f t="shared" si="34"/>
        <v>800</v>
      </c>
      <c r="M36" s="7">
        <f t="shared" si="34"/>
        <v>900</v>
      </c>
      <c r="N36" s="10"/>
    </row>
    <row r="37">
      <c r="A37" s="13">
        <v>41913.0</v>
      </c>
      <c r="B37" s="12">
        <v>1000.0</v>
      </c>
      <c r="C37" s="7">
        <f t="shared" ref="C37:M37" si="35">$B37*C$2</f>
        <v>50</v>
      </c>
      <c r="D37" s="7">
        <f t="shared" si="35"/>
        <v>100</v>
      </c>
      <c r="E37" s="7">
        <f t="shared" si="35"/>
        <v>150</v>
      </c>
      <c r="F37" s="7">
        <f t="shared" si="35"/>
        <v>200</v>
      </c>
      <c r="G37" s="7">
        <f t="shared" si="35"/>
        <v>300</v>
      </c>
      <c r="H37" s="7">
        <f t="shared" si="35"/>
        <v>400</v>
      </c>
      <c r="I37" s="7">
        <f t="shared" si="35"/>
        <v>500</v>
      </c>
      <c r="J37" s="7">
        <f t="shared" si="35"/>
        <v>600</v>
      </c>
      <c r="K37" s="7">
        <f t="shared" si="35"/>
        <v>700</v>
      </c>
      <c r="L37" s="7">
        <f t="shared" si="35"/>
        <v>800</v>
      </c>
      <c r="M37" s="7">
        <f t="shared" si="35"/>
        <v>900</v>
      </c>
      <c r="N37" s="10"/>
    </row>
    <row r="38">
      <c r="A38" s="13">
        <v>41944.0</v>
      </c>
      <c r="B38" s="12">
        <v>1000.0</v>
      </c>
      <c r="C38" s="7">
        <f t="shared" ref="C38:M38" si="36">$B38*C$2</f>
        <v>50</v>
      </c>
      <c r="D38" s="7">
        <f t="shared" si="36"/>
        <v>100</v>
      </c>
      <c r="E38" s="7">
        <f t="shared" si="36"/>
        <v>150</v>
      </c>
      <c r="F38" s="7">
        <f t="shared" si="36"/>
        <v>200</v>
      </c>
      <c r="G38" s="7">
        <f t="shared" si="36"/>
        <v>300</v>
      </c>
      <c r="H38" s="7">
        <f t="shared" si="36"/>
        <v>400</v>
      </c>
      <c r="I38" s="7">
        <f t="shared" si="36"/>
        <v>500</v>
      </c>
      <c r="J38" s="7">
        <f t="shared" si="36"/>
        <v>600</v>
      </c>
      <c r="K38" s="7">
        <f t="shared" si="36"/>
        <v>700</v>
      </c>
      <c r="L38" s="7">
        <f t="shared" si="36"/>
        <v>800</v>
      </c>
      <c r="M38" s="7">
        <f t="shared" si="36"/>
        <v>900</v>
      </c>
      <c r="N38" s="10"/>
    </row>
    <row r="39">
      <c r="A39" s="14">
        <v>41974.0</v>
      </c>
      <c r="B39" s="12">
        <v>1000.0</v>
      </c>
      <c r="C39" s="7">
        <f t="shared" ref="C39:M39" si="37">$B39*C$2</f>
        <v>50</v>
      </c>
      <c r="D39" s="7">
        <f t="shared" si="37"/>
        <v>100</v>
      </c>
      <c r="E39" s="7">
        <f t="shared" si="37"/>
        <v>150</v>
      </c>
      <c r="F39" s="7">
        <f t="shared" si="37"/>
        <v>200</v>
      </c>
      <c r="G39" s="7">
        <f t="shared" si="37"/>
        <v>300</v>
      </c>
      <c r="H39" s="7">
        <f t="shared" si="37"/>
        <v>400</v>
      </c>
      <c r="I39" s="7">
        <f t="shared" si="37"/>
        <v>500</v>
      </c>
      <c r="J39" s="7">
        <f t="shared" si="37"/>
        <v>600</v>
      </c>
      <c r="K39" s="7">
        <f t="shared" si="37"/>
        <v>700</v>
      </c>
      <c r="L39" s="7">
        <f t="shared" si="37"/>
        <v>800</v>
      </c>
      <c r="M39" s="7">
        <f t="shared" si="37"/>
        <v>900</v>
      </c>
      <c r="N39" s="10"/>
    </row>
    <row r="40">
      <c r="A40" s="13">
        <v>42005.0</v>
      </c>
      <c r="B40" s="12">
        <v>1000.0</v>
      </c>
      <c r="C40" s="7">
        <f t="shared" ref="C40:M40" si="38">$B40*C$2</f>
        <v>50</v>
      </c>
      <c r="D40" s="7">
        <f t="shared" si="38"/>
        <v>100</v>
      </c>
      <c r="E40" s="7">
        <f t="shared" si="38"/>
        <v>150</v>
      </c>
      <c r="F40" s="7">
        <f t="shared" si="38"/>
        <v>200</v>
      </c>
      <c r="G40" s="7">
        <f t="shared" si="38"/>
        <v>300</v>
      </c>
      <c r="H40" s="7">
        <f t="shared" si="38"/>
        <v>400</v>
      </c>
      <c r="I40" s="7">
        <f t="shared" si="38"/>
        <v>500</v>
      </c>
      <c r="J40" s="7">
        <f t="shared" si="38"/>
        <v>600</v>
      </c>
      <c r="K40" s="7">
        <f t="shared" si="38"/>
        <v>700</v>
      </c>
      <c r="L40" s="7">
        <f t="shared" si="38"/>
        <v>800</v>
      </c>
      <c r="M40" s="7">
        <f t="shared" si="38"/>
        <v>900</v>
      </c>
      <c r="N40" s="10"/>
    </row>
    <row r="41">
      <c r="A41" s="13">
        <v>42036.0</v>
      </c>
      <c r="B41" s="12">
        <v>1000.0</v>
      </c>
      <c r="C41" s="7">
        <f t="shared" ref="C41:M41" si="39">$B41*C$2</f>
        <v>50</v>
      </c>
      <c r="D41" s="7">
        <f t="shared" si="39"/>
        <v>100</v>
      </c>
      <c r="E41" s="7">
        <f t="shared" si="39"/>
        <v>150</v>
      </c>
      <c r="F41" s="7">
        <f t="shared" si="39"/>
        <v>200</v>
      </c>
      <c r="G41" s="7">
        <f t="shared" si="39"/>
        <v>300</v>
      </c>
      <c r="H41" s="7">
        <f t="shared" si="39"/>
        <v>400</v>
      </c>
      <c r="I41" s="7">
        <f t="shared" si="39"/>
        <v>500</v>
      </c>
      <c r="J41" s="7">
        <f t="shared" si="39"/>
        <v>600</v>
      </c>
      <c r="K41" s="7">
        <f t="shared" si="39"/>
        <v>700</v>
      </c>
      <c r="L41" s="7">
        <f t="shared" si="39"/>
        <v>800</v>
      </c>
      <c r="M41" s="7">
        <f t="shared" si="39"/>
        <v>900</v>
      </c>
      <c r="N41" s="10"/>
    </row>
    <row r="42">
      <c r="A42" s="13">
        <v>42064.0</v>
      </c>
      <c r="B42" s="12">
        <v>1000.0</v>
      </c>
      <c r="C42" s="7">
        <f t="shared" ref="C42:M42" si="40">$B42*C$2</f>
        <v>50</v>
      </c>
      <c r="D42" s="7">
        <f t="shared" si="40"/>
        <v>100</v>
      </c>
      <c r="E42" s="7">
        <f t="shared" si="40"/>
        <v>150</v>
      </c>
      <c r="F42" s="7">
        <f t="shared" si="40"/>
        <v>200</v>
      </c>
      <c r="G42" s="7">
        <f t="shared" si="40"/>
        <v>300</v>
      </c>
      <c r="H42" s="7">
        <f t="shared" si="40"/>
        <v>400</v>
      </c>
      <c r="I42" s="7">
        <f t="shared" si="40"/>
        <v>500</v>
      </c>
      <c r="J42" s="7">
        <f t="shared" si="40"/>
        <v>600</v>
      </c>
      <c r="K42" s="7">
        <f t="shared" si="40"/>
        <v>700</v>
      </c>
      <c r="L42" s="7">
        <f t="shared" si="40"/>
        <v>800</v>
      </c>
      <c r="M42" s="7">
        <f t="shared" si="40"/>
        <v>900</v>
      </c>
      <c r="N42" s="10"/>
    </row>
    <row r="43">
      <c r="A43" s="13">
        <v>42095.0</v>
      </c>
      <c r="B43" s="12">
        <v>1000.0</v>
      </c>
      <c r="C43" s="7">
        <f t="shared" ref="C43:M43" si="41">$B43*C$2</f>
        <v>50</v>
      </c>
      <c r="D43" s="7">
        <f t="shared" si="41"/>
        <v>100</v>
      </c>
      <c r="E43" s="7">
        <f t="shared" si="41"/>
        <v>150</v>
      </c>
      <c r="F43" s="7">
        <f t="shared" si="41"/>
        <v>200</v>
      </c>
      <c r="G43" s="7">
        <f t="shared" si="41"/>
        <v>300</v>
      </c>
      <c r="H43" s="7">
        <f t="shared" si="41"/>
        <v>400</v>
      </c>
      <c r="I43" s="7">
        <f t="shared" si="41"/>
        <v>500</v>
      </c>
      <c r="J43" s="7">
        <f t="shared" si="41"/>
        <v>600</v>
      </c>
      <c r="K43" s="7">
        <f t="shared" si="41"/>
        <v>700</v>
      </c>
      <c r="L43" s="7">
        <f t="shared" si="41"/>
        <v>800</v>
      </c>
      <c r="M43" s="7">
        <f t="shared" si="41"/>
        <v>900</v>
      </c>
      <c r="N43" s="10"/>
    </row>
    <row r="44">
      <c r="A44" s="13">
        <v>42125.0</v>
      </c>
      <c r="B44" s="12">
        <v>1000.0</v>
      </c>
      <c r="C44" s="7">
        <f t="shared" ref="C44:M44" si="42">$B44*C$2</f>
        <v>50</v>
      </c>
      <c r="D44" s="7">
        <f t="shared" si="42"/>
        <v>100</v>
      </c>
      <c r="E44" s="7">
        <f t="shared" si="42"/>
        <v>150</v>
      </c>
      <c r="F44" s="7">
        <f t="shared" si="42"/>
        <v>200</v>
      </c>
      <c r="G44" s="7">
        <f t="shared" si="42"/>
        <v>300</v>
      </c>
      <c r="H44" s="7">
        <f t="shared" si="42"/>
        <v>400</v>
      </c>
      <c r="I44" s="7">
        <f t="shared" si="42"/>
        <v>500</v>
      </c>
      <c r="J44" s="7">
        <f t="shared" si="42"/>
        <v>600</v>
      </c>
      <c r="K44" s="7">
        <f t="shared" si="42"/>
        <v>700</v>
      </c>
      <c r="L44" s="7">
        <f t="shared" si="42"/>
        <v>800</v>
      </c>
      <c r="M44" s="7">
        <f t="shared" si="42"/>
        <v>900</v>
      </c>
      <c r="N44" s="10"/>
    </row>
    <row r="45">
      <c r="A45" s="13">
        <v>42156.0</v>
      </c>
      <c r="B45" s="12">
        <v>1000.0</v>
      </c>
      <c r="C45" s="7">
        <f t="shared" ref="C45:M45" si="43">$B45*C$2</f>
        <v>50</v>
      </c>
      <c r="D45" s="7">
        <f t="shared" si="43"/>
        <v>100</v>
      </c>
      <c r="E45" s="7">
        <f t="shared" si="43"/>
        <v>150</v>
      </c>
      <c r="F45" s="7">
        <f t="shared" si="43"/>
        <v>200</v>
      </c>
      <c r="G45" s="7">
        <f t="shared" si="43"/>
        <v>300</v>
      </c>
      <c r="H45" s="7">
        <f t="shared" si="43"/>
        <v>400</v>
      </c>
      <c r="I45" s="7">
        <f t="shared" si="43"/>
        <v>500</v>
      </c>
      <c r="J45" s="7">
        <f t="shared" si="43"/>
        <v>600</v>
      </c>
      <c r="K45" s="7">
        <f t="shared" si="43"/>
        <v>700</v>
      </c>
      <c r="L45" s="7">
        <f t="shared" si="43"/>
        <v>800</v>
      </c>
      <c r="M45" s="7">
        <f t="shared" si="43"/>
        <v>900</v>
      </c>
      <c r="N45" s="10"/>
    </row>
    <row r="46">
      <c r="A46" s="13">
        <v>42186.0</v>
      </c>
      <c r="B46" s="12">
        <v>1000.0</v>
      </c>
      <c r="C46" s="7">
        <f t="shared" ref="C46:M46" si="44">$B46*C$2</f>
        <v>50</v>
      </c>
      <c r="D46" s="7">
        <f t="shared" si="44"/>
        <v>100</v>
      </c>
      <c r="E46" s="7">
        <f t="shared" si="44"/>
        <v>150</v>
      </c>
      <c r="F46" s="7">
        <f t="shared" si="44"/>
        <v>200</v>
      </c>
      <c r="G46" s="7">
        <f t="shared" si="44"/>
        <v>300</v>
      </c>
      <c r="H46" s="7">
        <f t="shared" si="44"/>
        <v>400</v>
      </c>
      <c r="I46" s="7">
        <f t="shared" si="44"/>
        <v>500</v>
      </c>
      <c r="J46" s="7">
        <f t="shared" si="44"/>
        <v>600</v>
      </c>
      <c r="K46" s="7">
        <f t="shared" si="44"/>
        <v>700</v>
      </c>
      <c r="L46" s="7">
        <f t="shared" si="44"/>
        <v>800</v>
      </c>
      <c r="M46" s="7">
        <f t="shared" si="44"/>
        <v>900</v>
      </c>
      <c r="N46" s="10"/>
    </row>
    <row r="47">
      <c r="A47" s="13">
        <v>42217.0</v>
      </c>
      <c r="B47" s="12">
        <v>1000.0</v>
      </c>
      <c r="C47" s="7">
        <f t="shared" ref="C47:M47" si="45">$B47*C$2</f>
        <v>50</v>
      </c>
      <c r="D47" s="7">
        <f t="shared" si="45"/>
        <v>100</v>
      </c>
      <c r="E47" s="7">
        <f t="shared" si="45"/>
        <v>150</v>
      </c>
      <c r="F47" s="7">
        <f t="shared" si="45"/>
        <v>200</v>
      </c>
      <c r="G47" s="7">
        <f t="shared" si="45"/>
        <v>300</v>
      </c>
      <c r="H47" s="7">
        <f t="shared" si="45"/>
        <v>400</v>
      </c>
      <c r="I47" s="7">
        <f t="shared" si="45"/>
        <v>500</v>
      </c>
      <c r="J47" s="7">
        <f t="shared" si="45"/>
        <v>600</v>
      </c>
      <c r="K47" s="7">
        <f t="shared" si="45"/>
        <v>700</v>
      </c>
      <c r="L47" s="7">
        <f t="shared" si="45"/>
        <v>800</v>
      </c>
      <c r="M47" s="7">
        <f t="shared" si="45"/>
        <v>900</v>
      </c>
      <c r="N47" s="10"/>
    </row>
    <row r="48">
      <c r="A48" s="13">
        <v>42248.0</v>
      </c>
      <c r="B48" s="12">
        <v>1000.0</v>
      </c>
      <c r="C48" s="7">
        <f t="shared" ref="C48:M48" si="46">$B48*C$2</f>
        <v>50</v>
      </c>
      <c r="D48" s="7">
        <f t="shared" si="46"/>
        <v>100</v>
      </c>
      <c r="E48" s="7">
        <f t="shared" si="46"/>
        <v>150</v>
      </c>
      <c r="F48" s="7">
        <f t="shared" si="46"/>
        <v>200</v>
      </c>
      <c r="G48" s="7">
        <f t="shared" si="46"/>
        <v>300</v>
      </c>
      <c r="H48" s="7">
        <f t="shared" si="46"/>
        <v>400</v>
      </c>
      <c r="I48" s="7">
        <f t="shared" si="46"/>
        <v>500</v>
      </c>
      <c r="J48" s="7">
        <f t="shared" si="46"/>
        <v>600</v>
      </c>
      <c r="K48" s="7">
        <f t="shared" si="46"/>
        <v>700</v>
      </c>
      <c r="L48" s="7">
        <f t="shared" si="46"/>
        <v>800</v>
      </c>
      <c r="M48" s="7">
        <f t="shared" si="46"/>
        <v>900</v>
      </c>
      <c r="N48" s="10"/>
    </row>
    <row r="49">
      <c r="A49" s="13">
        <v>42278.0</v>
      </c>
      <c r="B49" s="12">
        <v>1000.0</v>
      </c>
      <c r="C49" s="7">
        <f t="shared" ref="C49:M49" si="47">$B49*C$2</f>
        <v>50</v>
      </c>
      <c r="D49" s="7">
        <f t="shared" si="47"/>
        <v>100</v>
      </c>
      <c r="E49" s="7">
        <f t="shared" si="47"/>
        <v>150</v>
      </c>
      <c r="F49" s="7">
        <f t="shared" si="47"/>
        <v>200</v>
      </c>
      <c r="G49" s="7">
        <f t="shared" si="47"/>
        <v>300</v>
      </c>
      <c r="H49" s="7">
        <f t="shared" si="47"/>
        <v>400</v>
      </c>
      <c r="I49" s="7">
        <f t="shared" si="47"/>
        <v>500</v>
      </c>
      <c r="J49" s="7">
        <f t="shared" si="47"/>
        <v>600</v>
      </c>
      <c r="K49" s="7">
        <f t="shared" si="47"/>
        <v>700</v>
      </c>
      <c r="L49" s="7">
        <f t="shared" si="47"/>
        <v>800</v>
      </c>
      <c r="M49" s="7">
        <f t="shared" si="47"/>
        <v>900</v>
      </c>
      <c r="N49" s="10"/>
    </row>
    <row r="50">
      <c r="A50" s="13">
        <v>42309.0</v>
      </c>
      <c r="B50" s="12">
        <v>1000.0</v>
      </c>
      <c r="C50" s="7">
        <f t="shared" ref="C50:M50" si="48">$B50*C$2</f>
        <v>50</v>
      </c>
      <c r="D50" s="7">
        <f t="shared" si="48"/>
        <v>100</v>
      </c>
      <c r="E50" s="7">
        <f t="shared" si="48"/>
        <v>150</v>
      </c>
      <c r="F50" s="7">
        <f t="shared" si="48"/>
        <v>200</v>
      </c>
      <c r="G50" s="7">
        <f t="shared" si="48"/>
        <v>300</v>
      </c>
      <c r="H50" s="7">
        <f t="shared" si="48"/>
        <v>400</v>
      </c>
      <c r="I50" s="7">
        <f t="shared" si="48"/>
        <v>500</v>
      </c>
      <c r="J50" s="7">
        <f t="shared" si="48"/>
        <v>600</v>
      </c>
      <c r="K50" s="7">
        <f t="shared" si="48"/>
        <v>700</v>
      </c>
      <c r="L50" s="7">
        <f t="shared" si="48"/>
        <v>800</v>
      </c>
      <c r="M50" s="7">
        <f t="shared" si="48"/>
        <v>900</v>
      </c>
      <c r="N50" s="10"/>
    </row>
    <row r="51">
      <c r="A51" s="14">
        <v>42339.0</v>
      </c>
      <c r="B51" s="12">
        <v>1000.0</v>
      </c>
      <c r="C51" s="7">
        <f t="shared" ref="C51:M51" si="49">$B51*C$2</f>
        <v>50</v>
      </c>
      <c r="D51" s="7">
        <f t="shared" si="49"/>
        <v>100</v>
      </c>
      <c r="E51" s="7">
        <f t="shared" si="49"/>
        <v>150</v>
      </c>
      <c r="F51" s="7">
        <f t="shared" si="49"/>
        <v>200</v>
      </c>
      <c r="G51" s="7">
        <f t="shared" si="49"/>
        <v>300</v>
      </c>
      <c r="H51" s="7">
        <f t="shared" si="49"/>
        <v>400</v>
      </c>
      <c r="I51" s="7">
        <f t="shared" si="49"/>
        <v>500</v>
      </c>
      <c r="J51" s="7">
        <f t="shared" si="49"/>
        <v>600</v>
      </c>
      <c r="K51" s="7">
        <f t="shared" si="49"/>
        <v>700</v>
      </c>
      <c r="L51" s="7">
        <f t="shared" si="49"/>
        <v>800</v>
      </c>
      <c r="M51" s="7">
        <f t="shared" si="49"/>
        <v>900</v>
      </c>
      <c r="N51" s="10"/>
    </row>
    <row r="52">
      <c r="A52" s="13">
        <v>42370.0</v>
      </c>
      <c r="B52" s="12">
        <v>1000.0</v>
      </c>
      <c r="C52" s="7">
        <f t="shared" ref="C52:M52" si="50">$B52*C$2</f>
        <v>50</v>
      </c>
      <c r="D52" s="7">
        <f t="shared" si="50"/>
        <v>100</v>
      </c>
      <c r="E52" s="7">
        <f t="shared" si="50"/>
        <v>150</v>
      </c>
      <c r="F52" s="7">
        <f t="shared" si="50"/>
        <v>200</v>
      </c>
      <c r="G52" s="7">
        <f t="shared" si="50"/>
        <v>300</v>
      </c>
      <c r="H52" s="7">
        <f t="shared" si="50"/>
        <v>400</v>
      </c>
      <c r="I52" s="7">
        <f t="shared" si="50"/>
        <v>500</v>
      </c>
      <c r="J52" s="7">
        <f t="shared" si="50"/>
        <v>600</v>
      </c>
      <c r="K52" s="7">
        <f t="shared" si="50"/>
        <v>700</v>
      </c>
      <c r="L52" s="7">
        <f t="shared" si="50"/>
        <v>800</v>
      </c>
      <c r="M52" s="7">
        <f t="shared" si="50"/>
        <v>900</v>
      </c>
      <c r="N52" s="10"/>
    </row>
    <row r="53">
      <c r="A53" s="13">
        <v>42401.0</v>
      </c>
      <c r="B53" s="12">
        <v>1000.0</v>
      </c>
      <c r="C53" s="7">
        <f t="shared" ref="C53:M53" si="51">$B53*C$2</f>
        <v>50</v>
      </c>
      <c r="D53" s="7">
        <f t="shared" si="51"/>
        <v>100</v>
      </c>
      <c r="E53" s="7">
        <f t="shared" si="51"/>
        <v>150</v>
      </c>
      <c r="F53" s="7">
        <f t="shared" si="51"/>
        <v>200</v>
      </c>
      <c r="G53" s="7">
        <f t="shared" si="51"/>
        <v>300</v>
      </c>
      <c r="H53" s="7">
        <f t="shared" si="51"/>
        <v>400</v>
      </c>
      <c r="I53" s="7">
        <f t="shared" si="51"/>
        <v>500</v>
      </c>
      <c r="J53" s="7">
        <f t="shared" si="51"/>
        <v>600</v>
      </c>
      <c r="K53" s="7">
        <f t="shared" si="51"/>
        <v>700</v>
      </c>
      <c r="L53" s="7">
        <f t="shared" si="51"/>
        <v>800</v>
      </c>
      <c r="M53" s="7">
        <f t="shared" si="51"/>
        <v>900</v>
      </c>
      <c r="N53" s="10"/>
    </row>
    <row r="54">
      <c r="A54" s="13">
        <v>42430.0</v>
      </c>
      <c r="B54" s="12">
        <v>1000.0</v>
      </c>
      <c r="C54" s="7">
        <f t="shared" ref="C54:M54" si="52">$B54*C$2</f>
        <v>50</v>
      </c>
      <c r="D54" s="7">
        <f t="shared" si="52"/>
        <v>100</v>
      </c>
      <c r="E54" s="7">
        <f t="shared" si="52"/>
        <v>150</v>
      </c>
      <c r="F54" s="7">
        <f t="shared" si="52"/>
        <v>200</v>
      </c>
      <c r="G54" s="7">
        <f t="shared" si="52"/>
        <v>300</v>
      </c>
      <c r="H54" s="7">
        <f t="shared" si="52"/>
        <v>400</v>
      </c>
      <c r="I54" s="7">
        <f t="shared" si="52"/>
        <v>500</v>
      </c>
      <c r="J54" s="7">
        <f t="shared" si="52"/>
        <v>600</v>
      </c>
      <c r="K54" s="7">
        <f t="shared" si="52"/>
        <v>700</v>
      </c>
      <c r="L54" s="7">
        <f t="shared" si="52"/>
        <v>800</v>
      </c>
      <c r="M54" s="7">
        <f t="shared" si="52"/>
        <v>900</v>
      </c>
      <c r="N54" s="10"/>
    </row>
    <row r="55">
      <c r="A55" s="13">
        <v>42461.0</v>
      </c>
      <c r="B55" s="12">
        <v>1000.0</v>
      </c>
      <c r="C55" s="7">
        <f t="shared" ref="C55:M55" si="53">$B55*C$2</f>
        <v>50</v>
      </c>
      <c r="D55" s="7">
        <f t="shared" si="53"/>
        <v>100</v>
      </c>
      <c r="E55" s="7">
        <f t="shared" si="53"/>
        <v>150</v>
      </c>
      <c r="F55" s="7">
        <f t="shared" si="53"/>
        <v>200</v>
      </c>
      <c r="G55" s="7">
        <f t="shared" si="53"/>
        <v>300</v>
      </c>
      <c r="H55" s="7">
        <f t="shared" si="53"/>
        <v>400</v>
      </c>
      <c r="I55" s="7">
        <f t="shared" si="53"/>
        <v>500</v>
      </c>
      <c r="J55" s="7">
        <f t="shared" si="53"/>
        <v>600</v>
      </c>
      <c r="K55" s="7">
        <f t="shared" si="53"/>
        <v>700</v>
      </c>
      <c r="L55" s="7">
        <f t="shared" si="53"/>
        <v>800</v>
      </c>
      <c r="M55" s="7">
        <f t="shared" si="53"/>
        <v>900</v>
      </c>
      <c r="N55" s="10"/>
    </row>
    <row r="56">
      <c r="A56" s="13">
        <v>42491.0</v>
      </c>
      <c r="B56" s="12">
        <v>1000.0</v>
      </c>
      <c r="C56" s="7">
        <f t="shared" ref="C56:M56" si="54">$B56*C$2</f>
        <v>50</v>
      </c>
      <c r="D56" s="7">
        <f t="shared" si="54"/>
        <v>100</v>
      </c>
      <c r="E56" s="7">
        <f t="shared" si="54"/>
        <v>150</v>
      </c>
      <c r="F56" s="7">
        <f t="shared" si="54"/>
        <v>200</v>
      </c>
      <c r="G56" s="7">
        <f t="shared" si="54"/>
        <v>300</v>
      </c>
      <c r="H56" s="7">
        <f t="shared" si="54"/>
        <v>400</v>
      </c>
      <c r="I56" s="7">
        <f t="shared" si="54"/>
        <v>500</v>
      </c>
      <c r="J56" s="7">
        <f t="shared" si="54"/>
        <v>600</v>
      </c>
      <c r="K56" s="7">
        <f t="shared" si="54"/>
        <v>700</v>
      </c>
      <c r="L56" s="7">
        <f t="shared" si="54"/>
        <v>800</v>
      </c>
      <c r="M56" s="7">
        <f t="shared" si="54"/>
        <v>900</v>
      </c>
      <c r="N56" s="10"/>
    </row>
    <row r="57">
      <c r="A57" s="13">
        <v>42522.0</v>
      </c>
      <c r="B57" s="12">
        <v>1000.0</v>
      </c>
      <c r="C57" s="7">
        <f t="shared" ref="C57:M57" si="55">$B57*C$2</f>
        <v>50</v>
      </c>
      <c r="D57" s="7">
        <f t="shared" si="55"/>
        <v>100</v>
      </c>
      <c r="E57" s="7">
        <f t="shared" si="55"/>
        <v>150</v>
      </c>
      <c r="F57" s="7">
        <f t="shared" si="55"/>
        <v>200</v>
      </c>
      <c r="G57" s="7">
        <f t="shared" si="55"/>
        <v>300</v>
      </c>
      <c r="H57" s="7">
        <f t="shared" si="55"/>
        <v>400</v>
      </c>
      <c r="I57" s="7">
        <f t="shared" si="55"/>
        <v>500</v>
      </c>
      <c r="J57" s="7">
        <f t="shared" si="55"/>
        <v>600</v>
      </c>
      <c r="K57" s="7">
        <f t="shared" si="55"/>
        <v>700</v>
      </c>
      <c r="L57" s="7">
        <f t="shared" si="55"/>
        <v>800</v>
      </c>
      <c r="M57" s="7">
        <f t="shared" si="55"/>
        <v>900</v>
      </c>
      <c r="N57" s="10"/>
    </row>
    <row r="58">
      <c r="A58" s="13">
        <v>42552.0</v>
      </c>
      <c r="B58" s="12">
        <v>1000.0</v>
      </c>
      <c r="C58" s="7">
        <f t="shared" ref="C58:M58" si="56">$B58*C$2</f>
        <v>50</v>
      </c>
      <c r="D58" s="7">
        <f t="shared" si="56"/>
        <v>100</v>
      </c>
      <c r="E58" s="7">
        <f t="shared" si="56"/>
        <v>150</v>
      </c>
      <c r="F58" s="7">
        <f t="shared" si="56"/>
        <v>200</v>
      </c>
      <c r="G58" s="7">
        <f t="shared" si="56"/>
        <v>300</v>
      </c>
      <c r="H58" s="7">
        <f t="shared" si="56"/>
        <v>400</v>
      </c>
      <c r="I58" s="7">
        <f t="shared" si="56"/>
        <v>500</v>
      </c>
      <c r="J58" s="7">
        <f t="shared" si="56"/>
        <v>600</v>
      </c>
      <c r="K58" s="7">
        <f t="shared" si="56"/>
        <v>700</v>
      </c>
      <c r="L58" s="7">
        <f t="shared" si="56"/>
        <v>800</v>
      </c>
      <c r="M58" s="7">
        <f t="shared" si="56"/>
        <v>900</v>
      </c>
      <c r="N58" s="10"/>
    </row>
    <row r="59">
      <c r="A59" s="13">
        <v>42583.0</v>
      </c>
      <c r="B59" s="12">
        <v>1000.0</v>
      </c>
      <c r="C59" s="7">
        <f t="shared" ref="C59:M59" si="57">$B59*C$2</f>
        <v>50</v>
      </c>
      <c r="D59" s="7">
        <f t="shared" si="57"/>
        <v>100</v>
      </c>
      <c r="E59" s="7">
        <f t="shared" si="57"/>
        <v>150</v>
      </c>
      <c r="F59" s="7">
        <f t="shared" si="57"/>
        <v>200</v>
      </c>
      <c r="G59" s="7">
        <f t="shared" si="57"/>
        <v>300</v>
      </c>
      <c r="H59" s="7">
        <f t="shared" si="57"/>
        <v>400</v>
      </c>
      <c r="I59" s="7">
        <f t="shared" si="57"/>
        <v>500</v>
      </c>
      <c r="J59" s="7">
        <f t="shared" si="57"/>
        <v>600</v>
      </c>
      <c r="K59" s="7">
        <f t="shared" si="57"/>
        <v>700</v>
      </c>
      <c r="L59" s="7">
        <f t="shared" si="57"/>
        <v>800</v>
      </c>
      <c r="M59" s="7">
        <f t="shared" si="57"/>
        <v>900</v>
      </c>
      <c r="N59" s="10"/>
    </row>
    <row r="60">
      <c r="A60" s="13">
        <v>42614.0</v>
      </c>
      <c r="B60" s="12">
        <v>1000.0</v>
      </c>
      <c r="C60" s="7">
        <f t="shared" ref="C60:M60" si="58">$B60*C$2</f>
        <v>50</v>
      </c>
      <c r="D60" s="7">
        <f t="shared" si="58"/>
        <v>100</v>
      </c>
      <c r="E60" s="7">
        <f t="shared" si="58"/>
        <v>150</v>
      </c>
      <c r="F60" s="7">
        <f t="shared" si="58"/>
        <v>200</v>
      </c>
      <c r="G60" s="7">
        <f t="shared" si="58"/>
        <v>300</v>
      </c>
      <c r="H60" s="7">
        <f t="shared" si="58"/>
        <v>400</v>
      </c>
      <c r="I60" s="7">
        <f t="shared" si="58"/>
        <v>500</v>
      </c>
      <c r="J60" s="7">
        <f t="shared" si="58"/>
        <v>600</v>
      </c>
      <c r="K60" s="7">
        <f t="shared" si="58"/>
        <v>700</v>
      </c>
      <c r="L60" s="7">
        <f t="shared" si="58"/>
        <v>800</v>
      </c>
      <c r="M60" s="7">
        <f t="shared" si="58"/>
        <v>900</v>
      </c>
      <c r="N60" s="10"/>
    </row>
    <row r="61">
      <c r="A61" s="13">
        <v>42644.0</v>
      </c>
      <c r="B61" s="12">
        <v>1000.0</v>
      </c>
      <c r="C61" s="7">
        <f t="shared" ref="C61:M61" si="59">$B61*C$2</f>
        <v>50</v>
      </c>
      <c r="D61" s="7">
        <f t="shared" si="59"/>
        <v>100</v>
      </c>
      <c r="E61" s="7">
        <f t="shared" si="59"/>
        <v>150</v>
      </c>
      <c r="F61" s="7">
        <f t="shared" si="59"/>
        <v>200</v>
      </c>
      <c r="G61" s="7">
        <f t="shared" si="59"/>
        <v>300</v>
      </c>
      <c r="H61" s="7">
        <f t="shared" si="59"/>
        <v>400</v>
      </c>
      <c r="I61" s="7">
        <f t="shared" si="59"/>
        <v>500</v>
      </c>
      <c r="J61" s="7">
        <f t="shared" si="59"/>
        <v>600</v>
      </c>
      <c r="K61" s="7">
        <f t="shared" si="59"/>
        <v>700</v>
      </c>
      <c r="L61" s="7">
        <f t="shared" si="59"/>
        <v>800</v>
      </c>
      <c r="M61" s="7">
        <f t="shared" si="59"/>
        <v>900</v>
      </c>
      <c r="N61" s="10"/>
    </row>
    <row r="62">
      <c r="A62" s="13">
        <v>42675.0</v>
      </c>
      <c r="B62" s="12">
        <v>1000.0</v>
      </c>
      <c r="C62" s="7">
        <f t="shared" ref="C62:M62" si="60">$B62*C$2</f>
        <v>50</v>
      </c>
      <c r="D62" s="7">
        <f t="shared" si="60"/>
        <v>100</v>
      </c>
      <c r="E62" s="7">
        <f t="shared" si="60"/>
        <v>150</v>
      </c>
      <c r="F62" s="7">
        <f t="shared" si="60"/>
        <v>200</v>
      </c>
      <c r="G62" s="7">
        <f t="shared" si="60"/>
        <v>300</v>
      </c>
      <c r="H62" s="7">
        <f t="shared" si="60"/>
        <v>400</v>
      </c>
      <c r="I62" s="7">
        <f t="shared" si="60"/>
        <v>500</v>
      </c>
      <c r="J62" s="7">
        <f t="shared" si="60"/>
        <v>600</v>
      </c>
      <c r="K62" s="7">
        <f t="shared" si="60"/>
        <v>700</v>
      </c>
      <c r="L62" s="7">
        <f t="shared" si="60"/>
        <v>800</v>
      </c>
      <c r="M62" s="7">
        <f t="shared" si="60"/>
        <v>900</v>
      </c>
      <c r="N62" s="10"/>
    </row>
    <row r="63">
      <c r="A63" s="14">
        <v>42705.0</v>
      </c>
      <c r="B63" s="12">
        <v>1000.0</v>
      </c>
      <c r="C63" s="7">
        <f t="shared" ref="C63:M63" si="61">$B63*C$2</f>
        <v>50</v>
      </c>
      <c r="D63" s="7">
        <f t="shared" si="61"/>
        <v>100</v>
      </c>
      <c r="E63" s="7">
        <f t="shared" si="61"/>
        <v>150</v>
      </c>
      <c r="F63" s="7">
        <f t="shared" si="61"/>
        <v>200</v>
      </c>
      <c r="G63" s="7">
        <f t="shared" si="61"/>
        <v>300</v>
      </c>
      <c r="H63" s="7">
        <f t="shared" si="61"/>
        <v>400</v>
      </c>
      <c r="I63" s="7">
        <f t="shared" si="61"/>
        <v>500</v>
      </c>
      <c r="J63" s="7">
        <f t="shared" si="61"/>
        <v>600</v>
      </c>
      <c r="K63" s="7">
        <f t="shared" si="61"/>
        <v>700</v>
      </c>
      <c r="L63" s="7">
        <f t="shared" si="61"/>
        <v>800</v>
      </c>
      <c r="M63" s="7">
        <f t="shared" si="61"/>
        <v>900</v>
      </c>
      <c r="N63" s="10"/>
    </row>
    <row r="64">
      <c r="A64" s="13">
        <v>42736.0</v>
      </c>
      <c r="B64" s="12">
        <v>1000.0</v>
      </c>
      <c r="C64" s="7">
        <f t="shared" ref="C64:M64" si="62">$B64*C$2</f>
        <v>50</v>
      </c>
      <c r="D64" s="7">
        <f t="shared" si="62"/>
        <v>100</v>
      </c>
      <c r="E64" s="7">
        <f t="shared" si="62"/>
        <v>150</v>
      </c>
      <c r="F64" s="7">
        <f t="shared" si="62"/>
        <v>200</v>
      </c>
      <c r="G64" s="7">
        <f t="shared" si="62"/>
        <v>300</v>
      </c>
      <c r="H64" s="7">
        <f t="shared" si="62"/>
        <v>400</v>
      </c>
      <c r="I64" s="7">
        <f t="shared" si="62"/>
        <v>500</v>
      </c>
      <c r="J64" s="7">
        <f t="shared" si="62"/>
        <v>600</v>
      </c>
      <c r="K64" s="7">
        <f t="shared" si="62"/>
        <v>700</v>
      </c>
      <c r="L64" s="7">
        <f t="shared" si="62"/>
        <v>800</v>
      </c>
      <c r="M64" s="7">
        <f t="shared" si="62"/>
        <v>900</v>
      </c>
      <c r="N64" s="10"/>
    </row>
    <row r="65">
      <c r="A65" s="13">
        <v>42767.0</v>
      </c>
      <c r="B65" s="12">
        <v>1000.0</v>
      </c>
      <c r="C65" s="7">
        <f t="shared" ref="C65:M65" si="63">$B65*C$2</f>
        <v>50</v>
      </c>
      <c r="D65" s="7">
        <f t="shared" si="63"/>
        <v>100</v>
      </c>
      <c r="E65" s="7">
        <f t="shared" si="63"/>
        <v>150</v>
      </c>
      <c r="F65" s="7">
        <f t="shared" si="63"/>
        <v>200</v>
      </c>
      <c r="G65" s="7">
        <f t="shared" si="63"/>
        <v>300</v>
      </c>
      <c r="H65" s="7">
        <f t="shared" si="63"/>
        <v>400</v>
      </c>
      <c r="I65" s="7">
        <f t="shared" si="63"/>
        <v>500</v>
      </c>
      <c r="J65" s="7">
        <f t="shared" si="63"/>
        <v>600</v>
      </c>
      <c r="K65" s="7">
        <f t="shared" si="63"/>
        <v>700</v>
      </c>
      <c r="L65" s="7">
        <f t="shared" si="63"/>
        <v>800</v>
      </c>
      <c r="M65" s="7">
        <f t="shared" si="63"/>
        <v>900</v>
      </c>
      <c r="N65" s="10"/>
    </row>
    <row r="66">
      <c r="A66" s="13">
        <v>42795.0</v>
      </c>
      <c r="B66" s="12">
        <v>1000.0</v>
      </c>
      <c r="C66" s="7">
        <f t="shared" ref="C66:M66" si="64">$B66*C$2</f>
        <v>50</v>
      </c>
      <c r="D66" s="7">
        <f t="shared" si="64"/>
        <v>100</v>
      </c>
      <c r="E66" s="7">
        <f t="shared" si="64"/>
        <v>150</v>
      </c>
      <c r="F66" s="7">
        <f t="shared" si="64"/>
        <v>200</v>
      </c>
      <c r="G66" s="7">
        <f t="shared" si="64"/>
        <v>300</v>
      </c>
      <c r="H66" s="7">
        <f t="shared" si="64"/>
        <v>400</v>
      </c>
      <c r="I66" s="7">
        <f t="shared" si="64"/>
        <v>500</v>
      </c>
      <c r="J66" s="7">
        <f t="shared" si="64"/>
        <v>600</v>
      </c>
      <c r="K66" s="7">
        <f t="shared" si="64"/>
        <v>700</v>
      </c>
      <c r="L66" s="7">
        <f t="shared" si="64"/>
        <v>800</v>
      </c>
      <c r="M66" s="7">
        <f t="shared" si="64"/>
        <v>900</v>
      </c>
      <c r="N66" s="10"/>
    </row>
    <row r="67">
      <c r="A67" s="13">
        <v>42826.0</v>
      </c>
      <c r="B67" s="12">
        <v>1000.0</v>
      </c>
      <c r="C67" s="7">
        <f t="shared" ref="C67:M67" si="65">$B67*C$2</f>
        <v>50</v>
      </c>
      <c r="D67" s="7">
        <f t="shared" si="65"/>
        <v>100</v>
      </c>
      <c r="E67" s="7">
        <f t="shared" si="65"/>
        <v>150</v>
      </c>
      <c r="F67" s="7">
        <f t="shared" si="65"/>
        <v>200</v>
      </c>
      <c r="G67" s="7">
        <f t="shared" si="65"/>
        <v>300</v>
      </c>
      <c r="H67" s="7">
        <f t="shared" si="65"/>
        <v>400</v>
      </c>
      <c r="I67" s="7">
        <f t="shared" si="65"/>
        <v>500</v>
      </c>
      <c r="J67" s="7">
        <f t="shared" si="65"/>
        <v>600</v>
      </c>
      <c r="K67" s="7">
        <f t="shared" si="65"/>
        <v>700</v>
      </c>
      <c r="L67" s="7">
        <f t="shared" si="65"/>
        <v>800</v>
      </c>
      <c r="M67" s="7">
        <f t="shared" si="65"/>
        <v>900</v>
      </c>
      <c r="N67" s="10"/>
    </row>
    <row r="68">
      <c r="A68" s="13">
        <v>42856.0</v>
      </c>
      <c r="B68" s="12">
        <v>1000.0</v>
      </c>
      <c r="C68" s="7">
        <f t="shared" ref="C68:M68" si="66">$B68*C$2</f>
        <v>50</v>
      </c>
      <c r="D68" s="7">
        <f t="shared" si="66"/>
        <v>100</v>
      </c>
      <c r="E68" s="7">
        <f t="shared" si="66"/>
        <v>150</v>
      </c>
      <c r="F68" s="7">
        <f t="shared" si="66"/>
        <v>200</v>
      </c>
      <c r="G68" s="7">
        <f t="shared" si="66"/>
        <v>300</v>
      </c>
      <c r="H68" s="7">
        <f t="shared" si="66"/>
        <v>400</v>
      </c>
      <c r="I68" s="7">
        <f t="shared" si="66"/>
        <v>500</v>
      </c>
      <c r="J68" s="7">
        <f t="shared" si="66"/>
        <v>600</v>
      </c>
      <c r="K68" s="7">
        <f t="shared" si="66"/>
        <v>700</v>
      </c>
      <c r="L68" s="7">
        <f t="shared" si="66"/>
        <v>800</v>
      </c>
      <c r="M68" s="7">
        <f t="shared" si="66"/>
        <v>900</v>
      </c>
      <c r="N68" s="10"/>
    </row>
    <row r="69">
      <c r="A69" s="13">
        <v>42887.0</v>
      </c>
      <c r="B69" s="12">
        <v>1000.0</v>
      </c>
      <c r="C69" s="7">
        <f t="shared" ref="C69:M69" si="67">$B69*C$2</f>
        <v>50</v>
      </c>
      <c r="D69" s="7">
        <f t="shared" si="67"/>
        <v>100</v>
      </c>
      <c r="E69" s="7">
        <f t="shared" si="67"/>
        <v>150</v>
      </c>
      <c r="F69" s="7">
        <f t="shared" si="67"/>
        <v>200</v>
      </c>
      <c r="G69" s="7">
        <f t="shared" si="67"/>
        <v>300</v>
      </c>
      <c r="H69" s="7">
        <f t="shared" si="67"/>
        <v>400</v>
      </c>
      <c r="I69" s="7">
        <f t="shared" si="67"/>
        <v>500</v>
      </c>
      <c r="J69" s="7">
        <f t="shared" si="67"/>
        <v>600</v>
      </c>
      <c r="K69" s="7">
        <f t="shared" si="67"/>
        <v>700</v>
      </c>
      <c r="L69" s="7">
        <f t="shared" si="67"/>
        <v>800</v>
      </c>
      <c r="M69" s="7">
        <f t="shared" si="67"/>
        <v>900</v>
      </c>
      <c r="N69" s="10"/>
    </row>
    <row r="70">
      <c r="A70" s="13">
        <v>42917.0</v>
      </c>
      <c r="B70" s="12">
        <v>1000.0</v>
      </c>
      <c r="C70" s="7">
        <f t="shared" ref="C70:M70" si="68">$B70*C$2</f>
        <v>50</v>
      </c>
      <c r="D70" s="7">
        <f t="shared" si="68"/>
        <v>100</v>
      </c>
      <c r="E70" s="7">
        <f t="shared" si="68"/>
        <v>150</v>
      </c>
      <c r="F70" s="7">
        <f t="shared" si="68"/>
        <v>200</v>
      </c>
      <c r="G70" s="7">
        <f t="shared" si="68"/>
        <v>300</v>
      </c>
      <c r="H70" s="7">
        <f t="shared" si="68"/>
        <v>400</v>
      </c>
      <c r="I70" s="7">
        <f t="shared" si="68"/>
        <v>500</v>
      </c>
      <c r="J70" s="7">
        <f t="shared" si="68"/>
        <v>600</v>
      </c>
      <c r="K70" s="7">
        <f t="shared" si="68"/>
        <v>700</v>
      </c>
      <c r="L70" s="7">
        <f t="shared" si="68"/>
        <v>800</v>
      </c>
      <c r="M70" s="7">
        <f t="shared" si="68"/>
        <v>900</v>
      </c>
      <c r="N70" s="10"/>
    </row>
    <row r="71">
      <c r="A71" s="13">
        <v>42948.0</v>
      </c>
      <c r="B71" s="12">
        <v>1000.0</v>
      </c>
      <c r="C71" s="7">
        <f t="shared" ref="C71:M71" si="69">$B71*C$2</f>
        <v>50</v>
      </c>
      <c r="D71" s="7">
        <f t="shared" si="69"/>
        <v>100</v>
      </c>
      <c r="E71" s="7">
        <f t="shared" si="69"/>
        <v>150</v>
      </c>
      <c r="F71" s="7">
        <f t="shared" si="69"/>
        <v>200</v>
      </c>
      <c r="G71" s="7">
        <f t="shared" si="69"/>
        <v>300</v>
      </c>
      <c r="H71" s="7">
        <f t="shared" si="69"/>
        <v>400</v>
      </c>
      <c r="I71" s="7">
        <f t="shared" si="69"/>
        <v>500</v>
      </c>
      <c r="J71" s="7">
        <f t="shared" si="69"/>
        <v>600</v>
      </c>
      <c r="K71" s="7">
        <f t="shared" si="69"/>
        <v>700</v>
      </c>
      <c r="L71" s="7">
        <f t="shared" si="69"/>
        <v>800</v>
      </c>
      <c r="M71" s="7">
        <f t="shared" si="69"/>
        <v>900</v>
      </c>
      <c r="N71" s="10"/>
    </row>
    <row r="72">
      <c r="A72" s="13">
        <v>42979.0</v>
      </c>
      <c r="B72" s="12">
        <v>1000.0</v>
      </c>
      <c r="C72" s="7">
        <f t="shared" ref="C72:M72" si="70">$B72*C$2</f>
        <v>50</v>
      </c>
      <c r="D72" s="7">
        <f t="shared" si="70"/>
        <v>100</v>
      </c>
      <c r="E72" s="7">
        <f t="shared" si="70"/>
        <v>150</v>
      </c>
      <c r="F72" s="7">
        <f t="shared" si="70"/>
        <v>200</v>
      </c>
      <c r="G72" s="7">
        <f t="shared" si="70"/>
        <v>300</v>
      </c>
      <c r="H72" s="7">
        <f t="shared" si="70"/>
        <v>400</v>
      </c>
      <c r="I72" s="7">
        <f t="shared" si="70"/>
        <v>500</v>
      </c>
      <c r="J72" s="7">
        <f t="shared" si="70"/>
        <v>600</v>
      </c>
      <c r="K72" s="7">
        <f t="shared" si="70"/>
        <v>700</v>
      </c>
      <c r="L72" s="7">
        <f t="shared" si="70"/>
        <v>800</v>
      </c>
      <c r="M72" s="7">
        <f t="shared" si="70"/>
        <v>900</v>
      </c>
      <c r="N72" s="10"/>
    </row>
    <row r="73">
      <c r="A73" s="13">
        <v>43009.0</v>
      </c>
      <c r="B73" s="12">
        <v>1000.0</v>
      </c>
      <c r="C73" s="7">
        <f t="shared" ref="C73:M73" si="71">$B73*C$2</f>
        <v>50</v>
      </c>
      <c r="D73" s="7">
        <f t="shared" si="71"/>
        <v>100</v>
      </c>
      <c r="E73" s="7">
        <f t="shared" si="71"/>
        <v>150</v>
      </c>
      <c r="F73" s="7">
        <f t="shared" si="71"/>
        <v>200</v>
      </c>
      <c r="G73" s="7">
        <f t="shared" si="71"/>
        <v>300</v>
      </c>
      <c r="H73" s="7">
        <f t="shared" si="71"/>
        <v>400</v>
      </c>
      <c r="I73" s="7">
        <f t="shared" si="71"/>
        <v>500</v>
      </c>
      <c r="J73" s="7">
        <f t="shared" si="71"/>
        <v>600</v>
      </c>
      <c r="K73" s="7">
        <f t="shared" si="71"/>
        <v>700</v>
      </c>
      <c r="L73" s="7">
        <f t="shared" si="71"/>
        <v>800</v>
      </c>
      <c r="M73" s="7">
        <f t="shared" si="71"/>
        <v>900</v>
      </c>
      <c r="N73" s="10"/>
    </row>
    <row r="74">
      <c r="A74" s="13">
        <v>43040.0</v>
      </c>
      <c r="B74" s="12">
        <v>1000.0</v>
      </c>
      <c r="C74" s="7">
        <f t="shared" ref="C74:M74" si="72">$B74*C$2</f>
        <v>50</v>
      </c>
      <c r="D74" s="7">
        <f t="shared" si="72"/>
        <v>100</v>
      </c>
      <c r="E74" s="7">
        <f t="shared" si="72"/>
        <v>150</v>
      </c>
      <c r="F74" s="7">
        <f t="shared" si="72"/>
        <v>200</v>
      </c>
      <c r="G74" s="7">
        <f t="shared" si="72"/>
        <v>300</v>
      </c>
      <c r="H74" s="7">
        <f t="shared" si="72"/>
        <v>400</v>
      </c>
      <c r="I74" s="7">
        <f t="shared" si="72"/>
        <v>500</v>
      </c>
      <c r="J74" s="7">
        <f t="shared" si="72"/>
        <v>600</v>
      </c>
      <c r="K74" s="7">
        <f t="shared" si="72"/>
        <v>700</v>
      </c>
      <c r="L74" s="7">
        <f t="shared" si="72"/>
        <v>800</v>
      </c>
      <c r="M74" s="7">
        <f t="shared" si="72"/>
        <v>900</v>
      </c>
      <c r="N74" s="10"/>
    </row>
    <row r="75">
      <c r="A75" s="14">
        <v>43070.0</v>
      </c>
      <c r="B75" s="12">
        <v>1000.0</v>
      </c>
      <c r="C75" s="7">
        <f t="shared" ref="C75:M75" si="73">$B75*C$2</f>
        <v>50</v>
      </c>
      <c r="D75" s="7">
        <f t="shared" si="73"/>
        <v>100</v>
      </c>
      <c r="E75" s="7">
        <f t="shared" si="73"/>
        <v>150</v>
      </c>
      <c r="F75" s="7">
        <f t="shared" si="73"/>
        <v>200</v>
      </c>
      <c r="G75" s="7">
        <f t="shared" si="73"/>
        <v>300</v>
      </c>
      <c r="H75" s="7">
        <f t="shared" si="73"/>
        <v>400</v>
      </c>
      <c r="I75" s="7">
        <f t="shared" si="73"/>
        <v>500</v>
      </c>
      <c r="J75" s="7">
        <f t="shared" si="73"/>
        <v>600</v>
      </c>
      <c r="K75" s="7">
        <f t="shared" si="73"/>
        <v>700</v>
      </c>
      <c r="L75" s="7">
        <f t="shared" si="73"/>
        <v>800</v>
      </c>
      <c r="M75" s="7">
        <f t="shared" si="73"/>
        <v>900</v>
      </c>
      <c r="N75" s="10"/>
    </row>
    <row r="76">
      <c r="A76" s="13">
        <v>43101.0</v>
      </c>
      <c r="B76" s="12">
        <v>1000.0</v>
      </c>
      <c r="C76" s="7">
        <f t="shared" ref="C76:M76" si="74">$B76*C$2</f>
        <v>50</v>
      </c>
      <c r="D76" s="7">
        <f t="shared" si="74"/>
        <v>100</v>
      </c>
      <c r="E76" s="7">
        <f t="shared" si="74"/>
        <v>150</v>
      </c>
      <c r="F76" s="7">
        <f t="shared" si="74"/>
        <v>200</v>
      </c>
      <c r="G76" s="7">
        <f t="shared" si="74"/>
        <v>300</v>
      </c>
      <c r="H76" s="7">
        <f t="shared" si="74"/>
        <v>400</v>
      </c>
      <c r="I76" s="7">
        <f t="shared" si="74"/>
        <v>500</v>
      </c>
      <c r="J76" s="7">
        <f t="shared" si="74"/>
        <v>600</v>
      </c>
      <c r="K76" s="7">
        <f t="shared" si="74"/>
        <v>700</v>
      </c>
      <c r="L76" s="7">
        <f t="shared" si="74"/>
        <v>800</v>
      </c>
      <c r="M76" s="7">
        <f t="shared" si="74"/>
        <v>900</v>
      </c>
      <c r="N76" s="10"/>
    </row>
    <row r="77">
      <c r="A77" s="13">
        <v>43132.0</v>
      </c>
      <c r="B77" s="12">
        <v>1000.0</v>
      </c>
      <c r="C77" s="7">
        <f t="shared" ref="C77:M77" si="75">$B77*C$2</f>
        <v>50</v>
      </c>
      <c r="D77" s="7">
        <f t="shared" si="75"/>
        <v>100</v>
      </c>
      <c r="E77" s="7">
        <f t="shared" si="75"/>
        <v>150</v>
      </c>
      <c r="F77" s="7">
        <f t="shared" si="75"/>
        <v>200</v>
      </c>
      <c r="G77" s="7">
        <f t="shared" si="75"/>
        <v>300</v>
      </c>
      <c r="H77" s="7">
        <f t="shared" si="75"/>
        <v>400</v>
      </c>
      <c r="I77" s="7">
        <f t="shared" si="75"/>
        <v>500</v>
      </c>
      <c r="J77" s="7">
        <f t="shared" si="75"/>
        <v>600</v>
      </c>
      <c r="K77" s="7">
        <f t="shared" si="75"/>
        <v>700</v>
      </c>
      <c r="L77" s="7">
        <f t="shared" si="75"/>
        <v>800</v>
      </c>
      <c r="M77" s="7">
        <f t="shared" si="75"/>
        <v>900</v>
      </c>
      <c r="N77" s="10"/>
    </row>
    <row r="78">
      <c r="A78" s="13">
        <v>43160.0</v>
      </c>
      <c r="B78" s="12">
        <v>1000.0</v>
      </c>
      <c r="C78" s="7">
        <f t="shared" ref="C78:M78" si="76">$B78*C$2</f>
        <v>50</v>
      </c>
      <c r="D78" s="7">
        <f t="shared" si="76"/>
        <v>100</v>
      </c>
      <c r="E78" s="7">
        <f t="shared" si="76"/>
        <v>150</v>
      </c>
      <c r="F78" s="7">
        <f t="shared" si="76"/>
        <v>200</v>
      </c>
      <c r="G78" s="7">
        <f t="shared" si="76"/>
        <v>300</v>
      </c>
      <c r="H78" s="7">
        <f t="shared" si="76"/>
        <v>400</v>
      </c>
      <c r="I78" s="7">
        <f t="shared" si="76"/>
        <v>500</v>
      </c>
      <c r="J78" s="7">
        <f t="shared" si="76"/>
        <v>600</v>
      </c>
      <c r="K78" s="7">
        <f t="shared" si="76"/>
        <v>700</v>
      </c>
      <c r="L78" s="7">
        <f t="shared" si="76"/>
        <v>800</v>
      </c>
      <c r="M78" s="7">
        <f t="shared" si="76"/>
        <v>900</v>
      </c>
      <c r="N78" s="10"/>
    </row>
    <row r="79">
      <c r="A79" s="13">
        <v>43191.0</v>
      </c>
      <c r="B79" s="12">
        <v>1000.0</v>
      </c>
      <c r="C79" s="7">
        <f t="shared" ref="C79:M79" si="77">$B79*C$2</f>
        <v>50</v>
      </c>
      <c r="D79" s="7">
        <f t="shared" si="77"/>
        <v>100</v>
      </c>
      <c r="E79" s="7">
        <f t="shared" si="77"/>
        <v>150</v>
      </c>
      <c r="F79" s="7">
        <f t="shared" si="77"/>
        <v>200</v>
      </c>
      <c r="G79" s="7">
        <f t="shared" si="77"/>
        <v>300</v>
      </c>
      <c r="H79" s="7">
        <f t="shared" si="77"/>
        <v>400</v>
      </c>
      <c r="I79" s="7">
        <f t="shared" si="77"/>
        <v>500</v>
      </c>
      <c r="J79" s="7">
        <f t="shared" si="77"/>
        <v>600</v>
      </c>
      <c r="K79" s="7">
        <f t="shared" si="77"/>
        <v>700</v>
      </c>
      <c r="L79" s="7">
        <f t="shared" si="77"/>
        <v>800</v>
      </c>
      <c r="M79" s="7">
        <f t="shared" si="77"/>
        <v>900</v>
      </c>
      <c r="N79" s="10"/>
    </row>
    <row r="80">
      <c r="A80" s="13">
        <v>43221.0</v>
      </c>
      <c r="B80" s="12">
        <v>1000.0</v>
      </c>
      <c r="C80" s="7">
        <f t="shared" ref="C80:M80" si="78">$B80*C$2</f>
        <v>50</v>
      </c>
      <c r="D80" s="7">
        <f t="shared" si="78"/>
        <v>100</v>
      </c>
      <c r="E80" s="7">
        <f t="shared" si="78"/>
        <v>150</v>
      </c>
      <c r="F80" s="7">
        <f t="shared" si="78"/>
        <v>200</v>
      </c>
      <c r="G80" s="7">
        <f t="shared" si="78"/>
        <v>300</v>
      </c>
      <c r="H80" s="7">
        <f t="shared" si="78"/>
        <v>400</v>
      </c>
      <c r="I80" s="7">
        <f t="shared" si="78"/>
        <v>500</v>
      </c>
      <c r="J80" s="7">
        <f t="shared" si="78"/>
        <v>600</v>
      </c>
      <c r="K80" s="7">
        <f t="shared" si="78"/>
        <v>700</v>
      </c>
      <c r="L80" s="7">
        <f t="shared" si="78"/>
        <v>800</v>
      </c>
      <c r="M80" s="7">
        <f t="shared" si="78"/>
        <v>900</v>
      </c>
      <c r="N80" s="10"/>
    </row>
    <row r="81">
      <c r="A81" s="13">
        <v>43252.0</v>
      </c>
      <c r="B81" s="12">
        <v>1000.0</v>
      </c>
      <c r="C81" s="7">
        <f t="shared" ref="C81:M81" si="79">$B81*C$2</f>
        <v>50</v>
      </c>
      <c r="D81" s="7">
        <f t="shared" si="79"/>
        <v>100</v>
      </c>
      <c r="E81" s="7">
        <f t="shared" si="79"/>
        <v>150</v>
      </c>
      <c r="F81" s="7">
        <f t="shared" si="79"/>
        <v>200</v>
      </c>
      <c r="G81" s="7">
        <f t="shared" si="79"/>
        <v>300</v>
      </c>
      <c r="H81" s="7">
        <f t="shared" si="79"/>
        <v>400</v>
      </c>
      <c r="I81" s="7">
        <f t="shared" si="79"/>
        <v>500</v>
      </c>
      <c r="J81" s="7">
        <f t="shared" si="79"/>
        <v>600</v>
      </c>
      <c r="K81" s="7">
        <f t="shared" si="79"/>
        <v>700</v>
      </c>
      <c r="L81" s="7">
        <f t="shared" si="79"/>
        <v>800</v>
      </c>
      <c r="M81" s="7">
        <f t="shared" si="79"/>
        <v>900</v>
      </c>
      <c r="N81" s="10"/>
    </row>
    <row r="82">
      <c r="A82" s="13">
        <v>43282.0</v>
      </c>
      <c r="B82" s="12">
        <v>1000.0</v>
      </c>
      <c r="C82" s="7">
        <f t="shared" ref="C82:M82" si="80">$B82*C$2</f>
        <v>50</v>
      </c>
      <c r="D82" s="7">
        <f t="shared" si="80"/>
        <v>100</v>
      </c>
      <c r="E82" s="7">
        <f t="shared" si="80"/>
        <v>150</v>
      </c>
      <c r="F82" s="7">
        <f t="shared" si="80"/>
        <v>200</v>
      </c>
      <c r="G82" s="7">
        <f t="shared" si="80"/>
        <v>300</v>
      </c>
      <c r="H82" s="7">
        <f t="shared" si="80"/>
        <v>400</v>
      </c>
      <c r="I82" s="7">
        <f t="shared" si="80"/>
        <v>500</v>
      </c>
      <c r="J82" s="7">
        <f t="shared" si="80"/>
        <v>600</v>
      </c>
      <c r="K82" s="7">
        <f t="shared" si="80"/>
        <v>700</v>
      </c>
      <c r="L82" s="7">
        <f t="shared" si="80"/>
        <v>800</v>
      </c>
      <c r="M82" s="7">
        <f t="shared" si="80"/>
        <v>900</v>
      </c>
      <c r="N82" s="10"/>
    </row>
    <row r="83">
      <c r="A83" s="13">
        <v>43313.0</v>
      </c>
      <c r="B83" s="12">
        <v>1000.0</v>
      </c>
      <c r="C83" s="7">
        <f t="shared" ref="C83:M83" si="81">$B83*C$2</f>
        <v>50</v>
      </c>
      <c r="D83" s="7">
        <f t="shared" si="81"/>
        <v>100</v>
      </c>
      <c r="E83" s="7">
        <f t="shared" si="81"/>
        <v>150</v>
      </c>
      <c r="F83" s="7">
        <f t="shared" si="81"/>
        <v>200</v>
      </c>
      <c r="G83" s="7">
        <f t="shared" si="81"/>
        <v>300</v>
      </c>
      <c r="H83" s="7">
        <f t="shared" si="81"/>
        <v>400</v>
      </c>
      <c r="I83" s="7">
        <f t="shared" si="81"/>
        <v>500</v>
      </c>
      <c r="J83" s="7">
        <f t="shared" si="81"/>
        <v>600</v>
      </c>
      <c r="K83" s="7">
        <f t="shared" si="81"/>
        <v>700</v>
      </c>
      <c r="L83" s="7">
        <f t="shared" si="81"/>
        <v>800</v>
      </c>
      <c r="M83" s="7">
        <f t="shared" si="81"/>
        <v>900</v>
      </c>
      <c r="N83" s="10"/>
    </row>
    <row r="84">
      <c r="A84" s="13">
        <v>43344.0</v>
      </c>
      <c r="B84" s="12">
        <v>1000.0</v>
      </c>
      <c r="C84" s="7">
        <f t="shared" ref="C84:M84" si="82">$B84*C$2</f>
        <v>50</v>
      </c>
      <c r="D84" s="7">
        <f t="shared" si="82"/>
        <v>100</v>
      </c>
      <c r="E84" s="7">
        <f t="shared" si="82"/>
        <v>150</v>
      </c>
      <c r="F84" s="7">
        <f t="shared" si="82"/>
        <v>200</v>
      </c>
      <c r="G84" s="7">
        <f t="shared" si="82"/>
        <v>300</v>
      </c>
      <c r="H84" s="7">
        <f t="shared" si="82"/>
        <v>400</v>
      </c>
      <c r="I84" s="7">
        <f t="shared" si="82"/>
        <v>500</v>
      </c>
      <c r="J84" s="7">
        <f t="shared" si="82"/>
        <v>600</v>
      </c>
      <c r="K84" s="7">
        <f t="shared" si="82"/>
        <v>700</v>
      </c>
      <c r="L84" s="7">
        <f t="shared" si="82"/>
        <v>800</v>
      </c>
      <c r="M84" s="7">
        <f t="shared" si="82"/>
        <v>900</v>
      </c>
      <c r="N84" s="10"/>
    </row>
    <row r="85">
      <c r="A85" s="13">
        <v>43374.0</v>
      </c>
      <c r="B85" s="12">
        <v>1000.0</v>
      </c>
      <c r="C85" s="7">
        <f t="shared" ref="C85:M85" si="83">$B85*C$2</f>
        <v>50</v>
      </c>
      <c r="D85" s="7">
        <f t="shared" si="83"/>
        <v>100</v>
      </c>
      <c r="E85" s="7">
        <f t="shared" si="83"/>
        <v>150</v>
      </c>
      <c r="F85" s="7">
        <f t="shared" si="83"/>
        <v>200</v>
      </c>
      <c r="G85" s="7">
        <f t="shared" si="83"/>
        <v>300</v>
      </c>
      <c r="H85" s="7">
        <f t="shared" si="83"/>
        <v>400</v>
      </c>
      <c r="I85" s="7">
        <f t="shared" si="83"/>
        <v>500</v>
      </c>
      <c r="J85" s="7">
        <f t="shared" si="83"/>
        <v>600</v>
      </c>
      <c r="K85" s="7">
        <f t="shared" si="83"/>
        <v>700</v>
      </c>
      <c r="L85" s="7">
        <f t="shared" si="83"/>
        <v>800</v>
      </c>
      <c r="M85" s="7">
        <f t="shared" si="83"/>
        <v>900</v>
      </c>
      <c r="N85" s="10"/>
    </row>
    <row r="86">
      <c r="A86" s="13">
        <v>43405.0</v>
      </c>
      <c r="B86" s="12">
        <v>1000.0</v>
      </c>
      <c r="C86" s="7">
        <f t="shared" ref="C86:M86" si="84">$B86*C$2</f>
        <v>50</v>
      </c>
      <c r="D86" s="7">
        <f t="shared" si="84"/>
        <v>100</v>
      </c>
      <c r="E86" s="7">
        <f t="shared" si="84"/>
        <v>150</v>
      </c>
      <c r="F86" s="7">
        <f t="shared" si="84"/>
        <v>200</v>
      </c>
      <c r="G86" s="7">
        <f t="shared" si="84"/>
        <v>300</v>
      </c>
      <c r="H86" s="7">
        <f t="shared" si="84"/>
        <v>400</v>
      </c>
      <c r="I86" s="7">
        <f t="shared" si="84"/>
        <v>500</v>
      </c>
      <c r="J86" s="7">
        <f t="shared" si="84"/>
        <v>600</v>
      </c>
      <c r="K86" s="7">
        <f t="shared" si="84"/>
        <v>700</v>
      </c>
      <c r="L86" s="7">
        <f t="shared" si="84"/>
        <v>800</v>
      </c>
      <c r="M86" s="7">
        <f t="shared" si="84"/>
        <v>900</v>
      </c>
      <c r="N86" s="10"/>
    </row>
    <row r="87">
      <c r="A87" s="14">
        <v>43435.0</v>
      </c>
      <c r="B87" s="12">
        <v>1000.0</v>
      </c>
      <c r="C87" s="7">
        <f t="shared" ref="C87:M87" si="85">$B87*C$2</f>
        <v>50</v>
      </c>
      <c r="D87" s="7">
        <f t="shared" si="85"/>
        <v>100</v>
      </c>
      <c r="E87" s="7">
        <f t="shared" si="85"/>
        <v>150</v>
      </c>
      <c r="F87" s="7">
        <f t="shared" si="85"/>
        <v>200</v>
      </c>
      <c r="G87" s="7">
        <f t="shared" si="85"/>
        <v>300</v>
      </c>
      <c r="H87" s="7">
        <f t="shared" si="85"/>
        <v>400</v>
      </c>
      <c r="I87" s="7">
        <f t="shared" si="85"/>
        <v>500</v>
      </c>
      <c r="J87" s="7">
        <f t="shared" si="85"/>
        <v>600</v>
      </c>
      <c r="K87" s="7">
        <f t="shared" si="85"/>
        <v>700</v>
      </c>
      <c r="L87" s="7">
        <f t="shared" si="85"/>
        <v>800</v>
      </c>
      <c r="M87" s="7">
        <f t="shared" si="85"/>
        <v>900</v>
      </c>
      <c r="N87" s="10"/>
    </row>
    <row r="88">
      <c r="A88" s="13">
        <v>43466.0</v>
      </c>
      <c r="B88" s="12">
        <v>1000.0</v>
      </c>
      <c r="C88" s="7">
        <f t="shared" ref="C88:M88" si="86">$B88*C$2</f>
        <v>50</v>
      </c>
      <c r="D88" s="7">
        <f t="shared" si="86"/>
        <v>100</v>
      </c>
      <c r="E88" s="7">
        <f t="shared" si="86"/>
        <v>150</v>
      </c>
      <c r="F88" s="7">
        <f t="shared" si="86"/>
        <v>200</v>
      </c>
      <c r="G88" s="7">
        <f t="shared" si="86"/>
        <v>300</v>
      </c>
      <c r="H88" s="7">
        <f t="shared" si="86"/>
        <v>400</v>
      </c>
      <c r="I88" s="7">
        <f t="shared" si="86"/>
        <v>500</v>
      </c>
      <c r="J88" s="7">
        <f t="shared" si="86"/>
        <v>600</v>
      </c>
      <c r="K88" s="7">
        <f t="shared" si="86"/>
        <v>700</v>
      </c>
      <c r="L88" s="7">
        <f t="shared" si="86"/>
        <v>800</v>
      </c>
      <c r="M88" s="7">
        <f t="shared" si="86"/>
        <v>900</v>
      </c>
      <c r="N88" s="10"/>
    </row>
    <row r="89">
      <c r="A89" s="13">
        <v>43497.0</v>
      </c>
      <c r="B89" s="12">
        <v>1000.0</v>
      </c>
      <c r="C89" s="7">
        <f t="shared" ref="C89:M89" si="87">$B89*C$2</f>
        <v>50</v>
      </c>
      <c r="D89" s="7">
        <f t="shared" si="87"/>
        <v>100</v>
      </c>
      <c r="E89" s="7">
        <f t="shared" si="87"/>
        <v>150</v>
      </c>
      <c r="F89" s="7">
        <f t="shared" si="87"/>
        <v>200</v>
      </c>
      <c r="G89" s="7">
        <f t="shared" si="87"/>
        <v>300</v>
      </c>
      <c r="H89" s="7">
        <f t="shared" si="87"/>
        <v>400</v>
      </c>
      <c r="I89" s="7">
        <f t="shared" si="87"/>
        <v>500</v>
      </c>
      <c r="J89" s="7">
        <f t="shared" si="87"/>
        <v>600</v>
      </c>
      <c r="K89" s="7">
        <f t="shared" si="87"/>
        <v>700</v>
      </c>
      <c r="L89" s="7">
        <f t="shared" si="87"/>
        <v>800</v>
      </c>
      <c r="M89" s="7">
        <f t="shared" si="87"/>
        <v>900</v>
      </c>
      <c r="N89" s="10"/>
    </row>
    <row r="90">
      <c r="A90" s="13">
        <v>43525.0</v>
      </c>
      <c r="B90" s="12">
        <v>1000.0</v>
      </c>
      <c r="C90" s="7">
        <f t="shared" ref="C90:M90" si="88">$B90*C$2</f>
        <v>50</v>
      </c>
      <c r="D90" s="7">
        <f t="shared" si="88"/>
        <v>100</v>
      </c>
      <c r="E90" s="7">
        <f t="shared" si="88"/>
        <v>150</v>
      </c>
      <c r="F90" s="7">
        <f t="shared" si="88"/>
        <v>200</v>
      </c>
      <c r="G90" s="7">
        <f t="shared" si="88"/>
        <v>300</v>
      </c>
      <c r="H90" s="7">
        <f t="shared" si="88"/>
        <v>400</v>
      </c>
      <c r="I90" s="7">
        <f t="shared" si="88"/>
        <v>500</v>
      </c>
      <c r="J90" s="7">
        <f t="shared" si="88"/>
        <v>600</v>
      </c>
      <c r="K90" s="7">
        <f t="shared" si="88"/>
        <v>700</v>
      </c>
      <c r="L90" s="7">
        <f t="shared" si="88"/>
        <v>800</v>
      </c>
      <c r="M90" s="7">
        <f t="shared" si="88"/>
        <v>900</v>
      </c>
      <c r="N90" s="10"/>
    </row>
    <row r="91">
      <c r="A91" s="13">
        <v>43556.0</v>
      </c>
      <c r="B91" s="12">
        <v>1000.0</v>
      </c>
      <c r="C91" s="7">
        <f t="shared" ref="C91:M91" si="89">$B91*C$2</f>
        <v>50</v>
      </c>
      <c r="D91" s="7">
        <f t="shared" si="89"/>
        <v>100</v>
      </c>
      <c r="E91" s="7">
        <f t="shared" si="89"/>
        <v>150</v>
      </c>
      <c r="F91" s="7">
        <f t="shared" si="89"/>
        <v>200</v>
      </c>
      <c r="G91" s="7">
        <f t="shared" si="89"/>
        <v>300</v>
      </c>
      <c r="H91" s="7">
        <f t="shared" si="89"/>
        <v>400</v>
      </c>
      <c r="I91" s="7">
        <f t="shared" si="89"/>
        <v>500</v>
      </c>
      <c r="J91" s="7">
        <f t="shared" si="89"/>
        <v>600</v>
      </c>
      <c r="K91" s="7">
        <f t="shared" si="89"/>
        <v>700</v>
      </c>
      <c r="L91" s="7">
        <f t="shared" si="89"/>
        <v>800</v>
      </c>
      <c r="M91" s="7">
        <f t="shared" si="89"/>
        <v>900</v>
      </c>
      <c r="N91" s="10"/>
    </row>
    <row r="92">
      <c r="A92" s="13">
        <v>43586.0</v>
      </c>
      <c r="B92" s="12">
        <v>1000.0</v>
      </c>
      <c r="C92" s="7">
        <f t="shared" ref="C92:M92" si="90">$B92*C$2</f>
        <v>50</v>
      </c>
      <c r="D92" s="7">
        <f t="shared" si="90"/>
        <v>100</v>
      </c>
      <c r="E92" s="7">
        <f t="shared" si="90"/>
        <v>150</v>
      </c>
      <c r="F92" s="7">
        <f t="shared" si="90"/>
        <v>200</v>
      </c>
      <c r="G92" s="7">
        <f t="shared" si="90"/>
        <v>300</v>
      </c>
      <c r="H92" s="7">
        <f t="shared" si="90"/>
        <v>400</v>
      </c>
      <c r="I92" s="7">
        <f t="shared" si="90"/>
        <v>500</v>
      </c>
      <c r="J92" s="7">
        <f t="shared" si="90"/>
        <v>600</v>
      </c>
      <c r="K92" s="7">
        <f t="shared" si="90"/>
        <v>700</v>
      </c>
      <c r="L92" s="7">
        <f t="shared" si="90"/>
        <v>800</v>
      </c>
      <c r="M92" s="7">
        <f t="shared" si="90"/>
        <v>900</v>
      </c>
      <c r="N92" s="10"/>
    </row>
    <row r="93">
      <c r="A93" s="13">
        <v>43617.0</v>
      </c>
      <c r="B93" s="12">
        <v>1000.0</v>
      </c>
      <c r="C93" s="7">
        <f t="shared" ref="C93:M93" si="91">$B93*C$2</f>
        <v>50</v>
      </c>
      <c r="D93" s="7">
        <f t="shared" si="91"/>
        <v>100</v>
      </c>
      <c r="E93" s="7">
        <f t="shared" si="91"/>
        <v>150</v>
      </c>
      <c r="F93" s="7">
        <f t="shared" si="91"/>
        <v>200</v>
      </c>
      <c r="G93" s="7">
        <f t="shared" si="91"/>
        <v>300</v>
      </c>
      <c r="H93" s="7">
        <f t="shared" si="91"/>
        <v>400</v>
      </c>
      <c r="I93" s="7">
        <f t="shared" si="91"/>
        <v>500</v>
      </c>
      <c r="J93" s="7">
        <f t="shared" si="91"/>
        <v>600</v>
      </c>
      <c r="K93" s="7">
        <f t="shared" si="91"/>
        <v>700</v>
      </c>
      <c r="L93" s="7">
        <f t="shared" si="91"/>
        <v>800</v>
      </c>
      <c r="M93" s="7">
        <f t="shared" si="91"/>
        <v>900</v>
      </c>
      <c r="N93" s="10"/>
    </row>
    <row r="94">
      <c r="A94" s="13">
        <v>43647.0</v>
      </c>
      <c r="B94" s="12">
        <v>1000.0</v>
      </c>
      <c r="C94" s="7">
        <f t="shared" ref="C94:M94" si="92">$B94*C$2</f>
        <v>50</v>
      </c>
      <c r="D94" s="7">
        <f t="shared" si="92"/>
        <v>100</v>
      </c>
      <c r="E94" s="7">
        <f t="shared" si="92"/>
        <v>150</v>
      </c>
      <c r="F94" s="7">
        <f t="shared" si="92"/>
        <v>200</v>
      </c>
      <c r="G94" s="7">
        <f t="shared" si="92"/>
        <v>300</v>
      </c>
      <c r="H94" s="7">
        <f t="shared" si="92"/>
        <v>400</v>
      </c>
      <c r="I94" s="7">
        <f t="shared" si="92"/>
        <v>500</v>
      </c>
      <c r="J94" s="7">
        <f t="shared" si="92"/>
        <v>600</v>
      </c>
      <c r="K94" s="7">
        <f t="shared" si="92"/>
        <v>700</v>
      </c>
      <c r="L94" s="7">
        <f t="shared" si="92"/>
        <v>800</v>
      </c>
      <c r="M94" s="7">
        <f t="shared" si="92"/>
        <v>900</v>
      </c>
      <c r="N94" s="10"/>
    </row>
    <row r="95">
      <c r="A95" s="13">
        <v>43678.0</v>
      </c>
      <c r="B95" s="12">
        <v>1000.0</v>
      </c>
      <c r="C95" s="7">
        <f t="shared" ref="C95:M95" si="93">$B95*C$2</f>
        <v>50</v>
      </c>
      <c r="D95" s="7">
        <f t="shared" si="93"/>
        <v>100</v>
      </c>
      <c r="E95" s="7">
        <f t="shared" si="93"/>
        <v>150</v>
      </c>
      <c r="F95" s="7">
        <f t="shared" si="93"/>
        <v>200</v>
      </c>
      <c r="G95" s="7">
        <f t="shared" si="93"/>
        <v>300</v>
      </c>
      <c r="H95" s="7">
        <f t="shared" si="93"/>
        <v>400</v>
      </c>
      <c r="I95" s="7">
        <f t="shared" si="93"/>
        <v>500</v>
      </c>
      <c r="J95" s="7">
        <f t="shared" si="93"/>
        <v>600</v>
      </c>
      <c r="K95" s="7">
        <f t="shared" si="93"/>
        <v>700</v>
      </c>
      <c r="L95" s="7">
        <f t="shared" si="93"/>
        <v>800</v>
      </c>
      <c r="M95" s="7">
        <f t="shared" si="93"/>
        <v>900</v>
      </c>
      <c r="N95" s="10"/>
    </row>
    <row r="96">
      <c r="A96" s="13">
        <v>43709.0</v>
      </c>
      <c r="B96" s="12">
        <v>1000.0</v>
      </c>
      <c r="C96" s="7">
        <f t="shared" ref="C96:M96" si="94">$B96*C$2</f>
        <v>50</v>
      </c>
      <c r="D96" s="7">
        <f t="shared" si="94"/>
        <v>100</v>
      </c>
      <c r="E96" s="7">
        <f t="shared" si="94"/>
        <v>150</v>
      </c>
      <c r="F96" s="7">
        <f t="shared" si="94"/>
        <v>200</v>
      </c>
      <c r="G96" s="7">
        <f t="shared" si="94"/>
        <v>300</v>
      </c>
      <c r="H96" s="7">
        <f t="shared" si="94"/>
        <v>400</v>
      </c>
      <c r="I96" s="7">
        <f t="shared" si="94"/>
        <v>500</v>
      </c>
      <c r="J96" s="7">
        <f t="shared" si="94"/>
        <v>600</v>
      </c>
      <c r="K96" s="7">
        <f t="shared" si="94"/>
        <v>700</v>
      </c>
      <c r="L96" s="7">
        <f t="shared" si="94"/>
        <v>800</v>
      </c>
      <c r="M96" s="7">
        <f t="shared" si="94"/>
        <v>900</v>
      </c>
      <c r="N96" s="10"/>
    </row>
    <row r="97">
      <c r="A97" s="13">
        <v>43739.0</v>
      </c>
      <c r="B97" s="12">
        <v>1000.0</v>
      </c>
      <c r="C97" s="7">
        <f t="shared" ref="C97:M97" si="95">$B97*C$2</f>
        <v>50</v>
      </c>
      <c r="D97" s="7">
        <f t="shared" si="95"/>
        <v>100</v>
      </c>
      <c r="E97" s="7">
        <f t="shared" si="95"/>
        <v>150</v>
      </c>
      <c r="F97" s="7">
        <f t="shared" si="95"/>
        <v>200</v>
      </c>
      <c r="G97" s="7">
        <f t="shared" si="95"/>
        <v>300</v>
      </c>
      <c r="H97" s="7">
        <f t="shared" si="95"/>
        <v>400</v>
      </c>
      <c r="I97" s="7">
        <f t="shared" si="95"/>
        <v>500</v>
      </c>
      <c r="J97" s="7">
        <f t="shared" si="95"/>
        <v>600</v>
      </c>
      <c r="K97" s="7">
        <f t="shared" si="95"/>
        <v>700</v>
      </c>
      <c r="L97" s="7">
        <f t="shared" si="95"/>
        <v>800</v>
      </c>
      <c r="M97" s="7">
        <f t="shared" si="95"/>
        <v>900</v>
      </c>
      <c r="N97" s="10"/>
    </row>
    <row r="98">
      <c r="A98" s="13">
        <v>43770.0</v>
      </c>
      <c r="B98" s="12">
        <v>1000.0</v>
      </c>
      <c r="C98" s="7">
        <f t="shared" ref="C98:M98" si="96">$B98*C$2</f>
        <v>50</v>
      </c>
      <c r="D98" s="7">
        <f t="shared" si="96"/>
        <v>100</v>
      </c>
      <c r="E98" s="7">
        <f t="shared" si="96"/>
        <v>150</v>
      </c>
      <c r="F98" s="7">
        <f t="shared" si="96"/>
        <v>200</v>
      </c>
      <c r="G98" s="7">
        <f t="shared" si="96"/>
        <v>300</v>
      </c>
      <c r="H98" s="7">
        <f t="shared" si="96"/>
        <v>400</v>
      </c>
      <c r="I98" s="7">
        <f t="shared" si="96"/>
        <v>500</v>
      </c>
      <c r="J98" s="7">
        <f t="shared" si="96"/>
        <v>600</v>
      </c>
      <c r="K98" s="7">
        <f t="shared" si="96"/>
        <v>700</v>
      </c>
      <c r="L98" s="7">
        <f t="shared" si="96"/>
        <v>800</v>
      </c>
      <c r="M98" s="7">
        <f t="shared" si="96"/>
        <v>900</v>
      </c>
      <c r="N98" s="10"/>
    </row>
    <row r="99">
      <c r="A99" s="14">
        <v>43800.0</v>
      </c>
      <c r="B99" s="12">
        <v>1000.0</v>
      </c>
      <c r="C99" s="7">
        <f t="shared" ref="C99:M99" si="97">$B99*C$2</f>
        <v>50</v>
      </c>
      <c r="D99" s="7">
        <f t="shared" si="97"/>
        <v>100</v>
      </c>
      <c r="E99" s="7">
        <f t="shared" si="97"/>
        <v>150</v>
      </c>
      <c r="F99" s="7">
        <f t="shared" si="97"/>
        <v>200</v>
      </c>
      <c r="G99" s="7">
        <f t="shared" si="97"/>
        <v>300</v>
      </c>
      <c r="H99" s="7">
        <f t="shared" si="97"/>
        <v>400</v>
      </c>
      <c r="I99" s="7">
        <f t="shared" si="97"/>
        <v>500</v>
      </c>
      <c r="J99" s="7">
        <f t="shared" si="97"/>
        <v>600</v>
      </c>
      <c r="K99" s="7">
        <f t="shared" si="97"/>
        <v>700</v>
      </c>
      <c r="L99" s="7">
        <f t="shared" si="97"/>
        <v>800</v>
      </c>
      <c r="M99" s="7">
        <f t="shared" si="97"/>
        <v>900</v>
      </c>
      <c r="N99" s="10"/>
    </row>
    <row r="100">
      <c r="A100" s="13">
        <v>43831.0</v>
      </c>
      <c r="B100" s="12">
        <v>1000.0</v>
      </c>
      <c r="C100" s="7">
        <f t="shared" ref="C100:M100" si="98">$B100*C$2</f>
        <v>50</v>
      </c>
      <c r="D100" s="7">
        <f t="shared" si="98"/>
        <v>100</v>
      </c>
      <c r="E100" s="7">
        <f t="shared" si="98"/>
        <v>150</v>
      </c>
      <c r="F100" s="7">
        <f t="shared" si="98"/>
        <v>200</v>
      </c>
      <c r="G100" s="7">
        <f t="shared" si="98"/>
        <v>300</v>
      </c>
      <c r="H100" s="7">
        <f t="shared" si="98"/>
        <v>400</v>
      </c>
      <c r="I100" s="7">
        <f t="shared" si="98"/>
        <v>500</v>
      </c>
      <c r="J100" s="7">
        <f t="shared" si="98"/>
        <v>600</v>
      </c>
      <c r="K100" s="7">
        <f t="shared" si="98"/>
        <v>700</v>
      </c>
      <c r="L100" s="7">
        <f t="shared" si="98"/>
        <v>800</v>
      </c>
      <c r="M100" s="7">
        <f t="shared" si="98"/>
        <v>900</v>
      </c>
      <c r="N100" s="10"/>
    </row>
    <row r="101">
      <c r="A101" s="13">
        <v>43862.0</v>
      </c>
      <c r="B101" s="12">
        <v>1000.0</v>
      </c>
      <c r="C101" s="7">
        <f t="shared" ref="C101:M101" si="99">$B101*C$2</f>
        <v>50</v>
      </c>
      <c r="D101" s="7">
        <f t="shared" si="99"/>
        <v>100</v>
      </c>
      <c r="E101" s="7">
        <f t="shared" si="99"/>
        <v>150</v>
      </c>
      <c r="F101" s="7">
        <f t="shared" si="99"/>
        <v>200</v>
      </c>
      <c r="G101" s="7">
        <f t="shared" si="99"/>
        <v>300</v>
      </c>
      <c r="H101" s="7">
        <f t="shared" si="99"/>
        <v>400</v>
      </c>
      <c r="I101" s="7">
        <f t="shared" si="99"/>
        <v>500</v>
      </c>
      <c r="J101" s="7">
        <f t="shared" si="99"/>
        <v>600</v>
      </c>
      <c r="K101" s="7">
        <f t="shared" si="99"/>
        <v>700</v>
      </c>
      <c r="L101" s="7">
        <f t="shared" si="99"/>
        <v>800</v>
      </c>
      <c r="M101" s="7">
        <f t="shared" si="99"/>
        <v>900</v>
      </c>
      <c r="N101" s="10"/>
    </row>
    <row r="102">
      <c r="A102" s="13">
        <v>43891.0</v>
      </c>
      <c r="B102" s="12">
        <v>1000.0</v>
      </c>
      <c r="C102" s="7">
        <f t="shared" ref="C102:M102" si="100">$B102*C$2</f>
        <v>50</v>
      </c>
      <c r="D102" s="7">
        <f t="shared" si="100"/>
        <v>100</v>
      </c>
      <c r="E102" s="7">
        <f t="shared" si="100"/>
        <v>150</v>
      </c>
      <c r="F102" s="7">
        <f t="shared" si="100"/>
        <v>200</v>
      </c>
      <c r="G102" s="7">
        <f t="shared" si="100"/>
        <v>300</v>
      </c>
      <c r="H102" s="7">
        <f t="shared" si="100"/>
        <v>400</v>
      </c>
      <c r="I102" s="7">
        <f t="shared" si="100"/>
        <v>500</v>
      </c>
      <c r="J102" s="7">
        <f t="shared" si="100"/>
        <v>600</v>
      </c>
      <c r="K102" s="7">
        <f t="shared" si="100"/>
        <v>700</v>
      </c>
      <c r="L102" s="7">
        <f t="shared" si="100"/>
        <v>800</v>
      </c>
      <c r="M102" s="7">
        <f t="shared" si="100"/>
        <v>900</v>
      </c>
      <c r="N102" s="10"/>
    </row>
    <row r="103">
      <c r="A103" s="13">
        <v>43922.0</v>
      </c>
      <c r="B103" s="12">
        <v>1000.0</v>
      </c>
      <c r="C103" s="7">
        <f t="shared" ref="C103:M103" si="101">$B103*C$2</f>
        <v>50</v>
      </c>
      <c r="D103" s="7">
        <f t="shared" si="101"/>
        <v>100</v>
      </c>
      <c r="E103" s="7">
        <f t="shared" si="101"/>
        <v>150</v>
      </c>
      <c r="F103" s="7">
        <f t="shared" si="101"/>
        <v>200</v>
      </c>
      <c r="G103" s="7">
        <f t="shared" si="101"/>
        <v>300</v>
      </c>
      <c r="H103" s="7">
        <f t="shared" si="101"/>
        <v>400</v>
      </c>
      <c r="I103" s="7">
        <f t="shared" si="101"/>
        <v>500</v>
      </c>
      <c r="J103" s="7">
        <f t="shared" si="101"/>
        <v>600</v>
      </c>
      <c r="K103" s="7">
        <f t="shared" si="101"/>
        <v>700</v>
      </c>
      <c r="L103" s="7">
        <f t="shared" si="101"/>
        <v>800</v>
      </c>
      <c r="M103" s="7">
        <f t="shared" si="101"/>
        <v>900</v>
      </c>
      <c r="N103" s="10"/>
    </row>
    <row r="104">
      <c r="A104" s="13">
        <v>43952.0</v>
      </c>
      <c r="B104" s="12">
        <v>1000.0</v>
      </c>
      <c r="C104" s="7">
        <f t="shared" ref="C104:M104" si="102">$B104*C$2</f>
        <v>50</v>
      </c>
      <c r="D104" s="7">
        <f t="shared" si="102"/>
        <v>100</v>
      </c>
      <c r="E104" s="7">
        <f t="shared" si="102"/>
        <v>150</v>
      </c>
      <c r="F104" s="7">
        <f t="shared" si="102"/>
        <v>200</v>
      </c>
      <c r="G104" s="7">
        <f t="shared" si="102"/>
        <v>300</v>
      </c>
      <c r="H104" s="7">
        <f t="shared" si="102"/>
        <v>400</v>
      </c>
      <c r="I104" s="7">
        <f t="shared" si="102"/>
        <v>500</v>
      </c>
      <c r="J104" s="7">
        <f t="shared" si="102"/>
        <v>600</v>
      </c>
      <c r="K104" s="7">
        <f t="shared" si="102"/>
        <v>700</v>
      </c>
      <c r="L104" s="7">
        <f t="shared" si="102"/>
        <v>800</v>
      </c>
      <c r="M104" s="7">
        <f t="shared" si="102"/>
        <v>900</v>
      </c>
      <c r="N104" s="10"/>
    </row>
    <row r="105">
      <c r="A105" s="13">
        <v>43983.0</v>
      </c>
      <c r="B105" s="12">
        <v>1000.0</v>
      </c>
      <c r="C105" s="7">
        <f t="shared" ref="C105:M105" si="103">$B105*C$2</f>
        <v>50</v>
      </c>
      <c r="D105" s="7">
        <f t="shared" si="103"/>
        <v>100</v>
      </c>
      <c r="E105" s="7">
        <f t="shared" si="103"/>
        <v>150</v>
      </c>
      <c r="F105" s="7">
        <f t="shared" si="103"/>
        <v>200</v>
      </c>
      <c r="G105" s="7">
        <f t="shared" si="103"/>
        <v>300</v>
      </c>
      <c r="H105" s="7">
        <f t="shared" si="103"/>
        <v>400</v>
      </c>
      <c r="I105" s="7">
        <f t="shared" si="103"/>
        <v>500</v>
      </c>
      <c r="J105" s="7">
        <f t="shared" si="103"/>
        <v>600</v>
      </c>
      <c r="K105" s="7">
        <f t="shared" si="103"/>
        <v>700</v>
      </c>
      <c r="L105" s="7">
        <f t="shared" si="103"/>
        <v>800</v>
      </c>
      <c r="M105" s="7">
        <f t="shared" si="103"/>
        <v>900</v>
      </c>
      <c r="N105" s="10"/>
    </row>
    <row r="106">
      <c r="A106" s="13">
        <v>44013.0</v>
      </c>
      <c r="B106" s="12">
        <v>1000.0</v>
      </c>
      <c r="C106" s="7">
        <f t="shared" ref="C106:M106" si="104">$B106*C$2</f>
        <v>50</v>
      </c>
      <c r="D106" s="7">
        <f t="shared" si="104"/>
        <v>100</v>
      </c>
      <c r="E106" s="7">
        <f t="shared" si="104"/>
        <v>150</v>
      </c>
      <c r="F106" s="7">
        <f t="shared" si="104"/>
        <v>200</v>
      </c>
      <c r="G106" s="7">
        <f t="shared" si="104"/>
        <v>300</v>
      </c>
      <c r="H106" s="7">
        <f t="shared" si="104"/>
        <v>400</v>
      </c>
      <c r="I106" s="7">
        <f t="shared" si="104"/>
        <v>500</v>
      </c>
      <c r="J106" s="7">
        <f t="shared" si="104"/>
        <v>600</v>
      </c>
      <c r="K106" s="7">
        <f t="shared" si="104"/>
        <v>700</v>
      </c>
      <c r="L106" s="7">
        <f t="shared" si="104"/>
        <v>800</v>
      </c>
      <c r="M106" s="7">
        <f t="shared" si="104"/>
        <v>900</v>
      </c>
      <c r="N106" s="10"/>
    </row>
    <row r="107">
      <c r="A107" s="13">
        <v>44044.0</v>
      </c>
      <c r="B107" s="12">
        <v>1000.0</v>
      </c>
      <c r="C107" s="7">
        <f t="shared" ref="C107:M107" si="105">$B107*C$2</f>
        <v>50</v>
      </c>
      <c r="D107" s="7">
        <f t="shared" si="105"/>
        <v>100</v>
      </c>
      <c r="E107" s="7">
        <f t="shared" si="105"/>
        <v>150</v>
      </c>
      <c r="F107" s="7">
        <f t="shared" si="105"/>
        <v>200</v>
      </c>
      <c r="G107" s="7">
        <f t="shared" si="105"/>
        <v>300</v>
      </c>
      <c r="H107" s="7">
        <f t="shared" si="105"/>
        <v>400</v>
      </c>
      <c r="I107" s="7">
        <f t="shared" si="105"/>
        <v>500</v>
      </c>
      <c r="J107" s="7">
        <f t="shared" si="105"/>
        <v>600</v>
      </c>
      <c r="K107" s="7">
        <f t="shared" si="105"/>
        <v>700</v>
      </c>
      <c r="L107" s="7">
        <f t="shared" si="105"/>
        <v>800</v>
      </c>
      <c r="M107" s="7">
        <f t="shared" si="105"/>
        <v>900</v>
      </c>
      <c r="N107" s="10"/>
    </row>
    <row r="108">
      <c r="A108" s="13">
        <v>44075.0</v>
      </c>
      <c r="B108" s="12">
        <v>1000.0</v>
      </c>
      <c r="C108" s="7">
        <f t="shared" ref="C108:M108" si="106">$B108*C$2</f>
        <v>50</v>
      </c>
      <c r="D108" s="7">
        <f t="shared" si="106"/>
        <v>100</v>
      </c>
      <c r="E108" s="7">
        <f t="shared" si="106"/>
        <v>150</v>
      </c>
      <c r="F108" s="7">
        <f t="shared" si="106"/>
        <v>200</v>
      </c>
      <c r="G108" s="7">
        <f t="shared" si="106"/>
        <v>300</v>
      </c>
      <c r="H108" s="7">
        <f t="shared" si="106"/>
        <v>400</v>
      </c>
      <c r="I108" s="7">
        <f t="shared" si="106"/>
        <v>500</v>
      </c>
      <c r="J108" s="7">
        <f t="shared" si="106"/>
        <v>600</v>
      </c>
      <c r="K108" s="7">
        <f t="shared" si="106"/>
        <v>700</v>
      </c>
      <c r="L108" s="7">
        <f t="shared" si="106"/>
        <v>800</v>
      </c>
      <c r="M108" s="7">
        <f t="shared" si="106"/>
        <v>900</v>
      </c>
      <c r="N108" s="10"/>
    </row>
    <row r="109">
      <c r="A109" s="13">
        <v>44105.0</v>
      </c>
      <c r="B109" s="12">
        <v>1000.0</v>
      </c>
      <c r="C109" s="7">
        <f t="shared" ref="C109:M109" si="107">$B109*C$2</f>
        <v>50</v>
      </c>
      <c r="D109" s="7">
        <f t="shared" si="107"/>
        <v>100</v>
      </c>
      <c r="E109" s="7">
        <f t="shared" si="107"/>
        <v>150</v>
      </c>
      <c r="F109" s="7">
        <f t="shared" si="107"/>
        <v>200</v>
      </c>
      <c r="G109" s="7">
        <f t="shared" si="107"/>
        <v>300</v>
      </c>
      <c r="H109" s="7">
        <f t="shared" si="107"/>
        <v>400</v>
      </c>
      <c r="I109" s="7">
        <f t="shared" si="107"/>
        <v>500</v>
      </c>
      <c r="J109" s="7">
        <f t="shared" si="107"/>
        <v>600</v>
      </c>
      <c r="K109" s="7">
        <f t="shared" si="107"/>
        <v>700</v>
      </c>
      <c r="L109" s="7">
        <f t="shared" si="107"/>
        <v>800</v>
      </c>
      <c r="M109" s="7">
        <f t="shared" si="107"/>
        <v>900</v>
      </c>
      <c r="N109" s="10"/>
    </row>
    <row r="110">
      <c r="A110" s="13">
        <v>44136.0</v>
      </c>
      <c r="B110" s="12">
        <v>1000.0</v>
      </c>
      <c r="C110" s="7">
        <f t="shared" ref="C110:M110" si="108">$B110*C$2</f>
        <v>50</v>
      </c>
      <c r="D110" s="7">
        <f t="shared" si="108"/>
        <v>100</v>
      </c>
      <c r="E110" s="7">
        <f t="shared" si="108"/>
        <v>150</v>
      </c>
      <c r="F110" s="7">
        <f t="shared" si="108"/>
        <v>200</v>
      </c>
      <c r="G110" s="7">
        <f t="shared" si="108"/>
        <v>300</v>
      </c>
      <c r="H110" s="7">
        <f t="shared" si="108"/>
        <v>400</v>
      </c>
      <c r="I110" s="7">
        <f t="shared" si="108"/>
        <v>500</v>
      </c>
      <c r="J110" s="7">
        <f t="shared" si="108"/>
        <v>600</v>
      </c>
      <c r="K110" s="7">
        <f t="shared" si="108"/>
        <v>700</v>
      </c>
      <c r="L110" s="7">
        <f t="shared" si="108"/>
        <v>800</v>
      </c>
      <c r="M110" s="7">
        <f t="shared" si="108"/>
        <v>900</v>
      </c>
      <c r="N110" s="10"/>
    </row>
    <row r="111">
      <c r="A111" s="14">
        <v>44166.0</v>
      </c>
      <c r="B111" s="12">
        <v>1000.0</v>
      </c>
      <c r="C111" s="7">
        <f t="shared" ref="C111:M111" si="109">$B111*C$2</f>
        <v>50</v>
      </c>
      <c r="D111" s="7">
        <f t="shared" si="109"/>
        <v>100</v>
      </c>
      <c r="E111" s="7">
        <f t="shared" si="109"/>
        <v>150</v>
      </c>
      <c r="F111" s="7">
        <f t="shared" si="109"/>
        <v>200</v>
      </c>
      <c r="G111" s="7">
        <f t="shared" si="109"/>
        <v>300</v>
      </c>
      <c r="H111" s="7">
        <f t="shared" si="109"/>
        <v>400</v>
      </c>
      <c r="I111" s="7">
        <f t="shared" si="109"/>
        <v>500</v>
      </c>
      <c r="J111" s="7">
        <f t="shared" si="109"/>
        <v>600</v>
      </c>
      <c r="K111" s="7">
        <f t="shared" si="109"/>
        <v>700</v>
      </c>
      <c r="L111" s="7">
        <f t="shared" si="109"/>
        <v>800</v>
      </c>
      <c r="M111" s="7">
        <f t="shared" si="109"/>
        <v>900</v>
      </c>
      <c r="N111" s="10"/>
    </row>
    <row r="112">
      <c r="A112" s="13">
        <v>44197.0</v>
      </c>
      <c r="B112" s="12">
        <v>1000.0</v>
      </c>
      <c r="C112" s="7">
        <f t="shared" ref="C112:M112" si="110">$B112*C$2</f>
        <v>50</v>
      </c>
      <c r="D112" s="7">
        <f t="shared" si="110"/>
        <v>100</v>
      </c>
      <c r="E112" s="7">
        <f t="shared" si="110"/>
        <v>150</v>
      </c>
      <c r="F112" s="7">
        <f t="shared" si="110"/>
        <v>200</v>
      </c>
      <c r="G112" s="7">
        <f t="shared" si="110"/>
        <v>300</v>
      </c>
      <c r="H112" s="7">
        <f t="shared" si="110"/>
        <v>400</v>
      </c>
      <c r="I112" s="7">
        <f t="shared" si="110"/>
        <v>500</v>
      </c>
      <c r="J112" s="7">
        <f t="shared" si="110"/>
        <v>600</v>
      </c>
      <c r="K112" s="7">
        <f t="shared" si="110"/>
        <v>700</v>
      </c>
      <c r="L112" s="7">
        <f t="shared" si="110"/>
        <v>800</v>
      </c>
      <c r="M112" s="7">
        <f t="shared" si="110"/>
        <v>900</v>
      </c>
      <c r="N112" s="10"/>
    </row>
    <row r="113">
      <c r="A113" s="13">
        <v>44228.0</v>
      </c>
      <c r="B113" s="12">
        <v>1000.0</v>
      </c>
      <c r="C113" s="7">
        <f t="shared" ref="C113:M113" si="111">$B113*C$2</f>
        <v>50</v>
      </c>
      <c r="D113" s="7">
        <f t="shared" si="111"/>
        <v>100</v>
      </c>
      <c r="E113" s="7">
        <f t="shared" si="111"/>
        <v>150</v>
      </c>
      <c r="F113" s="7">
        <f t="shared" si="111"/>
        <v>200</v>
      </c>
      <c r="G113" s="7">
        <f t="shared" si="111"/>
        <v>300</v>
      </c>
      <c r="H113" s="7">
        <f t="shared" si="111"/>
        <v>400</v>
      </c>
      <c r="I113" s="7">
        <f t="shared" si="111"/>
        <v>500</v>
      </c>
      <c r="J113" s="7">
        <f t="shared" si="111"/>
        <v>600</v>
      </c>
      <c r="K113" s="7">
        <f t="shared" si="111"/>
        <v>700</v>
      </c>
      <c r="L113" s="7">
        <f t="shared" si="111"/>
        <v>800</v>
      </c>
      <c r="M113" s="7">
        <f t="shared" si="111"/>
        <v>900</v>
      </c>
      <c r="N113" s="10"/>
    </row>
    <row r="114">
      <c r="A114" s="13">
        <v>44256.0</v>
      </c>
      <c r="B114" s="12">
        <v>1000.0</v>
      </c>
      <c r="C114" s="7">
        <f t="shared" ref="C114:M114" si="112">$B114*C$2</f>
        <v>50</v>
      </c>
      <c r="D114" s="7">
        <f t="shared" si="112"/>
        <v>100</v>
      </c>
      <c r="E114" s="7">
        <f t="shared" si="112"/>
        <v>150</v>
      </c>
      <c r="F114" s="7">
        <f t="shared" si="112"/>
        <v>200</v>
      </c>
      <c r="G114" s="7">
        <f t="shared" si="112"/>
        <v>300</v>
      </c>
      <c r="H114" s="7">
        <f t="shared" si="112"/>
        <v>400</v>
      </c>
      <c r="I114" s="7">
        <f t="shared" si="112"/>
        <v>500</v>
      </c>
      <c r="J114" s="7">
        <f t="shared" si="112"/>
        <v>600</v>
      </c>
      <c r="K114" s="7">
        <f t="shared" si="112"/>
        <v>700</v>
      </c>
      <c r="L114" s="7">
        <f t="shared" si="112"/>
        <v>800</v>
      </c>
      <c r="M114" s="7">
        <f t="shared" si="112"/>
        <v>900</v>
      </c>
      <c r="N114" s="10"/>
    </row>
    <row r="115">
      <c r="A115" s="13">
        <v>44287.0</v>
      </c>
      <c r="B115" s="12">
        <v>1000.0</v>
      </c>
      <c r="C115" s="7">
        <f t="shared" ref="C115:M115" si="113">$B115*C$2</f>
        <v>50</v>
      </c>
      <c r="D115" s="7">
        <f t="shared" si="113"/>
        <v>100</v>
      </c>
      <c r="E115" s="7">
        <f t="shared" si="113"/>
        <v>150</v>
      </c>
      <c r="F115" s="7">
        <f t="shared" si="113"/>
        <v>200</v>
      </c>
      <c r="G115" s="7">
        <f t="shared" si="113"/>
        <v>300</v>
      </c>
      <c r="H115" s="7">
        <f t="shared" si="113"/>
        <v>400</v>
      </c>
      <c r="I115" s="7">
        <f t="shared" si="113"/>
        <v>500</v>
      </c>
      <c r="J115" s="7">
        <f t="shared" si="113"/>
        <v>600</v>
      </c>
      <c r="K115" s="7">
        <f t="shared" si="113"/>
        <v>700</v>
      </c>
      <c r="L115" s="7">
        <f t="shared" si="113"/>
        <v>800</v>
      </c>
      <c r="M115" s="7">
        <f t="shared" si="113"/>
        <v>900</v>
      </c>
      <c r="N115" s="10"/>
    </row>
    <row r="116">
      <c r="A116" s="13">
        <v>44317.0</v>
      </c>
      <c r="B116" s="12">
        <v>1000.0</v>
      </c>
      <c r="C116" s="7">
        <f t="shared" ref="C116:M116" si="114">$B116*C$2</f>
        <v>50</v>
      </c>
      <c r="D116" s="7">
        <f t="shared" si="114"/>
        <v>100</v>
      </c>
      <c r="E116" s="7">
        <f t="shared" si="114"/>
        <v>150</v>
      </c>
      <c r="F116" s="7">
        <f t="shared" si="114"/>
        <v>200</v>
      </c>
      <c r="G116" s="7">
        <f t="shared" si="114"/>
        <v>300</v>
      </c>
      <c r="H116" s="7">
        <f t="shared" si="114"/>
        <v>400</v>
      </c>
      <c r="I116" s="7">
        <f t="shared" si="114"/>
        <v>500</v>
      </c>
      <c r="J116" s="7">
        <f t="shared" si="114"/>
        <v>600</v>
      </c>
      <c r="K116" s="7">
        <f t="shared" si="114"/>
        <v>700</v>
      </c>
      <c r="L116" s="7">
        <f t="shared" si="114"/>
        <v>800</v>
      </c>
      <c r="M116" s="7">
        <f t="shared" si="114"/>
        <v>900</v>
      </c>
      <c r="N116" s="10"/>
    </row>
    <row r="117">
      <c r="A117" s="13">
        <v>44348.0</v>
      </c>
      <c r="B117" s="12">
        <v>1000.0</v>
      </c>
      <c r="C117" s="7">
        <f t="shared" ref="C117:M117" si="115">$B117*C$2</f>
        <v>50</v>
      </c>
      <c r="D117" s="7">
        <f t="shared" si="115"/>
        <v>100</v>
      </c>
      <c r="E117" s="7">
        <f t="shared" si="115"/>
        <v>150</v>
      </c>
      <c r="F117" s="7">
        <f t="shared" si="115"/>
        <v>200</v>
      </c>
      <c r="G117" s="7">
        <f t="shared" si="115"/>
        <v>300</v>
      </c>
      <c r="H117" s="7">
        <f t="shared" si="115"/>
        <v>400</v>
      </c>
      <c r="I117" s="7">
        <f t="shared" si="115"/>
        <v>500</v>
      </c>
      <c r="J117" s="7">
        <f t="shared" si="115"/>
        <v>600</v>
      </c>
      <c r="K117" s="7">
        <f t="shared" si="115"/>
        <v>700</v>
      </c>
      <c r="L117" s="7">
        <f t="shared" si="115"/>
        <v>800</v>
      </c>
      <c r="M117" s="7">
        <f t="shared" si="115"/>
        <v>900</v>
      </c>
      <c r="N117" s="10"/>
    </row>
    <row r="118">
      <c r="A118" s="13">
        <v>44378.0</v>
      </c>
      <c r="B118" s="12">
        <v>1000.0</v>
      </c>
      <c r="C118" s="7">
        <f t="shared" ref="C118:M118" si="116">$B118*C$2</f>
        <v>50</v>
      </c>
      <c r="D118" s="7">
        <f t="shared" si="116"/>
        <v>100</v>
      </c>
      <c r="E118" s="7">
        <f t="shared" si="116"/>
        <v>150</v>
      </c>
      <c r="F118" s="7">
        <f t="shared" si="116"/>
        <v>200</v>
      </c>
      <c r="G118" s="7">
        <f t="shared" si="116"/>
        <v>300</v>
      </c>
      <c r="H118" s="7">
        <f t="shared" si="116"/>
        <v>400</v>
      </c>
      <c r="I118" s="7">
        <f t="shared" si="116"/>
        <v>500</v>
      </c>
      <c r="J118" s="7">
        <f t="shared" si="116"/>
        <v>600</v>
      </c>
      <c r="K118" s="7">
        <f t="shared" si="116"/>
        <v>700</v>
      </c>
      <c r="L118" s="7">
        <f t="shared" si="116"/>
        <v>800</v>
      </c>
      <c r="M118" s="7">
        <f t="shared" si="116"/>
        <v>900</v>
      </c>
      <c r="N118" s="10"/>
    </row>
    <row r="119">
      <c r="A119" s="13">
        <v>44409.0</v>
      </c>
      <c r="B119" s="12">
        <v>1000.0</v>
      </c>
      <c r="C119" s="7">
        <f t="shared" ref="C119:M119" si="117">$B119*C$2</f>
        <v>50</v>
      </c>
      <c r="D119" s="7">
        <f t="shared" si="117"/>
        <v>100</v>
      </c>
      <c r="E119" s="7">
        <f t="shared" si="117"/>
        <v>150</v>
      </c>
      <c r="F119" s="7">
        <f t="shared" si="117"/>
        <v>200</v>
      </c>
      <c r="G119" s="7">
        <f t="shared" si="117"/>
        <v>300</v>
      </c>
      <c r="H119" s="7">
        <f t="shared" si="117"/>
        <v>400</v>
      </c>
      <c r="I119" s="7">
        <f t="shared" si="117"/>
        <v>500</v>
      </c>
      <c r="J119" s="7">
        <f t="shared" si="117"/>
        <v>600</v>
      </c>
      <c r="K119" s="7">
        <f t="shared" si="117"/>
        <v>700</v>
      </c>
      <c r="L119" s="7">
        <f t="shared" si="117"/>
        <v>800</v>
      </c>
      <c r="M119" s="7">
        <f t="shared" si="117"/>
        <v>900</v>
      </c>
      <c r="N119" s="10"/>
    </row>
    <row r="120">
      <c r="A120" s="13">
        <v>44440.0</v>
      </c>
      <c r="B120" s="12">
        <v>1000.0</v>
      </c>
      <c r="C120" s="7">
        <f t="shared" ref="C120:M120" si="118">$B120*C$2</f>
        <v>50</v>
      </c>
      <c r="D120" s="7">
        <f t="shared" si="118"/>
        <v>100</v>
      </c>
      <c r="E120" s="7">
        <f t="shared" si="118"/>
        <v>150</v>
      </c>
      <c r="F120" s="7">
        <f t="shared" si="118"/>
        <v>200</v>
      </c>
      <c r="G120" s="7">
        <f t="shared" si="118"/>
        <v>300</v>
      </c>
      <c r="H120" s="7">
        <f t="shared" si="118"/>
        <v>400</v>
      </c>
      <c r="I120" s="7">
        <f t="shared" si="118"/>
        <v>500</v>
      </c>
      <c r="J120" s="7">
        <f t="shared" si="118"/>
        <v>600</v>
      </c>
      <c r="K120" s="7">
        <f t="shared" si="118"/>
        <v>700</v>
      </c>
      <c r="L120" s="7">
        <f t="shared" si="118"/>
        <v>800</v>
      </c>
      <c r="M120" s="7">
        <f t="shared" si="118"/>
        <v>900</v>
      </c>
      <c r="N120" s="10"/>
    </row>
    <row r="121">
      <c r="A121" s="13">
        <v>44470.0</v>
      </c>
      <c r="B121" s="12">
        <v>1000.0</v>
      </c>
      <c r="C121" s="7">
        <f t="shared" ref="C121:M121" si="119">$B121*C$2</f>
        <v>50</v>
      </c>
      <c r="D121" s="7">
        <f t="shared" si="119"/>
        <v>100</v>
      </c>
      <c r="E121" s="7">
        <f t="shared" si="119"/>
        <v>150</v>
      </c>
      <c r="F121" s="7">
        <f t="shared" si="119"/>
        <v>200</v>
      </c>
      <c r="G121" s="7">
        <f t="shared" si="119"/>
        <v>300</v>
      </c>
      <c r="H121" s="7">
        <f t="shared" si="119"/>
        <v>400</v>
      </c>
      <c r="I121" s="7">
        <f t="shared" si="119"/>
        <v>500</v>
      </c>
      <c r="J121" s="7">
        <f t="shared" si="119"/>
        <v>600</v>
      </c>
      <c r="K121" s="7">
        <f t="shared" si="119"/>
        <v>700</v>
      </c>
      <c r="L121" s="7">
        <f t="shared" si="119"/>
        <v>800</v>
      </c>
      <c r="M121" s="7">
        <f t="shared" si="119"/>
        <v>900</v>
      </c>
      <c r="N121" s="10"/>
    </row>
    <row r="122">
      <c r="A122" s="13">
        <v>44501.0</v>
      </c>
      <c r="B122" s="12">
        <v>1000.0</v>
      </c>
      <c r="C122" s="7">
        <f t="shared" ref="C122:M122" si="120">$B122*C$2</f>
        <v>50</v>
      </c>
      <c r="D122" s="7">
        <f t="shared" si="120"/>
        <v>100</v>
      </c>
      <c r="E122" s="7">
        <f t="shared" si="120"/>
        <v>150</v>
      </c>
      <c r="F122" s="7">
        <f t="shared" si="120"/>
        <v>200</v>
      </c>
      <c r="G122" s="7">
        <f t="shared" si="120"/>
        <v>300</v>
      </c>
      <c r="H122" s="7">
        <f t="shared" si="120"/>
        <v>400</v>
      </c>
      <c r="I122" s="7">
        <f t="shared" si="120"/>
        <v>500</v>
      </c>
      <c r="J122" s="7">
        <f t="shared" si="120"/>
        <v>600</v>
      </c>
      <c r="K122" s="7">
        <f t="shared" si="120"/>
        <v>700</v>
      </c>
      <c r="L122" s="7">
        <f t="shared" si="120"/>
        <v>800</v>
      </c>
      <c r="M122" s="7">
        <f t="shared" si="120"/>
        <v>900</v>
      </c>
      <c r="N122" s="10"/>
    </row>
    <row r="123">
      <c r="A123" s="14">
        <v>44531.0</v>
      </c>
      <c r="B123" s="12">
        <v>1000.0</v>
      </c>
      <c r="C123" s="7">
        <f t="shared" ref="C123:M123" si="121">$B123*C$2</f>
        <v>50</v>
      </c>
      <c r="D123" s="7">
        <f t="shared" si="121"/>
        <v>100</v>
      </c>
      <c r="E123" s="7">
        <f t="shared" si="121"/>
        <v>150</v>
      </c>
      <c r="F123" s="7">
        <f t="shared" si="121"/>
        <v>200</v>
      </c>
      <c r="G123" s="7">
        <f t="shared" si="121"/>
        <v>300</v>
      </c>
      <c r="H123" s="7">
        <f t="shared" si="121"/>
        <v>400</v>
      </c>
      <c r="I123" s="7">
        <f t="shared" si="121"/>
        <v>500</v>
      </c>
      <c r="J123" s="7">
        <f t="shared" si="121"/>
        <v>600</v>
      </c>
      <c r="K123" s="7">
        <f t="shared" si="121"/>
        <v>700</v>
      </c>
      <c r="L123" s="7">
        <f t="shared" si="121"/>
        <v>800</v>
      </c>
      <c r="M123" s="7">
        <f t="shared" si="121"/>
        <v>900</v>
      </c>
      <c r="N123" s="10"/>
    </row>
    <row r="124">
      <c r="A124" s="13">
        <v>44562.0</v>
      </c>
      <c r="B124" s="12">
        <v>1000.0</v>
      </c>
      <c r="C124" s="7">
        <f t="shared" ref="C124:M124" si="122">$B124*C$2</f>
        <v>50</v>
      </c>
      <c r="D124" s="7">
        <f t="shared" si="122"/>
        <v>100</v>
      </c>
      <c r="E124" s="7">
        <f t="shared" si="122"/>
        <v>150</v>
      </c>
      <c r="F124" s="7">
        <f t="shared" si="122"/>
        <v>200</v>
      </c>
      <c r="G124" s="7">
        <f t="shared" si="122"/>
        <v>300</v>
      </c>
      <c r="H124" s="7">
        <f t="shared" si="122"/>
        <v>400</v>
      </c>
      <c r="I124" s="7">
        <f t="shared" si="122"/>
        <v>500</v>
      </c>
      <c r="J124" s="7">
        <f t="shared" si="122"/>
        <v>600</v>
      </c>
      <c r="K124" s="7">
        <f t="shared" si="122"/>
        <v>700</v>
      </c>
      <c r="L124" s="7">
        <f t="shared" si="122"/>
        <v>800</v>
      </c>
      <c r="M124" s="7">
        <f t="shared" si="122"/>
        <v>900</v>
      </c>
      <c r="N124" s="10"/>
    </row>
    <row r="125">
      <c r="A125" s="13">
        <v>44593.0</v>
      </c>
      <c r="B125" s="12">
        <v>1000.0</v>
      </c>
      <c r="C125" s="7">
        <f t="shared" ref="C125:M125" si="123">$B125*C$2</f>
        <v>50</v>
      </c>
      <c r="D125" s="7">
        <f t="shared" si="123"/>
        <v>100</v>
      </c>
      <c r="E125" s="7">
        <f t="shared" si="123"/>
        <v>150</v>
      </c>
      <c r="F125" s="7">
        <f t="shared" si="123"/>
        <v>200</v>
      </c>
      <c r="G125" s="7">
        <f t="shared" si="123"/>
        <v>300</v>
      </c>
      <c r="H125" s="7">
        <f t="shared" si="123"/>
        <v>400</v>
      </c>
      <c r="I125" s="7">
        <f t="shared" si="123"/>
        <v>500</v>
      </c>
      <c r="J125" s="7">
        <f t="shared" si="123"/>
        <v>600</v>
      </c>
      <c r="K125" s="7">
        <f t="shared" si="123"/>
        <v>700</v>
      </c>
      <c r="L125" s="7">
        <f t="shared" si="123"/>
        <v>800</v>
      </c>
      <c r="M125" s="7">
        <f t="shared" si="123"/>
        <v>900</v>
      </c>
      <c r="N125" s="10"/>
    </row>
    <row r="126">
      <c r="A126" s="13">
        <v>44621.0</v>
      </c>
      <c r="B126" s="12">
        <v>1000.0</v>
      </c>
      <c r="C126" s="7">
        <f t="shared" ref="C126:M126" si="124">$B126*C$2</f>
        <v>50</v>
      </c>
      <c r="D126" s="7">
        <f t="shared" si="124"/>
        <v>100</v>
      </c>
      <c r="E126" s="7">
        <f t="shared" si="124"/>
        <v>150</v>
      </c>
      <c r="F126" s="7">
        <f t="shared" si="124"/>
        <v>200</v>
      </c>
      <c r="G126" s="7">
        <f t="shared" si="124"/>
        <v>300</v>
      </c>
      <c r="H126" s="7">
        <f t="shared" si="124"/>
        <v>400</v>
      </c>
      <c r="I126" s="7">
        <f t="shared" si="124"/>
        <v>500</v>
      </c>
      <c r="J126" s="7">
        <f t="shared" si="124"/>
        <v>600</v>
      </c>
      <c r="K126" s="7">
        <f t="shared" si="124"/>
        <v>700</v>
      </c>
      <c r="L126" s="7">
        <f t="shared" si="124"/>
        <v>800</v>
      </c>
      <c r="M126" s="7">
        <f t="shared" si="124"/>
        <v>900</v>
      </c>
      <c r="N126" s="10"/>
    </row>
    <row r="127">
      <c r="A127" s="13">
        <v>44652.0</v>
      </c>
      <c r="B127" s="12">
        <v>1000.0</v>
      </c>
      <c r="C127" s="7">
        <f t="shared" ref="C127:M127" si="125">$B127*C$2</f>
        <v>50</v>
      </c>
      <c r="D127" s="7">
        <f t="shared" si="125"/>
        <v>100</v>
      </c>
      <c r="E127" s="7">
        <f t="shared" si="125"/>
        <v>150</v>
      </c>
      <c r="F127" s="7">
        <f t="shared" si="125"/>
        <v>200</v>
      </c>
      <c r="G127" s="7">
        <f t="shared" si="125"/>
        <v>300</v>
      </c>
      <c r="H127" s="7">
        <f t="shared" si="125"/>
        <v>400</v>
      </c>
      <c r="I127" s="7">
        <f t="shared" si="125"/>
        <v>500</v>
      </c>
      <c r="J127" s="7">
        <f t="shared" si="125"/>
        <v>600</v>
      </c>
      <c r="K127" s="7">
        <f t="shared" si="125"/>
        <v>700</v>
      </c>
      <c r="L127" s="7">
        <f t="shared" si="125"/>
        <v>800</v>
      </c>
      <c r="M127" s="7">
        <f t="shared" si="125"/>
        <v>900</v>
      </c>
      <c r="N127" s="10"/>
    </row>
    <row r="128">
      <c r="A128" s="13">
        <v>44682.0</v>
      </c>
      <c r="B128" s="12">
        <v>1000.0</v>
      </c>
      <c r="C128" s="7">
        <f t="shared" ref="C128:M128" si="126">$B128*C$2</f>
        <v>50</v>
      </c>
      <c r="D128" s="7">
        <f t="shared" si="126"/>
        <v>100</v>
      </c>
      <c r="E128" s="7">
        <f t="shared" si="126"/>
        <v>150</v>
      </c>
      <c r="F128" s="7">
        <f t="shared" si="126"/>
        <v>200</v>
      </c>
      <c r="G128" s="7">
        <f t="shared" si="126"/>
        <v>300</v>
      </c>
      <c r="H128" s="7">
        <f t="shared" si="126"/>
        <v>400</v>
      </c>
      <c r="I128" s="7">
        <f t="shared" si="126"/>
        <v>500</v>
      </c>
      <c r="J128" s="7">
        <f t="shared" si="126"/>
        <v>600</v>
      </c>
      <c r="K128" s="7">
        <f t="shared" si="126"/>
        <v>700</v>
      </c>
      <c r="L128" s="7">
        <f t="shared" si="126"/>
        <v>800</v>
      </c>
      <c r="M128" s="7">
        <f t="shared" si="126"/>
        <v>900</v>
      </c>
      <c r="N128" s="10"/>
    </row>
    <row r="129">
      <c r="A129" s="13">
        <v>44713.0</v>
      </c>
      <c r="B129" s="12">
        <v>1000.0</v>
      </c>
      <c r="C129" s="7">
        <f t="shared" ref="C129:M129" si="127">$B129*C$2</f>
        <v>50</v>
      </c>
      <c r="D129" s="7">
        <f t="shared" si="127"/>
        <v>100</v>
      </c>
      <c r="E129" s="7">
        <f t="shared" si="127"/>
        <v>150</v>
      </c>
      <c r="F129" s="7">
        <f t="shared" si="127"/>
        <v>200</v>
      </c>
      <c r="G129" s="7">
        <f t="shared" si="127"/>
        <v>300</v>
      </c>
      <c r="H129" s="7">
        <f t="shared" si="127"/>
        <v>400</v>
      </c>
      <c r="I129" s="7">
        <f t="shared" si="127"/>
        <v>500</v>
      </c>
      <c r="J129" s="7">
        <f t="shared" si="127"/>
        <v>600</v>
      </c>
      <c r="K129" s="7">
        <f t="shared" si="127"/>
        <v>700</v>
      </c>
      <c r="L129" s="7">
        <f t="shared" si="127"/>
        <v>800</v>
      </c>
      <c r="M129" s="7">
        <f t="shared" si="127"/>
        <v>900</v>
      </c>
      <c r="N129" s="10"/>
    </row>
    <row r="130">
      <c r="A130" s="13">
        <v>44743.0</v>
      </c>
      <c r="B130" s="12">
        <v>1000.0</v>
      </c>
      <c r="C130" s="7">
        <f t="shared" ref="C130:M130" si="128">$B130*C$2</f>
        <v>50</v>
      </c>
      <c r="D130" s="7">
        <f t="shared" si="128"/>
        <v>100</v>
      </c>
      <c r="E130" s="7">
        <f t="shared" si="128"/>
        <v>150</v>
      </c>
      <c r="F130" s="7">
        <f t="shared" si="128"/>
        <v>200</v>
      </c>
      <c r="G130" s="7">
        <f t="shared" si="128"/>
        <v>300</v>
      </c>
      <c r="H130" s="7">
        <f t="shared" si="128"/>
        <v>400</v>
      </c>
      <c r="I130" s="7">
        <f t="shared" si="128"/>
        <v>500</v>
      </c>
      <c r="J130" s="7">
        <f t="shared" si="128"/>
        <v>600</v>
      </c>
      <c r="K130" s="7">
        <f t="shared" si="128"/>
        <v>700</v>
      </c>
      <c r="L130" s="7">
        <f t="shared" si="128"/>
        <v>800</v>
      </c>
      <c r="M130" s="7">
        <f t="shared" si="128"/>
        <v>900</v>
      </c>
      <c r="N130" s="10"/>
    </row>
    <row r="131">
      <c r="A131" s="13">
        <v>44774.0</v>
      </c>
      <c r="B131" s="12">
        <v>1000.0</v>
      </c>
      <c r="C131" s="7">
        <f t="shared" ref="C131:M131" si="129">$B131*C$2</f>
        <v>50</v>
      </c>
      <c r="D131" s="7">
        <f t="shared" si="129"/>
        <v>100</v>
      </c>
      <c r="E131" s="7">
        <f t="shared" si="129"/>
        <v>150</v>
      </c>
      <c r="F131" s="7">
        <f t="shared" si="129"/>
        <v>200</v>
      </c>
      <c r="G131" s="7">
        <f t="shared" si="129"/>
        <v>300</v>
      </c>
      <c r="H131" s="7">
        <f t="shared" si="129"/>
        <v>400</v>
      </c>
      <c r="I131" s="7">
        <f t="shared" si="129"/>
        <v>500</v>
      </c>
      <c r="J131" s="7">
        <f t="shared" si="129"/>
        <v>600</v>
      </c>
      <c r="K131" s="7">
        <f t="shared" si="129"/>
        <v>700</v>
      </c>
      <c r="L131" s="7">
        <f t="shared" si="129"/>
        <v>800</v>
      </c>
      <c r="M131" s="7">
        <f t="shared" si="129"/>
        <v>900</v>
      </c>
      <c r="N131" s="10"/>
    </row>
    <row r="132">
      <c r="A132" s="13">
        <v>44805.0</v>
      </c>
      <c r="B132" s="12">
        <v>1000.0</v>
      </c>
      <c r="C132" s="7">
        <f t="shared" ref="C132:M132" si="130">$B132*C$2</f>
        <v>50</v>
      </c>
      <c r="D132" s="7">
        <f t="shared" si="130"/>
        <v>100</v>
      </c>
      <c r="E132" s="7">
        <f t="shared" si="130"/>
        <v>150</v>
      </c>
      <c r="F132" s="7">
        <f t="shared" si="130"/>
        <v>200</v>
      </c>
      <c r="G132" s="7">
        <f t="shared" si="130"/>
        <v>300</v>
      </c>
      <c r="H132" s="7">
        <f t="shared" si="130"/>
        <v>400</v>
      </c>
      <c r="I132" s="7">
        <f t="shared" si="130"/>
        <v>500</v>
      </c>
      <c r="J132" s="7">
        <f t="shared" si="130"/>
        <v>600</v>
      </c>
      <c r="K132" s="7">
        <f t="shared" si="130"/>
        <v>700</v>
      </c>
      <c r="L132" s="7">
        <f t="shared" si="130"/>
        <v>800</v>
      </c>
      <c r="M132" s="7">
        <f t="shared" si="130"/>
        <v>900</v>
      </c>
      <c r="N132" s="10"/>
    </row>
    <row r="133">
      <c r="A133" s="13">
        <v>44835.0</v>
      </c>
      <c r="B133" s="12">
        <v>1000.0</v>
      </c>
      <c r="C133" s="7">
        <f t="shared" ref="C133:M133" si="131">$B133*C$2</f>
        <v>50</v>
      </c>
      <c r="D133" s="7">
        <f t="shared" si="131"/>
        <v>100</v>
      </c>
      <c r="E133" s="7">
        <f t="shared" si="131"/>
        <v>150</v>
      </c>
      <c r="F133" s="7">
        <f t="shared" si="131"/>
        <v>200</v>
      </c>
      <c r="G133" s="7">
        <f t="shared" si="131"/>
        <v>300</v>
      </c>
      <c r="H133" s="7">
        <f t="shared" si="131"/>
        <v>400</v>
      </c>
      <c r="I133" s="7">
        <f t="shared" si="131"/>
        <v>500</v>
      </c>
      <c r="J133" s="7">
        <f t="shared" si="131"/>
        <v>600</v>
      </c>
      <c r="K133" s="7">
        <f t="shared" si="131"/>
        <v>700</v>
      </c>
      <c r="L133" s="7">
        <f t="shared" si="131"/>
        <v>800</v>
      </c>
      <c r="M133" s="7">
        <f t="shared" si="131"/>
        <v>900</v>
      </c>
      <c r="N133" s="10"/>
    </row>
    <row r="134">
      <c r="A134" s="13">
        <v>44866.0</v>
      </c>
      <c r="B134" s="12">
        <v>1000.0</v>
      </c>
      <c r="C134" s="7">
        <f t="shared" ref="C134:M134" si="132">$B134*C$2</f>
        <v>50</v>
      </c>
      <c r="D134" s="7">
        <f t="shared" si="132"/>
        <v>100</v>
      </c>
      <c r="E134" s="7">
        <f t="shared" si="132"/>
        <v>150</v>
      </c>
      <c r="F134" s="7">
        <f t="shared" si="132"/>
        <v>200</v>
      </c>
      <c r="G134" s="7">
        <f t="shared" si="132"/>
        <v>300</v>
      </c>
      <c r="H134" s="7">
        <f t="shared" si="132"/>
        <v>400</v>
      </c>
      <c r="I134" s="7">
        <f t="shared" si="132"/>
        <v>500</v>
      </c>
      <c r="J134" s="7">
        <f t="shared" si="132"/>
        <v>600</v>
      </c>
      <c r="K134" s="7">
        <f t="shared" si="132"/>
        <v>700</v>
      </c>
      <c r="L134" s="7">
        <f t="shared" si="132"/>
        <v>800</v>
      </c>
      <c r="M134" s="7">
        <f t="shared" si="132"/>
        <v>900</v>
      </c>
      <c r="N134" s="10"/>
    </row>
    <row r="135">
      <c r="A135" s="14">
        <v>44896.0</v>
      </c>
      <c r="B135" s="12">
        <v>1000.0</v>
      </c>
      <c r="C135" s="7">
        <f t="shared" ref="C135:M135" si="133">$B135*C$2</f>
        <v>50</v>
      </c>
      <c r="D135" s="7">
        <f t="shared" si="133"/>
        <v>100</v>
      </c>
      <c r="E135" s="7">
        <f t="shared" si="133"/>
        <v>150</v>
      </c>
      <c r="F135" s="7">
        <f t="shared" si="133"/>
        <v>200</v>
      </c>
      <c r="G135" s="7">
        <f t="shared" si="133"/>
        <v>300</v>
      </c>
      <c r="H135" s="7">
        <f t="shared" si="133"/>
        <v>400</v>
      </c>
      <c r="I135" s="7">
        <f t="shared" si="133"/>
        <v>500</v>
      </c>
      <c r="J135" s="7">
        <f t="shared" si="133"/>
        <v>600</v>
      </c>
      <c r="K135" s="7">
        <f t="shared" si="133"/>
        <v>700</v>
      </c>
      <c r="L135" s="7">
        <f t="shared" si="133"/>
        <v>800</v>
      </c>
      <c r="M135" s="7">
        <f t="shared" si="133"/>
        <v>900</v>
      </c>
      <c r="N135" s="10"/>
    </row>
    <row r="136">
      <c r="A136" s="13">
        <v>44927.0</v>
      </c>
      <c r="B136" s="12">
        <v>1000.0</v>
      </c>
      <c r="C136" s="7">
        <f t="shared" ref="C136:M136" si="134">$B136*C$2</f>
        <v>50</v>
      </c>
      <c r="D136" s="7">
        <f t="shared" si="134"/>
        <v>100</v>
      </c>
      <c r="E136" s="7">
        <f t="shared" si="134"/>
        <v>150</v>
      </c>
      <c r="F136" s="7">
        <f t="shared" si="134"/>
        <v>200</v>
      </c>
      <c r="G136" s="7">
        <f t="shared" si="134"/>
        <v>300</v>
      </c>
      <c r="H136" s="7">
        <f t="shared" si="134"/>
        <v>400</v>
      </c>
      <c r="I136" s="7">
        <f t="shared" si="134"/>
        <v>500</v>
      </c>
      <c r="J136" s="7">
        <f t="shared" si="134"/>
        <v>600</v>
      </c>
      <c r="K136" s="7">
        <f t="shared" si="134"/>
        <v>700</v>
      </c>
      <c r="L136" s="7">
        <f t="shared" si="134"/>
        <v>800</v>
      </c>
      <c r="M136" s="7">
        <f t="shared" si="134"/>
        <v>900</v>
      </c>
      <c r="N136" s="10"/>
    </row>
    <row r="137">
      <c r="A137" s="13">
        <v>44958.0</v>
      </c>
      <c r="B137" s="12">
        <v>1000.0</v>
      </c>
      <c r="C137" s="7">
        <f t="shared" ref="C137:M137" si="135">$B137*C$2</f>
        <v>50</v>
      </c>
      <c r="D137" s="7">
        <f t="shared" si="135"/>
        <v>100</v>
      </c>
      <c r="E137" s="7">
        <f t="shared" si="135"/>
        <v>150</v>
      </c>
      <c r="F137" s="7">
        <f t="shared" si="135"/>
        <v>200</v>
      </c>
      <c r="G137" s="7">
        <f t="shared" si="135"/>
        <v>300</v>
      </c>
      <c r="H137" s="7">
        <f t="shared" si="135"/>
        <v>400</v>
      </c>
      <c r="I137" s="7">
        <f t="shared" si="135"/>
        <v>500</v>
      </c>
      <c r="J137" s="7">
        <f t="shared" si="135"/>
        <v>600</v>
      </c>
      <c r="K137" s="7">
        <f t="shared" si="135"/>
        <v>700</v>
      </c>
      <c r="L137" s="7">
        <f t="shared" si="135"/>
        <v>800</v>
      </c>
      <c r="M137" s="7">
        <f t="shared" si="135"/>
        <v>900</v>
      </c>
      <c r="N137" s="10"/>
    </row>
    <row r="138">
      <c r="A138" s="13">
        <v>44986.0</v>
      </c>
      <c r="B138" s="12">
        <v>1000.0</v>
      </c>
      <c r="C138" s="7">
        <f t="shared" ref="C138:M138" si="136">$B138*C$2</f>
        <v>50</v>
      </c>
      <c r="D138" s="7">
        <f t="shared" si="136"/>
        <v>100</v>
      </c>
      <c r="E138" s="7">
        <f t="shared" si="136"/>
        <v>150</v>
      </c>
      <c r="F138" s="7">
        <f t="shared" si="136"/>
        <v>200</v>
      </c>
      <c r="G138" s="7">
        <f t="shared" si="136"/>
        <v>300</v>
      </c>
      <c r="H138" s="7">
        <f t="shared" si="136"/>
        <v>400</v>
      </c>
      <c r="I138" s="7">
        <f t="shared" si="136"/>
        <v>500</v>
      </c>
      <c r="J138" s="7">
        <f t="shared" si="136"/>
        <v>600</v>
      </c>
      <c r="K138" s="7">
        <f t="shared" si="136"/>
        <v>700</v>
      </c>
      <c r="L138" s="7">
        <f t="shared" si="136"/>
        <v>800</v>
      </c>
      <c r="M138" s="7">
        <f t="shared" si="136"/>
        <v>900</v>
      </c>
      <c r="N138" s="10"/>
    </row>
    <row r="139">
      <c r="A139" s="13">
        <v>45017.0</v>
      </c>
      <c r="B139" s="12">
        <v>1000.0</v>
      </c>
      <c r="C139" s="7">
        <f t="shared" ref="C139:M139" si="137">$B139*C$2</f>
        <v>50</v>
      </c>
      <c r="D139" s="7">
        <f t="shared" si="137"/>
        <v>100</v>
      </c>
      <c r="E139" s="7">
        <f t="shared" si="137"/>
        <v>150</v>
      </c>
      <c r="F139" s="7">
        <f t="shared" si="137"/>
        <v>200</v>
      </c>
      <c r="G139" s="7">
        <f t="shared" si="137"/>
        <v>300</v>
      </c>
      <c r="H139" s="7">
        <f t="shared" si="137"/>
        <v>400</v>
      </c>
      <c r="I139" s="7">
        <f t="shared" si="137"/>
        <v>500</v>
      </c>
      <c r="J139" s="7">
        <f t="shared" si="137"/>
        <v>600</v>
      </c>
      <c r="K139" s="7">
        <f t="shared" si="137"/>
        <v>700</v>
      </c>
      <c r="L139" s="7">
        <f t="shared" si="137"/>
        <v>800</v>
      </c>
      <c r="M139" s="7">
        <f t="shared" si="137"/>
        <v>900</v>
      </c>
      <c r="N139" s="10"/>
    </row>
    <row r="140">
      <c r="A140" s="13">
        <v>45047.0</v>
      </c>
      <c r="B140" s="12">
        <v>1000.0</v>
      </c>
      <c r="C140" s="7">
        <f t="shared" ref="C140:M140" si="138">$B140*C$2</f>
        <v>50</v>
      </c>
      <c r="D140" s="7">
        <f t="shared" si="138"/>
        <v>100</v>
      </c>
      <c r="E140" s="7">
        <f t="shared" si="138"/>
        <v>150</v>
      </c>
      <c r="F140" s="7">
        <f t="shared" si="138"/>
        <v>200</v>
      </c>
      <c r="G140" s="7">
        <f t="shared" si="138"/>
        <v>300</v>
      </c>
      <c r="H140" s="7">
        <f t="shared" si="138"/>
        <v>400</v>
      </c>
      <c r="I140" s="7">
        <f t="shared" si="138"/>
        <v>500</v>
      </c>
      <c r="J140" s="7">
        <f t="shared" si="138"/>
        <v>600</v>
      </c>
      <c r="K140" s="7">
        <f t="shared" si="138"/>
        <v>700</v>
      </c>
      <c r="L140" s="7">
        <f t="shared" si="138"/>
        <v>800</v>
      </c>
      <c r="M140" s="7">
        <f t="shared" si="138"/>
        <v>900</v>
      </c>
      <c r="N140" s="10"/>
    </row>
    <row r="141">
      <c r="A141" s="13">
        <v>45078.0</v>
      </c>
      <c r="B141" s="12">
        <v>1000.0</v>
      </c>
      <c r="C141" s="7">
        <f t="shared" ref="C141:M141" si="139">$B141*C$2</f>
        <v>50</v>
      </c>
      <c r="D141" s="7">
        <f t="shared" si="139"/>
        <v>100</v>
      </c>
      <c r="E141" s="7">
        <f t="shared" si="139"/>
        <v>150</v>
      </c>
      <c r="F141" s="7">
        <f t="shared" si="139"/>
        <v>200</v>
      </c>
      <c r="G141" s="7">
        <f t="shared" si="139"/>
        <v>300</v>
      </c>
      <c r="H141" s="7">
        <f t="shared" si="139"/>
        <v>400</v>
      </c>
      <c r="I141" s="7">
        <f t="shared" si="139"/>
        <v>500</v>
      </c>
      <c r="J141" s="7">
        <f t="shared" si="139"/>
        <v>600</v>
      </c>
      <c r="K141" s="7">
        <f t="shared" si="139"/>
        <v>700</v>
      </c>
      <c r="L141" s="7">
        <f t="shared" si="139"/>
        <v>800</v>
      </c>
      <c r="M141" s="7">
        <f t="shared" si="139"/>
        <v>900</v>
      </c>
      <c r="N141" s="10"/>
    </row>
    <row r="142">
      <c r="A142" s="13">
        <v>45108.0</v>
      </c>
      <c r="B142" s="12">
        <v>1000.0</v>
      </c>
      <c r="C142" s="7">
        <f t="shared" ref="C142:M142" si="140">$B142*C$2</f>
        <v>50</v>
      </c>
      <c r="D142" s="7">
        <f t="shared" si="140"/>
        <v>100</v>
      </c>
      <c r="E142" s="7">
        <f t="shared" si="140"/>
        <v>150</v>
      </c>
      <c r="F142" s="7">
        <f t="shared" si="140"/>
        <v>200</v>
      </c>
      <c r="G142" s="7">
        <f t="shared" si="140"/>
        <v>300</v>
      </c>
      <c r="H142" s="7">
        <f t="shared" si="140"/>
        <v>400</v>
      </c>
      <c r="I142" s="7">
        <f t="shared" si="140"/>
        <v>500</v>
      </c>
      <c r="J142" s="7">
        <f t="shared" si="140"/>
        <v>600</v>
      </c>
      <c r="K142" s="7">
        <f t="shared" si="140"/>
        <v>700</v>
      </c>
      <c r="L142" s="7">
        <f t="shared" si="140"/>
        <v>800</v>
      </c>
      <c r="M142" s="7">
        <f t="shared" si="140"/>
        <v>900</v>
      </c>
      <c r="N142" s="10"/>
    </row>
    <row r="143">
      <c r="A143" s="13">
        <v>45139.0</v>
      </c>
      <c r="B143" s="12">
        <v>1000.0</v>
      </c>
      <c r="C143" s="7">
        <f t="shared" ref="C143:M143" si="141">$B143*C$2</f>
        <v>50</v>
      </c>
      <c r="D143" s="7">
        <f t="shared" si="141"/>
        <v>100</v>
      </c>
      <c r="E143" s="7">
        <f t="shared" si="141"/>
        <v>150</v>
      </c>
      <c r="F143" s="7">
        <f t="shared" si="141"/>
        <v>200</v>
      </c>
      <c r="G143" s="7">
        <f t="shared" si="141"/>
        <v>300</v>
      </c>
      <c r="H143" s="7">
        <f t="shared" si="141"/>
        <v>400</v>
      </c>
      <c r="I143" s="7">
        <f t="shared" si="141"/>
        <v>500</v>
      </c>
      <c r="J143" s="7">
        <f t="shared" si="141"/>
        <v>600</v>
      </c>
      <c r="K143" s="7">
        <f t="shared" si="141"/>
        <v>700</v>
      </c>
      <c r="L143" s="7">
        <f t="shared" si="141"/>
        <v>800</v>
      </c>
      <c r="M143" s="7">
        <f t="shared" si="141"/>
        <v>900</v>
      </c>
      <c r="N143" s="10"/>
    </row>
    <row r="144">
      <c r="A144" s="13">
        <v>45170.0</v>
      </c>
      <c r="B144" s="12">
        <v>1000.0</v>
      </c>
      <c r="C144" s="7">
        <f t="shared" ref="C144:M144" si="142">$B144*C$2</f>
        <v>50</v>
      </c>
      <c r="D144" s="7">
        <f t="shared" si="142"/>
        <v>100</v>
      </c>
      <c r="E144" s="7">
        <f t="shared" si="142"/>
        <v>150</v>
      </c>
      <c r="F144" s="7">
        <f t="shared" si="142"/>
        <v>200</v>
      </c>
      <c r="G144" s="7">
        <f t="shared" si="142"/>
        <v>300</v>
      </c>
      <c r="H144" s="7">
        <f t="shared" si="142"/>
        <v>400</v>
      </c>
      <c r="I144" s="7">
        <f t="shared" si="142"/>
        <v>500</v>
      </c>
      <c r="J144" s="7">
        <f t="shared" si="142"/>
        <v>600</v>
      </c>
      <c r="K144" s="7">
        <f t="shared" si="142"/>
        <v>700</v>
      </c>
      <c r="L144" s="7">
        <f t="shared" si="142"/>
        <v>800</v>
      </c>
      <c r="M144" s="7">
        <f t="shared" si="142"/>
        <v>900</v>
      </c>
      <c r="N144" s="10"/>
    </row>
    <row r="145">
      <c r="A145" s="13">
        <v>45200.0</v>
      </c>
      <c r="B145" s="12">
        <v>1000.0</v>
      </c>
      <c r="C145" s="7">
        <f t="shared" ref="C145:M145" si="143">$B145*C$2</f>
        <v>50</v>
      </c>
      <c r="D145" s="7">
        <f t="shared" si="143"/>
        <v>100</v>
      </c>
      <c r="E145" s="7">
        <f t="shared" si="143"/>
        <v>150</v>
      </c>
      <c r="F145" s="7">
        <f t="shared" si="143"/>
        <v>200</v>
      </c>
      <c r="G145" s="7">
        <f t="shared" si="143"/>
        <v>300</v>
      </c>
      <c r="H145" s="7">
        <f t="shared" si="143"/>
        <v>400</v>
      </c>
      <c r="I145" s="7">
        <f t="shared" si="143"/>
        <v>500</v>
      </c>
      <c r="J145" s="7">
        <f t="shared" si="143"/>
        <v>600</v>
      </c>
      <c r="K145" s="7">
        <f t="shared" si="143"/>
        <v>700</v>
      </c>
      <c r="L145" s="7">
        <f t="shared" si="143"/>
        <v>800</v>
      </c>
      <c r="M145" s="7">
        <f t="shared" si="143"/>
        <v>900</v>
      </c>
      <c r="N145" s="10"/>
    </row>
    <row r="146">
      <c r="A146" s="13">
        <v>45231.0</v>
      </c>
      <c r="B146" s="12">
        <v>1000.0</v>
      </c>
      <c r="C146" s="7">
        <f t="shared" ref="C146:M146" si="144">$B146*C$2</f>
        <v>50</v>
      </c>
      <c r="D146" s="7">
        <f t="shared" si="144"/>
        <v>100</v>
      </c>
      <c r="E146" s="7">
        <f t="shared" si="144"/>
        <v>150</v>
      </c>
      <c r="F146" s="7">
        <f t="shared" si="144"/>
        <v>200</v>
      </c>
      <c r="G146" s="7">
        <f t="shared" si="144"/>
        <v>300</v>
      </c>
      <c r="H146" s="7">
        <f t="shared" si="144"/>
        <v>400</v>
      </c>
      <c r="I146" s="7">
        <f t="shared" si="144"/>
        <v>500</v>
      </c>
      <c r="J146" s="7">
        <f t="shared" si="144"/>
        <v>600</v>
      </c>
      <c r="K146" s="7">
        <f t="shared" si="144"/>
        <v>700</v>
      </c>
      <c r="L146" s="7">
        <f t="shared" si="144"/>
        <v>800</v>
      </c>
      <c r="M146" s="7">
        <f t="shared" si="144"/>
        <v>900</v>
      </c>
      <c r="N146" s="10"/>
    </row>
    <row r="147">
      <c r="A147" s="14">
        <v>45261.0</v>
      </c>
      <c r="B147" s="12">
        <v>1000.0</v>
      </c>
      <c r="C147" s="7">
        <f t="shared" ref="C147:M147" si="145">$B147*C$2</f>
        <v>50</v>
      </c>
      <c r="D147" s="7">
        <f t="shared" si="145"/>
        <v>100</v>
      </c>
      <c r="E147" s="7">
        <f t="shared" si="145"/>
        <v>150</v>
      </c>
      <c r="F147" s="7">
        <f t="shared" si="145"/>
        <v>200</v>
      </c>
      <c r="G147" s="7">
        <f t="shared" si="145"/>
        <v>300</v>
      </c>
      <c r="H147" s="7">
        <f t="shared" si="145"/>
        <v>400</v>
      </c>
      <c r="I147" s="7">
        <f t="shared" si="145"/>
        <v>500</v>
      </c>
      <c r="J147" s="7">
        <f t="shared" si="145"/>
        <v>600</v>
      </c>
      <c r="K147" s="7">
        <f t="shared" si="145"/>
        <v>700</v>
      </c>
      <c r="L147" s="7">
        <f t="shared" si="145"/>
        <v>800</v>
      </c>
      <c r="M147" s="7">
        <f t="shared" si="145"/>
        <v>900</v>
      </c>
      <c r="N147" s="10"/>
    </row>
    <row r="148">
      <c r="A148" s="13">
        <v>45292.0</v>
      </c>
      <c r="B148" s="12">
        <v>1000.0</v>
      </c>
      <c r="C148" s="7">
        <f t="shared" ref="C148:M148" si="146">$B148*C$2</f>
        <v>50</v>
      </c>
      <c r="D148" s="7">
        <f t="shared" si="146"/>
        <v>100</v>
      </c>
      <c r="E148" s="7">
        <f t="shared" si="146"/>
        <v>150</v>
      </c>
      <c r="F148" s="7">
        <f t="shared" si="146"/>
        <v>200</v>
      </c>
      <c r="G148" s="7">
        <f t="shared" si="146"/>
        <v>300</v>
      </c>
      <c r="H148" s="7">
        <f t="shared" si="146"/>
        <v>400</v>
      </c>
      <c r="I148" s="7">
        <f t="shared" si="146"/>
        <v>500</v>
      </c>
      <c r="J148" s="7">
        <f t="shared" si="146"/>
        <v>600</v>
      </c>
      <c r="K148" s="7">
        <f t="shared" si="146"/>
        <v>700</v>
      </c>
      <c r="L148" s="7">
        <f t="shared" si="146"/>
        <v>800</v>
      </c>
      <c r="M148" s="7">
        <f t="shared" si="146"/>
        <v>900</v>
      </c>
      <c r="N148" s="10"/>
    </row>
    <row r="149">
      <c r="A149" s="13">
        <v>45323.0</v>
      </c>
      <c r="B149" s="12">
        <v>1000.0</v>
      </c>
      <c r="C149" s="7">
        <f t="shared" ref="C149:M149" si="147">$B149*C$2</f>
        <v>50</v>
      </c>
      <c r="D149" s="7">
        <f t="shared" si="147"/>
        <v>100</v>
      </c>
      <c r="E149" s="7">
        <f t="shared" si="147"/>
        <v>150</v>
      </c>
      <c r="F149" s="7">
        <f t="shared" si="147"/>
        <v>200</v>
      </c>
      <c r="G149" s="7">
        <f t="shared" si="147"/>
        <v>300</v>
      </c>
      <c r="H149" s="7">
        <f t="shared" si="147"/>
        <v>400</v>
      </c>
      <c r="I149" s="7">
        <f t="shared" si="147"/>
        <v>500</v>
      </c>
      <c r="J149" s="7">
        <f t="shared" si="147"/>
        <v>600</v>
      </c>
      <c r="K149" s="7">
        <f t="shared" si="147"/>
        <v>700</v>
      </c>
      <c r="L149" s="7">
        <f t="shared" si="147"/>
        <v>800</v>
      </c>
      <c r="M149" s="7">
        <f t="shared" si="147"/>
        <v>900</v>
      </c>
      <c r="N149" s="10"/>
    </row>
    <row r="150">
      <c r="A150" s="13">
        <v>45352.0</v>
      </c>
      <c r="B150" s="12">
        <v>1000.0</v>
      </c>
      <c r="C150" s="7">
        <f t="shared" ref="C150:M150" si="148">$B150*C$2</f>
        <v>50</v>
      </c>
      <c r="D150" s="7">
        <f t="shared" si="148"/>
        <v>100</v>
      </c>
      <c r="E150" s="7">
        <f t="shared" si="148"/>
        <v>150</v>
      </c>
      <c r="F150" s="7">
        <f t="shared" si="148"/>
        <v>200</v>
      </c>
      <c r="G150" s="7">
        <f t="shared" si="148"/>
        <v>300</v>
      </c>
      <c r="H150" s="7">
        <f t="shared" si="148"/>
        <v>400</v>
      </c>
      <c r="I150" s="7">
        <f t="shared" si="148"/>
        <v>500</v>
      </c>
      <c r="J150" s="7">
        <f t="shared" si="148"/>
        <v>600</v>
      </c>
      <c r="K150" s="7">
        <f t="shared" si="148"/>
        <v>700</v>
      </c>
      <c r="L150" s="7">
        <f t="shared" si="148"/>
        <v>800</v>
      </c>
      <c r="M150" s="7">
        <f t="shared" si="148"/>
        <v>900</v>
      </c>
      <c r="N150" s="10"/>
    </row>
    <row r="151">
      <c r="A151" s="13">
        <v>45383.0</v>
      </c>
      <c r="B151" s="12">
        <v>1000.0</v>
      </c>
      <c r="C151" s="7">
        <f t="shared" ref="C151:M151" si="149">$B151*C$2</f>
        <v>50</v>
      </c>
      <c r="D151" s="7">
        <f t="shared" si="149"/>
        <v>100</v>
      </c>
      <c r="E151" s="7">
        <f t="shared" si="149"/>
        <v>150</v>
      </c>
      <c r="F151" s="7">
        <f t="shared" si="149"/>
        <v>200</v>
      </c>
      <c r="G151" s="7">
        <f t="shared" si="149"/>
        <v>300</v>
      </c>
      <c r="H151" s="7">
        <f t="shared" si="149"/>
        <v>400</v>
      </c>
      <c r="I151" s="7">
        <f t="shared" si="149"/>
        <v>500</v>
      </c>
      <c r="J151" s="7">
        <f t="shared" si="149"/>
        <v>600</v>
      </c>
      <c r="K151" s="7">
        <f t="shared" si="149"/>
        <v>700</v>
      </c>
      <c r="L151" s="7">
        <f t="shared" si="149"/>
        <v>800</v>
      </c>
      <c r="M151" s="7">
        <f t="shared" si="149"/>
        <v>900</v>
      </c>
      <c r="N151" s="10"/>
    </row>
    <row r="152">
      <c r="A152" s="13">
        <v>45413.0</v>
      </c>
      <c r="B152" s="12">
        <v>1000.0</v>
      </c>
      <c r="C152" s="7">
        <f t="shared" ref="C152:M152" si="150">$B152*C$2</f>
        <v>50</v>
      </c>
      <c r="D152" s="7">
        <f t="shared" si="150"/>
        <v>100</v>
      </c>
      <c r="E152" s="7">
        <f t="shared" si="150"/>
        <v>150</v>
      </c>
      <c r="F152" s="7">
        <f t="shared" si="150"/>
        <v>200</v>
      </c>
      <c r="G152" s="7">
        <f t="shared" si="150"/>
        <v>300</v>
      </c>
      <c r="H152" s="7">
        <f t="shared" si="150"/>
        <v>400</v>
      </c>
      <c r="I152" s="7">
        <f t="shared" si="150"/>
        <v>500</v>
      </c>
      <c r="J152" s="7">
        <f t="shared" si="150"/>
        <v>600</v>
      </c>
      <c r="K152" s="7">
        <f t="shared" si="150"/>
        <v>700</v>
      </c>
      <c r="L152" s="7">
        <f t="shared" si="150"/>
        <v>800</v>
      </c>
      <c r="M152" s="7">
        <f t="shared" si="150"/>
        <v>900</v>
      </c>
      <c r="N152" s="10"/>
    </row>
    <row r="153">
      <c r="A153" s="13">
        <v>45444.0</v>
      </c>
      <c r="B153" s="12">
        <v>1000.0</v>
      </c>
      <c r="C153" s="7">
        <f t="shared" ref="C153:M153" si="151">$B153*C$2</f>
        <v>50</v>
      </c>
      <c r="D153" s="7">
        <f t="shared" si="151"/>
        <v>100</v>
      </c>
      <c r="E153" s="7">
        <f t="shared" si="151"/>
        <v>150</v>
      </c>
      <c r="F153" s="7">
        <f t="shared" si="151"/>
        <v>200</v>
      </c>
      <c r="G153" s="7">
        <f t="shared" si="151"/>
        <v>300</v>
      </c>
      <c r="H153" s="7">
        <f t="shared" si="151"/>
        <v>400</v>
      </c>
      <c r="I153" s="7">
        <f t="shared" si="151"/>
        <v>500</v>
      </c>
      <c r="J153" s="7">
        <f t="shared" si="151"/>
        <v>600</v>
      </c>
      <c r="K153" s="7">
        <f t="shared" si="151"/>
        <v>700</v>
      </c>
      <c r="L153" s="7">
        <f t="shared" si="151"/>
        <v>800</v>
      </c>
      <c r="M153" s="7">
        <f t="shared" si="151"/>
        <v>900</v>
      </c>
      <c r="N153" s="10"/>
    </row>
    <row r="154">
      <c r="A154" s="13">
        <v>45474.0</v>
      </c>
      <c r="B154" s="12">
        <v>1000.0</v>
      </c>
      <c r="C154" s="7">
        <f t="shared" ref="C154:M154" si="152">$B154*C$2</f>
        <v>50</v>
      </c>
      <c r="D154" s="7">
        <f t="shared" si="152"/>
        <v>100</v>
      </c>
      <c r="E154" s="7">
        <f t="shared" si="152"/>
        <v>150</v>
      </c>
      <c r="F154" s="7">
        <f t="shared" si="152"/>
        <v>200</v>
      </c>
      <c r="G154" s="7">
        <f t="shared" si="152"/>
        <v>300</v>
      </c>
      <c r="H154" s="7">
        <f t="shared" si="152"/>
        <v>400</v>
      </c>
      <c r="I154" s="7">
        <f t="shared" si="152"/>
        <v>500</v>
      </c>
      <c r="J154" s="7">
        <f t="shared" si="152"/>
        <v>600</v>
      </c>
      <c r="K154" s="7">
        <f t="shared" si="152"/>
        <v>700</v>
      </c>
      <c r="L154" s="7">
        <f t="shared" si="152"/>
        <v>800</v>
      </c>
      <c r="M154" s="7">
        <f t="shared" si="152"/>
        <v>900</v>
      </c>
      <c r="N154" s="10"/>
    </row>
    <row r="155">
      <c r="A155" s="13">
        <v>45505.0</v>
      </c>
      <c r="B155" s="12">
        <v>1000.0</v>
      </c>
      <c r="C155" s="7">
        <f t="shared" ref="C155:M155" si="153">$B155*C$2</f>
        <v>50</v>
      </c>
      <c r="D155" s="7">
        <f t="shared" si="153"/>
        <v>100</v>
      </c>
      <c r="E155" s="7">
        <f t="shared" si="153"/>
        <v>150</v>
      </c>
      <c r="F155" s="7">
        <f t="shared" si="153"/>
        <v>200</v>
      </c>
      <c r="G155" s="7">
        <f t="shared" si="153"/>
        <v>300</v>
      </c>
      <c r="H155" s="7">
        <f t="shared" si="153"/>
        <v>400</v>
      </c>
      <c r="I155" s="7">
        <f t="shared" si="153"/>
        <v>500</v>
      </c>
      <c r="J155" s="7">
        <f t="shared" si="153"/>
        <v>600</v>
      </c>
      <c r="K155" s="7">
        <f t="shared" si="153"/>
        <v>700</v>
      </c>
      <c r="L155" s="7">
        <f t="shared" si="153"/>
        <v>800</v>
      </c>
      <c r="M155" s="7">
        <f t="shared" si="153"/>
        <v>900</v>
      </c>
      <c r="N155" s="10"/>
    </row>
    <row r="156">
      <c r="A156" s="13">
        <v>45536.0</v>
      </c>
      <c r="B156" s="12">
        <v>1000.0</v>
      </c>
      <c r="C156" s="7">
        <f t="shared" ref="C156:M156" si="154">$B156*C$2</f>
        <v>50</v>
      </c>
      <c r="D156" s="7">
        <f t="shared" si="154"/>
        <v>100</v>
      </c>
      <c r="E156" s="7">
        <f t="shared" si="154"/>
        <v>150</v>
      </c>
      <c r="F156" s="7">
        <f t="shared" si="154"/>
        <v>200</v>
      </c>
      <c r="G156" s="7">
        <f t="shared" si="154"/>
        <v>300</v>
      </c>
      <c r="H156" s="7">
        <f t="shared" si="154"/>
        <v>400</v>
      </c>
      <c r="I156" s="7">
        <f t="shared" si="154"/>
        <v>500</v>
      </c>
      <c r="J156" s="7">
        <f t="shared" si="154"/>
        <v>600</v>
      </c>
      <c r="K156" s="7">
        <f t="shared" si="154"/>
        <v>700</v>
      </c>
      <c r="L156" s="7">
        <f t="shared" si="154"/>
        <v>800</v>
      </c>
      <c r="M156" s="7">
        <f t="shared" si="154"/>
        <v>900</v>
      </c>
      <c r="N156" s="10"/>
    </row>
    <row r="157">
      <c r="A157" s="13">
        <v>45566.0</v>
      </c>
      <c r="B157" s="12">
        <v>1000.0</v>
      </c>
      <c r="C157" s="7">
        <f t="shared" ref="C157:M157" si="155">$B157*C$2</f>
        <v>50</v>
      </c>
      <c r="D157" s="7">
        <f t="shared" si="155"/>
        <v>100</v>
      </c>
      <c r="E157" s="7">
        <f t="shared" si="155"/>
        <v>150</v>
      </c>
      <c r="F157" s="7">
        <f t="shared" si="155"/>
        <v>200</v>
      </c>
      <c r="G157" s="7">
        <f t="shared" si="155"/>
        <v>300</v>
      </c>
      <c r="H157" s="7">
        <f t="shared" si="155"/>
        <v>400</v>
      </c>
      <c r="I157" s="7">
        <f t="shared" si="155"/>
        <v>500</v>
      </c>
      <c r="J157" s="7">
        <f t="shared" si="155"/>
        <v>600</v>
      </c>
      <c r="K157" s="7">
        <f t="shared" si="155"/>
        <v>700</v>
      </c>
      <c r="L157" s="7">
        <f t="shared" si="155"/>
        <v>800</v>
      </c>
      <c r="M157" s="7">
        <f t="shared" si="155"/>
        <v>900</v>
      </c>
      <c r="N157" s="10"/>
    </row>
    <row r="158">
      <c r="A158" s="13">
        <v>45597.0</v>
      </c>
      <c r="B158" s="12">
        <v>1000.0</v>
      </c>
      <c r="C158" s="7">
        <f t="shared" ref="C158:M158" si="156">$B158*C$2</f>
        <v>50</v>
      </c>
      <c r="D158" s="7">
        <f t="shared" si="156"/>
        <v>100</v>
      </c>
      <c r="E158" s="7">
        <f t="shared" si="156"/>
        <v>150</v>
      </c>
      <c r="F158" s="7">
        <f t="shared" si="156"/>
        <v>200</v>
      </c>
      <c r="G158" s="7">
        <f t="shared" si="156"/>
        <v>300</v>
      </c>
      <c r="H158" s="7">
        <f t="shared" si="156"/>
        <v>400</v>
      </c>
      <c r="I158" s="7">
        <f t="shared" si="156"/>
        <v>500</v>
      </c>
      <c r="J158" s="7">
        <f t="shared" si="156"/>
        <v>600</v>
      </c>
      <c r="K158" s="7">
        <f t="shared" si="156"/>
        <v>700</v>
      </c>
      <c r="L158" s="7">
        <f t="shared" si="156"/>
        <v>800</v>
      </c>
      <c r="M158" s="7">
        <f t="shared" si="156"/>
        <v>900</v>
      </c>
      <c r="N158" s="10"/>
    </row>
    <row r="159">
      <c r="A159" s="14">
        <v>45627.0</v>
      </c>
      <c r="B159" s="12">
        <v>1000.0</v>
      </c>
      <c r="C159" s="7">
        <f t="shared" ref="C159:M159" si="157">$B159*C$2</f>
        <v>50</v>
      </c>
      <c r="D159" s="7">
        <f t="shared" si="157"/>
        <v>100</v>
      </c>
      <c r="E159" s="7">
        <f t="shared" si="157"/>
        <v>150</v>
      </c>
      <c r="F159" s="7">
        <f t="shared" si="157"/>
        <v>200</v>
      </c>
      <c r="G159" s="7">
        <f t="shared" si="157"/>
        <v>300</v>
      </c>
      <c r="H159" s="7">
        <f t="shared" si="157"/>
        <v>400</v>
      </c>
      <c r="I159" s="7">
        <f t="shared" si="157"/>
        <v>500</v>
      </c>
      <c r="J159" s="7">
        <f t="shared" si="157"/>
        <v>600</v>
      </c>
      <c r="K159" s="7">
        <f t="shared" si="157"/>
        <v>700</v>
      </c>
      <c r="L159" s="7">
        <f t="shared" si="157"/>
        <v>800</v>
      </c>
      <c r="M159" s="7">
        <f t="shared" si="157"/>
        <v>900</v>
      </c>
      <c r="N159" s="10"/>
    </row>
    <row r="160">
      <c r="A160" s="13">
        <v>45658.0</v>
      </c>
      <c r="B160" s="12">
        <v>1000.0</v>
      </c>
      <c r="C160" s="7">
        <f t="shared" ref="C160:M160" si="158">$B160*C$2</f>
        <v>50</v>
      </c>
      <c r="D160" s="7">
        <f t="shared" si="158"/>
        <v>100</v>
      </c>
      <c r="E160" s="7">
        <f t="shared" si="158"/>
        <v>150</v>
      </c>
      <c r="F160" s="7">
        <f t="shared" si="158"/>
        <v>200</v>
      </c>
      <c r="G160" s="7">
        <f t="shared" si="158"/>
        <v>300</v>
      </c>
      <c r="H160" s="7">
        <f t="shared" si="158"/>
        <v>400</v>
      </c>
      <c r="I160" s="7">
        <f t="shared" si="158"/>
        <v>500</v>
      </c>
      <c r="J160" s="7">
        <f t="shared" si="158"/>
        <v>600</v>
      </c>
      <c r="K160" s="7">
        <f t="shared" si="158"/>
        <v>700</v>
      </c>
      <c r="L160" s="7">
        <f t="shared" si="158"/>
        <v>800</v>
      </c>
      <c r="M160" s="7">
        <f t="shared" si="158"/>
        <v>900</v>
      </c>
      <c r="N160" s="10"/>
    </row>
    <row r="161">
      <c r="A161" s="13">
        <v>45689.0</v>
      </c>
      <c r="B161" s="12">
        <v>1000.0</v>
      </c>
      <c r="C161" s="7">
        <f t="shared" ref="C161:M161" si="159">$B161*C$2</f>
        <v>50</v>
      </c>
      <c r="D161" s="7">
        <f t="shared" si="159"/>
        <v>100</v>
      </c>
      <c r="E161" s="7">
        <f t="shared" si="159"/>
        <v>150</v>
      </c>
      <c r="F161" s="7">
        <f t="shared" si="159"/>
        <v>200</v>
      </c>
      <c r="G161" s="7">
        <f t="shared" si="159"/>
        <v>300</v>
      </c>
      <c r="H161" s="7">
        <f t="shared" si="159"/>
        <v>400</v>
      </c>
      <c r="I161" s="7">
        <f t="shared" si="159"/>
        <v>500</v>
      </c>
      <c r="J161" s="7">
        <f t="shared" si="159"/>
        <v>600</v>
      </c>
      <c r="K161" s="7">
        <f t="shared" si="159"/>
        <v>700</v>
      </c>
      <c r="L161" s="7">
        <f t="shared" si="159"/>
        <v>800</v>
      </c>
      <c r="M161" s="7">
        <f t="shared" si="159"/>
        <v>900</v>
      </c>
      <c r="N161" s="10"/>
    </row>
    <row r="162">
      <c r="A162" s="13">
        <v>45717.0</v>
      </c>
      <c r="B162" s="12">
        <v>1000.0</v>
      </c>
      <c r="C162" s="7">
        <f t="shared" ref="C162:M162" si="160">$B162*C$2</f>
        <v>50</v>
      </c>
      <c r="D162" s="7">
        <f t="shared" si="160"/>
        <v>100</v>
      </c>
      <c r="E162" s="7">
        <f t="shared" si="160"/>
        <v>150</v>
      </c>
      <c r="F162" s="7">
        <f t="shared" si="160"/>
        <v>200</v>
      </c>
      <c r="G162" s="7">
        <f t="shared" si="160"/>
        <v>300</v>
      </c>
      <c r="H162" s="7">
        <f t="shared" si="160"/>
        <v>400</v>
      </c>
      <c r="I162" s="7">
        <f t="shared" si="160"/>
        <v>500</v>
      </c>
      <c r="J162" s="7">
        <f t="shared" si="160"/>
        <v>600</v>
      </c>
      <c r="K162" s="7">
        <f t="shared" si="160"/>
        <v>700</v>
      </c>
      <c r="L162" s="7">
        <f t="shared" si="160"/>
        <v>800</v>
      </c>
      <c r="M162" s="7">
        <f t="shared" si="160"/>
        <v>900</v>
      </c>
      <c r="N162" s="10"/>
    </row>
    <row r="163">
      <c r="A163" s="13">
        <v>45748.0</v>
      </c>
      <c r="B163" s="12">
        <v>1000.0</v>
      </c>
      <c r="C163" s="7">
        <f t="shared" ref="C163:M163" si="161">$B163*C$2</f>
        <v>50</v>
      </c>
      <c r="D163" s="7">
        <f t="shared" si="161"/>
        <v>100</v>
      </c>
      <c r="E163" s="7">
        <f t="shared" si="161"/>
        <v>150</v>
      </c>
      <c r="F163" s="7">
        <f t="shared" si="161"/>
        <v>200</v>
      </c>
      <c r="G163" s="7">
        <f t="shared" si="161"/>
        <v>300</v>
      </c>
      <c r="H163" s="7">
        <f t="shared" si="161"/>
        <v>400</v>
      </c>
      <c r="I163" s="7">
        <f t="shared" si="161"/>
        <v>500</v>
      </c>
      <c r="J163" s="7">
        <f t="shared" si="161"/>
        <v>600</v>
      </c>
      <c r="K163" s="7">
        <f t="shared" si="161"/>
        <v>700</v>
      </c>
      <c r="L163" s="7">
        <f t="shared" si="161"/>
        <v>800</v>
      </c>
      <c r="M163" s="7">
        <f t="shared" si="161"/>
        <v>900</v>
      </c>
      <c r="N163" s="10"/>
    </row>
    <row r="164">
      <c r="A164" s="13">
        <v>45778.0</v>
      </c>
      <c r="B164" s="12">
        <v>1000.0</v>
      </c>
      <c r="C164" s="7">
        <f t="shared" ref="C164:M164" si="162">$B164*C$2</f>
        <v>50</v>
      </c>
      <c r="D164" s="7">
        <f t="shared" si="162"/>
        <v>100</v>
      </c>
      <c r="E164" s="7">
        <f t="shared" si="162"/>
        <v>150</v>
      </c>
      <c r="F164" s="7">
        <f t="shared" si="162"/>
        <v>200</v>
      </c>
      <c r="G164" s="7">
        <f t="shared" si="162"/>
        <v>300</v>
      </c>
      <c r="H164" s="7">
        <f t="shared" si="162"/>
        <v>400</v>
      </c>
      <c r="I164" s="7">
        <f t="shared" si="162"/>
        <v>500</v>
      </c>
      <c r="J164" s="7">
        <f t="shared" si="162"/>
        <v>600</v>
      </c>
      <c r="K164" s="7">
        <f t="shared" si="162"/>
        <v>700</v>
      </c>
      <c r="L164" s="7">
        <f t="shared" si="162"/>
        <v>800</v>
      </c>
      <c r="M164" s="7">
        <f t="shared" si="162"/>
        <v>900</v>
      </c>
      <c r="N164" s="10"/>
    </row>
    <row r="165">
      <c r="A165" s="13">
        <v>45809.0</v>
      </c>
      <c r="B165" s="12">
        <v>1000.0</v>
      </c>
      <c r="C165" s="7">
        <f t="shared" ref="C165:M165" si="163">$B165*C$2</f>
        <v>50</v>
      </c>
      <c r="D165" s="7">
        <f t="shared" si="163"/>
        <v>100</v>
      </c>
      <c r="E165" s="7">
        <f t="shared" si="163"/>
        <v>150</v>
      </c>
      <c r="F165" s="7">
        <f t="shared" si="163"/>
        <v>200</v>
      </c>
      <c r="G165" s="7">
        <f t="shared" si="163"/>
        <v>300</v>
      </c>
      <c r="H165" s="7">
        <f t="shared" si="163"/>
        <v>400</v>
      </c>
      <c r="I165" s="7">
        <f t="shared" si="163"/>
        <v>500</v>
      </c>
      <c r="J165" s="7">
        <f t="shared" si="163"/>
        <v>600</v>
      </c>
      <c r="K165" s="7">
        <f t="shared" si="163"/>
        <v>700</v>
      </c>
      <c r="L165" s="7">
        <f t="shared" si="163"/>
        <v>800</v>
      </c>
      <c r="M165" s="7">
        <f t="shared" si="163"/>
        <v>900</v>
      </c>
      <c r="N165" s="10"/>
    </row>
    <row r="166">
      <c r="A166" s="13">
        <v>45839.0</v>
      </c>
      <c r="B166" s="12">
        <v>1000.0</v>
      </c>
      <c r="C166" s="7">
        <f t="shared" ref="C166:M166" si="164">$B166*C$2</f>
        <v>50</v>
      </c>
      <c r="D166" s="7">
        <f t="shared" si="164"/>
        <v>100</v>
      </c>
      <c r="E166" s="7">
        <f t="shared" si="164"/>
        <v>150</v>
      </c>
      <c r="F166" s="7">
        <f t="shared" si="164"/>
        <v>200</v>
      </c>
      <c r="G166" s="7">
        <f t="shared" si="164"/>
        <v>300</v>
      </c>
      <c r="H166" s="7">
        <f t="shared" si="164"/>
        <v>400</v>
      </c>
      <c r="I166" s="7">
        <f t="shared" si="164"/>
        <v>500</v>
      </c>
      <c r="J166" s="7">
        <f t="shared" si="164"/>
        <v>600</v>
      </c>
      <c r="K166" s="7">
        <f t="shared" si="164"/>
        <v>700</v>
      </c>
      <c r="L166" s="7">
        <f t="shared" si="164"/>
        <v>800</v>
      </c>
      <c r="M166" s="7">
        <f t="shared" si="164"/>
        <v>900</v>
      </c>
      <c r="N166" s="10"/>
    </row>
    <row r="167">
      <c r="A167" s="13">
        <v>45870.0</v>
      </c>
      <c r="B167" s="12">
        <v>1000.0</v>
      </c>
      <c r="C167" s="7">
        <f t="shared" ref="C167:M167" si="165">$B167*C$2</f>
        <v>50</v>
      </c>
      <c r="D167" s="7">
        <f t="shared" si="165"/>
        <v>100</v>
      </c>
      <c r="E167" s="7">
        <f t="shared" si="165"/>
        <v>150</v>
      </c>
      <c r="F167" s="7">
        <f t="shared" si="165"/>
        <v>200</v>
      </c>
      <c r="G167" s="7">
        <f t="shared" si="165"/>
        <v>300</v>
      </c>
      <c r="H167" s="7">
        <f t="shared" si="165"/>
        <v>400</v>
      </c>
      <c r="I167" s="7">
        <f t="shared" si="165"/>
        <v>500</v>
      </c>
      <c r="J167" s="7">
        <f t="shared" si="165"/>
        <v>600</v>
      </c>
      <c r="K167" s="7">
        <f t="shared" si="165"/>
        <v>700</v>
      </c>
      <c r="L167" s="7">
        <f t="shared" si="165"/>
        <v>800</v>
      </c>
      <c r="M167" s="7">
        <f t="shared" si="165"/>
        <v>900</v>
      </c>
      <c r="N167" s="10"/>
    </row>
    <row r="168">
      <c r="A168" s="13">
        <v>45901.0</v>
      </c>
      <c r="B168" s="12">
        <v>1000.0</v>
      </c>
      <c r="C168" s="7">
        <f t="shared" ref="C168:M168" si="166">$B168*C$2</f>
        <v>50</v>
      </c>
      <c r="D168" s="7">
        <f t="shared" si="166"/>
        <v>100</v>
      </c>
      <c r="E168" s="7">
        <f t="shared" si="166"/>
        <v>150</v>
      </c>
      <c r="F168" s="7">
        <f t="shared" si="166"/>
        <v>200</v>
      </c>
      <c r="G168" s="7">
        <f t="shared" si="166"/>
        <v>300</v>
      </c>
      <c r="H168" s="7">
        <f t="shared" si="166"/>
        <v>400</v>
      </c>
      <c r="I168" s="7">
        <f t="shared" si="166"/>
        <v>500</v>
      </c>
      <c r="J168" s="7">
        <f t="shared" si="166"/>
        <v>600</v>
      </c>
      <c r="K168" s="7">
        <f t="shared" si="166"/>
        <v>700</v>
      </c>
      <c r="L168" s="7">
        <f t="shared" si="166"/>
        <v>800</v>
      </c>
      <c r="M168" s="7">
        <f t="shared" si="166"/>
        <v>900</v>
      </c>
      <c r="N168" s="10"/>
    </row>
    <row r="169">
      <c r="A169" s="13">
        <v>45931.0</v>
      </c>
      <c r="B169" s="12">
        <v>1000.0</v>
      </c>
      <c r="C169" s="7">
        <f t="shared" ref="C169:M169" si="167">$B169*C$2</f>
        <v>50</v>
      </c>
      <c r="D169" s="7">
        <f t="shared" si="167"/>
        <v>100</v>
      </c>
      <c r="E169" s="7">
        <f t="shared" si="167"/>
        <v>150</v>
      </c>
      <c r="F169" s="7">
        <f t="shared" si="167"/>
        <v>200</v>
      </c>
      <c r="G169" s="7">
        <f t="shared" si="167"/>
        <v>300</v>
      </c>
      <c r="H169" s="7">
        <f t="shared" si="167"/>
        <v>400</v>
      </c>
      <c r="I169" s="7">
        <f t="shared" si="167"/>
        <v>500</v>
      </c>
      <c r="J169" s="7">
        <f t="shared" si="167"/>
        <v>600</v>
      </c>
      <c r="K169" s="7">
        <f t="shared" si="167"/>
        <v>700</v>
      </c>
      <c r="L169" s="7">
        <f t="shared" si="167"/>
        <v>800</v>
      </c>
      <c r="M169" s="7">
        <f t="shared" si="167"/>
        <v>900</v>
      </c>
      <c r="N169" s="10"/>
    </row>
    <row r="170">
      <c r="A170" s="13">
        <v>45962.0</v>
      </c>
      <c r="B170" s="12">
        <v>1000.0</v>
      </c>
      <c r="C170" s="7">
        <f t="shared" ref="C170:M170" si="168">$B170*C$2</f>
        <v>50</v>
      </c>
      <c r="D170" s="7">
        <f t="shared" si="168"/>
        <v>100</v>
      </c>
      <c r="E170" s="7">
        <f t="shared" si="168"/>
        <v>150</v>
      </c>
      <c r="F170" s="7">
        <f t="shared" si="168"/>
        <v>200</v>
      </c>
      <c r="G170" s="7">
        <f t="shared" si="168"/>
        <v>300</v>
      </c>
      <c r="H170" s="7">
        <f t="shared" si="168"/>
        <v>400</v>
      </c>
      <c r="I170" s="7">
        <f t="shared" si="168"/>
        <v>500</v>
      </c>
      <c r="J170" s="7">
        <f t="shared" si="168"/>
        <v>600</v>
      </c>
      <c r="K170" s="7">
        <f t="shared" si="168"/>
        <v>700</v>
      </c>
      <c r="L170" s="7">
        <f t="shared" si="168"/>
        <v>800</v>
      </c>
      <c r="M170" s="7">
        <f t="shared" si="168"/>
        <v>900</v>
      </c>
      <c r="N170" s="10"/>
    </row>
    <row r="171">
      <c r="A171" s="14">
        <v>45992.0</v>
      </c>
      <c r="B171" s="12">
        <v>1000.0</v>
      </c>
      <c r="C171" s="7">
        <f t="shared" ref="C171:M171" si="169">$B171*C$2</f>
        <v>50</v>
      </c>
      <c r="D171" s="7">
        <f t="shared" si="169"/>
        <v>100</v>
      </c>
      <c r="E171" s="7">
        <f t="shared" si="169"/>
        <v>150</v>
      </c>
      <c r="F171" s="7">
        <f t="shared" si="169"/>
        <v>200</v>
      </c>
      <c r="G171" s="7">
        <f t="shared" si="169"/>
        <v>300</v>
      </c>
      <c r="H171" s="7">
        <f t="shared" si="169"/>
        <v>400</v>
      </c>
      <c r="I171" s="7">
        <f t="shared" si="169"/>
        <v>500</v>
      </c>
      <c r="J171" s="7">
        <f t="shared" si="169"/>
        <v>600</v>
      </c>
      <c r="K171" s="7">
        <f t="shared" si="169"/>
        <v>700</v>
      </c>
      <c r="L171" s="7">
        <f t="shared" si="169"/>
        <v>800</v>
      </c>
      <c r="M171" s="7">
        <f t="shared" si="169"/>
        <v>900</v>
      </c>
      <c r="N171" s="10"/>
    </row>
    <row r="172">
      <c r="A172" s="15">
        <v>46023.0</v>
      </c>
      <c r="B172" s="12">
        <v>1000.0</v>
      </c>
      <c r="C172" s="7">
        <f t="shared" ref="C172:M172" si="170">$B172*C$2</f>
        <v>50</v>
      </c>
      <c r="D172" s="7">
        <f t="shared" si="170"/>
        <v>100</v>
      </c>
      <c r="E172" s="7">
        <f t="shared" si="170"/>
        <v>150</v>
      </c>
      <c r="F172" s="7">
        <f t="shared" si="170"/>
        <v>200</v>
      </c>
      <c r="G172" s="7">
        <f t="shared" si="170"/>
        <v>300</v>
      </c>
      <c r="H172" s="7">
        <f t="shared" si="170"/>
        <v>400</v>
      </c>
      <c r="I172" s="7">
        <f t="shared" si="170"/>
        <v>500</v>
      </c>
      <c r="J172" s="7">
        <f t="shared" si="170"/>
        <v>600</v>
      </c>
      <c r="K172" s="7">
        <f t="shared" si="170"/>
        <v>700</v>
      </c>
      <c r="L172" s="7">
        <f t="shared" si="170"/>
        <v>800</v>
      </c>
      <c r="M172" s="7">
        <f t="shared" si="170"/>
        <v>900</v>
      </c>
      <c r="N172" s="10"/>
    </row>
    <row r="173">
      <c r="A173" s="13">
        <v>46054.0</v>
      </c>
      <c r="B173" s="12">
        <v>1000.0</v>
      </c>
      <c r="C173" s="7">
        <f t="shared" ref="C173:M173" si="171">$B173*C$2</f>
        <v>50</v>
      </c>
      <c r="D173" s="7">
        <f t="shared" si="171"/>
        <v>100</v>
      </c>
      <c r="E173" s="7">
        <f t="shared" si="171"/>
        <v>150</v>
      </c>
      <c r="F173" s="7">
        <f t="shared" si="171"/>
        <v>200</v>
      </c>
      <c r="G173" s="7">
        <f t="shared" si="171"/>
        <v>300</v>
      </c>
      <c r="H173" s="7">
        <f t="shared" si="171"/>
        <v>400</v>
      </c>
      <c r="I173" s="7">
        <f t="shared" si="171"/>
        <v>500</v>
      </c>
      <c r="J173" s="7">
        <f t="shared" si="171"/>
        <v>600</v>
      </c>
      <c r="K173" s="7">
        <f t="shared" si="171"/>
        <v>700</v>
      </c>
      <c r="L173" s="7">
        <f t="shared" si="171"/>
        <v>800</v>
      </c>
      <c r="M173" s="7">
        <f t="shared" si="171"/>
        <v>900</v>
      </c>
      <c r="N173" s="10"/>
    </row>
    <row r="174">
      <c r="A174" s="13">
        <v>46082.0</v>
      </c>
      <c r="B174" s="12">
        <v>1000.0</v>
      </c>
      <c r="C174" s="7">
        <f t="shared" ref="C174:M174" si="172">$B174*C$2</f>
        <v>50</v>
      </c>
      <c r="D174" s="7">
        <f t="shared" si="172"/>
        <v>100</v>
      </c>
      <c r="E174" s="7">
        <f t="shared" si="172"/>
        <v>150</v>
      </c>
      <c r="F174" s="7">
        <f t="shared" si="172"/>
        <v>200</v>
      </c>
      <c r="G174" s="7">
        <f t="shared" si="172"/>
        <v>300</v>
      </c>
      <c r="H174" s="7">
        <f t="shared" si="172"/>
        <v>400</v>
      </c>
      <c r="I174" s="7">
        <f t="shared" si="172"/>
        <v>500</v>
      </c>
      <c r="J174" s="7">
        <f t="shared" si="172"/>
        <v>600</v>
      </c>
      <c r="K174" s="7">
        <f t="shared" si="172"/>
        <v>700</v>
      </c>
      <c r="L174" s="7">
        <f t="shared" si="172"/>
        <v>800</v>
      </c>
      <c r="M174" s="7">
        <f t="shared" si="172"/>
        <v>900</v>
      </c>
      <c r="N174" s="10"/>
    </row>
    <row r="175">
      <c r="A175" s="13">
        <v>46113.0</v>
      </c>
      <c r="B175" s="12">
        <v>1000.0</v>
      </c>
      <c r="C175" s="7">
        <f t="shared" ref="C175:M175" si="173">$B175*C$2</f>
        <v>50</v>
      </c>
      <c r="D175" s="7">
        <f t="shared" si="173"/>
        <v>100</v>
      </c>
      <c r="E175" s="7">
        <f t="shared" si="173"/>
        <v>150</v>
      </c>
      <c r="F175" s="7">
        <f t="shared" si="173"/>
        <v>200</v>
      </c>
      <c r="G175" s="7">
        <f t="shared" si="173"/>
        <v>300</v>
      </c>
      <c r="H175" s="7">
        <f t="shared" si="173"/>
        <v>400</v>
      </c>
      <c r="I175" s="7">
        <f t="shared" si="173"/>
        <v>500</v>
      </c>
      <c r="J175" s="7">
        <f t="shared" si="173"/>
        <v>600</v>
      </c>
      <c r="K175" s="7">
        <f t="shared" si="173"/>
        <v>700</v>
      </c>
      <c r="L175" s="7">
        <f t="shared" si="173"/>
        <v>800</v>
      </c>
      <c r="M175" s="7">
        <f t="shared" si="173"/>
        <v>900</v>
      </c>
      <c r="N175" s="10"/>
    </row>
    <row r="176">
      <c r="A176" s="13">
        <v>46143.0</v>
      </c>
      <c r="B176" s="12">
        <v>1000.0</v>
      </c>
      <c r="C176" s="7">
        <f t="shared" ref="C176:M176" si="174">$B176*C$2</f>
        <v>50</v>
      </c>
      <c r="D176" s="7">
        <f t="shared" si="174"/>
        <v>100</v>
      </c>
      <c r="E176" s="7">
        <f t="shared" si="174"/>
        <v>150</v>
      </c>
      <c r="F176" s="7">
        <f t="shared" si="174"/>
        <v>200</v>
      </c>
      <c r="G176" s="7">
        <f t="shared" si="174"/>
        <v>300</v>
      </c>
      <c r="H176" s="7">
        <f t="shared" si="174"/>
        <v>400</v>
      </c>
      <c r="I176" s="7">
        <f t="shared" si="174"/>
        <v>500</v>
      </c>
      <c r="J176" s="7">
        <f t="shared" si="174"/>
        <v>600</v>
      </c>
      <c r="K176" s="7">
        <f t="shared" si="174"/>
        <v>700</v>
      </c>
      <c r="L176" s="7">
        <f t="shared" si="174"/>
        <v>800</v>
      </c>
      <c r="M176" s="7">
        <f t="shared" si="174"/>
        <v>900</v>
      </c>
      <c r="N176" s="10"/>
    </row>
    <row r="177">
      <c r="A177" s="13">
        <v>46174.0</v>
      </c>
      <c r="B177" s="12">
        <v>1000.0</v>
      </c>
      <c r="C177" s="7">
        <f t="shared" ref="C177:M177" si="175">$B177*C$2</f>
        <v>50</v>
      </c>
      <c r="D177" s="7">
        <f t="shared" si="175"/>
        <v>100</v>
      </c>
      <c r="E177" s="7">
        <f t="shared" si="175"/>
        <v>150</v>
      </c>
      <c r="F177" s="7">
        <f t="shared" si="175"/>
        <v>200</v>
      </c>
      <c r="G177" s="7">
        <f t="shared" si="175"/>
        <v>300</v>
      </c>
      <c r="H177" s="7">
        <f t="shared" si="175"/>
        <v>400</v>
      </c>
      <c r="I177" s="7">
        <f t="shared" si="175"/>
        <v>500</v>
      </c>
      <c r="J177" s="7">
        <f t="shared" si="175"/>
        <v>600</v>
      </c>
      <c r="K177" s="7">
        <f t="shared" si="175"/>
        <v>700</v>
      </c>
      <c r="L177" s="7">
        <f t="shared" si="175"/>
        <v>800</v>
      </c>
      <c r="M177" s="7">
        <f t="shared" si="175"/>
        <v>900</v>
      </c>
      <c r="N177" s="10"/>
    </row>
    <row r="178">
      <c r="A178" s="13">
        <v>46204.0</v>
      </c>
      <c r="B178" s="12">
        <v>1000.0</v>
      </c>
      <c r="C178" s="7">
        <f t="shared" ref="C178:M178" si="176">$B178*C$2</f>
        <v>50</v>
      </c>
      <c r="D178" s="7">
        <f t="shared" si="176"/>
        <v>100</v>
      </c>
      <c r="E178" s="7">
        <f t="shared" si="176"/>
        <v>150</v>
      </c>
      <c r="F178" s="7">
        <f t="shared" si="176"/>
        <v>200</v>
      </c>
      <c r="G178" s="7">
        <f t="shared" si="176"/>
        <v>300</v>
      </c>
      <c r="H178" s="7">
        <f t="shared" si="176"/>
        <v>400</v>
      </c>
      <c r="I178" s="7">
        <f t="shared" si="176"/>
        <v>500</v>
      </c>
      <c r="J178" s="7">
        <f t="shared" si="176"/>
        <v>600</v>
      </c>
      <c r="K178" s="7">
        <f t="shared" si="176"/>
        <v>700</v>
      </c>
      <c r="L178" s="7">
        <f t="shared" si="176"/>
        <v>800</v>
      </c>
      <c r="M178" s="7">
        <f t="shared" si="176"/>
        <v>900</v>
      </c>
      <c r="N178" s="10"/>
    </row>
    <row r="179">
      <c r="A179" s="13">
        <v>46235.0</v>
      </c>
      <c r="B179" s="12">
        <v>1000.0</v>
      </c>
      <c r="C179" s="7">
        <f t="shared" ref="C179:M179" si="177">$B179*C$2</f>
        <v>50</v>
      </c>
      <c r="D179" s="7">
        <f t="shared" si="177"/>
        <v>100</v>
      </c>
      <c r="E179" s="7">
        <f t="shared" si="177"/>
        <v>150</v>
      </c>
      <c r="F179" s="7">
        <f t="shared" si="177"/>
        <v>200</v>
      </c>
      <c r="G179" s="7">
        <f t="shared" si="177"/>
        <v>300</v>
      </c>
      <c r="H179" s="7">
        <f t="shared" si="177"/>
        <v>400</v>
      </c>
      <c r="I179" s="7">
        <f t="shared" si="177"/>
        <v>500</v>
      </c>
      <c r="J179" s="7">
        <f t="shared" si="177"/>
        <v>600</v>
      </c>
      <c r="K179" s="7">
        <f t="shared" si="177"/>
        <v>700</v>
      </c>
      <c r="L179" s="7">
        <f t="shared" si="177"/>
        <v>800</v>
      </c>
      <c r="M179" s="7">
        <f t="shared" si="177"/>
        <v>900</v>
      </c>
      <c r="N179" s="10"/>
    </row>
    <row r="180">
      <c r="A180" s="13">
        <v>46266.0</v>
      </c>
      <c r="B180" s="12">
        <v>1000.0</v>
      </c>
      <c r="C180" s="7">
        <f t="shared" ref="C180:M180" si="178">$B180*C$2</f>
        <v>50</v>
      </c>
      <c r="D180" s="7">
        <f t="shared" si="178"/>
        <v>100</v>
      </c>
      <c r="E180" s="7">
        <f t="shared" si="178"/>
        <v>150</v>
      </c>
      <c r="F180" s="7">
        <f t="shared" si="178"/>
        <v>200</v>
      </c>
      <c r="G180" s="7">
        <f t="shared" si="178"/>
        <v>300</v>
      </c>
      <c r="H180" s="7">
        <f t="shared" si="178"/>
        <v>400</v>
      </c>
      <c r="I180" s="7">
        <f t="shared" si="178"/>
        <v>500</v>
      </c>
      <c r="J180" s="7">
        <f t="shared" si="178"/>
        <v>600</v>
      </c>
      <c r="K180" s="7">
        <f t="shared" si="178"/>
        <v>700</v>
      </c>
      <c r="L180" s="7">
        <f t="shared" si="178"/>
        <v>800</v>
      </c>
      <c r="M180" s="7">
        <f t="shared" si="178"/>
        <v>900</v>
      </c>
      <c r="N180" s="10"/>
    </row>
    <row r="181">
      <c r="A181" s="13">
        <v>46296.0</v>
      </c>
      <c r="B181" s="12">
        <v>1000.0</v>
      </c>
      <c r="C181" s="7">
        <f t="shared" ref="C181:M181" si="179">$B181*C$2</f>
        <v>50</v>
      </c>
      <c r="D181" s="7">
        <f t="shared" si="179"/>
        <v>100</v>
      </c>
      <c r="E181" s="7">
        <f t="shared" si="179"/>
        <v>150</v>
      </c>
      <c r="F181" s="7">
        <f t="shared" si="179"/>
        <v>200</v>
      </c>
      <c r="G181" s="7">
        <f t="shared" si="179"/>
        <v>300</v>
      </c>
      <c r="H181" s="7">
        <f t="shared" si="179"/>
        <v>400</v>
      </c>
      <c r="I181" s="7">
        <f t="shared" si="179"/>
        <v>500</v>
      </c>
      <c r="J181" s="7">
        <f t="shared" si="179"/>
        <v>600</v>
      </c>
      <c r="K181" s="7">
        <f t="shared" si="179"/>
        <v>700</v>
      </c>
      <c r="L181" s="7">
        <f t="shared" si="179"/>
        <v>800</v>
      </c>
      <c r="M181" s="7">
        <f t="shared" si="179"/>
        <v>900</v>
      </c>
      <c r="N181" s="10"/>
    </row>
    <row r="182">
      <c r="A182" s="13">
        <v>46327.0</v>
      </c>
      <c r="B182" s="12">
        <v>1000.0</v>
      </c>
      <c r="C182" s="7">
        <f t="shared" ref="C182:M182" si="180">$B182*C$2</f>
        <v>50</v>
      </c>
      <c r="D182" s="7">
        <f t="shared" si="180"/>
        <v>100</v>
      </c>
      <c r="E182" s="7">
        <f t="shared" si="180"/>
        <v>150</v>
      </c>
      <c r="F182" s="7">
        <f t="shared" si="180"/>
        <v>200</v>
      </c>
      <c r="G182" s="7">
        <f t="shared" si="180"/>
        <v>300</v>
      </c>
      <c r="H182" s="7">
        <f t="shared" si="180"/>
        <v>400</v>
      </c>
      <c r="I182" s="7">
        <f t="shared" si="180"/>
        <v>500</v>
      </c>
      <c r="J182" s="7">
        <f t="shared" si="180"/>
        <v>600</v>
      </c>
      <c r="K182" s="7">
        <f t="shared" si="180"/>
        <v>700</v>
      </c>
      <c r="L182" s="7">
        <f t="shared" si="180"/>
        <v>800</v>
      </c>
      <c r="M182" s="7">
        <f t="shared" si="180"/>
        <v>900</v>
      </c>
      <c r="N182" s="10"/>
    </row>
    <row r="183">
      <c r="A183" s="14">
        <v>46357.0</v>
      </c>
      <c r="B183" s="12">
        <v>1000.0</v>
      </c>
      <c r="C183" s="7">
        <f t="shared" ref="C183:M183" si="181">$B183*C$2</f>
        <v>50</v>
      </c>
      <c r="D183" s="7">
        <f t="shared" si="181"/>
        <v>100</v>
      </c>
      <c r="E183" s="7">
        <f t="shared" si="181"/>
        <v>150</v>
      </c>
      <c r="F183" s="7">
        <f t="shared" si="181"/>
        <v>200</v>
      </c>
      <c r="G183" s="7">
        <f t="shared" si="181"/>
        <v>300</v>
      </c>
      <c r="H183" s="7">
        <f t="shared" si="181"/>
        <v>400</v>
      </c>
      <c r="I183" s="7">
        <f t="shared" si="181"/>
        <v>500</v>
      </c>
      <c r="J183" s="7">
        <f t="shared" si="181"/>
        <v>600</v>
      </c>
      <c r="K183" s="7">
        <f t="shared" si="181"/>
        <v>700</v>
      </c>
      <c r="L183" s="7">
        <f t="shared" si="181"/>
        <v>800</v>
      </c>
      <c r="M183" s="7">
        <f t="shared" si="181"/>
        <v>900</v>
      </c>
      <c r="N183" s="10"/>
    </row>
    <row r="184">
      <c r="A184" s="13">
        <v>46388.0</v>
      </c>
      <c r="B184" s="12">
        <v>1000.0</v>
      </c>
      <c r="C184" s="7">
        <f t="shared" ref="C184:M184" si="182">$B184*C$2</f>
        <v>50</v>
      </c>
      <c r="D184" s="7">
        <f t="shared" si="182"/>
        <v>100</v>
      </c>
      <c r="E184" s="7">
        <f t="shared" si="182"/>
        <v>150</v>
      </c>
      <c r="F184" s="7">
        <f t="shared" si="182"/>
        <v>200</v>
      </c>
      <c r="G184" s="7">
        <f t="shared" si="182"/>
        <v>300</v>
      </c>
      <c r="H184" s="7">
        <f t="shared" si="182"/>
        <v>400</v>
      </c>
      <c r="I184" s="7">
        <f t="shared" si="182"/>
        <v>500</v>
      </c>
      <c r="J184" s="7">
        <f t="shared" si="182"/>
        <v>600</v>
      </c>
      <c r="K184" s="7">
        <f t="shared" si="182"/>
        <v>700</v>
      </c>
      <c r="L184" s="7">
        <f t="shared" si="182"/>
        <v>800</v>
      </c>
      <c r="M184" s="7">
        <f t="shared" si="182"/>
        <v>900</v>
      </c>
      <c r="N184" s="10"/>
    </row>
    <row r="185">
      <c r="A185" s="13">
        <v>46419.0</v>
      </c>
      <c r="B185" s="12">
        <v>1000.0</v>
      </c>
      <c r="C185" s="7">
        <f t="shared" ref="C185:M185" si="183">$B185*C$2</f>
        <v>50</v>
      </c>
      <c r="D185" s="7">
        <f t="shared" si="183"/>
        <v>100</v>
      </c>
      <c r="E185" s="7">
        <f t="shared" si="183"/>
        <v>150</v>
      </c>
      <c r="F185" s="7">
        <f t="shared" si="183"/>
        <v>200</v>
      </c>
      <c r="G185" s="7">
        <f t="shared" si="183"/>
        <v>300</v>
      </c>
      <c r="H185" s="7">
        <f t="shared" si="183"/>
        <v>400</v>
      </c>
      <c r="I185" s="7">
        <f t="shared" si="183"/>
        <v>500</v>
      </c>
      <c r="J185" s="7">
        <f t="shared" si="183"/>
        <v>600</v>
      </c>
      <c r="K185" s="7">
        <f t="shared" si="183"/>
        <v>700</v>
      </c>
      <c r="L185" s="7">
        <f t="shared" si="183"/>
        <v>800</v>
      </c>
      <c r="M185" s="7">
        <f t="shared" si="183"/>
        <v>900</v>
      </c>
      <c r="N185" s="10"/>
    </row>
    <row r="186">
      <c r="A186" s="13">
        <v>46447.0</v>
      </c>
      <c r="B186" s="12">
        <v>1000.0</v>
      </c>
      <c r="C186" s="7">
        <f t="shared" ref="C186:M186" si="184">$B186*C$2</f>
        <v>50</v>
      </c>
      <c r="D186" s="7">
        <f t="shared" si="184"/>
        <v>100</v>
      </c>
      <c r="E186" s="7">
        <f t="shared" si="184"/>
        <v>150</v>
      </c>
      <c r="F186" s="7">
        <f t="shared" si="184"/>
        <v>200</v>
      </c>
      <c r="G186" s="7">
        <f t="shared" si="184"/>
        <v>300</v>
      </c>
      <c r="H186" s="7">
        <f t="shared" si="184"/>
        <v>400</v>
      </c>
      <c r="I186" s="7">
        <f t="shared" si="184"/>
        <v>500</v>
      </c>
      <c r="J186" s="7">
        <f t="shared" si="184"/>
        <v>600</v>
      </c>
      <c r="K186" s="7">
        <f t="shared" si="184"/>
        <v>700</v>
      </c>
      <c r="L186" s="7">
        <f t="shared" si="184"/>
        <v>800</v>
      </c>
      <c r="M186" s="7">
        <f t="shared" si="184"/>
        <v>900</v>
      </c>
      <c r="N186" s="10"/>
    </row>
    <row r="187">
      <c r="A187" s="13">
        <v>46478.0</v>
      </c>
      <c r="B187" s="12">
        <v>1000.0</v>
      </c>
      <c r="C187" s="7">
        <f t="shared" ref="C187:M187" si="185">$B187*C$2</f>
        <v>50</v>
      </c>
      <c r="D187" s="7">
        <f t="shared" si="185"/>
        <v>100</v>
      </c>
      <c r="E187" s="7">
        <f t="shared" si="185"/>
        <v>150</v>
      </c>
      <c r="F187" s="7">
        <f t="shared" si="185"/>
        <v>200</v>
      </c>
      <c r="G187" s="7">
        <f t="shared" si="185"/>
        <v>300</v>
      </c>
      <c r="H187" s="7">
        <f t="shared" si="185"/>
        <v>400</v>
      </c>
      <c r="I187" s="7">
        <f t="shared" si="185"/>
        <v>500</v>
      </c>
      <c r="J187" s="7">
        <f t="shared" si="185"/>
        <v>600</v>
      </c>
      <c r="K187" s="7">
        <f t="shared" si="185"/>
        <v>700</v>
      </c>
      <c r="L187" s="7">
        <f t="shared" si="185"/>
        <v>800</v>
      </c>
      <c r="M187" s="7">
        <f t="shared" si="185"/>
        <v>900</v>
      </c>
      <c r="N187" s="10"/>
    </row>
    <row r="188">
      <c r="A188" s="13">
        <v>46508.0</v>
      </c>
      <c r="B188" s="12">
        <v>1000.0</v>
      </c>
      <c r="C188" s="7">
        <f t="shared" ref="C188:M188" si="186">$B188*C$2</f>
        <v>50</v>
      </c>
      <c r="D188" s="7">
        <f t="shared" si="186"/>
        <v>100</v>
      </c>
      <c r="E188" s="7">
        <f t="shared" si="186"/>
        <v>150</v>
      </c>
      <c r="F188" s="7">
        <f t="shared" si="186"/>
        <v>200</v>
      </c>
      <c r="G188" s="7">
        <f t="shared" si="186"/>
        <v>300</v>
      </c>
      <c r="H188" s="7">
        <f t="shared" si="186"/>
        <v>400</v>
      </c>
      <c r="I188" s="7">
        <f t="shared" si="186"/>
        <v>500</v>
      </c>
      <c r="J188" s="7">
        <f t="shared" si="186"/>
        <v>600</v>
      </c>
      <c r="K188" s="7">
        <f t="shared" si="186"/>
        <v>700</v>
      </c>
      <c r="L188" s="7">
        <f t="shared" si="186"/>
        <v>800</v>
      </c>
      <c r="M188" s="7">
        <f t="shared" si="186"/>
        <v>900</v>
      </c>
      <c r="N188" s="10"/>
    </row>
    <row r="189">
      <c r="A189" s="13">
        <v>46539.0</v>
      </c>
      <c r="B189" s="12">
        <v>1000.0</v>
      </c>
      <c r="C189" s="7">
        <f t="shared" ref="C189:M189" si="187">$B189*C$2</f>
        <v>50</v>
      </c>
      <c r="D189" s="7">
        <f t="shared" si="187"/>
        <v>100</v>
      </c>
      <c r="E189" s="7">
        <f t="shared" si="187"/>
        <v>150</v>
      </c>
      <c r="F189" s="7">
        <f t="shared" si="187"/>
        <v>200</v>
      </c>
      <c r="G189" s="7">
        <f t="shared" si="187"/>
        <v>300</v>
      </c>
      <c r="H189" s="7">
        <f t="shared" si="187"/>
        <v>400</v>
      </c>
      <c r="I189" s="7">
        <f t="shared" si="187"/>
        <v>500</v>
      </c>
      <c r="J189" s="7">
        <f t="shared" si="187"/>
        <v>600</v>
      </c>
      <c r="K189" s="7">
        <f t="shared" si="187"/>
        <v>700</v>
      </c>
      <c r="L189" s="7">
        <f t="shared" si="187"/>
        <v>800</v>
      </c>
      <c r="M189" s="7">
        <f t="shared" si="187"/>
        <v>900</v>
      </c>
      <c r="N189" s="10"/>
    </row>
    <row r="190">
      <c r="A190" s="13">
        <v>46569.0</v>
      </c>
      <c r="B190" s="12">
        <v>1000.0</v>
      </c>
      <c r="C190" s="7">
        <f t="shared" ref="C190:M190" si="188">$B190*C$2</f>
        <v>50</v>
      </c>
      <c r="D190" s="7">
        <f t="shared" si="188"/>
        <v>100</v>
      </c>
      <c r="E190" s="7">
        <f t="shared" si="188"/>
        <v>150</v>
      </c>
      <c r="F190" s="7">
        <f t="shared" si="188"/>
        <v>200</v>
      </c>
      <c r="G190" s="7">
        <f t="shared" si="188"/>
        <v>300</v>
      </c>
      <c r="H190" s="7">
        <f t="shared" si="188"/>
        <v>400</v>
      </c>
      <c r="I190" s="7">
        <f t="shared" si="188"/>
        <v>500</v>
      </c>
      <c r="J190" s="7">
        <f t="shared" si="188"/>
        <v>600</v>
      </c>
      <c r="K190" s="7">
        <f t="shared" si="188"/>
        <v>700</v>
      </c>
      <c r="L190" s="7">
        <f t="shared" si="188"/>
        <v>800</v>
      </c>
      <c r="M190" s="7">
        <f t="shared" si="188"/>
        <v>900</v>
      </c>
      <c r="N190" s="10"/>
    </row>
    <row r="191">
      <c r="A191" s="13">
        <v>46600.0</v>
      </c>
      <c r="B191" s="12">
        <v>1000.0</v>
      </c>
      <c r="C191" s="7">
        <f t="shared" ref="C191:M191" si="189">$B191*C$2</f>
        <v>50</v>
      </c>
      <c r="D191" s="7">
        <f t="shared" si="189"/>
        <v>100</v>
      </c>
      <c r="E191" s="7">
        <f t="shared" si="189"/>
        <v>150</v>
      </c>
      <c r="F191" s="7">
        <f t="shared" si="189"/>
        <v>200</v>
      </c>
      <c r="G191" s="7">
        <f t="shared" si="189"/>
        <v>300</v>
      </c>
      <c r="H191" s="7">
        <f t="shared" si="189"/>
        <v>400</v>
      </c>
      <c r="I191" s="7">
        <f t="shared" si="189"/>
        <v>500</v>
      </c>
      <c r="J191" s="7">
        <f t="shared" si="189"/>
        <v>600</v>
      </c>
      <c r="K191" s="7">
        <f t="shared" si="189"/>
        <v>700</v>
      </c>
      <c r="L191" s="7">
        <f t="shared" si="189"/>
        <v>800</v>
      </c>
      <c r="M191" s="7">
        <f t="shared" si="189"/>
        <v>900</v>
      </c>
      <c r="N191" s="10"/>
    </row>
    <row r="192">
      <c r="A192" s="13">
        <v>46631.0</v>
      </c>
      <c r="B192" s="12">
        <v>1000.0</v>
      </c>
      <c r="C192" s="7">
        <f t="shared" ref="C192:M192" si="190">$B192*C$2</f>
        <v>50</v>
      </c>
      <c r="D192" s="7">
        <f t="shared" si="190"/>
        <v>100</v>
      </c>
      <c r="E192" s="7">
        <f t="shared" si="190"/>
        <v>150</v>
      </c>
      <c r="F192" s="7">
        <f t="shared" si="190"/>
        <v>200</v>
      </c>
      <c r="G192" s="7">
        <f t="shared" si="190"/>
        <v>300</v>
      </c>
      <c r="H192" s="7">
        <f t="shared" si="190"/>
        <v>400</v>
      </c>
      <c r="I192" s="7">
        <f t="shared" si="190"/>
        <v>500</v>
      </c>
      <c r="J192" s="7">
        <f t="shared" si="190"/>
        <v>600</v>
      </c>
      <c r="K192" s="7">
        <f t="shared" si="190"/>
        <v>700</v>
      </c>
      <c r="L192" s="7">
        <f t="shared" si="190"/>
        <v>800</v>
      </c>
      <c r="M192" s="7">
        <f t="shared" si="190"/>
        <v>900</v>
      </c>
      <c r="N192" s="10"/>
    </row>
    <row r="193">
      <c r="A193" s="13">
        <v>46661.0</v>
      </c>
      <c r="B193" s="12">
        <v>1000.0</v>
      </c>
      <c r="C193" s="7">
        <f t="shared" ref="C193:M193" si="191">$B193*C$2</f>
        <v>50</v>
      </c>
      <c r="D193" s="7">
        <f t="shared" si="191"/>
        <v>100</v>
      </c>
      <c r="E193" s="7">
        <f t="shared" si="191"/>
        <v>150</v>
      </c>
      <c r="F193" s="7">
        <f t="shared" si="191"/>
        <v>200</v>
      </c>
      <c r="G193" s="7">
        <f t="shared" si="191"/>
        <v>300</v>
      </c>
      <c r="H193" s="7">
        <f t="shared" si="191"/>
        <v>400</v>
      </c>
      <c r="I193" s="7">
        <f t="shared" si="191"/>
        <v>500</v>
      </c>
      <c r="J193" s="7">
        <f t="shared" si="191"/>
        <v>600</v>
      </c>
      <c r="K193" s="7">
        <f t="shared" si="191"/>
        <v>700</v>
      </c>
      <c r="L193" s="7">
        <f t="shared" si="191"/>
        <v>800</v>
      </c>
      <c r="M193" s="7">
        <f t="shared" si="191"/>
        <v>900</v>
      </c>
      <c r="N193" s="10"/>
    </row>
    <row r="194">
      <c r="A194" s="13">
        <v>46692.0</v>
      </c>
      <c r="B194" s="12">
        <v>1000.0</v>
      </c>
      <c r="C194" s="7">
        <f t="shared" ref="C194:M194" si="192">$B194*C$2</f>
        <v>50</v>
      </c>
      <c r="D194" s="7">
        <f t="shared" si="192"/>
        <v>100</v>
      </c>
      <c r="E194" s="7">
        <f t="shared" si="192"/>
        <v>150</v>
      </c>
      <c r="F194" s="7">
        <f t="shared" si="192"/>
        <v>200</v>
      </c>
      <c r="G194" s="7">
        <f t="shared" si="192"/>
        <v>300</v>
      </c>
      <c r="H194" s="7">
        <f t="shared" si="192"/>
        <v>400</v>
      </c>
      <c r="I194" s="7">
        <f t="shared" si="192"/>
        <v>500</v>
      </c>
      <c r="J194" s="7">
        <f t="shared" si="192"/>
        <v>600</v>
      </c>
      <c r="K194" s="7">
        <f t="shared" si="192"/>
        <v>700</v>
      </c>
      <c r="L194" s="7">
        <f t="shared" si="192"/>
        <v>800</v>
      </c>
      <c r="M194" s="7">
        <f t="shared" si="192"/>
        <v>900</v>
      </c>
      <c r="N194" s="10"/>
    </row>
    <row r="195">
      <c r="A195" s="14">
        <v>46722.0</v>
      </c>
      <c r="B195" s="12">
        <v>1000.0</v>
      </c>
      <c r="C195" s="7">
        <f t="shared" ref="C195:M195" si="193">$B195*C$2</f>
        <v>50</v>
      </c>
      <c r="D195" s="7">
        <f t="shared" si="193"/>
        <v>100</v>
      </c>
      <c r="E195" s="7">
        <f t="shared" si="193"/>
        <v>150</v>
      </c>
      <c r="F195" s="7">
        <f t="shared" si="193"/>
        <v>200</v>
      </c>
      <c r="G195" s="7">
        <f t="shared" si="193"/>
        <v>300</v>
      </c>
      <c r="H195" s="7">
        <f t="shared" si="193"/>
        <v>400</v>
      </c>
      <c r="I195" s="7">
        <f t="shared" si="193"/>
        <v>500</v>
      </c>
      <c r="J195" s="7">
        <f t="shared" si="193"/>
        <v>600</v>
      </c>
      <c r="K195" s="7">
        <f t="shared" si="193"/>
        <v>700</v>
      </c>
      <c r="L195" s="7">
        <f t="shared" si="193"/>
        <v>800</v>
      </c>
      <c r="M195" s="7">
        <f t="shared" si="193"/>
        <v>900</v>
      </c>
      <c r="N195" s="10"/>
    </row>
    <row r="196">
      <c r="A196" s="13">
        <v>46753.0</v>
      </c>
      <c r="B196" s="12">
        <v>1000.0</v>
      </c>
      <c r="C196" s="7">
        <f t="shared" ref="C196:M196" si="194">$B196*C$2</f>
        <v>50</v>
      </c>
      <c r="D196" s="7">
        <f t="shared" si="194"/>
        <v>100</v>
      </c>
      <c r="E196" s="7">
        <f t="shared" si="194"/>
        <v>150</v>
      </c>
      <c r="F196" s="7">
        <f t="shared" si="194"/>
        <v>200</v>
      </c>
      <c r="G196" s="7">
        <f t="shared" si="194"/>
        <v>300</v>
      </c>
      <c r="H196" s="7">
        <f t="shared" si="194"/>
        <v>400</v>
      </c>
      <c r="I196" s="7">
        <f t="shared" si="194"/>
        <v>500</v>
      </c>
      <c r="J196" s="7">
        <f t="shared" si="194"/>
        <v>600</v>
      </c>
      <c r="K196" s="7">
        <f t="shared" si="194"/>
        <v>700</v>
      </c>
      <c r="L196" s="7">
        <f t="shared" si="194"/>
        <v>800</v>
      </c>
      <c r="M196" s="7">
        <f t="shared" si="194"/>
        <v>900</v>
      </c>
      <c r="N196" s="10"/>
    </row>
    <row r="197">
      <c r="A197" s="13">
        <v>46784.0</v>
      </c>
      <c r="B197" s="12">
        <v>1000.0</v>
      </c>
      <c r="C197" s="7">
        <f t="shared" ref="C197:M197" si="195">$B197*C$2</f>
        <v>50</v>
      </c>
      <c r="D197" s="7">
        <f t="shared" si="195"/>
        <v>100</v>
      </c>
      <c r="E197" s="7">
        <f t="shared" si="195"/>
        <v>150</v>
      </c>
      <c r="F197" s="7">
        <f t="shared" si="195"/>
        <v>200</v>
      </c>
      <c r="G197" s="7">
        <f t="shared" si="195"/>
        <v>300</v>
      </c>
      <c r="H197" s="7">
        <f t="shared" si="195"/>
        <v>400</v>
      </c>
      <c r="I197" s="7">
        <f t="shared" si="195"/>
        <v>500</v>
      </c>
      <c r="J197" s="7">
        <f t="shared" si="195"/>
        <v>600</v>
      </c>
      <c r="K197" s="7">
        <f t="shared" si="195"/>
        <v>700</v>
      </c>
      <c r="L197" s="7">
        <f t="shared" si="195"/>
        <v>800</v>
      </c>
      <c r="M197" s="7">
        <f t="shared" si="195"/>
        <v>900</v>
      </c>
      <c r="N197" s="10"/>
    </row>
    <row r="198">
      <c r="A198" s="13">
        <v>46813.0</v>
      </c>
      <c r="B198" s="12">
        <v>1000.0</v>
      </c>
      <c r="C198" s="7">
        <f t="shared" ref="C198:M198" si="196">$B198*C$2</f>
        <v>50</v>
      </c>
      <c r="D198" s="7">
        <f t="shared" si="196"/>
        <v>100</v>
      </c>
      <c r="E198" s="7">
        <f t="shared" si="196"/>
        <v>150</v>
      </c>
      <c r="F198" s="7">
        <f t="shared" si="196"/>
        <v>200</v>
      </c>
      <c r="G198" s="7">
        <f t="shared" si="196"/>
        <v>300</v>
      </c>
      <c r="H198" s="7">
        <f t="shared" si="196"/>
        <v>400</v>
      </c>
      <c r="I198" s="7">
        <f t="shared" si="196"/>
        <v>500</v>
      </c>
      <c r="J198" s="7">
        <f t="shared" si="196"/>
        <v>600</v>
      </c>
      <c r="K198" s="7">
        <f t="shared" si="196"/>
        <v>700</v>
      </c>
      <c r="L198" s="7">
        <f t="shared" si="196"/>
        <v>800</v>
      </c>
      <c r="M198" s="7">
        <f t="shared" si="196"/>
        <v>900</v>
      </c>
      <c r="N198" s="10"/>
    </row>
    <row r="199">
      <c r="A199" s="13">
        <v>46844.0</v>
      </c>
      <c r="B199" s="12">
        <v>1000.0</v>
      </c>
      <c r="C199" s="7">
        <f t="shared" ref="C199:M199" si="197">$B199*C$2</f>
        <v>50</v>
      </c>
      <c r="D199" s="7">
        <f t="shared" si="197"/>
        <v>100</v>
      </c>
      <c r="E199" s="7">
        <f t="shared" si="197"/>
        <v>150</v>
      </c>
      <c r="F199" s="7">
        <f t="shared" si="197"/>
        <v>200</v>
      </c>
      <c r="G199" s="7">
        <f t="shared" si="197"/>
        <v>300</v>
      </c>
      <c r="H199" s="7">
        <f t="shared" si="197"/>
        <v>400</v>
      </c>
      <c r="I199" s="7">
        <f t="shared" si="197"/>
        <v>500</v>
      </c>
      <c r="J199" s="7">
        <f t="shared" si="197"/>
        <v>600</v>
      </c>
      <c r="K199" s="7">
        <f t="shared" si="197"/>
        <v>700</v>
      </c>
      <c r="L199" s="7">
        <f t="shared" si="197"/>
        <v>800</v>
      </c>
      <c r="M199" s="7">
        <f t="shared" si="197"/>
        <v>900</v>
      </c>
      <c r="N199" s="10"/>
    </row>
    <row r="200">
      <c r="A200" s="13">
        <v>46874.0</v>
      </c>
      <c r="B200" s="12">
        <v>1000.0</v>
      </c>
      <c r="C200" s="7">
        <f t="shared" ref="C200:M200" si="198">$B200*C$2</f>
        <v>50</v>
      </c>
      <c r="D200" s="7">
        <f t="shared" si="198"/>
        <v>100</v>
      </c>
      <c r="E200" s="7">
        <f t="shared" si="198"/>
        <v>150</v>
      </c>
      <c r="F200" s="7">
        <f t="shared" si="198"/>
        <v>200</v>
      </c>
      <c r="G200" s="7">
        <f t="shared" si="198"/>
        <v>300</v>
      </c>
      <c r="H200" s="7">
        <f t="shared" si="198"/>
        <v>400</v>
      </c>
      <c r="I200" s="7">
        <f t="shared" si="198"/>
        <v>500</v>
      </c>
      <c r="J200" s="7">
        <f t="shared" si="198"/>
        <v>600</v>
      </c>
      <c r="K200" s="7">
        <f t="shared" si="198"/>
        <v>700</v>
      </c>
      <c r="L200" s="7">
        <f t="shared" si="198"/>
        <v>800</v>
      </c>
      <c r="M200" s="7">
        <f t="shared" si="198"/>
        <v>900</v>
      </c>
      <c r="N200" s="10"/>
    </row>
    <row r="201">
      <c r="A201" s="13">
        <v>46905.0</v>
      </c>
      <c r="B201" s="12">
        <v>1000.0</v>
      </c>
      <c r="C201" s="7">
        <f t="shared" ref="C201:M201" si="199">$B201*C$2</f>
        <v>50</v>
      </c>
      <c r="D201" s="7">
        <f t="shared" si="199"/>
        <v>100</v>
      </c>
      <c r="E201" s="7">
        <f t="shared" si="199"/>
        <v>150</v>
      </c>
      <c r="F201" s="7">
        <f t="shared" si="199"/>
        <v>200</v>
      </c>
      <c r="G201" s="7">
        <f t="shared" si="199"/>
        <v>300</v>
      </c>
      <c r="H201" s="7">
        <f t="shared" si="199"/>
        <v>400</v>
      </c>
      <c r="I201" s="7">
        <f t="shared" si="199"/>
        <v>500</v>
      </c>
      <c r="J201" s="7">
        <f t="shared" si="199"/>
        <v>600</v>
      </c>
      <c r="K201" s="7">
        <f t="shared" si="199"/>
        <v>700</v>
      </c>
      <c r="L201" s="7">
        <f t="shared" si="199"/>
        <v>800</v>
      </c>
      <c r="M201" s="7">
        <f t="shared" si="199"/>
        <v>900</v>
      </c>
      <c r="N201" s="10"/>
    </row>
    <row r="202">
      <c r="A202" s="13">
        <v>46935.0</v>
      </c>
      <c r="B202" s="12">
        <v>1000.0</v>
      </c>
      <c r="C202" s="7">
        <f t="shared" ref="C202:M202" si="200">$B202*C$2</f>
        <v>50</v>
      </c>
      <c r="D202" s="7">
        <f t="shared" si="200"/>
        <v>100</v>
      </c>
      <c r="E202" s="7">
        <f t="shared" si="200"/>
        <v>150</v>
      </c>
      <c r="F202" s="7">
        <f t="shared" si="200"/>
        <v>200</v>
      </c>
      <c r="G202" s="7">
        <f t="shared" si="200"/>
        <v>300</v>
      </c>
      <c r="H202" s="7">
        <f t="shared" si="200"/>
        <v>400</v>
      </c>
      <c r="I202" s="7">
        <f t="shared" si="200"/>
        <v>500</v>
      </c>
      <c r="J202" s="7">
        <f t="shared" si="200"/>
        <v>600</v>
      </c>
      <c r="K202" s="7">
        <f t="shared" si="200"/>
        <v>700</v>
      </c>
      <c r="L202" s="7">
        <f t="shared" si="200"/>
        <v>800</v>
      </c>
      <c r="M202" s="7">
        <f t="shared" si="200"/>
        <v>900</v>
      </c>
      <c r="N202" s="10"/>
    </row>
    <row r="203">
      <c r="A203" s="13">
        <v>46966.0</v>
      </c>
      <c r="B203" s="12">
        <v>1000.0</v>
      </c>
      <c r="C203" s="7">
        <f t="shared" ref="C203:M203" si="201">$B203*C$2</f>
        <v>50</v>
      </c>
      <c r="D203" s="7">
        <f t="shared" si="201"/>
        <v>100</v>
      </c>
      <c r="E203" s="7">
        <f t="shared" si="201"/>
        <v>150</v>
      </c>
      <c r="F203" s="7">
        <f t="shared" si="201"/>
        <v>200</v>
      </c>
      <c r="G203" s="7">
        <f t="shared" si="201"/>
        <v>300</v>
      </c>
      <c r="H203" s="7">
        <f t="shared" si="201"/>
        <v>400</v>
      </c>
      <c r="I203" s="7">
        <f t="shared" si="201"/>
        <v>500</v>
      </c>
      <c r="J203" s="7">
        <f t="shared" si="201"/>
        <v>600</v>
      </c>
      <c r="K203" s="7">
        <f t="shared" si="201"/>
        <v>700</v>
      </c>
      <c r="L203" s="7">
        <f t="shared" si="201"/>
        <v>800</v>
      </c>
      <c r="M203" s="7">
        <f t="shared" si="201"/>
        <v>900</v>
      </c>
      <c r="N203" s="10"/>
    </row>
    <row r="204">
      <c r="A204" s="13">
        <v>46997.0</v>
      </c>
      <c r="B204" s="12">
        <v>1000.0</v>
      </c>
      <c r="C204" s="7">
        <f t="shared" ref="C204:M204" si="202">$B204*C$2</f>
        <v>50</v>
      </c>
      <c r="D204" s="7">
        <f t="shared" si="202"/>
        <v>100</v>
      </c>
      <c r="E204" s="7">
        <f t="shared" si="202"/>
        <v>150</v>
      </c>
      <c r="F204" s="7">
        <f t="shared" si="202"/>
        <v>200</v>
      </c>
      <c r="G204" s="7">
        <f t="shared" si="202"/>
        <v>300</v>
      </c>
      <c r="H204" s="7">
        <f t="shared" si="202"/>
        <v>400</v>
      </c>
      <c r="I204" s="7">
        <f t="shared" si="202"/>
        <v>500</v>
      </c>
      <c r="J204" s="7">
        <f t="shared" si="202"/>
        <v>600</v>
      </c>
      <c r="K204" s="7">
        <f t="shared" si="202"/>
        <v>700</v>
      </c>
      <c r="L204" s="7">
        <f t="shared" si="202"/>
        <v>800</v>
      </c>
      <c r="M204" s="7">
        <f t="shared" si="202"/>
        <v>900</v>
      </c>
      <c r="N204" s="10"/>
    </row>
    <row r="205">
      <c r="A205" s="13">
        <v>47027.0</v>
      </c>
      <c r="B205" s="12">
        <v>1000.0</v>
      </c>
      <c r="C205" s="7">
        <f t="shared" ref="C205:M205" si="203">$B205*C$2</f>
        <v>50</v>
      </c>
      <c r="D205" s="7">
        <f t="shared" si="203"/>
        <v>100</v>
      </c>
      <c r="E205" s="7">
        <f t="shared" si="203"/>
        <v>150</v>
      </c>
      <c r="F205" s="7">
        <f t="shared" si="203"/>
        <v>200</v>
      </c>
      <c r="G205" s="7">
        <f t="shared" si="203"/>
        <v>300</v>
      </c>
      <c r="H205" s="7">
        <f t="shared" si="203"/>
        <v>400</v>
      </c>
      <c r="I205" s="7">
        <f t="shared" si="203"/>
        <v>500</v>
      </c>
      <c r="J205" s="7">
        <f t="shared" si="203"/>
        <v>600</v>
      </c>
      <c r="K205" s="7">
        <f t="shared" si="203"/>
        <v>700</v>
      </c>
      <c r="L205" s="7">
        <f t="shared" si="203"/>
        <v>800</v>
      </c>
      <c r="M205" s="7">
        <f t="shared" si="203"/>
        <v>900</v>
      </c>
      <c r="N205" s="10"/>
    </row>
    <row r="206">
      <c r="A206" s="13">
        <v>47058.0</v>
      </c>
      <c r="B206" s="12">
        <v>1000.0</v>
      </c>
      <c r="C206" s="7">
        <f t="shared" ref="C206:M206" si="204">$B206*C$2</f>
        <v>50</v>
      </c>
      <c r="D206" s="7">
        <f t="shared" si="204"/>
        <v>100</v>
      </c>
      <c r="E206" s="7">
        <f t="shared" si="204"/>
        <v>150</v>
      </c>
      <c r="F206" s="7">
        <f t="shared" si="204"/>
        <v>200</v>
      </c>
      <c r="G206" s="7">
        <f t="shared" si="204"/>
        <v>300</v>
      </c>
      <c r="H206" s="7">
        <f t="shared" si="204"/>
        <v>400</v>
      </c>
      <c r="I206" s="7">
        <f t="shared" si="204"/>
        <v>500</v>
      </c>
      <c r="J206" s="7">
        <f t="shared" si="204"/>
        <v>600</v>
      </c>
      <c r="K206" s="7">
        <f t="shared" si="204"/>
        <v>700</v>
      </c>
      <c r="L206" s="7">
        <f t="shared" si="204"/>
        <v>800</v>
      </c>
      <c r="M206" s="7">
        <f t="shared" si="204"/>
        <v>900</v>
      </c>
      <c r="N206" s="10"/>
    </row>
    <row r="207">
      <c r="A207" s="14">
        <v>47088.0</v>
      </c>
      <c r="B207" s="12">
        <v>1000.0</v>
      </c>
      <c r="C207" s="7">
        <f t="shared" ref="C207:M207" si="205">$B207*C$2</f>
        <v>50</v>
      </c>
      <c r="D207" s="7">
        <f t="shared" si="205"/>
        <v>100</v>
      </c>
      <c r="E207" s="7">
        <f t="shared" si="205"/>
        <v>150</v>
      </c>
      <c r="F207" s="7">
        <f t="shared" si="205"/>
        <v>200</v>
      </c>
      <c r="G207" s="7">
        <f t="shared" si="205"/>
        <v>300</v>
      </c>
      <c r="H207" s="7">
        <f t="shared" si="205"/>
        <v>400</v>
      </c>
      <c r="I207" s="7">
        <f t="shared" si="205"/>
        <v>500</v>
      </c>
      <c r="J207" s="7">
        <f t="shared" si="205"/>
        <v>600</v>
      </c>
      <c r="K207" s="7">
        <f t="shared" si="205"/>
        <v>700</v>
      </c>
      <c r="L207" s="7">
        <f t="shared" si="205"/>
        <v>800</v>
      </c>
      <c r="M207" s="7">
        <f t="shared" si="205"/>
        <v>900</v>
      </c>
      <c r="N207" s="10"/>
    </row>
    <row r="208">
      <c r="A208" s="13">
        <v>47119.0</v>
      </c>
      <c r="B208" s="12">
        <v>1000.0</v>
      </c>
      <c r="C208" s="7">
        <f t="shared" ref="C208:M208" si="206">$B208*C$2</f>
        <v>50</v>
      </c>
      <c r="D208" s="7">
        <f t="shared" si="206"/>
        <v>100</v>
      </c>
      <c r="E208" s="7">
        <f t="shared" si="206"/>
        <v>150</v>
      </c>
      <c r="F208" s="7">
        <f t="shared" si="206"/>
        <v>200</v>
      </c>
      <c r="G208" s="7">
        <f t="shared" si="206"/>
        <v>300</v>
      </c>
      <c r="H208" s="7">
        <f t="shared" si="206"/>
        <v>400</v>
      </c>
      <c r="I208" s="7">
        <f t="shared" si="206"/>
        <v>500</v>
      </c>
      <c r="J208" s="7">
        <f t="shared" si="206"/>
        <v>600</v>
      </c>
      <c r="K208" s="7">
        <f t="shared" si="206"/>
        <v>700</v>
      </c>
      <c r="L208" s="7">
        <f t="shared" si="206"/>
        <v>800</v>
      </c>
      <c r="M208" s="7">
        <f t="shared" si="206"/>
        <v>900</v>
      </c>
      <c r="N208" s="10"/>
    </row>
    <row r="209">
      <c r="A209" s="13">
        <v>47150.0</v>
      </c>
      <c r="B209" s="12">
        <v>1000.0</v>
      </c>
      <c r="C209" s="7">
        <f t="shared" ref="C209:M209" si="207">$B209*C$2</f>
        <v>50</v>
      </c>
      <c r="D209" s="7">
        <f t="shared" si="207"/>
        <v>100</v>
      </c>
      <c r="E209" s="7">
        <f t="shared" si="207"/>
        <v>150</v>
      </c>
      <c r="F209" s="7">
        <f t="shared" si="207"/>
        <v>200</v>
      </c>
      <c r="G209" s="7">
        <f t="shared" si="207"/>
        <v>300</v>
      </c>
      <c r="H209" s="7">
        <f t="shared" si="207"/>
        <v>400</v>
      </c>
      <c r="I209" s="7">
        <f t="shared" si="207"/>
        <v>500</v>
      </c>
      <c r="J209" s="7">
        <f t="shared" si="207"/>
        <v>600</v>
      </c>
      <c r="K209" s="7">
        <f t="shared" si="207"/>
        <v>700</v>
      </c>
      <c r="L209" s="7">
        <f t="shared" si="207"/>
        <v>800</v>
      </c>
      <c r="M209" s="7">
        <f t="shared" si="207"/>
        <v>900</v>
      </c>
      <c r="N209" s="10"/>
    </row>
    <row r="210">
      <c r="A210" s="13">
        <v>47178.0</v>
      </c>
      <c r="B210" s="12">
        <v>1000.0</v>
      </c>
      <c r="C210" s="7">
        <f t="shared" ref="C210:M210" si="208">$B210*C$2</f>
        <v>50</v>
      </c>
      <c r="D210" s="7">
        <f t="shared" si="208"/>
        <v>100</v>
      </c>
      <c r="E210" s="7">
        <f t="shared" si="208"/>
        <v>150</v>
      </c>
      <c r="F210" s="7">
        <f t="shared" si="208"/>
        <v>200</v>
      </c>
      <c r="G210" s="7">
        <f t="shared" si="208"/>
        <v>300</v>
      </c>
      <c r="H210" s="7">
        <f t="shared" si="208"/>
        <v>400</v>
      </c>
      <c r="I210" s="7">
        <f t="shared" si="208"/>
        <v>500</v>
      </c>
      <c r="J210" s="7">
        <f t="shared" si="208"/>
        <v>600</v>
      </c>
      <c r="K210" s="7">
        <f t="shared" si="208"/>
        <v>700</v>
      </c>
      <c r="L210" s="7">
        <f t="shared" si="208"/>
        <v>800</v>
      </c>
      <c r="M210" s="7">
        <f t="shared" si="208"/>
        <v>900</v>
      </c>
      <c r="N210" s="10"/>
    </row>
    <row r="211">
      <c r="A211" s="13">
        <v>47209.0</v>
      </c>
      <c r="B211" s="12">
        <v>1000.0</v>
      </c>
      <c r="C211" s="7">
        <f t="shared" ref="C211:M211" si="209">$B211*C$2</f>
        <v>50</v>
      </c>
      <c r="D211" s="7">
        <f t="shared" si="209"/>
        <v>100</v>
      </c>
      <c r="E211" s="7">
        <f t="shared" si="209"/>
        <v>150</v>
      </c>
      <c r="F211" s="7">
        <f t="shared" si="209"/>
        <v>200</v>
      </c>
      <c r="G211" s="7">
        <f t="shared" si="209"/>
        <v>300</v>
      </c>
      <c r="H211" s="7">
        <f t="shared" si="209"/>
        <v>400</v>
      </c>
      <c r="I211" s="7">
        <f t="shared" si="209"/>
        <v>500</v>
      </c>
      <c r="J211" s="7">
        <f t="shared" si="209"/>
        <v>600</v>
      </c>
      <c r="K211" s="7">
        <f t="shared" si="209"/>
        <v>700</v>
      </c>
      <c r="L211" s="7">
        <f t="shared" si="209"/>
        <v>800</v>
      </c>
      <c r="M211" s="7">
        <f t="shared" si="209"/>
        <v>900</v>
      </c>
      <c r="N211" s="10"/>
    </row>
    <row r="212">
      <c r="A212" s="13">
        <v>47239.0</v>
      </c>
      <c r="B212" s="12">
        <v>1000.0</v>
      </c>
      <c r="C212" s="7">
        <f t="shared" ref="C212:M212" si="210">$B212*C$2</f>
        <v>50</v>
      </c>
      <c r="D212" s="7">
        <f t="shared" si="210"/>
        <v>100</v>
      </c>
      <c r="E212" s="7">
        <f t="shared" si="210"/>
        <v>150</v>
      </c>
      <c r="F212" s="7">
        <f t="shared" si="210"/>
        <v>200</v>
      </c>
      <c r="G212" s="7">
        <f t="shared" si="210"/>
        <v>300</v>
      </c>
      <c r="H212" s="7">
        <f t="shared" si="210"/>
        <v>400</v>
      </c>
      <c r="I212" s="7">
        <f t="shared" si="210"/>
        <v>500</v>
      </c>
      <c r="J212" s="7">
        <f t="shared" si="210"/>
        <v>600</v>
      </c>
      <c r="K212" s="7">
        <f t="shared" si="210"/>
        <v>700</v>
      </c>
      <c r="L212" s="7">
        <f t="shared" si="210"/>
        <v>800</v>
      </c>
      <c r="M212" s="7">
        <f t="shared" si="210"/>
        <v>900</v>
      </c>
      <c r="N212" s="10"/>
    </row>
    <row r="213">
      <c r="A213" s="13">
        <v>47270.0</v>
      </c>
      <c r="B213" s="12">
        <v>1000.0</v>
      </c>
      <c r="C213" s="7">
        <f t="shared" ref="C213:M213" si="211">$B213*C$2</f>
        <v>50</v>
      </c>
      <c r="D213" s="7">
        <f t="shared" si="211"/>
        <v>100</v>
      </c>
      <c r="E213" s="7">
        <f t="shared" si="211"/>
        <v>150</v>
      </c>
      <c r="F213" s="7">
        <f t="shared" si="211"/>
        <v>200</v>
      </c>
      <c r="G213" s="7">
        <f t="shared" si="211"/>
        <v>300</v>
      </c>
      <c r="H213" s="7">
        <f t="shared" si="211"/>
        <v>400</v>
      </c>
      <c r="I213" s="7">
        <f t="shared" si="211"/>
        <v>500</v>
      </c>
      <c r="J213" s="7">
        <f t="shared" si="211"/>
        <v>600</v>
      </c>
      <c r="K213" s="7">
        <f t="shared" si="211"/>
        <v>700</v>
      </c>
      <c r="L213" s="7">
        <f t="shared" si="211"/>
        <v>800</v>
      </c>
      <c r="M213" s="7">
        <f t="shared" si="211"/>
        <v>900</v>
      </c>
      <c r="N213" s="10"/>
    </row>
    <row r="214">
      <c r="A214" s="13">
        <v>47300.0</v>
      </c>
      <c r="B214" s="12">
        <v>1000.0</v>
      </c>
      <c r="C214" s="7">
        <f t="shared" ref="C214:M214" si="212">$B214*C$2</f>
        <v>50</v>
      </c>
      <c r="D214" s="7">
        <f t="shared" si="212"/>
        <v>100</v>
      </c>
      <c r="E214" s="7">
        <f t="shared" si="212"/>
        <v>150</v>
      </c>
      <c r="F214" s="7">
        <f t="shared" si="212"/>
        <v>200</v>
      </c>
      <c r="G214" s="7">
        <f t="shared" si="212"/>
        <v>300</v>
      </c>
      <c r="H214" s="7">
        <f t="shared" si="212"/>
        <v>400</v>
      </c>
      <c r="I214" s="7">
        <f t="shared" si="212"/>
        <v>500</v>
      </c>
      <c r="J214" s="7">
        <f t="shared" si="212"/>
        <v>600</v>
      </c>
      <c r="K214" s="7">
        <f t="shared" si="212"/>
        <v>700</v>
      </c>
      <c r="L214" s="7">
        <f t="shared" si="212"/>
        <v>800</v>
      </c>
      <c r="M214" s="7">
        <f t="shared" si="212"/>
        <v>900</v>
      </c>
      <c r="N214" s="10"/>
    </row>
    <row r="215">
      <c r="A215" s="13">
        <v>47331.0</v>
      </c>
      <c r="B215" s="12">
        <v>1000.0</v>
      </c>
      <c r="C215" s="7">
        <f t="shared" ref="C215:M215" si="213">$B215*C$2</f>
        <v>50</v>
      </c>
      <c r="D215" s="7">
        <f t="shared" si="213"/>
        <v>100</v>
      </c>
      <c r="E215" s="7">
        <f t="shared" si="213"/>
        <v>150</v>
      </c>
      <c r="F215" s="7">
        <f t="shared" si="213"/>
        <v>200</v>
      </c>
      <c r="G215" s="7">
        <f t="shared" si="213"/>
        <v>300</v>
      </c>
      <c r="H215" s="7">
        <f t="shared" si="213"/>
        <v>400</v>
      </c>
      <c r="I215" s="7">
        <f t="shared" si="213"/>
        <v>500</v>
      </c>
      <c r="J215" s="7">
        <f t="shared" si="213"/>
        <v>600</v>
      </c>
      <c r="K215" s="7">
        <f t="shared" si="213"/>
        <v>700</v>
      </c>
      <c r="L215" s="7">
        <f t="shared" si="213"/>
        <v>800</v>
      </c>
      <c r="M215" s="7">
        <f t="shared" si="213"/>
        <v>900</v>
      </c>
      <c r="N215" s="10"/>
    </row>
    <row r="216">
      <c r="A216" s="13">
        <v>47362.0</v>
      </c>
      <c r="B216" s="12">
        <v>1000.0</v>
      </c>
      <c r="C216" s="7">
        <f t="shared" ref="C216:M216" si="214">$B216*C$2</f>
        <v>50</v>
      </c>
      <c r="D216" s="7">
        <f t="shared" si="214"/>
        <v>100</v>
      </c>
      <c r="E216" s="7">
        <f t="shared" si="214"/>
        <v>150</v>
      </c>
      <c r="F216" s="7">
        <f t="shared" si="214"/>
        <v>200</v>
      </c>
      <c r="G216" s="7">
        <f t="shared" si="214"/>
        <v>300</v>
      </c>
      <c r="H216" s="7">
        <f t="shared" si="214"/>
        <v>400</v>
      </c>
      <c r="I216" s="7">
        <f t="shared" si="214"/>
        <v>500</v>
      </c>
      <c r="J216" s="7">
        <f t="shared" si="214"/>
        <v>600</v>
      </c>
      <c r="K216" s="7">
        <f t="shared" si="214"/>
        <v>700</v>
      </c>
      <c r="L216" s="7">
        <f t="shared" si="214"/>
        <v>800</v>
      </c>
      <c r="M216" s="7">
        <f t="shared" si="214"/>
        <v>900</v>
      </c>
      <c r="N216" s="10"/>
    </row>
    <row r="217">
      <c r="A217" s="13">
        <v>47392.0</v>
      </c>
      <c r="B217" s="12">
        <v>1000.0</v>
      </c>
      <c r="C217" s="7">
        <f t="shared" ref="C217:M217" si="215">$B217*C$2</f>
        <v>50</v>
      </c>
      <c r="D217" s="7">
        <f t="shared" si="215"/>
        <v>100</v>
      </c>
      <c r="E217" s="7">
        <f t="shared" si="215"/>
        <v>150</v>
      </c>
      <c r="F217" s="7">
        <f t="shared" si="215"/>
        <v>200</v>
      </c>
      <c r="G217" s="7">
        <f t="shared" si="215"/>
        <v>300</v>
      </c>
      <c r="H217" s="7">
        <f t="shared" si="215"/>
        <v>400</v>
      </c>
      <c r="I217" s="7">
        <f t="shared" si="215"/>
        <v>500</v>
      </c>
      <c r="J217" s="7">
        <f t="shared" si="215"/>
        <v>600</v>
      </c>
      <c r="K217" s="7">
        <f t="shared" si="215"/>
        <v>700</v>
      </c>
      <c r="L217" s="7">
        <f t="shared" si="215"/>
        <v>800</v>
      </c>
      <c r="M217" s="7">
        <f t="shared" si="215"/>
        <v>900</v>
      </c>
      <c r="N217" s="10"/>
    </row>
    <row r="218">
      <c r="A218" s="13">
        <v>47423.0</v>
      </c>
      <c r="B218" s="12">
        <v>1000.0</v>
      </c>
      <c r="C218" s="7">
        <f t="shared" ref="C218:M218" si="216">$B218*C$2</f>
        <v>50</v>
      </c>
      <c r="D218" s="7">
        <f t="shared" si="216"/>
        <v>100</v>
      </c>
      <c r="E218" s="7">
        <f t="shared" si="216"/>
        <v>150</v>
      </c>
      <c r="F218" s="7">
        <f t="shared" si="216"/>
        <v>200</v>
      </c>
      <c r="G218" s="7">
        <f t="shared" si="216"/>
        <v>300</v>
      </c>
      <c r="H218" s="7">
        <f t="shared" si="216"/>
        <v>400</v>
      </c>
      <c r="I218" s="7">
        <f t="shared" si="216"/>
        <v>500</v>
      </c>
      <c r="J218" s="7">
        <f t="shared" si="216"/>
        <v>600</v>
      </c>
      <c r="K218" s="7">
        <f t="shared" si="216"/>
        <v>700</v>
      </c>
      <c r="L218" s="7">
        <f t="shared" si="216"/>
        <v>800</v>
      </c>
      <c r="M218" s="7">
        <f t="shared" si="216"/>
        <v>900</v>
      </c>
      <c r="N218" s="10"/>
    </row>
    <row r="219">
      <c r="A219" s="14">
        <v>47453.0</v>
      </c>
      <c r="B219" s="12">
        <v>1000.0</v>
      </c>
      <c r="C219" s="7">
        <f t="shared" ref="C219:M219" si="217">$B219*C$2</f>
        <v>50</v>
      </c>
      <c r="D219" s="7">
        <f t="shared" si="217"/>
        <v>100</v>
      </c>
      <c r="E219" s="7">
        <f t="shared" si="217"/>
        <v>150</v>
      </c>
      <c r="F219" s="7">
        <f t="shared" si="217"/>
        <v>200</v>
      </c>
      <c r="G219" s="7">
        <f t="shared" si="217"/>
        <v>300</v>
      </c>
      <c r="H219" s="7">
        <f t="shared" si="217"/>
        <v>400</v>
      </c>
      <c r="I219" s="7">
        <f t="shared" si="217"/>
        <v>500</v>
      </c>
      <c r="J219" s="7">
        <f t="shared" si="217"/>
        <v>600</v>
      </c>
      <c r="K219" s="7">
        <f t="shared" si="217"/>
        <v>700</v>
      </c>
      <c r="L219" s="7">
        <f t="shared" si="217"/>
        <v>800</v>
      </c>
      <c r="M219" s="7">
        <f t="shared" si="217"/>
        <v>900</v>
      </c>
      <c r="N219" s="10"/>
    </row>
    <row r="220">
      <c r="A220" s="13">
        <v>47484.0</v>
      </c>
      <c r="B220" s="12">
        <v>1000.0</v>
      </c>
      <c r="C220" s="7">
        <f t="shared" ref="C220:M220" si="218">$B220*C$2</f>
        <v>50</v>
      </c>
      <c r="D220" s="7">
        <f t="shared" si="218"/>
        <v>100</v>
      </c>
      <c r="E220" s="7">
        <f t="shared" si="218"/>
        <v>150</v>
      </c>
      <c r="F220" s="7">
        <f t="shared" si="218"/>
        <v>200</v>
      </c>
      <c r="G220" s="7">
        <f t="shared" si="218"/>
        <v>300</v>
      </c>
      <c r="H220" s="7">
        <f t="shared" si="218"/>
        <v>400</v>
      </c>
      <c r="I220" s="7">
        <f t="shared" si="218"/>
        <v>500</v>
      </c>
      <c r="J220" s="7">
        <f t="shared" si="218"/>
        <v>600</v>
      </c>
      <c r="K220" s="7">
        <f t="shared" si="218"/>
        <v>700</v>
      </c>
      <c r="L220" s="7">
        <f t="shared" si="218"/>
        <v>800</v>
      </c>
      <c r="M220" s="7">
        <f t="shared" si="218"/>
        <v>900</v>
      </c>
      <c r="N220" s="10"/>
    </row>
    <row r="221">
      <c r="A221" s="13">
        <v>47515.0</v>
      </c>
      <c r="B221" s="12">
        <v>1000.0</v>
      </c>
      <c r="C221" s="7">
        <f t="shared" ref="C221:M221" si="219">$B221*C$2</f>
        <v>50</v>
      </c>
      <c r="D221" s="7">
        <f t="shared" si="219"/>
        <v>100</v>
      </c>
      <c r="E221" s="7">
        <f t="shared" si="219"/>
        <v>150</v>
      </c>
      <c r="F221" s="7">
        <f t="shared" si="219"/>
        <v>200</v>
      </c>
      <c r="G221" s="7">
        <f t="shared" si="219"/>
        <v>300</v>
      </c>
      <c r="H221" s="7">
        <f t="shared" si="219"/>
        <v>400</v>
      </c>
      <c r="I221" s="7">
        <f t="shared" si="219"/>
        <v>500</v>
      </c>
      <c r="J221" s="7">
        <f t="shared" si="219"/>
        <v>600</v>
      </c>
      <c r="K221" s="7">
        <f t="shared" si="219"/>
        <v>700</v>
      </c>
      <c r="L221" s="7">
        <f t="shared" si="219"/>
        <v>800</v>
      </c>
      <c r="M221" s="7">
        <f t="shared" si="219"/>
        <v>900</v>
      </c>
      <c r="N221" s="10"/>
    </row>
    <row r="222">
      <c r="A222" s="13">
        <v>47543.0</v>
      </c>
      <c r="B222" s="12">
        <v>1000.0</v>
      </c>
      <c r="C222" s="7">
        <f t="shared" ref="C222:M222" si="220">$B222*C$2</f>
        <v>50</v>
      </c>
      <c r="D222" s="7">
        <f t="shared" si="220"/>
        <v>100</v>
      </c>
      <c r="E222" s="7">
        <f t="shared" si="220"/>
        <v>150</v>
      </c>
      <c r="F222" s="7">
        <f t="shared" si="220"/>
        <v>200</v>
      </c>
      <c r="G222" s="7">
        <f t="shared" si="220"/>
        <v>300</v>
      </c>
      <c r="H222" s="7">
        <f t="shared" si="220"/>
        <v>400</v>
      </c>
      <c r="I222" s="7">
        <f t="shared" si="220"/>
        <v>500</v>
      </c>
      <c r="J222" s="7">
        <f t="shared" si="220"/>
        <v>600</v>
      </c>
      <c r="K222" s="7">
        <f t="shared" si="220"/>
        <v>700</v>
      </c>
      <c r="L222" s="7">
        <f t="shared" si="220"/>
        <v>800</v>
      </c>
      <c r="M222" s="7">
        <f t="shared" si="220"/>
        <v>900</v>
      </c>
      <c r="N222" s="10"/>
    </row>
    <row r="223">
      <c r="A223" s="13">
        <v>47574.0</v>
      </c>
      <c r="B223" s="12">
        <v>1000.0</v>
      </c>
      <c r="C223" s="7">
        <f t="shared" ref="C223:M223" si="221">$B223*C$2</f>
        <v>50</v>
      </c>
      <c r="D223" s="7">
        <f t="shared" si="221"/>
        <v>100</v>
      </c>
      <c r="E223" s="7">
        <f t="shared" si="221"/>
        <v>150</v>
      </c>
      <c r="F223" s="7">
        <f t="shared" si="221"/>
        <v>200</v>
      </c>
      <c r="G223" s="7">
        <f t="shared" si="221"/>
        <v>300</v>
      </c>
      <c r="H223" s="7">
        <f t="shared" si="221"/>
        <v>400</v>
      </c>
      <c r="I223" s="7">
        <f t="shared" si="221"/>
        <v>500</v>
      </c>
      <c r="J223" s="7">
        <f t="shared" si="221"/>
        <v>600</v>
      </c>
      <c r="K223" s="7">
        <f t="shared" si="221"/>
        <v>700</v>
      </c>
      <c r="L223" s="7">
        <f t="shared" si="221"/>
        <v>800</v>
      </c>
      <c r="M223" s="7">
        <f t="shared" si="221"/>
        <v>900</v>
      </c>
      <c r="N223" s="10"/>
    </row>
    <row r="224">
      <c r="A224" s="13">
        <v>47604.0</v>
      </c>
      <c r="B224" s="12">
        <v>1000.0</v>
      </c>
      <c r="C224" s="7">
        <f t="shared" ref="C224:M224" si="222">$B224*C$2</f>
        <v>50</v>
      </c>
      <c r="D224" s="7">
        <f t="shared" si="222"/>
        <v>100</v>
      </c>
      <c r="E224" s="7">
        <f t="shared" si="222"/>
        <v>150</v>
      </c>
      <c r="F224" s="7">
        <f t="shared" si="222"/>
        <v>200</v>
      </c>
      <c r="G224" s="7">
        <f t="shared" si="222"/>
        <v>300</v>
      </c>
      <c r="H224" s="7">
        <f t="shared" si="222"/>
        <v>400</v>
      </c>
      <c r="I224" s="7">
        <f t="shared" si="222"/>
        <v>500</v>
      </c>
      <c r="J224" s="7">
        <f t="shared" si="222"/>
        <v>600</v>
      </c>
      <c r="K224" s="7">
        <f t="shared" si="222"/>
        <v>700</v>
      </c>
      <c r="L224" s="7">
        <f t="shared" si="222"/>
        <v>800</v>
      </c>
      <c r="M224" s="7">
        <f t="shared" si="222"/>
        <v>900</v>
      </c>
      <c r="N224" s="10"/>
    </row>
    <row r="225">
      <c r="A225" s="13">
        <v>47635.0</v>
      </c>
      <c r="B225" s="12">
        <v>1000.0</v>
      </c>
      <c r="C225" s="7">
        <f t="shared" ref="C225:M225" si="223">$B225*C$2</f>
        <v>50</v>
      </c>
      <c r="D225" s="7">
        <f t="shared" si="223"/>
        <v>100</v>
      </c>
      <c r="E225" s="7">
        <f t="shared" si="223"/>
        <v>150</v>
      </c>
      <c r="F225" s="7">
        <f t="shared" si="223"/>
        <v>200</v>
      </c>
      <c r="G225" s="7">
        <f t="shared" si="223"/>
        <v>300</v>
      </c>
      <c r="H225" s="7">
        <f t="shared" si="223"/>
        <v>400</v>
      </c>
      <c r="I225" s="7">
        <f t="shared" si="223"/>
        <v>500</v>
      </c>
      <c r="J225" s="7">
        <f t="shared" si="223"/>
        <v>600</v>
      </c>
      <c r="K225" s="7">
        <f t="shared" si="223"/>
        <v>700</v>
      </c>
      <c r="L225" s="7">
        <f t="shared" si="223"/>
        <v>800</v>
      </c>
      <c r="M225" s="7">
        <f t="shared" si="223"/>
        <v>900</v>
      </c>
      <c r="N225" s="10"/>
    </row>
    <row r="226">
      <c r="A226" s="13">
        <v>47665.0</v>
      </c>
      <c r="B226" s="12">
        <v>1000.0</v>
      </c>
      <c r="C226" s="7">
        <f t="shared" ref="C226:M226" si="224">$B226*C$2</f>
        <v>50</v>
      </c>
      <c r="D226" s="7">
        <f t="shared" si="224"/>
        <v>100</v>
      </c>
      <c r="E226" s="7">
        <f t="shared" si="224"/>
        <v>150</v>
      </c>
      <c r="F226" s="7">
        <f t="shared" si="224"/>
        <v>200</v>
      </c>
      <c r="G226" s="7">
        <f t="shared" si="224"/>
        <v>300</v>
      </c>
      <c r="H226" s="7">
        <f t="shared" si="224"/>
        <v>400</v>
      </c>
      <c r="I226" s="7">
        <f t="shared" si="224"/>
        <v>500</v>
      </c>
      <c r="J226" s="7">
        <f t="shared" si="224"/>
        <v>600</v>
      </c>
      <c r="K226" s="7">
        <f t="shared" si="224"/>
        <v>700</v>
      </c>
      <c r="L226" s="7">
        <f t="shared" si="224"/>
        <v>800</v>
      </c>
      <c r="M226" s="7">
        <f t="shared" si="224"/>
        <v>900</v>
      </c>
      <c r="N226" s="10"/>
    </row>
    <row r="227">
      <c r="A227" s="13">
        <v>47696.0</v>
      </c>
      <c r="B227" s="12">
        <v>1000.0</v>
      </c>
      <c r="C227" s="7">
        <f t="shared" ref="C227:M227" si="225">$B227*C$2</f>
        <v>50</v>
      </c>
      <c r="D227" s="7">
        <f t="shared" si="225"/>
        <v>100</v>
      </c>
      <c r="E227" s="7">
        <f t="shared" si="225"/>
        <v>150</v>
      </c>
      <c r="F227" s="7">
        <f t="shared" si="225"/>
        <v>200</v>
      </c>
      <c r="G227" s="7">
        <f t="shared" si="225"/>
        <v>300</v>
      </c>
      <c r="H227" s="7">
        <f t="shared" si="225"/>
        <v>400</v>
      </c>
      <c r="I227" s="7">
        <f t="shared" si="225"/>
        <v>500</v>
      </c>
      <c r="J227" s="7">
        <f t="shared" si="225"/>
        <v>600</v>
      </c>
      <c r="K227" s="7">
        <f t="shared" si="225"/>
        <v>700</v>
      </c>
      <c r="L227" s="7">
        <f t="shared" si="225"/>
        <v>800</v>
      </c>
      <c r="M227" s="7">
        <f t="shared" si="225"/>
        <v>900</v>
      </c>
      <c r="N227" s="10"/>
    </row>
    <row r="228">
      <c r="A228" s="13">
        <v>47727.0</v>
      </c>
      <c r="B228" s="12">
        <v>1000.0</v>
      </c>
      <c r="C228" s="7">
        <f t="shared" ref="C228:M228" si="226">$B228*C$2</f>
        <v>50</v>
      </c>
      <c r="D228" s="7">
        <f t="shared" si="226"/>
        <v>100</v>
      </c>
      <c r="E228" s="7">
        <f t="shared" si="226"/>
        <v>150</v>
      </c>
      <c r="F228" s="7">
        <f t="shared" si="226"/>
        <v>200</v>
      </c>
      <c r="G228" s="7">
        <f t="shared" si="226"/>
        <v>300</v>
      </c>
      <c r="H228" s="7">
        <f t="shared" si="226"/>
        <v>400</v>
      </c>
      <c r="I228" s="7">
        <f t="shared" si="226"/>
        <v>500</v>
      </c>
      <c r="J228" s="7">
        <f t="shared" si="226"/>
        <v>600</v>
      </c>
      <c r="K228" s="7">
        <f t="shared" si="226"/>
        <v>700</v>
      </c>
      <c r="L228" s="7">
        <f t="shared" si="226"/>
        <v>800</v>
      </c>
      <c r="M228" s="7">
        <f t="shared" si="226"/>
        <v>900</v>
      </c>
      <c r="N228" s="10"/>
    </row>
    <row r="229">
      <c r="A229" s="13">
        <v>47757.0</v>
      </c>
      <c r="B229" s="12">
        <v>1000.0</v>
      </c>
      <c r="C229" s="7">
        <f t="shared" ref="C229:M229" si="227">$B229*C$2</f>
        <v>50</v>
      </c>
      <c r="D229" s="7">
        <f t="shared" si="227"/>
        <v>100</v>
      </c>
      <c r="E229" s="7">
        <f t="shared" si="227"/>
        <v>150</v>
      </c>
      <c r="F229" s="7">
        <f t="shared" si="227"/>
        <v>200</v>
      </c>
      <c r="G229" s="7">
        <f t="shared" si="227"/>
        <v>300</v>
      </c>
      <c r="H229" s="7">
        <f t="shared" si="227"/>
        <v>400</v>
      </c>
      <c r="I229" s="7">
        <f t="shared" si="227"/>
        <v>500</v>
      </c>
      <c r="J229" s="7">
        <f t="shared" si="227"/>
        <v>600</v>
      </c>
      <c r="K229" s="7">
        <f t="shared" si="227"/>
        <v>700</v>
      </c>
      <c r="L229" s="7">
        <f t="shared" si="227"/>
        <v>800</v>
      </c>
      <c r="M229" s="7">
        <f t="shared" si="227"/>
        <v>900</v>
      </c>
      <c r="N229" s="10"/>
    </row>
    <row r="230">
      <c r="A230" s="13">
        <v>47788.0</v>
      </c>
      <c r="B230" s="12">
        <v>1000.0</v>
      </c>
      <c r="C230" s="7">
        <f t="shared" ref="C230:M230" si="228">$B230*C$2</f>
        <v>50</v>
      </c>
      <c r="D230" s="7">
        <f t="shared" si="228"/>
        <v>100</v>
      </c>
      <c r="E230" s="7">
        <f t="shared" si="228"/>
        <v>150</v>
      </c>
      <c r="F230" s="7">
        <f t="shared" si="228"/>
        <v>200</v>
      </c>
      <c r="G230" s="7">
        <f t="shared" si="228"/>
        <v>300</v>
      </c>
      <c r="H230" s="7">
        <f t="shared" si="228"/>
        <v>400</v>
      </c>
      <c r="I230" s="7">
        <f t="shared" si="228"/>
        <v>500</v>
      </c>
      <c r="J230" s="7">
        <f t="shared" si="228"/>
        <v>600</v>
      </c>
      <c r="K230" s="7">
        <f t="shared" si="228"/>
        <v>700</v>
      </c>
      <c r="L230" s="7">
        <f t="shared" si="228"/>
        <v>800</v>
      </c>
      <c r="M230" s="7">
        <f t="shared" si="228"/>
        <v>900</v>
      </c>
      <c r="N230" s="10"/>
    </row>
    <row r="231">
      <c r="A231" s="14">
        <v>47818.0</v>
      </c>
      <c r="B231" s="12">
        <v>1000.0</v>
      </c>
      <c r="C231" s="7">
        <f t="shared" ref="C231:M231" si="229">$B231*C$2</f>
        <v>50</v>
      </c>
      <c r="D231" s="7">
        <f t="shared" si="229"/>
        <v>100</v>
      </c>
      <c r="E231" s="7">
        <f t="shared" si="229"/>
        <v>150</v>
      </c>
      <c r="F231" s="7">
        <f t="shared" si="229"/>
        <v>200</v>
      </c>
      <c r="G231" s="7">
        <f t="shared" si="229"/>
        <v>300</v>
      </c>
      <c r="H231" s="7">
        <f t="shared" si="229"/>
        <v>400</v>
      </c>
      <c r="I231" s="7">
        <f t="shared" si="229"/>
        <v>500</v>
      </c>
      <c r="J231" s="7">
        <f t="shared" si="229"/>
        <v>600</v>
      </c>
      <c r="K231" s="7">
        <f t="shared" si="229"/>
        <v>700</v>
      </c>
      <c r="L231" s="7">
        <f t="shared" si="229"/>
        <v>800</v>
      </c>
      <c r="M231" s="7">
        <f t="shared" si="229"/>
        <v>900</v>
      </c>
      <c r="N231" s="10"/>
    </row>
    <row r="232">
      <c r="A232" s="13">
        <v>47849.0</v>
      </c>
      <c r="B232" s="12">
        <v>1000.0</v>
      </c>
      <c r="C232" s="7">
        <f t="shared" ref="C232:M232" si="230">$B232*C$2</f>
        <v>50</v>
      </c>
      <c r="D232" s="7">
        <f t="shared" si="230"/>
        <v>100</v>
      </c>
      <c r="E232" s="7">
        <f t="shared" si="230"/>
        <v>150</v>
      </c>
      <c r="F232" s="7">
        <f t="shared" si="230"/>
        <v>200</v>
      </c>
      <c r="G232" s="7">
        <f t="shared" si="230"/>
        <v>300</v>
      </c>
      <c r="H232" s="7">
        <f t="shared" si="230"/>
        <v>400</v>
      </c>
      <c r="I232" s="7">
        <f t="shared" si="230"/>
        <v>500</v>
      </c>
      <c r="J232" s="7">
        <f t="shared" si="230"/>
        <v>600</v>
      </c>
      <c r="K232" s="7">
        <f t="shared" si="230"/>
        <v>700</v>
      </c>
      <c r="L232" s="7">
        <f t="shared" si="230"/>
        <v>800</v>
      </c>
      <c r="M232" s="7">
        <f t="shared" si="230"/>
        <v>900</v>
      </c>
      <c r="N232" s="10"/>
    </row>
    <row r="233">
      <c r="A233" s="13">
        <v>47880.0</v>
      </c>
      <c r="B233" s="12">
        <v>1000.0</v>
      </c>
      <c r="C233" s="7">
        <f t="shared" ref="C233:M233" si="231">$B233*C$2</f>
        <v>50</v>
      </c>
      <c r="D233" s="7">
        <f t="shared" si="231"/>
        <v>100</v>
      </c>
      <c r="E233" s="7">
        <f t="shared" si="231"/>
        <v>150</v>
      </c>
      <c r="F233" s="7">
        <f t="shared" si="231"/>
        <v>200</v>
      </c>
      <c r="G233" s="7">
        <f t="shared" si="231"/>
        <v>300</v>
      </c>
      <c r="H233" s="7">
        <f t="shared" si="231"/>
        <v>400</v>
      </c>
      <c r="I233" s="7">
        <f t="shared" si="231"/>
        <v>500</v>
      </c>
      <c r="J233" s="7">
        <f t="shared" si="231"/>
        <v>600</v>
      </c>
      <c r="K233" s="7">
        <f t="shared" si="231"/>
        <v>700</v>
      </c>
      <c r="L233" s="7">
        <f t="shared" si="231"/>
        <v>800</v>
      </c>
      <c r="M233" s="7">
        <f t="shared" si="231"/>
        <v>900</v>
      </c>
      <c r="N233" s="10"/>
    </row>
    <row r="234">
      <c r="A234" s="13">
        <v>47908.0</v>
      </c>
      <c r="B234" s="12">
        <v>1000.0</v>
      </c>
      <c r="C234" s="7">
        <f t="shared" ref="C234:M234" si="232">$B234*C$2</f>
        <v>50</v>
      </c>
      <c r="D234" s="7">
        <f t="shared" si="232"/>
        <v>100</v>
      </c>
      <c r="E234" s="7">
        <f t="shared" si="232"/>
        <v>150</v>
      </c>
      <c r="F234" s="7">
        <f t="shared" si="232"/>
        <v>200</v>
      </c>
      <c r="G234" s="7">
        <f t="shared" si="232"/>
        <v>300</v>
      </c>
      <c r="H234" s="7">
        <f t="shared" si="232"/>
        <v>400</v>
      </c>
      <c r="I234" s="7">
        <f t="shared" si="232"/>
        <v>500</v>
      </c>
      <c r="J234" s="7">
        <f t="shared" si="232"/>
        <v>600</v>
      </c>
      <c r="K234" s="7">
        <f t="shared" si="232"/>
        <v>700</v>
      </c>
      <c r="L234" s="7">
        <f t="shared" si="232"/>
        <v>800</v>
      </c>
      <c r="M234" s="7">
        <f t="shared" si="232"/>
        <v>900</v>
      </c>
      <c r="N234" s="10"/>
    </row>
    <row r="235">
      <c r="A235" s="13">
        <v>47939.0</v>
      </c>
      <c r="B235" s="12">
        <v>1000.0</v>
      </c>
      <c r="C235" s="7">
        <f t="shared" ref="C235:M235" si="233">$B235*C$2</f>
        <v>50</v>
      </c>
      <c r="D235" s="7">
        <f t="shared" si="233"/>
        <v>100</v>
      </c>
      <c r="E235" s="7">
        <f t="shared" si="233"/>
        <v>150</v>
      </c>
      <c r="F235" s="7">
        <f t="shared" si="233"/>
        <v>200</v>
      </c>
      <c r="G235" s="7">
        <f t="shared" si="233"/>
        <v>300</v>
      </c>
      <c r="H235" s="7">
        <f t="shared" si="233"/>
        <v>400</v>
      </c>
      <c r="I235" s="7">
        <f t="shared" si="233"/>
        <v>500</v>
      </c>
      <c r="J235" s="7">
        <f t="shared" si="233"/>
        <v>600</v>
      </c>
      <c r="K235" s="7">
        <f t="shared" si="233"/>
        <v>700</v>
      </c>
      <c r="L235" s="7">
        <f t="shared" si="233"/>
        <v>800</v>
      </c>
      <c r="M235" s="7">
        <f t="shared" si="233"/>
        <v>900</v>
      </c>
      <c r="N235" s="10"/>
    </row>
    <row r="236">
      <c r="A236" s="13">
        <v>47969.0</v>
      </c>
      <c r="B236" s="12">
        <v>1000.0</v>
      </c>
      <c r="C236" s="7">
        <f t="shared" ref="C236:M236" si="234">$B236*C$2</f>
        <v>50</v>
      </c>
      <c r="D236" s="7">
        <f t="shared" si="234"/>
        <v>100</v>
      </c>
      <c r="E236" s="7">
        <f t="shared" si="234"/>
        <v>150</v>
      </c>
      <c r="F236" s="7">
        <f t="shared" si="234"/>
        <v>200</v>
      </c>
      <c r="G236" s="7">
        <f t="shared" si="234"/>
        <v>300</v>
      </c>
      <c r="H236" s="7">
        <f t="shared" si="234"/>
        <v>400</v>
      </c>
      <c r="I236" s="7">
        <f t="shared" si="234"/>
        <v>500</v>
      </c>
      <c r="J236" s="7">
        <f t="shared" si="234"/>
        <v>600</v>
      </c>
      <c r="K236" s="7">
        <f t="shared" si="234"/>
        <v>700</v>
      </c>
      <c r="L236" s="7">
        <f t="shared" si="234"/>
        <v>800</v>
      </c>
      <c r="M236" s="7">
        <f t="shared" si="234"/>
        <v>900</v>
      </c>
      <c r="N236" s="10"/>
    </row>
    <row r="237">
      <c r="A237" s="13">
        <v>48000.0</v>
      </c>
      <c r="B237" s="12">
        <v>1000.0</v>
      </c>
      <c r="C237" s="7">
        <f t="shared" ref="C237:M237" si="235">$B237*C$2</f>
        <v>50</v>
      </c>
      <c r="D237" s="7">
        <f t="shared" si="235"/>
        <v>100</v>
      </c>
      <c r="E237" s="7">
        <f t="shared" si="235"/>
        <v>150</v>
      </c>
      <c r="F237" s="7">
        <f t="shared" si="235"/>
        <v>200</v>
      </c>
      <c r="G237" s="7">
        <f t="shared" si="235"/>
        <v>300</v>
      </c>
      <c r="H237" s="7">
        <f t="shared" si="235"/>
        <v>400</v>
      </c>
      <c r="I237" s="7">
        <f t="shared" si="235"/>
        <v>500</v>
      </c>
      <c r="J237" s="7">
        <f t="shared" si="235"/>
        <v>600</v>
      </c>
      <c r="K237" s="7">
        <f t="shared" si="235"/>
        <v>700</v>
      </c>
      <c r="L237" s="7">
        <f t="shared" si="235"/>
        <v>800</v>
      </c>
      <c r="M237" s="7">
        <f t="shared" si="235"/>
        <v>900</v>
      </c>
      <c r="N237" s="10"/>
    </row>
    <row r="238">
      <c r="A238" s="13">
        <v>48030.0</v>
      </c>
      <c r="B238" s="12">
        <v>1000.0</v>
      </c>
      <c r="C238" s="7">
        <f t="shared" ref="C238:M238" si="236">$B238*C$2</f>
        <v>50</v>
      </c>
      <c r="D238" s="7">
        <f t="shared" si="236"/>
        <v>100</v>
      </c>
      <c r="E238" s="7">
        <f t="shared" si="236"/>
        <v>150</v>
      </c>
      <c r="F238" s="7">
        <f t="shared" si="236"/>
        <v>200</v>
      </c>
      <c r="G238" s="7">
        <f t="shared" si="236"/>
        <v>300</v>
      </c>
      <c r="H238" s="7">
        <f t="shared" si="236"/>
        <v>400</v>
      </c>
      <c r="I238" s="7">
        <f t="shared" si="236"/>
        <v>500</v>
      </c>
      <c r="J238" s="7">
        <f t="shared" si="236"/>
        <v>600</v>
      </c>
      <c r="K238" s="7">
        <f t="shared" si="236"/>
        <v>700</v>
      </c>
      <c r="L238" s="7">
        <f t="shared" si="236"/>
        <v>800</v>
      </c>
      <c r="M238" s="7">
        <f t="shared" si="236"/>
        <v>900</v>
      </c>
      <c r="N238" s="10"/>
    </row>
    <row r="239">
      <c r="A239" s="13">
        <v>48061.0</v>
      </c>
      <c r="B239" s="12">
        <v>1000.0</v>
      </c>
      <c r="C239" s="7">
        <f t="shared" ref="C239:M239" si="237">$B239*C$2</f>
        <v>50</v>
      </c>
      <c r="D239" s="7">
        <f t="shared" si="237"/>
        <v>100</v>
      </c>
      <c r="E239" s="7">
        <f t="shared" si="237"/>
        <v>150</v>
      </c>
      <c r="F239" s="7">
        <f t="shared" si="237"/>
        <v>200</v>
      </c>
      <c r="G239" s="7">
        <f t="shared" si="237"/>
        <v>300</v>
      </c>
      <c r="H239" s="7">
        <f t="shared" si="237"/>
        <v>400</v>
      </c>
      <c r="I239" s="7">
        <f t="shared" si="237"/>
        <v>500</v>
      </c>
      <c r="J239" s="7">
        <f t="shared" si="237"/>
        <v>600</v>
      </c>
      <c r="K239" s="7">
        <f t="shared" si="237"/>
        <v>700</v>
      </c>
      <c r="L239" s="7">
        <f t="shared" si="237"/>
        <v>800</v>
      </c>
      <c r="M239" s="7">
        <f t="shared" si="237"/>
        <v>900</v>
      </c>
      <c r="N239" s="10"/>
    </row>
    <row r="240">
      <c r="A240" s="13">
        <v>48092.0</v>
      </c>
      <c r="B240" s="12">
        <v>1000.0</v>
      </c>
      <c r="C240" s="7">
        <f t="shared" ref="C240:M240" si="238">$B240*C$2</f>
        <v>50</v>
      </c>
      <c r="D240" s="7">
        <f t="shared" si="238"/>
        <v>100</v>
      </c>
      <c r="E240" s="7">
        <f t="shared" si="238"/>
        <v>150</v>
      </c>
      <c r="F240" s="7">
        <f t="shared" si="238"/>
        <v>200</v>
      </c>
      <c r="G240" s="7">
        <f t="shared" si="238"/>
        <v>300</v>
      </c>
      <c r="H240" s="7">
        <f t="shared" si="238"/>
        <v>400</v>
      </c>
      <c r="I240" s="7">
        <f t="shared" si="238"/>
        <v>500</v>
      </c>
      <c r="J240" s="7">
        <f t="shared" si="238"/>
        <v>600</v>
      </c>
      <c r="K240" s="7">
        <f t="shared" si="238"/>
        <v>700</v>
      </c>
      <c r="L240" s="7">
        <f t="shared" si="238"/>
        <v>800</v>
      </c>
      <c r="M240" s="7">
        <f t="shared" si="238"/>
        <v>900</v>
      </c>
      <c r="N240" s="10"/>
    </row>
    <row r="241">
      <c r="A241" s="13">
        <v>48122.0</v>
      </c>
      <c r="B241" s="12">
        <v>1000.0</v>
      </c>
      <c r="C241" s="7">
        <f t="shared" ref="C241:M241" si="239">$B241*C$2</f>
        <v>50</v>
      </c>
      <c r="D241" s="7">
        <f t="shared" si="239"/>
        <v>100</v>
      </c>
      <c r="E241" s="7">
        <f t="shared" si="239"/>
        <v>150</v>
      </c>
      <c r="F241" s="7">
        <f t="shared" si="239"/>
        <v>200</v>
      </c>
      <c r="G241" s="7">
        <f t="shared" si="239"/>
        <v>300</v>
      </c>
      <c r="H241" s="7">
        <f t="shared" si="239"/>
        <v>400</v>
      </c>
      <c r="I241" s="7">
        <f t="shared" si="239"/>
        <v>500</v>
      </c>
      <c r="J241" s="7">
        <f t="shared" si="239"/>
        <v>600</v>
      </c>
      <c r="K241" s="7">
        <f t="shared" si="239"/>
        <v>700</v>
      </c>
      <c r="L241" s="7">
        <f t="shared" si="239"/>
        <v>800</v>
      </c>
      <c r="M241" s="7">
        <f t="shared" si="239"/>
        <v>900</v>
      </c>
      <c r="N241" s="10"/>
    </row>
    <row r="242">
      <c r="A242" s="13">
        <v>48153.0</v>
      </c>
      <c r="B242" s="12">
        <v>1000.0</v>
      </c>
      <c r="C242" s="7">
        <f t="shared" ref="C242:M242" si="240">$B242*C$2</f>
        <v>50</v>
      </c>
      <c r="D242" s="7">
        <f t="shared" si="240"/>
        <v>100</v>
      </c>
      <c r="E242" s="7">
        <f t="shared" si="240"/>
        <v>150</v>
      </c>
      <c r="F242" s="7">
        <f t="shared" si="240"/>
        <v>200</v>
      </c>
      <c r="G242" s="7">
        <f t="shared" si="240"/>
        <v>300</v>
      </c>
      <c r="H242" s="7">
        <f t="shared" si="240"/>
        <v>400</v>
      </c>
      <c r="I242" s="7">
        <f t="shared" si="240"/>
        <v>500</v>
      </c>
      <c r="J242" s="7">
        <f t="shared" si="240"/>
        <v>600</v>
      </c>
      <c r="K242" s="7">
        <f t="shared" si="240"/>
        <v>700</v>
      </c>
      <c r="L242" s="7">
        <f t="shared" si="240"/>
        <v>800</v>
      </c>
      <c r="M242" s="7">
        <f t="shared" si="240"/>
        <v>900</v>
      </c>
      <c r="N242" s="10"/>
    </row>
    <row r="243">
      <c r="A243" s="14">
        <v>48183.0</v>
      </c>
      <c r="B243" s="12">
        <v>1000.0</v>
      </c>
      <c r="C243" s="7">
        <f t="shared" ref="C243:M243" si="241">$B243*C$2</f>
        <v>50</v>
      </c>
      <c r="D243" s="7">
        <f t="shared" si="241"/>
        <v>100</v>
      </c>
      <c r="E243" s="7">
        <f t="shared" si="241"/>
        <v>150</v>
      </c>
      <c r="F243" s="7">
        <f t="shared" si="241"/>
        <v>200</v>
      </c>
      <c r="G243" s="7">
        <f t="shared" si="241"/>
        <v>300</v>
      </c>
      <c r="H243" s="7">
        <f t="shared" si="241"/>
        <v>400</v>
      </c>
      <c r="I243" s="7">
        <f t="shared" si="241"/>
        <v>500</v>
      </c>
      <c r="J243" s="7">
        <f t="shared" si="241"/>
        <v>600</v>
      </c>
      <c r="K243" s="7">
        <f t="shared" si="241"/>
        <v>700</v>
      </c>
      <c r="L243" s="7">
        <f t="shared" si="241"/>
        <v>800</v>
      </c>
      <c r="M243" s="7">
        <f t="shared" si="241"/>
        <v>900</v>
      </c>
      <c r="N243" s="10"/>
    </row>
    <row r="244">
      <c r="A244" s="13">
        <v>48214.0</v>
      </c>
      <c r="B244" s="12">
        <v>1000.0</v>
      </c>
      <c r="C244" s="7">
        <f t="shared" ref="C244:M244" si="242">$B244*C$2</f>
        <v>50</v>
      </c>
      <c r="D244" s="7">
        <f t="shared" si="242"/>
        <v>100</v>
      </c>
      <c r="E244" s="7">
        <f t="shared" si="242"/>
        <v>150</v>
      </c>
      <c r="F244" s="7">
        <f t="shared" si="242"/>
        <v>200</v>
      </c>
      <c r="G244" s="7">
        <f t="shared" si="242"/>
        <v>300</v>
      </c>
      <c r="H244" s="7">
        <f t="shared" si="242"/>
        <v>400</v>
      </c>
      <c r="I244" s="7">
        <f t="shared" si="242"/>
        <v>500</v>
      </c>
      <c r="J244" s="7">
        <f t="shared" si="242"/>
        <v>600</v>
      </c>
      <c r="K244" s="7">
        <f t="shared" si="242"/>
        <v>700</v>
      </c>
      <c r="L244" s="7">
        <f t="shared" si="242"/>
        <v>800</v>
      </c>
      <c r="M244" s="7">
        <f t="shared" si="242"/>
        <v>900</v>
      </c>
      <c r="N244" s="10"/>
    </row>
    <row r="245">
      <c r="A245" s="13">
        <v>48245.0</v>
      </c>
      <c r="B245" s="12">
        <v>1000.0</v>
      </c>
      <c r="C245" s="7">
        <f t="shared" ref="C245:M245" si="243">$B245*C$2</f>
        <v>50</v>
      </c>
      <c r="D245" s="7">
        <f t="shared" si="243"/>
        <v>100</v>
      </c>
      <c r="E245" s="7">
        <f t="shared" si="243"/>
        <v>150</v>
      </c>
      <c r="F245" s="7">
        <f t="shared" si="243"/>
        <v>200</v>
      </c>
      <c r="G245" s="7">
        <f t="shared" si="243"/>
        <v>300</v>
      </c>
      <c r="H245" s="7">
        <f t="shared" si="243"/>
        <v>400</v>
      </c>
      <c r="I245" s="7">
        <f t="shared" si="243"/>
        <v>500</v>
      </c>
      <c r="J245" s="7">
        <f t="shared" si="243"/>
        <v>600</v>
      </c>
      <c r="K245" s="7">
        <f t="shared" si="243"/>
        <v>700</v>
      </c>
      <c r="L245" s="7">
        <f t="shared" si="243"/>
        <v>800</v>
      </c>
      <c r="M245" s="7">
        <f t="shared" si="243"/>
        <v>900</v>
      </c>
      <c r="N245" s="10"/>
    </row>
    <row r="246">
      <c r="A246" s="13">
        <v>48274.0</v>
      </c>
      <c r="B246" s="12">
        <v>1000.0</v>
      </c>
      <c r="C246" s="7">
        <f t="shared" ref="C246:M246" si="244">$B246*C$2</f>
        <v>50</v>
      </c>
      <c r="D246" s="7">
        <f t="shared" si="244"/>
        <v>100</v>
      </c>
      <c r="E246" s="7">
        <f t="shared" si="244"/>
        <v>150</v>
      </c>
      <c r="F246" s="7">
        <f t="shared" si="244"/>
        <v>200</v>
      </c>
      <c r="G246" s="7">
        <f t="shared" si="244"/>
        <v>300</v>
      </c>
      <c r="H246" s="7">
        <f t="shared" si="244"/>
        <v>400</v>
      </c>
      <c r="I246" s="7">
        <f t="shared" si="244"/>
        <v>500</v>
      </c>
      <c r="J246" s="7">
        <f t="shared" si="244"/>
        <v>600</v>
      </c>
      <c r="K246" s="7">
        <f t="shared" si="244"/>
        <v>700</v>
      </c>
      <c r="L246" s="7">
        <f t="shared" si="244"/>
        <v>800</v>
      </c>
      <c r="M246" s="7">
        <f t="shared" si="244"/>
        <v>900</v>
      </c>
      <c r="N246" s="10"/>
    </row>
    <row r="247">
      <c r="A247" s="13">
        <v>48305.0</v>
      </c>
      <c r="B247" s="12">
        <v>1000.0</v>
      </c>
      <c r="C247" s="7">
        <f t="shared" ref="C247:M247" si="245">$B247*C$2</f>
        <v>50</v>
      </c>
      <c r="D247" s="7">
        <f t="shared" si="245"/>
        <v>100</v>
      </c>
      <c r="E247" s="7">
        <f t="shared" si="245"/>
        <v>150</v>
      </c>
      <c r="F247" s="7">
        <f t="shared" si="245"/>
        <v>200</v>
      </c>
      <c r="G247" s="7">
        <f t="shared" si="245"/>
        <v>300</v>
      </c>
      <c r="H247" s="7">
        <f t="shared" si="245"/>
        <v>400</v>
      </c>
      <c r="I247" s="7">
        <f t="shared" si="245"/>
        <v>500</v>
      </c>
      <c r="J247" s="7">
        <f t="shared" si="245"/>
        <v>600</v>
      </c>
      <c r="K247" s="7">
        <f t="shared" si="245"/>
        <v>700</v>
      </c>
      <c r="L247" s="7">
        <f t="shared" si="245"/>
        <v>800</v>
      </c>
      <c r="M247" s="7">
        <f t="shared" si="245"/>
        <v>900</v>
      </c>
      <c r="N247" s="10"/>
    </row>
    <row r="248">
      <c r="A248" s="13">
        <v>48335.0</v>
      </c>
      <c r="B248" s="12">
        <v>1000.0</v>
      </c>
      <c r="C248" s="7">
        <f t="shared" ref="C248:M248" si="246">$B248*C$2</f>
        <v>50</v>
      </c>
      <c r="D248" s="7">
        <f t="shared" si="246"/>
        <v>100</v>
      </c>
      <c r="E248" s="7">
        <f t="shared" si="246"/>
        <v>150</v>
      </c>
      <c r="F248" s="7">
        <f t="shared" si="246"/>
        <v>200</v>
      </c>
      <c r="G248" s="7">
        <f t="shared" si="246"/>
        <v>300</v>
      </c>
      <c r="H248" s="7">
        <f t="shared" si="246"/>
        <v>400</v>
      </c>
      <c r="I248" s="7">
        <f t="shared" si="246"/>
        <v>500</v>
      </c>
      <c r="J248" s="7">
        <f t="shared" si="246"/>
        <v>600</v>
      </c>
      <c r="K248" s="7">
        <f t="shared" si="246"/>
        <v>700</v>
      </c>
      <c r="L248" s="7">
        <f t="shared" si="246"/>
        <v>800</v>
      </c>
      <c r="M248" s="7">
        <f t="shared" si="246"/>
        <v>900</v>
      </c>
      <c r="N248" s="10"/>
    </row>
    <row r="249">
      <c r="A249" s="13">
        <v>48366.0</v>
      </c>
      <c r="B249" s="12">
        <v>1000.0</v>
      </c>
      <c r="C249" s="7">
        <f t="shared" ref="C249:M249" si="247">$B249*C$2</f>
        <v>50</v>
      </c>
      <c r="D249" s="7">
        <f t="shared" si="247"/>
        <v>100</v>
      </c>
      <c r="E249" s="7">
        <f t="shared" si="247"/>
        <v>150</v>
      </c>
      <c r="F249" s="7">
        <f t="shared" si="247"/>
        <v>200</v>
      </c>
      <c r="G249" s="7">
        <f t="shared" si="247"/>
        <v>300</v>
      </c>
      <c r="H249" s="7">
        <f t="shared" si="247"/>
        <v>400</v>
      </c>
      <c r="I249" s="7">
        <f t="shared" si="247"/>
        <v>500</v>
      </c>
      <c r="J249" s="7">
        <f t="shared" si="247"/>
        <v>600</v>
      </c>
      <c r="K249" s="7">
        <f t="shared" si="247"/>
        <v>700</v>
      </c>
      <c r="L249" s="7">
        <f t="shared" si="247"/>
        <v>800</v>
      </c>
      <c r="M249" s="7">
        <f t="shared" si="247"/>
        <v>900</v>
      </c>
      <c r="N249" s="10"/>
    </row>
    <row r="250">
      <c r="A250" s="13">
        <v>48396.0</v>
      </c>
      <c r="B250" s="12">
        <v>1000.0</v>
      </c>
      <c r="C250" s="7">
        <f t="shared" ref="C250:M250" si="248">$B250*C$2</f>
        <v>50</v>
      </c>
      <c r="D250" s="7">
        <f t="shared" si="248"/>
        <v>100</v>
      </c>
      <c r="E250" s="7">
        <f t="shared" si="248"/>
        <v>150</v>
      </c>
      <c r="F250" s="7">
        <f t="shared" si="248"/>
        <v>200</v>
      </c>
      <c r="G250" s="7">
        <f t="shared" si="248"/>
        <v>300</v>
      </c>
      <c r="H250" s="7">
        <f t="shared" si="248"/>
        <v>400</v>
      </c>
      <c r="I250" s="7">
        <f t="shared" si="248"/>
        <v>500</v>
      </c>
      <c r="J250" s="7">
        <f t="shared" si="248"/>
        <v>600</v>
      </c>
      <c r="K250" s="7">
        <f t="shared" si="248"/>
        <v>700</v>
      </c>
      <c r="L250" s="7">
        <f t="shared" si="248"/>
        <v>800</v>
      </c>
      <c r="M250" s="7">
        <f t="shared" si="248"/>
        <v>900</v>
      </c>
      <c r="N250" s="10"/>
    </row>
    <row r="251">
      <c r="A251" s="13">
        <v>48427.0</v>
      </c>
      <c r="B251" s="12">
        <v>1000.0</v>
      </c>
      <c r="C251" s="7">
        <f t="shared" ref="C251:M251" si="249">$B251*C$2</f>
        <v>50</v>
      </c>
      <c r="D251" s="7">
        <f t="shared" si="249"/>
        <v>100</v>
      </c>
      <c r="E251" s="7">
        <f t="shared" si="249"/>
        <v>150</v>
      </c>
      <c r="F251" s="7">
        <f t="shared" si="249"/>
        <v>200</v>
      </c>
      <c r="G251" s="7">
        <f t="shared" si="249"/>
        <v>300</v>
      </c>
      <c r="H251" s="7">
        <f t="shared" si="249"/>
        <v>400</v>
      </c>
      <c r="I251" s="7">
        <f t="shared" si="249"/>
        <v>500</v>
      </c>
      <c r="J251" s="7">
        <f t="shared" si="249"/>
        <v>600</v>
      </c>
      <c r="K251" s="7">
        <f t="shared" si="249"/>
        <v>700</v>
      </c>
      <c r="L251" s="7">
        <f t="shared" si="249"/>
        <v>800</v>
      </c>
      <c r="M251" s="7">
        <f t="shared" si="249"/>
        <v>900</v>
      </c>
      <c r="N251" s="10"/>
    </row>
    <row r="252">
      <c r="A252" s="13">
        <v>48458.0</v>
      </c>
      <c r="B252" s="12">
        <v>1000.0</v>
      </c>
      <c r="C252" s="7">
        <f t="shared" ref="C252:M252" si="250">$B252*C$2</f>
        <v>50</v>
      </c>
      <c r="D252" s="7">
        <f t="shared" si="250"/>
        <v>100</v>
      </c>
      <c r="E252" s="7">
        <f t="shared" si="250"/>
        <v>150</v>
      </c>
      <c r="F252" s="7">
        <f t="shared" si="250"/>
        <v>200</v>
      </c>
      <c r="G252" s="7">
        <f t="shared" si="250"/>
        <v>300</v>
      </c>
      <c r="H252" s="7">
        <f t="shared" si="250"/>
        <v>400</v>
      </c>
      <c r="I252" s="7">
        <f t="shared" si="250"/>
        <v>500</v>
      </c>
      <c r="J252" s="7">
        <f t="shared" si="250"/>
        <v>600</v>
      </c>
      <c r="K252" s="7">
        <f t="shared" si="250"/>
        <v>700</v>
      </c>
      <c r="L252" s="7">
        <f t="shared" si="250"/>
        <v>800</v>
      </c>
      <c r="M252" s="7">
        <f t="shared" si="250"/>
        <v>900</v>
      </c>
      <c r="N252" s="10"/>
    </row>
    <row r="253">
      <c r="A253" s="13">
        <v>48488.0</v>
      </c>
      <c r="B253" s="12">
        <v>1000.0</v>
      </c>
      <c r="C253" s="7">
        <f t="shared" ref="C253:M253" si="251">$B253*C$2</f>
        <v>50</v>
      </c>
      <c r="D253" s="7">
        <f t="shared" si="251"/>
        <v>100</v>
      </c>
      <c r="E253" s="7">
        <f t="shared" si="251"/>
        <v>150</v>
      </c>
      <c r="F253" s="7">
        <f t="shared" si="251"/>
        <v>200</v>
      </c>
      <c r="G253" s="7">
        <f t="shared" si="251"/>
        <v>300</v>
      </c>
      <c r="H253" s="7">
        <f t="shared" si="251"/>
        <v>400</v>
      </c>
      <c r="I253" s="7">
        <f t="shared" si="251"/>
        <v>500</v>
      </c>
      <c r="J253" s="7">
        <f t="shared" si="251"/>
        <v>600</v>
      </c>
      <c r="K253" s="7">
        <f t="shared" si="251"/>
        <v>700</v>
      </c>
      <c r="L253" s="7">
        <f t="shared" si="251"/>
        <v>800</v>
      </c>
      <c r="M253" s="7">
        <f t="shared" si="251"/>
        <v>900</v>
      </c>
      <c r="N253" s="10"/>
    </row>
    <row r="254">
      <c r="A254" s="13">
        <v>48519.0</v>
      </c>
      <c r="B254" s="12">
        <v>1000.0</v>
      </c>
      <c r="C254" s="7">
        <f t="shared" ref="C254:M254" si="252">$B254*C$2</f>
        <v>50</v>
      </c>
      <c r="D254" s="7">
        <f t="shared" si="252"/>
        <v>100</v>
      </c>
      <c r="E254" s="7">
        <f t="shared" si="252"/>
        <v>150</v>
      </c>
      <c r="F254" s="7">
        <f t="shared" si="252"/>
        <v>200</v>
      </c>
      <c r="G254" s="7">
        <f t="shared" si="252"/>
        <v>300</v>
      </c>
      <c r="H254" s="7">
        <f t="shared" si="252"/>
        <v>400</v>
      </c>
      <c r="I254" s="7">
        <f t="shared" si="252"/>
        <v>500</v>
      </c>
      <c r="J254" s="7">
        <f t="shared" si="252"/>
        <v>600</v>
      </c>
      <c r="K254" s="7">
        <f t="shared" si="252"/>
        <v>700</v>
      </c>
      <c r="L254" s="7">
        <f t="shared" si="252"/>
        <v>800</v>
      </c>
      <c r="M254" s="7">
        <f t="shared" si="252"/>
        <v>900</v>
      </c>
      <c r="N254" s="10"/>
    </row>
    <row r="255">
      <c r="A255" s="14">
        <v>48549.0</v>
      </c>
      <c r="B255" s="12">
        <v>1000.0</v>
      </c>
      <c r="C255" s="7">
        <f t="shared" ref="C255:M255" si="253">$B255*C$2</f>
        <v>50</v>
      </c>
      <c r="D255" s="7">
        <f t="shared" si="253"/>
        <v>100</v>
      </c>
      <c r="E255" s="7">
        <f t="shared" si="253"/>
        <v>150</v>
      </c>
      <c r="F255" s="7">
        <f t="shared" si="253"/>
        <v>200</v>
      </c>
      <c r="G255" s="7">
        <f t="shared" si="253"/>
        <v>300</v>
      </c>
      <c r="H255" s="7">
        <f t="shared" si="253"/>
        <v>400</v>
      </c>
      <c r="I255" s="7">
        <f t="shared" si="253"/>
        <v>500</v>
      </c>
      <c r="J255" s="7">
        <f t="shared" si="253"/>
        <v>600</v>
      </c>
      <c r="K255" s="7">
        <f t="shared" si="253"/>
        <v>700</v>
      </c>
      <c r="L255" s="7">
        <f t="shared" si="253"/>
        <v>800</v>
      </c>
      <c r="M255" s="7">
        <f t="shared" si="253"/>
        <v>900</v>
      </c>
      <c r="N255" s="10"/>
    </row>
    <row r="256">
      <c r="A256" s="13">
        <v>48580.0</v>
      </c>
      <c r="B256" s="12">
        <v>1000.0</v>
      </c>
      <c r="C256" s="7">
        <f t="shared" ref="C256:M256" si="254">$B256*C$2</f>
        <v>50</v>
      </c>
      <c r="D256" s="7">
        <f t="shared" si="254"/>
        <v>100</v>
      </c>
      <c r="E256" s="7">
        <f t="shared" si="254"/>
        <v>150</v>
      </c>
      <c r="F256" s="7">
        <f t="shared" si="254"/>
        <v>200</v>
      </c>
      <c r="G256" s="7">
        <f t="shared" si="254"/>
        <v>300</v>
      </c>
      <c r="H256" s="7">
        <f t="shared" si="254"/>
        <v>400</v>
      </c>
      <c r="I256" s="7">
        <f t="shared" si="254"/>
        <v>500</v>
      </c>
      <c r="J256" s="7">
        <f t="shared" si="254"/>
        <v>600</v>
      </c>
      <c r="K256" s="7">
        <f t="shared" si="254"/>
        <v>700</v>
      </c>
      <c r="L256" s="7">
        <f t="shared" si="254"/>
        <v>800</v>
      </c>
      <c r="M256" s="7">
        <f t="shared" si="254"/>
        <v>900</v>
      </c>
      <c r="N256" s="10"/>
    </row>
    <row r="257">
      <c r="A257" s="13">
        <v>48611.0</v>
      </c>
      <c r="B257" s="12">
        <v>1000.0</v>
      </c>
      <c r="C257" s="7">
        <f t="shared" ref="C257:M257" si="255">$B257*C$2</f>
        <v>50</v>
      </c>
      <c r="D257" s="7">
        <f t="shared" si="255"/>
        <v>100</v>
      </c>
      <c r="E257" s="7">
        <f t="shared" si="255"/>
        <v>150</v>
      </c>
      <c r="F257" s="7">
        <f t="shared" si="255"/>
        <v>200</v>
      </c>
      <c r="G257" s="7">
        <f t="shared" si="255"/>
        <v>300</v>
      </c>
      <c r="H257" s="7">
        <f t="shared" si="255"/>
        <v>400</v>
      </c>
      <c r="I257" s="7">
        <f t="shared" si="255"/>
        <v>500</v>
      </c>
      <c r="J257" s="7">
        <f t="shared" si="255"/>
        <v>600</v>
      </c>
      <c r="K257" s="7">
        <f t="shared" si="255"/>
        <v>700</v>
      </c>
      <c r="L257" s="7">
        <f t="shared" si="255"/>
        <v>800</v>
      </c>
      <c r="M257" s="7">
        <f t="shared" si="255"/>
        <v>900</v>
      </c>
      <c r="N257" s="10"/>
    </row>
    <row r="258">
      <c r="A258" s="13">
        <v>48639.0</v>
      </c>
      <c r="B258" s="12">
        <v>1000.0</v>
      </c>
      <c r="C258" s="7">
        <f t="shared" ref="C258:M258" si="256">$B258*C$2</f>
        <v>50</v>
      </c>
      <c r="D258" s="7">
        <f t="shared" si="256"/>
        <v>100</v>
      </c>
      <c r="E258" s="7">
        <f t="shared" si="256"/>
        <v>150</v>
      </c>
      <c r="F258" s="7">
        <f t="shared" si="256"/>
        <v>200</v>
      </c>
      <c r="G258" s="7">
        <f t="shared" si="256"/>
        <v>300</v>
      </c>
      <c r="H258" s="7">
        <f t="shared" si="256"/>
        <v>400</v>
      </c>
      <c r="I258" s="7">
        <f t="shared" si="256"/>
        <v>500</v>
      </c>
      <c r="J258" s="7">
        <f t="shared" si="256"/>
        <v>600</v>
      </c>
      <c r="K258" s="7">
        <f t="shared" si="256"/>
        <v>700</v>
      </c>
      <c r="L258" s="7">
        <f t="shared" si="256"/>
        <v>800</v>
      </c>
      <c r="M258" s="7">
        <f t="shared" si="256"/>
        <v>900</v>
      </c>
      <c r="N258" s="10"/>
    </row>
    <row r="259">
      <c r="A259" s="13">
        <v>48670.0</v>
      </c>
      <c r="B259" s="12">
        <v>1000.0</v>
      </c>
      <c r="C259" s="7">
        <f t="shared" ref="C259:M259" si="257">$B259*C$2</f>
        <v>50</v>
      </c>
      <c r="D259" s="7">
        <f t="shared" si="257"/>
        <v>100</v>
      </c>
      <c r="E259" s="7">
        <f t="shared" si="257"/>
        <v>150</v>
      </c>
      <c r="F259" s="7">
        <f t="shared" si="257"/>
        <v>200</v>
      </c>
      <c r="G259" s="7">
        <f t="shared" si="257"/>
        <v>300</v>
      </c>
      <c r="H259" s="7">
        <f t="shared" si="257"/>
        <v>400</v>
      </c>
      <c r="I259" s="7">
        <f t="shared" si="257"/>
        <v>500</v>
      </c>
      <c r="J259" s="7">
        <f t="shared" si="257"/>
        <v>600</v>
      </c>
      <c r="K259" s="7">
        <f t="shared" si="257"/>
        <v>700</v>
      </c>
      <c r="L259" s="7">
        <f t="shared" si="257"/>
        <v>800</v>
      </c>
      <c r="M259" s="7">
        <f t="shared" si="257"/>
        <v>900</v>
      </c>
      <c r="N259" s="10"/>
    </row>
    <row r="260">
      <c r="A260" s="13">
        <v>48700.0</v>
      </c>
      <c r="B260" s="12">
        <v>1000.0</v>
      </c>
      <c r="C260" s="7">
        <f t="shared" ref="C260:M260" si="258">$B260*C$2</f>
        <v>50</v>
      </c>
      <c r="D260" s="7">
        <f t="shared" si="258"/>
        <v>100</v>
      </c>
      <c r="E260" s="7">
        <f t="shared" si="258"/>
        <v>150</v>
      </c>
      <c r="F260" s="7">
        <f t="shared" si="258"/>
        <v>200</v>
      </c>
      <c r="G260" s="7">
        <f t="shared" si="258"/>
        <v>300</v>
      </c>
      <c r="H260" s="7">
        <f t="shared" si="258"/>
        <v>400</v>
      </c>
      <c r="I260" s="7">
        <f t="shared" si="258"/>
        <v>500</v>
      </c>
      <c r="J260" s="7">
        <f t="shared" si="258"/>
        <v>600</v>
      </c>
      <c r="K260" s="7">
        <f t="shared" si="258"/>
        <v>700</v>
      </c>
      <c r="L260" s="7">
        <f t="shared" si="258"/>
        <v>800</v>
      </c>
      <c r="M260" s="7">
        <f t="shared" si="258"/>
        <v>900</v>
      </c>
      <c r="N260" s="10"/>
    </row>
    <row r="261">
      <c r="A261" s="13">
        <v>48731.0</v>
      </c>
      <c r="B261" s="12">
        <v>1000.0</v>
      </c>
      <c r="C261" s="7">
        <f t="shared" ref="C261:M261" si="259">$B261*C$2</f>
        <v>50</v>
      </c>
      <c r="D261" s="7">
        <f t="shared" si="259"/>
        <v>100</v>
      </c>
      <c r="E261" s="7">
        <f t="shared" si="259"/>
        <v>150</v>
      </c>
      <c r="F261" s="7">
        <f t="shared" si="259"/>
        <v>200</v>
      </c>
      <c r="G261" s="7">
        <f t="shared" si="259"/>
        <v>300</v>
      </c>
      <c r="H261" s="7">
        <f t="shared" si="259"/>
        <v>400</v>
      </c>
      <c r="I261" s="7">
        <f t="shared" si="259"/>
        <v>500</v>
      </c>
      <c r="J261" s="7">
        <f t="shared" si="259"/>
        <v>600</v>
      </c>
      <c r="K261" s="7">
        <f t="shared" si="259"/>
        <v>700</v>
      </c>
      <c r="L261" s="7">
        <f t="shared" si="259"/>
        <v>800</v>
      </c>
      <c r="M261" s="7">
        <f t="shared" si="259"/>
        <v>900</v>
      </c>
      <c r="N261" s="10"/>
    </row>
    <row r="262">
      <c r="A262" s="13">
        <v>48761.0</v>
      </c>
      <c r="B262" s="12">
        <v>1000.0</v>
      </c>
      <c r="C262" s="7">
        <f t="shared" ref="C262:M262" si="260">$B262*C$2</f>
        <v>50</v>
      </c>
      <c r="D262" s="7">
        <f t="shared" si="260"/>
        <v>100</v>
      </c>
      <c r="E262" s="7">
        <f t="shared" si="260"/>
        <v>150</v>
      </c>
      <c r="F262" s="7">
        <f t="shared" si="260"/>
        <v>200</v>
      </c>
      <c r="G262" s="7">
        <f t="shared" si="260"/>
        <v>300</v>
      </c>
      <c r="H262" s="7">
        <f t="shared" si="260"/>
        <v>400</v>
      </c>
      <c r="I262" s="7">
        <f t="shared" si="260"/>
        <v>500</v>
      </c>
      <c r="J262" s="7">
        <f t="shared" si="260"/>
        <v>600</v>
      </c>
      <c r="K262" s="7">
        <f t="shared" si="260"/>
        <v>700</v>
      </c>
      <c r="L262" s="7">
        <f t="shared" si="260"/>
        <v>800</v>
      </c>
      <c r="M262" s="7">
        <f t="shared" si="260"/>
        <v>900</v>
      </c>
      <c r="N262" s="10"/>
    </row>
    <row r="263">
      <c r="A263" s="13">
        <v>48792.0</v>
      </c>
      <c r="B263" s="12">
        <v>1000.0</v>
      </c>
      <c r="C263" s="7">
        <f t="shared" ref="C263:M263" si="261">$B263*C$2</f>
        <v>50</v>
      </c>
      <c r="D263" s="7">
        <f t="shared" si="261"/>
        <v>100</v>
      </c>
      <c r="E263" s="7">
        <f t="shared" si="261"/>
        <v>150</v>
      </c>
      <c r="F263" s="7">
        <f t="shared" si="261"/>
        <v>200</v>
      </c>
      <c r="G263" s="7">
        <f t="shared" si="261"/>
        <v>300</v>
      </c>
      <c r="H263" s="7">
        <f t="shared" si="261"/>
        <v>400</v>
      </c>
      <c r="I263" s="7">
        <f t="shared" si="261"/>
        <v>500</v>
      </c>
      <c r="J263" s="7">
        <f t="shared" si="261"/>
        <v>600</v>
      </c>
      <c r="K263" s="7">
        <f t="shared" si="261"/>
        <v>700</v>
      </c>
      <c r="L263" s="7">
        <f t="shared" si="261"/>
        <v>800</v>
      </c>
      <c r="M263" s="7">
        <f t="shared" si="261"/>
        <v>900</v>
      </c>
      <c r="N263" s="10"/>
    </row>
    <row r="264">
      <c r="A264" s="13">
        <v>48823.0</v>
      </c>
      <c r="B264" s="12">
        <v>1000.0</v>
      </c>
      <c r="C264" s="7">
        <f t="shared" ref="C264:M264" si="262">$B264*C$2</f>
        <v>50</v>
      </c>
      <c r="D264" s="7">
        <f t="shared" si="262"/>
        <v>100</v>
      </c>
      <c r="E264" s="7">
        <f t="shared" si="262"/>
        <v>150</v>
      </c>
      <c r="F264" s="7">
        <f t="shared" si="262"/>
        <v>200</v>
      </c>
      <c r="G264" s="7">
        <f t="shared" si="262"/>
        <v>300</v>
      </c>
      <c r="H264" s="7">
        <f t="shared" si="262"/>
        <v>400</v>
      </c>
      <c r="I264" s="7">
        <f t="shared" si="262"/>
        <v>500</v>
      </c>
      <c r="J264" s="7">
        <f t="shared" si="262"/>
        <v>600</v>
      </c>
      <c r="K264" s="7">
        <f t="shared" si="262"/>
        <v>700</v>
      </c>
      <c r="L264" s="7">
        <f t="shared" si="262"/>
        <v>800</v>
      </c>
      <c r="M264" s="7">
        <f t="shared" si="262"/>
        <v>900</v>
      </c>
      <c r="N264" s="10"/>
    </row>
    <row r="265">
      <c r="A265" s="13">
        <v>48853.0</v>
      </c>
      <c r="B265" s="12">
        <v>1000.0</v>
      </c>
      <c r="C265" s="7">
        <f t="shared" ref="C265:M265" si="263">$B265*C$2</f>
        <v>50</v>
      </c>
      <c r="D265" s="7">
        <f t="shared" si="263"/>
        <v>100</v>
      </c>
      <c r="E265" s="7">
        <f t="shared" si="263"/>
        <v>150</v>
      </c>
      <c r="F265" s="7">
        <f t="shared" si="263"/>
        <v>200</v>
      </c>
      <c r="G265" s="7">
        <f t="shared" si="263"/>
        <v>300</v>
      </c>
      <c r="H265" s="7">
        <f t="shared" si="263"/>
        <v>400</v>
      </c>
      <c r="I265" s="7">
        <f t="shared" si="263"/>
        <v>500</v>
      </c>
      <c r="J265" s="7">
        <f t="shared" si="263"/>
        <v>600</v>
      </c>
      <c r="K265" s="7">
        <f t="shared" si="263"/>
        <v>700</v>
      </c>
      <c r="L265" s="7">
        <f t="shared" si="263"/>
        <v>800</v>
      </c>
      <c r="M265" s="7">
        <f t="shared" si="263"/>
        <v>900</v>
      </c>
      <c r="N265" s="10"/>
    </row>
    <row r="266">
      <c r="A266" s="13">
        <v>48884.0</v>
      </c>
      <c r="B266" s="12">
        <v>1000.0</v>
      </c>
      <c r="C266" s="7">
        <f t="shared" ref="C266:M266" si="264">$B266*C$2</f>
        <v>50</v>
      </c>
      <c r="D266" s="7">
        <f t="shared" si="264"/>
        <v>100</v>
      </c>
      <c r="E266" s="7">
        <f t="shared" si="264"/>
        <v>150</v>
      </c>
      <c r="F266" s="7">
        <f t="shared" si="264"/>
        <v>200</v>
      </c>
      <c r="G266" s="7">
        <f t="shared" si="264"/>
        <v>300</v>
      </c>
      <c r="H266" s="7">
        <f t="shared" si="264"/>
        <v>400</v>
      </c>
      <c r="I266" s="7">
        <f t="shared" si="264"/>
        <v>500</v>
      </c>
      <c r="J266" s="7">
        <f t="shared" si="264"/>
        <v>600</v>
      </c>
      <c r="K266" s="7">
        <f t="shared" si="264"/>
        <v>700</v>
      </c>
      <c r="L266" s="7">
        <f t="shared" si="264"/>
        <v>800</v>
      </c>
      <c r="M266" s="7">
        <f t="shared" si="264"/>
        <v>900</v>
      </c>
      <c r="N266" s="10"/>
    </row>
    <row r="267">
      <c r="A267" s="14">
        <v>48914.0</v>
      </c>
      <c r="B267" s="12">
        <v>1000.0</v>
      </c>
      <c r="C267" s="7">
        <f t="shared" ref="C267:M267" si="265">$B267*C$2</f>
        <v>50</v>
      </c>
      <c r="D267" s="7">
        <f t="shared" si="265"/>
        <v>100</v>
      </c>
      <c r="E267" s="7">
        <f t="shared" si="265"/>
        <v>150</v>
      </c>
      <c r="F267" s="7">
        <f t="shared" si="265"/>
        <v>200</v>
      </c>
      <c r="G267" s="7">
        <f t="shared" si="265"/>
        <v>300</v>
      </c>
      <c r="H267" s="7">
        <f t="shared" si="265"/>
        <v>400</v>
      </c>
      <c r="I267" s="7">
        <f t="shared" si="265"/>
        <v>500</v>
      </c>
      <c r="J267" s="7">
        <f t="shared" si="265"/>
        <v>600</v>
      </c>
      <c r="K267" s="7">
        <f t="shared" si="265"/>
        <v>700</v>
      </c>
      <c r="L267" s="7">
        <f t="shared" si="265"/>
        <v>800</v>
      </c>
      <c r="M267" s="7">
        <f t="shared" si="265"/>
        <v>900</v>
      </c>
      <c r="N267" s="10"/>
    </row>
    <row r="268">
      <c r="A268" s="13">
        <v>48945.0</v>
      </c>
      <c r="B268" s="12">
        <v>1000.0</v>
      </c>
      <c r="C268" s="7">
        <f t="shared" ref="C268:M268" si="266">$B268*C$2</f>
        <v>50</v>
      </c>
      <c r="D268" s="7">
        <f t="shared" si="266"/>
        <v>100</v>
      </c>
      <c r="E268" s="7">
        <f t="shared" si="266"/>
        <v>150</v>
      </c>
      <c r="F268" s="7">
        <f t="shared" si="266"/>
        <v>200</v>
      </c>
      <c r="G268" s="7">
        <f t="shared" si="266"/>
        <v>300</v>
      </c>
      <c r="H268" s="7">
        <f t="shared" si="266"/>
        <v>400</v>
      </c>
      <c r="I268" s="7">
        <f t="shared" si="266"/>
        <v>500</v>
      </c>
      <c r="J268" s="7">
        <f t="shared" si="266"/>
        <v>600</v>
      </c>
      <c r="K268" s="7">
        <f t="shared" si="266"/>
        <v>700</v>
      </c>
      <c r="L268" s="7">
        <f t="shared" si="266"/>
        <v>800</v>
      </c>
      <c r="M268" s="7">
        <f t="shared" si="266"/>
        <v>900</v>
      </c>
      <c r="N268" s="10"/>
    </row>
    <row r="269">
      <c r="A269" s="13">
        <v>48976.0</v>
      </c>
      <c r="B269" s="12">
        <v>1000.0</v>
      </c>
      <c r="C269" s="7">
        <f t="shared" ref="C269:M269" si="267">$B269*C$2</f>
        <v>50</v>
      </c>
      <c r="D269" s="7">
        <f t="shared" si="267"/>
        <v>100</v>
      </c>
      <c r="E269" s="7">
        <f t="shared" si="267"/>
        <v>150</v>
      </c>
      <c r="F269" s="7">
        <f t="shared" si="267"/>
        <v>200</v>
      </c>
      <c r="G269" s="7">
        <f t="shared" si="267"/>
        <v>300</v>
      </c>
      <c r="H269" s="7">
        <f t="shared" si="267"/>
        <v>400</v>
      </c>
      <c r="I269" s="7">
        <f t="shared" si="267"/>
        <v>500</v>
      </c>
      <c r="J269" s="7">
        <f t="shared" si="267"/>
        <v>600</v>
      </c>
      <c r="K269" s="7">
        <f t="shared" si="267"/>
        <v>700</v>
      </c>
      <c r="L269" s="7">
        <f t="shared" si="267"/>
        <v>800</v>
      </c>
      <c r="M269" s="7">
        <f t="shared" si="267"/>
        <v>900</v>
      </c>
      <c r="N269" s="10"/>
    </row>
    <row r="270">
      <c r="A270" s="13">
        <v>49004.0</v>
      </c>
      <c r="B270" s="12">
        <v>1000.0</v>
      </c>
      <c r="C270" s="7">
        <f t="shared" ref="C270:M270" si="268">$B270*C$2</f>
        <v>50</v>
      </c>
      <c r="D270" s="7">
        <f t="shared" si="268"/>
        <v>100</v>
      </c>
      <c r="E270" s="7">
        <f t="shared" si="268"/>
        <v>150</v>
      </c>
      <c r="F270" s="7">
        <f t="shared" si="268"/>
        <v>200</v>
      </c>
      <c r="G270" s="7">
        <f t="shared" si="268"/>
        <v>300</v>
      </c>
      <c r="H270" s="7">
        <f t="shared" si="268"/>
        <v>400</v>
      </c>
      <c r="I270" s="7">
        <f t="shared" si="268"/>
        <v>500</v>
      </c>
      <c r="J270" s="7">
        <f t="shared" si="268"/>
        <v>600</v>
      </c>
      <c r="K270" s="7">
        <f t="shared" si="268"/>
        <v>700</v>
      </c>
      <c r="L270" s="7">
        <f t="shared" si="268"/>
        <v>800</v>
      </c>
      <c r="M270" s="7">
        <f t="shared" si="268"/>
        <v>900</v>
      </c>
      <c r="N270" s="10"/>
    </row>
    <row r="271">
      <c r="A271" s="13">
        <v>49035.0</v>
      </c>
      <c r="B271" s="12">
        <v>1000.0</v>
      </c>
      <c r="C271" s="7">
        <f t="shared" ref="C271:M271" si="269">$B271*C$2</f>
        <v>50</v>
      </c>
      <c r="D271" s="7">
        <f t="shared" si="269"/>
        <v>100</v>
      </c>
      <c r="E271" s="7">
        <f t="shared" si="269"/>
        <v>150</v>
      </c>
      <c r="F271" s="7">
        <f t="shared" si="269"/>
        <v>200</v>
      </c>
      <c r="G271" s="7">
        <f t="shared" si="269"/>
        <v>300</v>
      </c>
      <c r="H271" s="7">
        <f t="shared" si="269"/>
        <v>400</v>
      </c>
      <c r="I271" s="7">
        <f t="shared" si="269"/>
        <v>500</v>
      </c>
      <c r="J271" s="7">
        <f t="shared" si="269"/>
        <v>600</v>
      </c>
      <c r="K271" s="7">
        <f t="shared" si="269"/>
        <v>700</v>
      </c>
      <c r="L271" s="7">
        <f t="shared" si="269"/>
        <v>800</v>
      </c>
      <c r="M271" s="7">
        <f t="shared" si="269"/>
        <v>900</v>
      </c>
      <c r="N271" s="10"/>
    </row>
    <row r="272">
      <c r="A272" s="13">
        <v>49065.0</v>
      </c>
      <c r="B272" s="12">
        <v>1000.0</v>
      </c>
      <c r="C272" s="7">
        <f t="shared" ref="C272:M272" si="270">$B272*C$2</f>
        <v>50</v>
      </c>
      <c r="D272" s="7">
        <f t="shared" si="270"/>
        <v>100</v>
      </c>
      <c r="E272" s="7">
        <f t="shared" si="270"/>
        <v>150</v>
      </c>
      <c r="F272" s="7">
        <f t="shared" si="270"/>
        <v>200</v>
      </c>
      <c r="G272" s="7">
        <f t="shared" si="270"/>
        <v>300</v>
      </c>
      <c r="H272" s="7">
        <f t="shared" si="270"/>
        <v>400</v>
      </c>
      <c r="I272" s="7">
        <f t="shared" si="270"/>
        <v>500</v>
      </c>
      <c r="J272" s="7">
        <f t="shared" si="270"/>
        <v>600</v>
      </c>
      <c r="K272" s="7">
        <f t="shared" si="270"/>
        <v>700</v>
      </c>
      <c r="L272" s="7">
        <f t="shared" si="270"/>
        <v>800</v>
      </c>
      <c r="M272" s="7">
        <f t="shared" si="270"/>
        <v>900</v>
      </c>
      <c r="N272" s="10"/>
    </row>
    <row r="273">
      <c r="A273" s="13">
        <v>49096.0</v>
      </c>
      <c r="B273" s="12">
        <v>1000.0</v>
      </c>
      <c r="C273" s="7">
        <f t="shared" ref="C273:M273" si="271">$B273*C$2</f>
        <v>50</v>
      </c>
      <c r="D273" s="7">
        <f t="shared" si="271"/>
        <v>100</v>
      </c>
      <c r="E273" s="7">
        <f t="shared" si="271"/>
        <v>150</v>
      </c>
      <c r="F273" s="7">
        <f t="shared" si="271"/>
        <v>200</v>
      </c>
      <c r="G273" s="7">
        <f t="shared" si="271"/>
        <v>300</v>
      </c>
      <c r="H273" s="7">
        <f t="shared" si="271"/>
        <v>400</v>
      </c>
      <c r="I273" s="7">
        <f t="shared" si="271"/>
        <v>500</v>
      </c>
      <c r="J273" s="7">
        <f t="shared" si="271"/>
        <v>600</v>
      </c>
      <c r="K273" s="7">
        <f t="shared" si="271"/>
        <v>700</v>
      </c>
      <c r="L273" s="7">
        <f t="shared" si="271"/>
        <v>800</v>
      </c>
      <c r="M273" s="7">
        <f t="shared" si="271"/>
        <v>900</v>
      </c>
      <c r="N273" s="10"/>
    </row>
    <row r="274">
      <c r="A274" s="13">
        <v>49126.0</v>
      </c>
      <c r="B274" s="12">
        <v>1000.0</v>
      </c>
      <c r="C274" s="7">
        <f t="shared" ref="C274:M274" si="272">$B274*C$2</f>
        <v>50</v>
      </c>
      <c r="D274" s="7">
        <f t="shared" si="272"/>
        <v>100</v>
      </c>
      <c r="E274" s="7">
        <f t="shared" si="272"/>
        <v>150</v>
      </c>
      <c r="F274" s="7">
        <f t="shared" si="272"/>
        <v>200</v>
      </c>
      <c r="G274" s="7">
        <f t="shared" si="272"/>
        <v>300</v>
      </c>
      <c r="H274" s="7">
        <f t="shared" si="272"/>
        <v>400</v>
      </c>
      <c r="I274" s="7">
        <f t="shared" si="272"/>
        <v>500</v>
      </c>
      <c r="J274" s="7">
        <f t="shared" si="272"/>
        <v>600</v>
      </c>
      <c r="K274" s="7">
        <f t="shared" si="272"/>
        <v>700</v>
      </c>
      <c r="L274" s="7">
        <f t="shared" si="272"/>
        <v>800</v>
      </c>
      <c r="M274" s="7">
        <f t="shared" si="272"/>
        <v>900</v>
      </c>
      <c r="N274" s="10"/>
    </row>
    <row r="275">
      <c r="A275" s="13">
        <v>49157.0</v>
      </c>
      <c r="B275" s="12">
        <v>1000.0</v>
      </c>
      <c r="C275" s="7">
        <f t="shared" ref="C275:M275" si="273">$B275*C$2</f>
        <v>50</v>
      </c>
      <c r="D275" s="7">
        <f t="shared" si="273"/>
        <v>100</v>
      </c>
      <c r="E275" s="7">
        <f t="shared" si="273"/>
        <v>150</v>
      </c>
      <c r="F275" s="7">
        <f t="shared" si="273"/>
        <v>200</v>
      </c>
      <c r="G275" s="7">
        <f t="shared" si="273"/>
        <v>300</v>
      </c>
      <c r="H275" s="7">
        <f t="shared" si="273"/>
        <v>400</v>
      </c>
      <c r="I275" s="7">
        <f t="shared" si="273"/>
        <v>500</v>
      </c>
      <c r="J275" s="7">
        <f t="shared" si="273"/>
        <v>600</v>
      </c>
      <c r="K275" s="7">
        <f t="shared" si="273"/>
        <v>700</v>
      </c>
      <c r="L275" s="7">
        <f t="shared" si="273"/>
        <v>800</v>
      </c>
      <c r="M275" s="7">
        <f t="shared" si="273"/>
        <v>900</v>
      </c>
      <c r="N275" s="10"/>
    </row>
    <row r="276">
      <c r="A276" s="13">
        <v>49188.0</v>
      </c>
      <c r="B276" s="12">
        <v>1000.0</v>
      </c>
      <c r="C276" s="7">
        <f t="shared" ref="C276:M276" si="274">$B276*C$2</f>
        <v>50</v>
      </c>
      <c r="D276" s="7">
        <f t="shared" si="274"/>
        <v>100</v>
      </c>
      <c r="E276" s="7">
        <f t="shared" si="274"/>
        <v>150</v>
      </c>
      <c r="F276" s="7">
        <f t="shared" si="274"/>
        <v>200</v>
      </c>
      <c r="G276" s="7">
        <f t="shared" si="274"/>
        <v>300</v>
      </c>
      <c r="H276" s="7">
        <f t="shared" si="274"/>
        <v>400</v>
      </c>
      <c r="I276" s="7">
        <f t="shared" si="274"/>
        <v>500</v>
      </c>
      <c r="J276" s="7">
        <f t="shared" si="274"/>
        <v>600</v>
      </c>
      <c r="K276" s="7">
        <f t="shared" si="274"/>
        <v>700</v>
      </c>
      <c r="L276" s="7">
        <f t="shared" si="274"/>
        <v>800</v>
      </c>
      <c r="M276" s="7">
        <f t="shared" si="274"/>
        <v>900</v>
      </c>
      <c r="N276" s="10"/>
    </row>
    <row r="277">
      <c r="A277" s="13">
        <v>49218.0</v>
      </c>
      <c r="B277" s="12">
        <v>1000.0</v>
      </c>
      <c r="C277" s="7">
        <f t="shared" ref="C277:M277" si="275">$B277*C$2</f>
        <v>50</v>
      </c>
      <c r="D277" s="7">
        <f t="shared" si="275"/>
        <v>100</v>
      </c>
      <c r="E277" s="7">
        <f t="shared" si="275"/>
        <v>150</v>
      </c>
      <c r="F277" s="7">
        <f t="shared" si="275"/>
        <v>200</v>
      </c>
      <c r="G277" s="7">
        <f t="shared" si="275"/>
        <v>300</v>
      </c>
      <c r="H277" s="7">
        <f t="shared" si="275"/>
        <v>400</v>
      </c>
      <c r="I277" s="7">
        <f t="shared" si="275"/>
        <v>500</v>
      </c>
      <c r="J277" s="7">
        <f t="shared" si="275"/>
        <v>600</v>
      </c>
      <c r="K277" s="7">
        <f t="shared" si="275"/>
        <v>700</v>
      </c>
      <c r="L277" s="7">
        <f t="shared" si="275"/>
        <v>800</v>
      </c>
      <c r="M277" s="7">
        <f t="shared" si="275"/>
        <v>900</v>
      </c>
      <c r="N277" s="10"/>
    </row>
    <row r="278">
      <c r="A278" s="13">
        <v>49249.0</v>
      </c>
      <c r="B278" s="12">
        <v>1000.0</v>
      </c>
      <c r="C278" s="7">
        <f t="shared" ref="C278:M278" si="276">$B278*C$2</f>
        <v>50</v>
      </c>
      <c r="D278" s="7">
        <f t="shared" si="276"/>
        <v>100</v>
      </c>
      <c r="E278" s="7">
        <f t="shared" si="276"/>
        <v>150</v>
      </c>
      <c r="F278" s="7">
        <f t="shared" si="276"/>
        <v>200</v>
      </c>
      <c r="G278" s="7">
        <f t="shared" si="276"/>
        <v>300</v>
      </c>
      <c r="H278" s="7">
        <f t="shared" si="276"/>
        <v>400</v>
      </c>
      <c r="I278" s="7">
        <f t="shared" si="276"/>
        <v>500</v>
      </c>
      <c r="J278" s="7">
        <f t="shared" si="276"/>
        <v>600</v>
      </c>
      <c r="K278" s="7">
        <f t="shared" si="276"/>
        <v>700</v>
      </c>
      <c r="L278" s="7">
        <f t="shared" si="276"/>
        <v>800</v>
      </c>
      <c r="M278" s="7">
        <f t="shared" si="276"/>
        <v>900</v>
      </c>
      <c r="N278" s="10"/>
    </row>
    <row r="279">
      <c r="A279" s="14">
        <v>49279.0</v>
      </c>
      <c r="B279" s="12">
        <v>1000.0</v>
      </c>
      <c r="C279" s="7">
        <f t="shared" ref="C279:M279" si="277">$B279*C$2</f>
        <v>50</v>
      </c>
      <c r="D279" s="7">
        <f t="shared" si="277"/>
        <v>100</v>
      </c>
      <c r="E279" s="7">
        <f t="shared" si="277"/>
        <v>150</v>
      </c>
      <c r="F279" s="7">
        <f t="shared" si="277"/>
        <v>200</v>
      </c>
      <c r="G279" s="7">
        <f t="shared" si="277"/>
        <v>300</v>
      </c>
      <c r="H279" s="7">
        <f t="shared" si="277"/>
        <v>400</v>
      </c>
      <c r="I279" s="7">
        <f t="shared" si="277"/>
        <v>500</v>
      </c>
      <c r="J279" s="7">
        <f t="shared" si="277"/>
        <v>600</v>
      </c>
      <c r="K279" s="7">
        <f t="shared" si="277"/>
        <v>700</v>
      </c>
      <c r="L279" s="7">
        <f t="shared" si="277"/>
        <v>800</v>
      </c>
      <c r="M279" s="7">
        <f t="shared" si="277"/>
        <v>900</v>
      </c>
      <c r="N279" s="10"/>
    </row>
    <row r="280">
      <c r="A280" s="13">
        <v>49310.0</v>
      </c>
      <c r="B280" s="12">
        <v>1000.0</v>
      </c>
      <c r="C280" s="7">
        <f t="shared" ref="C280:M280" si="278">$B280*C$2</f>
        <v>50</v>
      </c>
      <c r="D280" s="7">
        <f t="shared" si="278"/>
        <v>100</v>
      </c>
      <c r="E280" s="7">
        <f t="shared" si="278"/>
        <v>150</v>
      </c>
      <c r="F280" s="7">
        <f t="shared" si="278"/>
        <v>200</v>
      </c>
      <c r="G280" s="7">
        <f t="shared" si="278"/>
        <v>300</v>
      </c>
      <c r="H280" s="7">
        <f t="shared" si="278"/>
        <v>400</v>
      </c>
      <c r="I280" s="7">
        <f t="shared" si="278"/>
        <v>500</v>
      </c>
      <c r="J280" s="7">
        <f t="shared" si="278"/>
        <v>600</v>
      </c>
      <c r="K280" s="7">
        <f t="shared" si="278"/>
        <v>700</v>
      </c>
      <c r="L280" s="7">
        <f t="shared" si="278"/>
        <v>800</v>
      </c>
      <c r="M280" s="7">
        <f t="shared" si="278"/>
        <v>900</v>
      </c>
      <c r="N280" s="10"/>
    </row>
    <row r="281">
      <c r="A281" s="13">
        <v>49341.0</v>
      </c>
      <c r="B281" s="12">
        <v>1000.0</v>
      </c>
      <c r="C281" s="7">
        <f t="shared" ref="C281:M281" si="279">$B281*C$2</f>
        <v>50</v>
      </c>
      <c r="D281" s="7">
        <f t="shared" si="279"/>
        <v>100</v>
      </c>
      <c r="E281" s="7">
        <f t="shared" si="279"/>
        <v>150</v>
      </c>
      <c r="F281" s="7">
        <f t="shared" si="279"/>
        <v>200</v>
      </c>
      <c r="G281" s="7">
        <f t="shared" si="279"/>
        <v>300</v>
      </c>
      <c r="H281" s="7">
        <f t="shared" si="279"/>
        <v>400</v>
      </c>
      <c r="I281" s="7">
        <f t="shared" si="279"/>
        <v>500</v>
      </c>
      <c r="J281" s="7">
        <f t="shared" si="279"/>
        <v>600</v>
      </c>
      <c r="K281" s="7">
        <f t="shared" si="279"/>
        <v>700</v>
      </c>
      <c r="L281" s="7">
        <f t="shared" si="279"/>
        <v>800</v>
      </c>
      <c r="M281" s="7">
        <f t="shared" si="279"/>
        <v>900</v>
      </c>
      <c r="N281" s="10"/>
    </row>
    <row r="282">
      <c r="A282" s="13">
        <v>49369.0</v>
      </c>
      <c r="B282" s="12">
        <v>1000.0</v>
      </c>
      <c r="C282" s="7">
        <f t="shared" ref="C282:M282" si="280">$B282*C$2</f>
        <v>50</v>
      </c>
      <c r="D282" s="7">
        <f t="shared" si="280"/>
        <v>100</v>
      </c>
      <c r="E282" s="7">
        <f t="shared" si="280"/>
        <v>150</v>
      </c>
      <c r="F282" s="7">
        <f t="shared" si="280"/>
        <v>200</v>
      </c>
      <c r="G282" s="7">
        <f t="shared" si="280"/>
        <v>300</v>
      </c>
      <c r="H282" s="7">
        <f t="shared" si="280"/>
        <v>400</v>
      </c>
      <c r="I282" s="7">
        <f t="shared" si="280"/>
        <v>500</v>
      </c>
      <c r="J282" s="7">
        <f t="shared" si="280"/>
        <v>600</v>
      </c>
      <c r="K282" s="7">
        <f t="shared" si="280"/>
        <v>700</v>
      </c>
      <c r="L282" s="7">
        <f t="shared" si="280"/>
        <v>800</v>
      </c>
      <c r="M282" s="7">
        <f t="shared" si="280"/>
        <v>900</v>
      </c>
      <c r="N282" s="10"/>
    </row>
    <row r="283">
      <c r="A283" s="13">
        <v>49400.0</v>
      </c>
      <c r="B283" s="12">
        <v>1000.0</v>
      </c>
      <c r="C283" s="7">
        <f t="shared" ref="C283:M283" si="281">$B283*C$2</f>
        <v>50</v>
      </c>
      <c r="D283" s="7">
        <f t="shared" si="281"/>
        <v>100</v>
      </c>
      <c r="E283" s="7">
        <f t="shared" si="281"/>
        <v>150</v>
      </c>
      <c r="F283" s="7">
        <f t="shared" si="281"/>
        <v>200</v>
      </c>
      <c r="G283" s="7">
        <f t="shared" si="281"/>
        <v>300</v>
      </c>
      <c r="H283" s="7">
        <f t="shared" si="281"/>
        <v>400</v>
      </c>
      <c r="I283" s="7">
        <f t="shared" si="281"/>
        <v>500</v>
      </c>
      <c r="J283" s="7">
        <f t="shared" si="281"/>
        <v>600</v>
      </c>
      <c r="K283" s="7">
        <f t="shared" si="281"/>
        <v>700</v>
      </c>
      <c r="L283" s="7">
        <f t="shared" si="281"/>
        <v>800</v>
      </c>
      <c r="M283" s="7">
        <f t="shared" si="281"/>
        <v>900</v>
      </c>
      <c r="N283" s="10"/>
    </row>
    <row r="284">
      <c r="A284" s="13">
        <v>49430.0</v>
      </c>
      <c r="B284" s="12">
        <v>1000.0</v>
      </c>
      <c r="C284" s="7">
        <f t="shared" ref="C284:M284" si="282">$B284*C$2</f>
        <v>50</v>
      </c>
      <c r="D284" s="7">
        <f t="shared" si="282"/>
        <v>100</v>
      </c>
      <c r="E284" s="7">
        <f t="shared" si="282"/>
        <v>150</v>
      </c>
      <c r="F284" s="7">
        <f t="shared" si="282"/>
        <v>200</v>
      </c>
      <c r="G284" s="7">
        <f t="shared" si="282"/>
        <v>300</v>
      </c>
      <c r="H284" s="7">
        <f t="shared" si="282"/>
        <v>400</v>
      </c>
      <c r="I284" s="7">
        <f t="shared" si="282"/>
        <v>500</v>
      </c>
      <c r="J284" s="7">
        <f t="shared" si="282"/>
        <v>600</v>
      </c>
      <c r="K284" s="7">
        <f t="shared" si="282"/>
        <v>700</v>
      </c>
      <c r="L284" s="7">
        <f t="shared" si="282"/>
        <v>800</v>
      </c>
      <c r="M284" s="7">
        <f t="shared" si="282"/>
        <v>900</v>
      </c>
      <c r="N284" s="10"/>
    </row>
    <row r="285">
      <c r="A285" s="13">
        <v>49461.0</v>
      </c>
      <c r="B285" s="12">
        <v>1000.0</v>
      </c>
      <c r="C285" s="7">
        <f t="shared" ref="C285:M285" si="283">$B285*C$2</f>
        <v>50</v>
      </c>
      <c r="D285" s="7">
        <f t="shared" si="283"/>
        <v>100</v>
      </c>
      <c r="E285" s="7">
        <f t="shared" si="283"/>
        <v>150</v>
      </c>
      <c r="F285" s="7">
        <f t="shared" si="283"/>
        <v>200</v>
      </c>
      <c r="G285" s="7">
        <f t="shared" si="283"/>
        <v>300</v>
      </c>
      <c r="H285" s="7">
        <f t="shared" si="283"/>
        <v>400</v>
      </c>
      <c r="I285" s="7">
        <f t="shared" si="283"/>
        <v>500</v>
      </c>
      <c r="J285" s="7">
        <f t="shared" si="283"/>
        <v>600</v>
      </c>
      <c r="K285" s="7">
        <f t="shared" si="283"/>
        <v>700</v>
      </c>
      <c r="L285" s="7">
        <f t="shared" si="283"/>
        <v>800</v>
      </c>
      <c r="M285" s="7">
        <f t="shared" si="283"/>
        <v>900</v>
      </c>
      <c r="N285" s="10"/>
    </row>
    <row r="286">
      <c r="A286" s="13">
        <v>49491.0</v>
      </c>
      <c r="B286" s="12">
        <v>1000.0</v>
      </c>
      <c r="C286" s="7">
        <f t="shared" ref="C286:M286" si="284">$B286*C$2</f>
        <v>50</v>
      </c>
      <c r="D286" s="7">
        <f t="shared" si="284"/>
        <v>100</v>
      </c>
      <c r="E286" s="7">
        <f t="shared" si="284"/>
        <v>150</v>
      </c>
      <c r="F286" s="7">
        <f t="shared" si="284"/>
        <v>200</v>
      </c>
      <c r="G286" s="7">
        <f t="shared" si="284"/>
        <v>300</v>
      </c>
      <c r="H286" s="7">
        <f t="shared" si="284"/>
        <v>400</v>
      </c>
      <c r="I286" s="7">
        <f t="shared" si="284"/>
        <v>500</v>
      </c>
      <c r="J286" s="7">
        <f t="shared" si="284"/>
        <v>600</v>
      </c>
      <c r="K286" s="7">
        <f t="shared" si="284"/>
        <v>700</v>
      </c>
      <c r="L286" s="7">
        <f t="shared" si="284"/>
        <v>800</v>
      </c>
      <c r="M286" s="7">
        <f t="shared" si="284"/>
        <v>900</v>
      </c>
      <c r="N286" s="10"/>
    </row>
    <row r="287">
      <c r="A287" s="13">
        <v>49522.0</v>
      </c>
      <c r="B287" s="12">
        <v>1000.0</v>
      </c>
      <c r="C287" s="7">
        <f t="shared" ref="C287:M287" si="285">$B287*C$2</f>
        <v>50</v>
      </c>
      <c r="D287" s="7">
        <f t="shared" si="285"/>
        <v>100</v>
      </c>
      <c r="E287" s="7">
        <f t="shared" si="285"/>
        <v>150</v>
      </c>
      <c r="F287" s="7">
        <f t="shared" si="285"/>
        <v>200</v>
      </c>
      <c r="G287" s="7">
        <f t="shared" si="285"/>
        <v>300</v>
      </c>
      <c r="H287" s="7">
        <f t="shared" si="285"/>
        <v>400</v>
      </c>
      <c r="I287" s="7">
        <f t="shared" si="285"/>
        <v>500</v>
      </c>
      <c r="J287" s="7">
        <f t="shared" si="285"/>
        <v>600</v>
      </c>
      <c r="K287" s="7">
        <f t="shared" si="285"/>
        <v>700</v>
      </c>
      <c r="L287" s="7">
        <f t="shared" si="285"/>
        <v>800</v>
      </c>
      <c r="M287" s="7">
        <f t="shared" si="285"/>
        <v>900</v>
      </c>
      <c r="N287" s="10"/>
    </row>
    <row r="288">
      <c r="A288" s="13">
        <v>49553.0</v>
      </c>
      <c r="B288" s="12">
        <v>1000.0</v>
      </c>
      <c r="C288" s="7">
        <f t="shared" ref="C288:M288" si="286">$B288*C$2</f>
        <v>50</v>
      </c>
      <c r="D288" s="7">
        <f t="shared" si="286"/>
        <v>100</v>
      </c>
      <c r="E288" s="7">
        <f t="shared" si="286"/>
        <v>150</v>
      </c>
      <c r="F288" s="7">
        <f t="shared" si="286"/>
        <v>200</v>
      </c>
      <c r="G288" s="7">
        <f t="shared" si="286"/>
        <v>300</v>
      </c>
      <c r="H288" s="7">
        <f t="shared" si="286"/>
        <v>400</v>
      </c>
      <c r="I288" s="7">
        <f t="shared" si="286"/>
        <v>500</v>
      </c>
      <c r="J288" s="7">
        <f t="shared" si="286"/>
        <v>600</v>
      </c>
      <c r="K288" s="7">
        <f t="shared" si="286"/>
        <v>700</v>
      </c>
      <c r="L288" s="7">
        <f t="shared" si="286"/>
        <v>800</v>
      </c>
      <c r="M288" s="7">
        <f t="shared" si="286"/>
        <v>900</v>
      </c>
      <c r="N288" s="10"/>
    </row>
    <row r="289">
      <c r="A289" s="13">
        <v>49583.0</v>
      </c>
      <c r="B289" s="12">
        <v>1000.0</v>
      </c>
      <c r="C289" s="7">
        <f t="shared" ref="C289:M289" si="287">$B289*C$2</f>
        <v>50</v>
      </c>
      <c r="D289" s="7">
        <f t="shared" si="287"/>
        <v>100</v>
      </c>
      <c r="E289" s="7">
        <f t="shared" si="287"/>
        <v>150</v>
      </c>
      <c r="F289" s="7">
        <f t="shared" si="287"/>
        <v>200</v>
      </c>
      <c r="G289" s="7">
        <f t="shared" si="287"/>
        <v>300</v>
      </c>
      <c r="H289" s="7">
        <f t="shared" si="287"/>
        <v>400</v>
      </c>
      <c r="I289" s="7">
        <f t="shared" si="287"/>
        <v>500</v>
      </c>
      <c r="J289" s="7">
        <f t="shared" si="287"/>
        <v>600</v>
      </c>
      <c r="K289" s="7">
        <f t="shared" si="287"/>
        <v>700</v>
      </c>
      <c r="L289" s="7">
        <f t="shared" si="287"/>
        <v>800</v>
      </c>
      <c r="M289" s="7">
        <f t="shared" si="287"/>
        <v>900</v>
      </c>
      <c r="N289" s="10"/>
    </row>
    <row r="290">
      <c r="A290" s="13">
        <v>49614.0</v>
      </c>
      <c r="B290" s="12">
        <v>1000.0</v>
      </c>
      <c r="C290" s="7">
        <f t="shared" ref="C290:M290" si="288">$B290*C$2</f>
        <v>50</v>
      </c>
      <c r="D290" s="7">
        <f t="shared" si="288"/>
        <v>100</v>
      </c>
      <c r="E290" s="7">
        <f t="shared" si="288"/>
        <v>150</v>
      </c>
      <c r="F290" s="7">
        <f t="shared" si="288"/>
        <v>200</v>
      </c>
      <c r="G290" s="7">
        <f t="shared" si="288"/>
        <v>300</v>
      </c>
      <c r="H290" s="7">
        <f t="shared" si="288"/>
        <v>400</v>
      </c>
      <c r="I290" s="7">
        <f t="shared" si="288"/>
        <v>500</v>
      </c>
      <c r="J290" s="7">
        <f t="shared" si="288"/>
        <v>600</v>
      </c>
      <c r="K290" s="7">
        <f t="shared" si="288"/>
        <v>700</v>
      </c>
      <c r="L290" s="7">
        <f t="shared" si="288"/>
        <v>800</v>
      </c>
      <c r="M290" s="7">
        <f t="shared" si="288"/>
        <v>900</v>
      </c>
      <c r="N290" s="10"/>
    </row>
    <row r="291">
      <c r="A291" s="14">
        <v>49644.0</v>
      </c>
      <c r="B291" s="12">
        <v>1000.0</v>
      </c>
      <c r="C291" s="7">
        <f t="shared" ref="C291:M291" si="289">$B291*C$2</f>
        <v>50</v>
      </c>
      <c r="D291" s="7">
        <f t="shared" si="289"/>
        <v>100</v>
      </c>
      <c r="E291" s="7">
        <f t="shared" si="289"/>
        <v>150</v>
      </c>
      <c r="F291" s="7">
        <f t="shared" si="289"/>
        <v>200</v>
      </c>
      <c r="G291" s="7">
        <f t="shared" si="289"/>
        <v>300</v>
      </c>
      <c r="H291" s="7">
        <f t="shared" si="289"/>
        <v>400</v>
      </c>
      <c r="I291" s="7">
        <f t="shared" si="289"/>
        <v>500</v>
      </c>
      <c r="J291" s="7">
        <f t="shared" si="289"/>
        <v>600</v>
      </c>
      <c r="K291" s="7">
        <f t="shared" si="289"/>
        <v>700</v>
      </c>
      <c r="L291" s="7">
        <f t="shared" si="289"/>
        <v>800</v>
      </c>
      <c r="M291" s="7">
        <f t="shared" si="289"/>
        <v>900</v>
      </c>
      <c r="N291" s="10"/>
    </row>
    <row r="292">
      <c r="A292" s="13">
        <v>49675.0</v>
      </c>
      <c r="B292" s="12">
        <v>1000.0</v>
      </c>
      <c r="C292" s="7">
        <f t="shared" ref="C292:M292" si="290">$B292*C$2</f>
        <v>50</v>
      </c>
      <c r="D292" s="7">
        <f t="shared" si="290"/>
        <v>100</v>
      </c>
      <c r="E292" s="7">
        <f t="shared" si="290"/>
        <v>150</v>
      </c>
      <c r="F292" s="7">
        <f t="shared" si="290"/>
        <v>200</v>
      </c>
      <c r="G292" s="7">
        <f t="shared" si="290"/>
        <v>300</v>
      </c>
      <c r="H292" s="7">
        <f t="shared" si="290"/>
        <v>400</v>
      </c>
      <c r="I292" s="7">
        <f t="shared" si="290"/>
        <v>500</v>
      </c>
      <c r="J292" s="7">
        <f t="shared" si="290"/>
        <v>600</v>
      </c>
      <c r="K292" s="7">
        <f t="shared" si="290"/>
        <v>700</v>
      </c>
      <c r="L292" s="7">
        <f t="shared" si="290"/>
        <v>800</v>
      </c>
      <c r="M292" s="7">
        <f t="shared" si="290"/>
        <v>900</v>
      </c>
      <c r="N292" s="10"/>
    </row>
    <row r="293">
      <c r="A293" s="13">
        <v>49706.0</v>
      </c>
      <c r="B293" s="12">
        <v>1000.0</v>
      </c>
      <c r="C293" s="7">
        <f t="shared" ref="C293:M293" si="291">$B293*C$2</f>
        <v>50</v>
      </c>
      <c r="D293" s="7">
        <f t="shared" si="291"/>
        <v>100</v>
      </c>
      <c r="E293" s="7">
        <f t="shared" si="291"/>
        <v>150</v>
      </c>
      <c r="F293" s="7">
        <f t="shared" si="291"/>
        <v>200</v>
      </c>
      <c r="G293" s="7">
        <f t="shared" si="291"/>
        <v>300</v>
      </c>
      <c r="H293" s="7">
        <f t="shared" si="291"/>
        <v>400</v>
      </c>
      <c r="I293" s="7">
        <f t="shared" si="291"/>
        <v>500</v>
      </c>
      <c r="J293" s="7">
        <f t="shared" si="291"/>
        <v>600</v>
      </c>
      <c r="K293" s="7">
        <f t="shared" si="291"/>
        <v>700</v>
      </c>
      <c r="L293" s="7">
        <f t="shared" si="291"/>
        <v>800</v>
      </c>
      <c r="M293" s="7">
        <f t="shared" si="291"/>
        <v>900</v>
      </c>
      <c r="N293" s="10"/>
    </row>
    <row r="294">
      <c r="A294" s="13">
        <v>49735.0</v>
      </c>
      <c r="B294" s="12">
        <v>1000.0</v>
      </c>
      <c r="C294" s="7">
        <f t="shared" ref="C294:M294" si="292">$B294*C$2</f>
        <v>50</v>
      </c>
      <c r="D294" s="7">
        <f t="shared" si="292"/>
        <v>100</v>
      </c>
      <c r="E294" s="7">
        <f t="shared" si="292"/>
        <v>150</v>
      </c>
      <c r="F294" s="7">
        <f t="shared" si="292"/>
        <v>200</v>
      </c>
      <c r="G294" s="7">
        <f t="shared" si="292"/>
        <v>300</v>
      </c>
      <c r="H294" s="7">
        <f t="shared" si="292"/>
        <v>400</v>
      </c>
      <c r="I294" s="7">
        <f t="shared" si="292"/>
        <v>500</v>
      </c>
      <c r="J294" s="7">
        <f t="shared" si="292"/>
        <v>600</v>
      </c>
      <c r="K294" s="7">
        <f t="shared" si="292"/>
        <v>700</v>
      </c>
      <c r="L294" s="7">
        <f t="shared" si="292"/>
        <v>800</v>
      </c>
      <c r="M294" s="7">
        <f t="shared" si="292"/>
        <v>900</v>
      </c>
      <c r="N294" s="10"/>
    </row>
    <row r="295">
      <c r="A295" s="13">
        <v>49766.0</v>
      </c>
      <c r="B295" s="12">
        <v>1000.0</v>
      </c>
      <c r="C295" s="7">
        <f t="shared" ref="C295:M295" si="293">$B295*C$2</f>
        <v>50</v>
      </c>
      <c r="D295" s="7">
        <f t="shared" si="293"/>
        <v>100</v>
      </c>
      <c r="E295" s="7">
        <f t="shared" si="293"/>
        <v>150</v>
      </c>
      <c r="F295" s="7">
        <f t="shared" si="293"/>
        <v>200</v>
      </c>
      <c r="G295" s="7">
        <f t="shared" si="293"/>
        <v>300</v>
      </c>
      <c r="H295" s="7">
        <f t="shared" si="293"/>
        <v>400</v>
      </c>
      <c r="I295" s="7">
        <f t="shared" si="293"/>
        <v>500</v>
      </c>
      <c r="J295" s="7">
        <f t="shared" si="293"/>
        <v>600</v>
      </c>
      <c r="K295" s="7">
        <f t="shared" si="293"/>
        <v>700</v>
      </c>
      <c r="L295" s="7">
        <f t="shared" si="293"/>
        <v>800</v>
      </c>
      <c r="M295" s="7">
        <f t="shared" si="293"/>
        <v>900</v>
      </c>
      <c r="N295" s="10"/>
    </row>
    <row r="296">
      <c r="A296" s="13">
        <v>49796.0</v>
      </c>
      <c r="B296" s="12">
        <v>1000.0</v>
      </c>
      <c r="C296" s="7">
        <f t="shared" ref="C296:M296" si="294">$B296*C$2</f>
        <v>50</v>
      </c>
      <c r="D296" s="7">
        <f t="shared" si="294"/>
        <v>100</v>
      </c>
      <c r="E296" s="7">
        <f t="shared" si="294"/>
        <v>150</v>
      </c>
      <c r="F296" s="7">
        <f t="shared" si="294"/>
        <v>200</v>
      </c>
      <c r="G296" s="7">
        <f t="shared" si="294"/>
        <v>300</v>
      </c>
      <c r="H296" s="7">
        <f t="shared" si="294"/>
        <v>400</v>
      </c>
      <c r="I296" s="7">
        <f t="shared" si="294"/>
        <v>500</v>
      </c>
      <c r="J296" s="7">
        <f t="shared" si="294"/>
        <v>600</v>
      </c>
      <c r="K296" s="7">
        <f t="shared" si="294"/>
        <v>700</v>
      </c>
      <c r="L296" s="7">
        <f t="shared" si="294"/>
        <v>800</v>
      </c>
      <c r="M296" s="7">
        <f t="shared" si="294"/>
        <v>900</v>
      </c>
      <c r="N296" s="10"/>
    </row>
    <row r="297">
      <c r="A297" s="13">
        <v>49827.0</v>
      </c>
      <c r="B297" s="12">
        <v>1000.0</v>
      </c>
      <c r="C297" s="7">
        <f t="shared" ref="C297:M297" si="295">$B297*C$2</f>
        <v>50</v>
      </c>
      <c r="D297" s="7">
        <f t="shared" si="295"/>
        <v>100</v>
      </c>
      <c r="E297" s="7">
        <f t="shared" si="295"/>
        <v>150</v>
      </c>
      <c r="F297" s="7">
        <f t="shared" si="295"/>
        <v>200</v>
      </c>
      <c r="G297" s="7">
        <f t="shared" si="295"/>
        <v>300</v>
      </c>
      <c r="H297" s="7">
        <f t="shared" si="295"/>
        <v>400</v>
      </c>
      <c r="I297" s="7">
        <f t="shared" si="295"/>
        <v>500</v>
      </c>
      <c r="J297" s="7">
        <f t="shared" si="295"/>
        <v>600</v>
      </c>
      <c r="K297" s="7">
        <f t="shared" si="295"/>
        <v>700</v>
      </c>
      <c r="L297" s="7">
        <f t="shared" si="295"/>
        <v>800</v>
      </c>
      <c r="M297" s="7">
        <f t="shared" si="295"/>
        <v>900</v>
      </c>
      <c r="N297" s="10"/>
    </row>
    <row r="298">
      <c r="A298" s="13">
        <v>49857.0</v>
      </c>
      <c r="B298" s="12">
        <v>1000.0</v>
      </c>
      <c r="C298" s="7">
        <f t="shared" ref="C298:M298" si="296">$B298*C$2</f>
        <v>50</v>
      </c>
      <c r="D298" s="7">
        <f t="shared" si="296"/>
        <v>100</v>
      </c>
      <c r="E298" s="7">
        <f t="shared" si="296"/>
        <v>150</v>
      </c>
      <c r="F298" s="7">
        <f t="shared" si="296"/>
        <v>200</v>
      </c>
      <c r="G298" s="7">
        <f t="shared" si="296"/>
        <v>300</v>
      </c>
      <c r="H298" s="7">
        <f t="shared" si="296"/>
        <v>400</v>
      </c>
      <c r="I298" s="7">
        <f t="shared" si="296"/>
        <v>500</v>
      </c>
      <c r="J298" s="7">
        <f t="shared" si="296"/>
        <v>600</v>
      </c>
      <c r="K298" s="7">
        <f t="shared" si="296"/>
        <v>700</v>
      </c>
      <c r="L298" s="7">
        <f t="shared" si="296"/>
        <v>800</v>
      </c>
      <c r="M298" s="7">
        <f t="shared" si="296"/>
        <v>900</v>
      </c>
      <c r="N298" s="10"/>
    </row>
    <row r="299">
      <c r="A299" s="13">
        <v>49888.0</v>
      </c>
      <c r="B299" s="12">
        <v>1000.0</v>
      </c>
      <c r="C299" s="7">
        <f t="shared" ref="C299:M299" si="297">$B299*C$2</f>
        <v>50</v>
      </c>
      <c r="D299" s="7">
        <f t="shared" si="297"/>
        <v>100</v>
      </c>
      <c r="E299" s="7">
        <f t="shared" si="297"/>
        <v>150</v>
      </c>
      <c r="F299" s="7">
        <f t="shared" si="297"/>
        <v>200</v>
      </c>
      <c r="G299" s="7">
        <f t="shared" si="297"/>
        <v>300</v>
      </c>
      <c r="H299" s="7">
        <f t="shared" si="297"/>
        <v>400</v>
      </c>
      <c r="I299" s="7">
        <f t="shared" si="297"/>
        <v>500</v>
      </c>
      <c r="J299" s="7">
        <f t="shared" si="297"/>
        <v>600</v>
      </c>
      <c r="K299" s="7">
        <f t="shared" si="297"/>
        <v>700</v>
      </c>
      <c r="L299" s="7">
        <f t="shared" si="297"/>
        <v>800</v>
      </c>
      <c r="M299" s="7">
        <f t="shared" si="297"/>
        <v>900</v>
      </c>
      <c r="N299" s="10"/>
    </row>
    <row r="300">
      <c r="A300" s="13">
        <v>49919.0</v>
      </c>
      <c r="B300" s="12">
        <v>1000.0</v>
      </c>
      <c r="C300" s="7">
        <f t="shared" ref="C300:M300" si="298">$B300*C$2</f>
        <v>50</v>
      </c>
      <c r="D300" s="7">
        <f t="shared" si="298"/>
        <v>100</v>
      </c>
      <c r="E300" s="7">
        <f t="shared" si="298"/>
        <v>150</v>
      </c>
      <c r="F300" s="7">
        <f t="shared" si="298"/>
        <v>200</v>
      </c>
      <c r="G300" s="7">
        <f t="shared" si="298"/>
        <v>300</v>
      </c>
      <c r="H300" s="7">
        <f t="shared" si="298"/>
        <v>400</v>
      </c>
      <c r="I300" s="7">
        <f t="shared" si="298"/>
        <v>500</v>
      </c>
      <c r="J300" s="7">
        <f t="shared" si="298"/>
        <v>600</v>
      </c>
      <c r="K300" s="7">
        <f t="shared" si="298"/>
        <v>700</v>
      </c>
      <c r="L300" s="7">
        <f t="shared" si="298"/>
        <v>800</v>
      </c>
      <c r="M300" s="7">
        <f t="shared" si="298"/>
        <v>900</v>
      </c>
      <c r="N300" s="10"/>
    </row>
    <row r="301">
      <c r="A301" s="13">
        <v>49949.0</v>
      </c>
      <c r="B301" s="12">
        <v>1000.0</v>
      </c>
      <c r="C301" s="7">
        <f t="shared" ref="C301:M301" si="299">$B301*C$2</f>
        <v>50</v>
      </c>
      <c r="D301" s="7">
        <f t="shared" si="299"/>
        <v>100</v>
      </c>
      <c r="E301" s="7">
        <f t="shared" si="299"/>
        <v>150</v>
      </c>
      <c r="F301" s="7">
        <f t="shared" si="299"/>
        <v>200</v>
      </c>
      <c r="G301" s="7">
        <f t="shared" si="299"/>
        <v>300</v>
      </c>
      <c r="H301" s="7">
        <f t="shared" si="299"/>
        <v>400</v>
      </c>
      <c r="I301" s="7">
        <f t="shared" si="299"/>
        <v>500</v>
      </c>
      <c r="J301" s="7">
        <f t="shared" si="299"/>
        <v>600</v>
      </c>
      <c r="K301" s="7">
        <f t="shared" si="299"/>
        <v>700</v>
      </c>
      <c r="L301" s="7">
        <f t="shared" si="299"/>
        <v>800</v>
      </c>
      <c r="M301" s="7">
        <f t="shared" si="299"/>
        <v>900</v>
      </c>
      <c r="N301" s="10"/>
    </row>
    <row r="302">
      <c r="A302" s="13">
        <v>49980.0</v>
      </c>
      <c r="B302" s="12">
        <v>1000.0</v>
      </c>
      <c r="C302" s="7">
        <f t="shared" ref="C302:M302" si="300">$B302*C$2</f>
        <v>50</v>
      </c>
      <c r="D302" s="7">
        <f t="shared" si="300"/>
        <v>100</v>
      </c>
      <c r="E302" s="7">
        <f t="shared" si="300"/>
        <v>150</v>
      </c>
      <c r="F302" s="7">
        <f t="shared" si="300"/>
        <v>200</v>
      </c>
      <c r="G302" s="7">
        <f t="shared" si="300"/>
        <v>300</v>
      </c>
      <c r="H302" s="7">
        <f t="shared" si="300"/>
        <v>400</v>
      </c>
      <c r="I302" s="7">
        <f t="shared" si="300"/>
        <v>500</v>
      </c>
      <c r="J302" s="7">
        <f t="shared" si="300"/>
        <v>600</v>
      </c>
      <c r="K302" s="7">
        <f t="shared" si="300"/>
        <v>700</v>
      </c>
      <c r="L302" s="7">
        <f t="shared" si="300"/>
        <v>800</v>
      </c>
      <c r="M302" s="7">
        <f t="shared" si="300"/>
        <v>900</v>
      </c>
      <c r="N302" s="10"/>
    </row>
    <row r="303">
      <c r="A303" s="14">
        <v>50010.0</v>
      </c>
      <c r="B303" s="12">
        <v>1000.0</v>
      </c>
      <c r="C303" s="7">
        <f t="shared" ref="C303:M303" si="301">$B303*C$2</f>
        <v>50</v>
      </c>
      <c r="D303" s="7">
        <f t="shared" si="301"/>
        <v>100</v>
      </c>
      <c r="E303" s="7">
        <f t="shared" si="301"/>
        <v>150</v>
      </c>
      <c r="F303" s="7">
        <f t="shared" si="301"/>
        <v>200</v>
      </c>
      <c r="G303" s="7">
        <f t="shared" si="301"/>
        <v>300</v>
      </c>
      <c r="H303" s="7">
        <f t="shared" si="301"/>
        <v>400</v>
      </c>
      <c r="I303" s="7">
        <f t="shared" si="301"/>
        <v>500</v>
      </c>
      <c r="J303" s="7">
        <f t="shared" si="301"/>
        <v>600</v>
      </c>
      <c r="K303" s="7">
        <f t="shared" si="301"/>
        <v>700</v>
      </c>
      <c r="L303" s="7">
        <f t="shared" si="301"/>
        <v>800</v>
      </c>
      <c r="M303" s="7">
        <f t="shared" si="301"/>
        <v>900</v>
      </c>
      <c r="N303" s="10"/>
    </row>
    <row r="304">
      <c r="A304" s="13">
        <v>50041.0</v>
      </c>
      <c r="B304" s="12">
        <v>1000.0</v>
      </c>
      <c r="C304" s="7">
        <f t="shared" ref="C304:M304" si="302">$B304*C$2</f>
        <v>50</v>
      </c>
      <c r="D304" s="7">
        <f t="shared" si="302"/>
        <v>100</v>
      </c>
      <c r="E304" s="7">
        <f t="shared" si="302"/>
        <v>150</v>
      </c>
      <c r="F304" s="7">
        <f t="shared" si="302"/>
        <v>200</v>
      </c>
      <c r="G304" s="7">
        <f t="shared" si="302"/>
        <v>300</v>
      </c>
      <c r="H304" s="7">
        <f t="shared" si="302"/>
        <v>400</v>
      </c>
      <c r="I304" s="7">
        <f t="shared" si="302"/>
        <v>500</v>
      </c>
      <c r="J304" s="7">
        <f t="shared" si="302"/>
        <v>600</v>
      </c>
      <c r="K304" s="7">
        <f t="shared" si="302"/>
        <v>700</v>
      </c>
      <c r="L304" s="7">
        <f t="shared" si="302"/>
        <v>800</v>
      </c>
      <c r="M304" s="7">
        <f t="shared" si="302"/>
        <v>900</v>
      </c>
      <c r="N304" s="10"/>
    </row>
    <row r="305">
      <c r="A305" s="13">
        <v>50072.0</v>
      </c>
      <c r="B305" s="12">
        <v>1000.0</v>
      </c>
      <c r="C305" s="7">
        <f t="shared" ref="C305:M305" si="303">$B305*C$2</f>
        <v>50</v>
      </c>
      <c r="D305" s="7">
        <f t="shared" si="303"/>
        <v>100</v>
      </c>
      <c r="E305" s="7">
        <f t="shared" si="303"/>
        <v>150</v>
      </c>
      <c r="F305" s="7">
        <f t="shared" si="303"/>
        <v>200</v>
      </c>
      <c r="G305" s="7">
        <f t="shared" si="303"/>
        <v>300</v>
      </c>
      <c r="H305" s="7">
        <f t="shared" si="303"/>
        <v>400</v>
      </c>
      <c r="I305" s="7">
        <f t="shared" si="303"/>
        <v>500</v>
      </c>
      <c r="J305" s="7">
        <f t="shared" si="303"/>
        <v>600</v>
      </c>
      <c r="K305" s="7">
        <f t="shared" si="303"/>
        <v>700</v>
      </c>
      <c r="L305" s="7">
        <f t="shared" si="303"/>
        <v>800</v>
      </c>
      <c r="M305" s="7">
        <f t="shared" si="303"/>
        <v>900</v>
      </c>
      <c r="N305" s="10"/>
    </row>
    <row r="306">
      <c r="A306" s="13">
        <v>50100.0</v>
      </c>
      <c r="B306" s="12">
        <v>1000.0</v>
      </c>
      <c r="C306" s="7">
        <f t="shared" ref="C306:M306" si="304">$B306*C$2</f>
        <v>50</v>
      </c>
      <c r="D306" s="7">
        <f t="shared" si="304"/>
        <v>100</v>
      </c>
      <c r="E306" s="7">
        <f t="shared" si="304"/>
        <v>150</v>
      </c>
      <c r="F306" s="7">
        <f t="shared" si="304"/>
        <v>200</v>
      </c>
      <c r="G306" s="7">
        <f t="shared" si="304"/>
        <v>300</v>
      </c>
      <c r="H306" s="7">
        <f t="shared" si="304"/>
        <v>400</v>
      </c>
      <c r="I306" s="7">
        <f t="shared" si="304"/>
        <v>500</v>
      </c>
      <c r="J306" s="7">
        <f t="shared" si="304"/>
        <v>600</v>
      </c>
      <c r="K306" s="7">
        <f t="shared" si="304"/>
        <v>700</v>
      </c>
      <c r="L306" s="7">
        <f t="shared" si="304"/>
        <v>800</v>
      </c>
      <c r="M306" s="7">
        <f t="shared" si="304"/>
        <v>900</v>
      </c>
      <c r="N306" s="10"/>
    </row>
    <row r="307">
      <c r="A307" s="13">
        <v>50131.0</v>
      </c>
      <c r="B307" s="12">
        <v>1000.0</v>
      </c>
      <c r="C307" s="7">
        <f t="shared" ref="C307:M307" si="305">$B307*C$2</f>
        <v>50</v>
      </c>
      <c r="D307" s="7">
        <f t="shared" si="305"/>
        <v>100</v>
      </c>
      <c r="E307" s="7">
        <f t="shared" si="305"/>
        <v>150</v>
      </c>
      <c r="F307" s="7">
        <f t="shared" si="305"/>
        <v>200</v>
      </c>
      <c r="G307" s="7">
        <f t="shared" si="305"/>
        <v>300</v>
      </c>
      <c r="H307" s="7">
        <f t="shared" si="305"/>
        <v>400</v>
      </c>
      <c r="I307" s="7">
        <f t="shared" si="305"/>
        <v>500</v>
      </c>
      <c r="J307" s="7">
        <f t="shared" si="305"/>
        <v>600</v>
      </c>
      <c r="K307" s="7">
        <f t="shared" si="305"/>
        <v>700</v>
      </c>
      <c r="L307" s="7">
        <f t="shared" si="305"/>
        <v>800</v>
      </c>
      <c r="M307" s="7">
        <f t="shared" si="305"/>
        <v>900</v>
      </c>
      <c r="N307" s="10"/>
    </row>
    <row r="308">
      <c r="A308" s="13">
        <v>50161.0</v>
      </c>
      <c r="B308" s="12">
        <v>1000.0</v>
      </c>
      <c r="C308" s="7">
        <f t="shared" ref="C308:M308" si="306">$B308*C$2</f>
        <v>50</v>
      </c>
      <c r="D308" s="7">
        <f t="shared" si="306"/>
        <v>100</v>
      </c>
      <c r="E308" s="7">
        <f t="shared" si="306"/>
        <v>150</v>
      </c>
      <c r="F308" s="7">
        <f t="shared" si="306"/>
        <v>200</v>
      </c>
      <c r="G308" s="7">
        <f t="shared" si="306"/>
        <v>300</v>
      </c>
      <c r="H308" s="7">
        <f t="shared" si="306"/>
        <v>400</v>
      </c>
      <c r="I308" s="7">
        <f t="shared" si="306"/>
        <v>500</v>
      </c>
      <c r="J308" s="7">
        <f t="shared" si="306"/>
        <v>600</v>
      </c>
      <c r="K308" s="7">
        <f t="shared" si="306"/>
        <v>700</v>
      </c>
      <c r="L308" s="7">
        <f t="shared" si="306"/>
        <v>800</v>
      </c>
      <c r="M308" s="7">
        <f t="shared" si="306"/>
        <v>900</v>
      </c>
      <c r="N308" s="10"/>
    </row>
    <row r="309">
      <c r="A309" s="13">
        <v>50192.0</v>
      </c>
      <c r="B309" s="12">
        <v>1000.0</v>
      </c>
      <c r="C309" s="7">
        <f t="shared" ref="C309:M309" si="307">$B309*C$2</f>
        <v>50</v>
      </c>
      <c r="D309" s="7">
        <f t="shared" si="307"/>
        <v>100</v>
      </c>
      <c r="E309" s="7">
        <f t="shared" si="307"/>
        <v>150</v>
      </c>
      <c r="F309" s="7">
        <f t="shared" si="307"/>
        <v>200</v>
      </c>
      <c r="G309" s="7">
        <f t="shared" si="307"/>
        <v>300</v>
      </c>
      <c r="H309" s="7">
        <f t="shared" si="307"/>
        <v>400</v>
      </c>
      <c r="I309" s="7">
        <f t="shared" si="307"/>
        <v>500</v>
      </c>
      <c r="J309" s="7">
        <f t="shared" si="307"/>
        <v>600</v>
      </c>
      <c r="K309" s="7">
        <f t="shared" si="307"/>
        <v>700</v>
      </c>
      <c r="L309" s="7">
        <f t="shared" si="307"/>
        <v>800</v>
      </c>
      <c r="M309" s="7">
        <f t="shared" si="307"/>
        <v>900</v>
      </c>
      <c r="N309" s="10"/>
    </row>
    <row r="310">
      <c r="A310" s="13">
        <v>50222.0</v>
      </c>
      <c r="B310" s="12">
        <v>1000.0</v>
      </c>
      <c r="C310" s="7">
        <f t="shared" ref="C310:M310" si="308">$B310*C$2</f>
        <v>50</v>
      </c>
      <c r="D310" s="7">
        <f t="shared" si="308"/>
        <v>100</v>
      </c>
      <c r="E310" s="7">
        <f t="shared" si="308"/>
        <v>150</v>
      </c>
      <c r="F310" s="7">
        <f t="shared" si="308"/>
        <v>200</v>
      </c>
      <c r="G310" s="7">
        <f t="shared" si="308"/>
        <v>300</v>
      </c>
      <c r="H310" s="7">
        <f t="shared" si="308"/>
        <v>400</v>
      </c>
      <c r="I310" s="7">
        <f t="shared" si="308"/>
        <v>500</v>
      </c>
      <c r="J310" s="7">
        <f t="shared" si="308"/>
        <v>600</v>
      </c>
      <c r="K310" s="7">
        <f t="shared" si="308"/>
        <v>700</v>
      </c>
      <c r="L310" s="7">
        <f t="shared" si="308"/>
        <v>800</v>
      </c>
      <c r="M310" s="7">
        <f t="shared" si="308"/>
        <v>900</v>
      </c>
      <c r="N310" s="10"/>
    </row>
    <row r="311">
      <c r="A311" s="13">
        <v>50253.0</v>
      </c>
      <c r="B311" s="12">
        <v>1000.0</v>
      </c>
      <c r="C311" s="7">
        <f t="shared" ref="C311:M311" si="309">$B311*C$2</f>
        <v>50</v>
      </c>
      <c r="D311" s="7">
        <f t="shared" si="309"/>
        <v>100</v>
      </c>
      <c r="E311" s="7">
        <f t="shared" si="309"/>
        <v>150</v>
      </c>
      <c r="F311" s="7">
        <f t="shared" si="309"/>
        <v>200</v>
      </c>
      <c r="G311" s="7">
        <f t="shared" si="309"/>
        <v>300</v>
      </c>
      <c r="H311" s="7">
        <f t="shared" si="309"/>
        <v>400</v>
      </c>
      <c r="I311" s="7">
        <f t="shared" si="309"/>
        <v>500</v>
      </c>
      <c r="J311" s="7">
        <f t="shared" si="309"/>
        <v>600</v>
      </c>
      <c r="K311" s="7">
        <f t="shared" si="309"/>
        <v>700</v>
      </c>
      <c r="L311" s="7">
        <f t="shared" si="309"/>
        <v>800</v>
      </c>
      <c r="M311" s="7">
        <f t="shared" si="309"/>
        <v>900</v>
      </c>
      <c r="N311" s="10"/>
    </row>
    <row r="312">
      <c r="A312" s="13">
        <v>50284.0</v>
      </c>
      <c r="B312" s="12">
        <v>1000.0</v>
      </c>
      <c r="C312" s="7">
        <f t="shared" ref="C312:M312" si="310">$B312*C$2</f>
        <v>50</v>
      </c>
      <c r="D312" s="7">
        <f t="shared" si="310"/>
        <v>100</v>
      </c>
      <c r="E312" s="7">
        <f t="shared" si="310"/>
        <v>150</v>
      </c>
      <c r="F312" s="7">
        <f t="shared" si="310"/>
        <v>200</v>
      </c>
      <c r="G312" s="7">
        <f t="shared" si="310"/>
        <v>300</v>
      </c>
      <c r="H312" s="7">
        <f t="shared" si="310"/>
        <v>400</v>
      </c>
      <c r="I312" s="7">
        <f t="shared" si="310"/>
        <v>500</v>
      </c>
      <c r="J312" s="7">
        <f t="shared" si="310"/>
        <v>600</v>
      </c>
      <c r="K312" s="7">
        <f t="shared" si="310"/>
        <v>700</v>
      </c>
      <c r="L312" s="7">
        <f t="shared" si="310"/>
        <v>800</v>
      </c>
      <c r="M312" s="7">
        <f t="shared" si="310"/>
        <v>900</v>
      </c>
      <c r="N312" s="10"/>
    </row>
    <row r="313">
      <c r="A313" s="13">
        <v>50314.0</v>
      </c>
      <c r="B313" s="12">
        <v>1000.0</v>
      </c>
      <c r="C313" s="7">
        <f t="shared" ref="C313:M313" si="311">$B313*C$2</f>
        <v>50</v>
      </c>
      <c r="D313" s="7">
        <f t="shared" si="311"/>
        <v>100</v>
      </c>
      <c r="E313" s="7">
        <f t="shared" si="311"/>
        <v>150</v>
      </c>
      <c r="F313" s="7">
        <f t="shared" si="311"/>
        <v>200</v>
      </c>
      <c r="G313" s="7">
        <f t="shared" si="311"/>
        <v>300</v>
      </c>
      <c r="H313" s="7">
        <f t="shared" si="311"/>
        <v>400</v>
      </c>
      <c r="I313" s="7">
        <f t="shared" si="311"/>
        <v>500</v>
      </c>
      <c r="J313" s="7">
        <f t="shared" si="311"/>
        <v>600</v>
      </c>
      <c r="K313" s="7">
        <f t="shared" si="311"/>
        <v>700</v>
      </c>
      <c r="L313" s="7">
        <f t="shared" si="311"/>
        <v>800</v>
      </c>
      <c r="M313" s="7">
        <f t="shared" si="311"/>
        <v>900</v>
      </c>
      <c r="N313" s="10"/>
    </row>
    <row r="314">
      <c r="A314" s="13">
        <v>50345.0</v>
      </c>
      <c r="B314" s="12">
        <v>1000.0</v>
      </c>
      <c r="C314" s="7">
        <f t="shared" ref="C314:M314" si="312">$B314*C$2</f>
        <v>50</v>
      </c>
      <c r="D314" s="7">
        <f t="shared" si="312"/>
        <v>100</v>
      </c>
      <c r="E314" s="7">
        <f t="shared" si="312"/>
        <v>150</v>
      </c>
      <c r="F314" s="7">
        <f t="shared" si="312"/>
        <v>200</v>
      </c>
      <c r="G314" s="7">
        <f t="shared" si="312"/>
        <v>300</v>
      </c>
      <c r="H314" s="7">
        <f t="shared" si="312"/>
        <v>400</v>
      </c>
      <c r="I314" s="7">
        <f t="shared" si="312"/>
        <v>500</v>
      </c>
      <c r="J314" s="7">
        <f t="shared" si="312"/>
        <v>600</v>
      </c>
      <c r="K314" s="7">
        <f t="shared" si="312"/>
        <v>700</v>
      </c>
      <c r="L314" s="7">
        <f t="shared" si="312"/>
        <v>800</v>
      </c>
      <c r="M314" s="7">
        <f t="shared" si="312"/>
        <v>900</v>
      </c>
      <c r="N314" s="10"/>
    </row>
    <row r="315">
      <c r="A315" s="14">
        <v>50375.0</v>
      </c>
      <c r="B315" s="12">
        <v>1000.0</v>
      </c>
      <c r="C315" s="7">
        <f t="shared" ref="C315:M315" si="313">$B315*C$2</f>
        <v>50</v>
      </c>
      <c r="D315" s="7">
        <f t="shared" si="313"/>
        <v>100</v>
      </c>
      <c r="E315" s="7">
        <f t="shared" si="313"/>
        <v>150</v>
      </c>
      <c r="F315" s="7">
        <f t="shared" si="313"/>
        <v>200</v>
      </c>
      <c r="G315" s="7">
        <f t="shared" si="313"/>
        <v>300</v>
      </c>
      <c r="H315" s="7">
        <f t="shared" si="313"/>
        <v>400</v>
      </c>
      <c r="I315" s="7">
        <f t="shared" si="313"/>
        <v>500</v>
      </c>
      <c r="J315" s="7">
        <f t="shared" si="313"/>
        <v>600</v>
      </c>
      <c r="K315" s="7">
        <f t="shared" si="313"/>
        <v>700</v>
      </c>
      <c r="L315" s="7">
        <f t="shared" si="313"/>
        <v>800</v>
      </c>
      <c r="M315" s="7">
        <f t="shared" si="313"/>
        <v>900</v>
      </c>
      <c r="N315" s="10"/>
    </row>
    <row r="316">
      <c r="A316" s="13">
        <v>50406.0</v>
      </c>
      <c r="B316" s="12">
        <v>1000.0</v>
      </c>
      <c r="C316" s="7">
        <f t="shared" ref="C316:M316" si="314">$B316*C$2</f>
        <v>50</v>
      </c>
      <c r="D316" s="7">
        <f t="shared" si="314"/>
        <v>100</v>
      </c>
      <c r="E316" s="7">
        <f t="shared" si="314"/>
        <v>150</v>
      </c>
      <c r="F316" s="7">
        <f t="shared" si="314"/>
        <v>200</v>
      </c>
      <c r="G316" s="7">
        <f t="shared" si="314"/>
        <v>300</v>
      </c>
      <c r="H316" s="7">
        <f t="shared" si="314"/>
        <v>400</v>
      </c>
      <c r="I316" s="7">
        <f t="shared" si="314"/>
        <v>500</v>
      </c>
      <c r="J316" s="7">
        <f t="shared" si="314"/>
        <v>600</v>
      </c>
      <c r="K316" s="7">
        <f t="shared" si="314"/>
        <v>700</v>
      </c>
      <c r="L316" s="7">
        <f t="shared" si="314"/>
        <v>800</v>
      </c>
      <c r="M316" s="7">
        <f t="shared" si="314"/>
        <v>900</v>
      </c>
      <c r="N316" s="10"/>
    </row>
    <row r="317">
      <c r="A317" s="13">
        <v>50437.0</v>
      </c>
      <c r="B317" s="12">
        <v>1000.0</v>
      </c>
      <c r="C317" s="7">
        <f t="shared" ref="C317:M317" si="315">$B317*C$2</f>
        <v>50</v>
      </c>
      <c r="D317" s="7">
        <f t="shared" si="315"/>
        <v>100</v>
      </c>
      <c r="E317" s="7">
        <f t="shared" si="315"/>
        <v>150</v>
      </c>
      <c r="F317" s="7">
        <f t="shared" si="315"/>
        <v>200</v>
      </c>
      <c r="G317" s="7">
        <f t="shared" si="315"/>
        <v>300</v>
      </c>
      <c r="H317" s="7">
        <f t="shared" si="315"/>
        <v>400</v>
      </c>
      <c r="I317" s="7">
        <f t="shared" si="315"/>
        <v>500</v>
      </c>
      <c r="J317" s="7">
        <f t="shared" si="315"/>
        <v>600</v>
      </c>
      <c r="K317" s="7">
        <f t="shared" si="315"/>
        <v>700</v>
      </c>
      <c r="L317" s="7">
        <f t="shared" si="315"/>
        <v>800</v>
      </c>
      <c r="M317" s="7">
        <f t="shared" si="315"/>
        <v>900</v>
      </c>
      <c r="N317" s="10"/>
    </row>
    <row r="318">
      <c r="A318" s="13">
        <v>50465.0</v>
      </c>
      <c r="B318" s="12">
        <v>1000.0</v>
      </c>
      <c r="C318" s="7">
        <f t="shared" ref="C318:M318" si="316">$B318*C$2</f>
        <v>50</v>
      </c>
      <c r="D318" s="7">
        <f t="shared" si="316"/>
        <v>100</v>
      </c>
      <c r="E318" s="7">
        <f t="shared" si="316"/>
        <v>150</v>
      </c>
      <c r="F318" s="7">
        <f t="shared" si="316"/>
        <v>200</v>
      </c>
      <c r="G318" s="7">
        <f t="shared" si="316"/>
        <v>300</v>
      </c>
      <c r="H318" s="7">
        <f t="shared" si="316"/>
        <v>400</v>
      </c>
      <c r="I318" s="7">
        <f t="shared" si="316"/>
        <v>500</v>
      </c>
      <c r="J318" s="7">
        <f t="shared" si="316"/>
        <v>600</v>
      </c>
      <c r="K318" s="7">
        <f t="shared" si="316"/>
        <v>700</v>
      </c>
      <c r="L318" s="7">
        <f t="shared" si="316"/>
        <v>800</v>
      </c>
      <c r="M318" s="7">
        <f t="shared" si="316"/>
        <v>900</v>
      </c>
      <c r="N318" s="10"/>
    </row>
    <row r="319">
      <c r="A319" s="13">
        <v>50496.0</v>
      </c>
      <c r="B319" s="12">
        <v>1000.0</v>
      </c>
      <c r="C319" s="7">
        <f t="shared" ref="C319:M319" si="317">$B319*C$2</f>
        <v>50</v>
      </c>
      <c r="D319" s="7">
        <f t="shared" si="317"/>
        <v>100</v>
      </c>
      <c r="E319" s="7">
        <f t="shared" si="317"/>
        <v>150</v>
      </c>
      <c r="F319" s="7">
        <f t="shared" si="317"/>
        <v>200</v>
      </c>
      <c r="G319" s="7">
        <f t="shared" si="317"/>
        <v>300</v>
      </c>
      <c r="H319" s="7">
        <f t="shared" si="317"/>
        <v>400</v>
      </c>
      <c r="I319" s="7">
        <f t="shared" si="317"/>
        <v>500</v>
      </c>
      <c r="J319" s="7">
        <f t="shared" si="317"/>
        <v>600</v>
      </c>
      <c r="K319" s="7">
        <f t="shared" si="317"/>
        <v>700</v>
      </c>
      <c r="L319" s="7">
        <f t="shared" si="317"/>
        <v>800</v>
      </c>
      <c r="M319" s="7">
        <f t="shared" si="317"/>
        <v>900</v>
      </c>
      <c r="N319" s="10"/>
    </row>
    <row r="320">
      <c r="A320" s="13">
        <v>50526.0</v>
      </c>
      <c r="B320" s="12">
        <v>1000.0</v>
      </c>
      <c r="C320" s="7">
        <f t="shared" ref="C320:M320" si="318">$B320*C$2</f>
        <v>50</v>
      </c>
      <c r="D320" s="7">
        <f t="shared" si="318"/>
        <v>100</v>
      </c>
      <c r="E320" s="7">
        <f t="shared" si="318"/>
        <v>150</v>
      </c>
      <c r="F320" s="7">
        <f t="shared" si="318"/>
        <v>200</v>
      </c>
      <c r="G320" s="7">
        <f t="shared" si="318"/>
        <v>300</v>
      </c>
      <c r="H320" s="7">
        <f t="shared" si="318"/>
        <v>400</v>
      </c>
      <c r="I320" s="7">
        <f t="shared" si="318"/>
        <v>500</v>
      </c>
      <c r="J320" s="7">
        <f t="shared" si="318"/>
        <v>600</v>
      </c>
      <c r="K320" s="7">
        <f t="shared" si="318"/>
        <v>700</v>
      </c>
      <c r="L320" s="7">
        <f t="shared" si="318"/>
        <v>800</v>
      </c>
      <c r="M320" s="7">
        <f t="shared" si="318"/>
        <v>900</v>
      </c>
      <c r="N320" s="10"/>
    </row>
    <row r="321">
      <c r="A321" s="13">
        <v>50557.0</v>
      </c>
      <c r="B321" s="12">
        <v>1000.0</v>
      </c>
      <c r="C321" s="7">
        <f t="shared" ref="C321:M321" si="319">$B321*C$2</f>
        <v>50</v>
      </c>
      <c r="D321" s="7">
        <f t="shared" si="319"/>
        <v>100</v>
      </c>
      <c r="E321" s="7">
        <f t="shared" si="319"/>
        <v>150</v>
      </c>
      <c r="F321" s="7">
        <f t="shared" si="319"/>
        <v>200</v>
      </c>
      <c r="G321" s="7">
        <f t="shared" si="319"/>
        <v>300</v>
      </c>
      <c r="H321" s="7">
        <f t="shared" si="319"/>
        <v>400</v>
      </c>
      <c r="I321" s="7">
        <f t="shared" si="319"/>
        <v>500</v>
      </c>
      <c r="J321" s="7">
        <f t="shared" si="319"/>
        <v>600</v>
      </c>
      <c r="K321" s="7">
        <f t="shared" si="319"/>
        <v>700</v>
      </c>
      <c r="L321" s="7">
        <f t="shared" si="319"/>
        <v>800</v>
      </c>
      <c r="M321" s="7">
        <f t="shared" si="319"/>
        <v>900</v>
      </c>
      <c r="N321" s="10"/>
    </row>
    <row r="322">
      <c r="A322" s="13">
        <v>50587.0</v>
      </c>
      <c r="B322" s="12">
        <v>1000.0</v>
      </c>
      <c r="C322" s="7">
        <f t="shared" ref="C322:M322" si="320">$B322*C$2</f>
        <v>50</v>
      </c>
      <c r="D322" s="7">
        <f t="shared" si="320"/>
        <v>100</v>
      </c>
      <c r="E322" s="7">
        <f t="shared" si="320"/>
        <v>150</v>
      </c>
      <c r="F322" s="7">
        <f t="shared" si="320"/>
        <v>200</v>
      </c>
      <c r="G322" s="7">
        <f t="shared" si="320"/>
        <v>300</v>
      </c>
      <c r="H322" s="7">
        <f t="shared" si="320"/>
        <v>400</v>
      </c>
      <c r="I322" s="7">
        <f t="shared" si="320"/>
        <v>500</v>
      </c>
      <c r="J322" s="7">
        <f t="shared" si="320"/>
        <v>600</v>
      </c>
      <c r="K322" s="7">
        <f t="shared" si="320"/>
        <v>700</v>
      </c>
      <c r="L322" s="7">
        <f t="shared" si="320"/>
        <v>800</v>
      </c>
      <c r="M322" s="7">
        <f t="shared" si="320"/>
        <v>900</v>
      </c>
      <c r="N322" s="10"/>
    </row>
    <row r="323">
      <c r="A323" s="13">
        <v>50618.0</v>
      </c>
      <c r="B323" s="12">
        <v>1000.0</v>
      </c>
      <c r="C323" s="7">
        <f t="shared" ref="C323:M323" si="321">$B323*C$2</f>
        <v>50</v>
      </c>
      <c r="D323" s="7">
        <f t="shared" si="321"/>
        <v>100</v>
      </c>
      <c r="E323" s="7">
        <f t="shared" si="321"/>
        <v>150</v>
      </c>
      <c r="F323" s="7">
        <f t="shared" si="321"/>
        <v>200</v>
      </c>
      <c r="G323" s="7">
        <f t="shared" si="321"/>
        <v>300</v>
      </c>
      <c r="H323" s="7">
        <f t="shared" si="321"/>
        <v>400</v>
      </c>
      <c r="I323" s="7">
        <f t="shared" si="321"/>
        <v>500</v>
      </c>
      <c r="J323" s="7">
        <f t="shared" si="321"/>
        <v>600</v>
      </c>
      <c r="K323" s="7">
        <f t="shared" si="321"/>
        <v>700</v>
      </c>
      <c r="L323" s="7">
        <f t="shared" si="321"/>
        <v>800</v>
      </c>
      <c r="M323" s="7">
        <f t="shared" si="321"/>
        <v>900</v>
      </c>
      <c r="N323" s="10"/>
    </row>
    <row r="324">
      <c r="A324" s="13">
        <v>50649.0</v>
      </c>
      <c r="B324" s="12">
        <v>1000.0</v>
      </c>
      <c r="C324" s="7">
        <f t="shared" ref="C324:M324" si="322">$B324*C$2</f>
        <v>50</v>
      </c>
      <c r="D324" s="7">
        <f t="shared" si="322"/>
        <v>100</v>
      </c>
      <c r="E324" s="7">
        <f t="shared" si="322"/>
        <v>150</v>
      </c>
      <c r="F324" s="7">
        <f t="shared" si="322"/>
        <v>200</v>
      </c>
      <c r="G324" s="7">
        <f t="shared" si="322"/>
        <v>300</v>
      </c>
      <c r="H324" s="7">
        <f t="shared" si="322"/>
        <v>400</v>
      </c>
      <c r="I324" s="7">
        <f t="shared" si="322"/>
        <v>500</v>
      </c>
      <c r="J324" s="7">
        <f t="shared" si="322"/>
        <v>600</v>
      </c>
      <c r="K324" s="7">
        <f t="shared" si="322"/>
        <v>700</v>
      </c>
      <c r="L324" s="7">
        <f t="shared" si="322"/>
        <v>800</v>
      </c>
      <c r="M324" s="7">
        <f t="shared" si="322"/>
        <v>900</v>
      </c>
      <c r="N324" s="10"/>
    </row>
    <row r="325">
      <c r="A325" s="13">
        <v>50679.0</v>
      </c>
      <c r="B325" s="12">
        <v>1000.0</v>
      </c>
      <c r="C325" s="7">
        <f t="shared" ref="C325:M325" si="323">$B325*C$2</f>
        <v>50</v>
      </c>
      <c r="D325" s="7">
        <f t="shared" si="323"/>
        <v>100</v>
      </c>
      <c r="E325" s="7">
        <f t="shared" si="323"/>
        <v>150</v>
      </c>
      <c r="F325" s="7">
        <f t="shared" si="323"/>
        <v>200</v>
      </c>
      <c r="G325" s="7">
        <f t="shared" si="323"/>
        <v>300</v>
      </c>
      <c r="H325" s="7">
        <f t="shared" si="323"/>
        <v>400</v>
      </c>
      <c r="I325" s="7">
        <f t="shared" si="323"/>
        <v>500</v>
      </c>
      <c r="J325" s="7">
        <f t="shared" si="323"/>
        <v>600</v>
      </c>
      <c r="K325" s="7">
        <f t="shared" si="323"/>
        <v>700</v>
      </c>
      <c r="L325" s="7">
        <f t="shared" si="323"/>
        <v>800</v>
      </c>
      <c r="M325" s="7">
        <f t="shared" si="323"/>
        <v>900</v>
      </c>
      <c r="N325" s="10"/>
    </row>
    <row r="326">
      <c r="A326" s="13">
        <v>50710.0</v>
      </c>
      <c r="B326" s="12">
        <v>1000.0</v>
      </c>
      <c r="C326" s="7">
        <f t="shared" ref="C326:M326" si="324">$B326*C$2</f>
        <v>50</v>
      </c>
      <c r="D326" s="7">
        <f t="shared" si="324"/>
        <v>100</v>
      </c>
      <c r="E326" s="7">
        <f t="shared" si="324"/>
        <v>150</v>
      </c>
      <c r="F326" s="7">
        <f t="shared" si="324"/>
        <v>200</v>
      </c>
      <c r="G326" s="7">
        <f t="shared" si="324"/>
        <v>300</v>
      </c>
      <c r="H326" s="7">
        <f t="shared" si="324"/>
        <v>400</v>
      </c>
      <c r="I326" s="7">
        <f t="shared" si="324"/>
        <v>500</v>
      </c>
      <c r="J326" s="7">
        <f t="shared" si="324"/>
        <v>600</v>
      </c>
      <c r="K326" s="7">
        <f t="shared" si="324"/>
        <v>700</v>
      </c>
      <c r="L326" s="7">
        <f t="shared" si="324"/>
        <v>800</v>
      </c>
      <c r="M326" s="7">
        <f t="shared" si="324"/>
        <v>900</v>
      </c>
      <c r="N326" s="10"/>
    </row>
    <row r="327">
      <c r="A327" s="14">
        <v>50740.0</v>
      </c>
      <c r="B327" s="12">
        <v>1000.0</v>
      </c>
      <c r="C327" s="7">
        <f t="shared" ref="C327:M327" si="325">$B327*C$2</f>
        <v>50</v>
      </c>
      <c r="D327" s="7">
        <f t="shared" si="325"/>
        <v>100</v>
      </c>
      <c r="E327" s="7">
        <f t="shared" si="325"/>
        <v>150</v>
      </c>
      <c r="F327" s="7">
        <f t="shared" si="325"/>
        <v>200</v>
      </c>
      <c r="G327" s="7">
        <f t="shared" si="325"/>
        <v>300</v>
      </c>
      <c r="H327" s="7">
        <f t="shared" si="325"/>
        <v>400</v>
      </c>
      <c r="I327" s="7">
        <f t="shared" si="325"/>
        <v>500</v>
      </c>
      <c r="J327" s="7">
        <f t="shared" si="325"/>
        <v>600</v>
      </c>
      <c r="K327" s="7">
        <f t="shared" si="325"/>
        <v>700</v>
      </c>
      <c r="L327" s="7">
        <f t="shared" si="325"/>
        <v>800</v>
      </c>
      <c r="M327" s="7">
        <f t="shared" si="325"/>
        <v>900</v>
      </c>
      <c r="N327" s="10"/>
    </row>
    <row r="328">
      <c r="A328" s="13">
        <v>50771.0</v>
      </c>
      <c r="B328" s="12">
        <v>1000.0</v>
      </c>
      <c r="C328" s="7">
        <f t="shared" ref="C328:M328" si="326">$B328*C$2</f>
        <v>50</v>
      </c>
      <c r="D328" s="7">
        <f t="shared" si="326"/>
        <v>100</v>
      </c>
      <c r="E328" s="7">
        <f t="shared" si="326"/>
        <v>150</v>
      </c>
      <c r="F328" s="7">
        <f t="shared" si="326"/>
        <v>200</v>
      </c>
      <c r="G328" s="7">
        <f t="shared" si="326"/>
        <v>300</v>
      </c>
      <c r="H328" s="7">
        <f t="shared" si="326"/>
        <v>400</v>
      </c>
      <c r="I328" s="7">
        <f t="shared" si="326"/>
        <v>500</v>
      </c>
      <c r="J328" s="7">
        <f t="shared" si="326"/>
        <v>600</v>
      </c>
      <c r="K328" s="7">
        <f t="shared" si="326"/>
        <v>700</v>
      </c>
      <c r="L328" s="7">
        <f t="shared" si="326"/>
        <v>800</v>
      </c>
      <c r="M328" s="7">
        <f t="shared" si="326"/>
        <v>900</v>
      </c>
      <c r="N328" s="10"/>
    </row>
    <row r="329">
      <c r="A329" s="13">
        <v>50802.0</v>
      </c>
      <c r="B329" s="12">
        <v>1000.0</v>
      </c>
      <c r="C329" s="7">
        <f t="shared" ref="C329:M329" si="327">$B329*C$2</f>
        <v>50</v>
      </c>
      <c r="D329" s="7">
        <f t="shared" si="327"/>
        <v>100</v>
      </c>
      <c r="E329" s="7">
        <f t="shared" si="327"/>
        <v>150</v>
      </c>
      <c r="F329" s="7">
        <f t="shared" si="327"/>
        <v>200</v>
      </c>
      <c r="G329" s="7">
        <f t="shared" si="327"/>
        <v>300</v>
      </c>
      <c r="H329" s="7">
        <f t="shared" si="327"/>
        <v>400</v>
      </c>
      <c r="I329" s="7">
        <f t="shared" si="327"/>
        <v>500</v>
      </c>
      <c r="J329" s="7">
        <f t="shared" si="327"/>
        <v>600</v>
      </c>
      <c r="K329" s="7">
        <f t="shared" si="327"/>
        <v>700</v>
      </c>
      <c r="L329" s="7">
        <f t="shared" si="327"/>
        <v>800</v>
      </c>
      <c r="M329" s="7">
        <f t="shared" si="327"/>
        <v>900</v>
      </c>
      <c r="N329" s="10"/>
    </row>
    <row r="330">
      <c r="A330" s="13">
        <v>50830.0</v>
      </c>
      <c r="B330" s="12">
        <v>1000.0</v>
      </c>
      <c r="C330" s="7">
        <f t="shared" ref="C330:M330" si="328">$B330*C$2</f>
        <v>50</v>
      </c>
      <c r="D330" s="7">
        <f t="shared" si="328"/>
        <v>100</v>
      </c>
      <c r="E330" s="7">
        <f t="shared" si="328"/>
        <v>150</v>
      </c>
      <c r="F330" s="7">
        <f t="shared" si="328"/>
        <v>200</v>
      </c>
      <c r="G330" s="7">
        <f t="shared" si="328"/>
        <v>300</v>
      </c>
      <c r="H330" s="7">
        <f t="shared" si="328"/>
        <v>400</v>
      </c>
      <c r="I330" s="7">
        <f t="shared" si="328"/>
        <v>500</v>
      </c>
      <c r="J330" s="7">
        <f t="shared" si="328"/>
        <v>600</v>
      </c>
      <c r="K330" s="7">
        <f t="shared" si="328"/>
        <v>700</v>
      </c>
      <c r="L330" s="7">
        <f t="shared" si="328"/>
        <v>800</v>
      </c>
      <c r="M330" s="7">
        <f t="shared" si="328"/>
        <v>900</v>
      </c>
      <c r="N330" s="10"/>
    </row>
    <row r="331">
      <c r="A331" s="13">
        <v>50861.0</v>
      </c>
      <c r="B331" s="12">
        <v>1000.0</v>
      </c>
      <c r="C331" s="7">
        <f t="shared" ref="C331:M331" si="329">$B331*C$2</f>
        <v>50</v>
      </c>
      <c r="D331" s="7">
        <f t="shared" si="329"/>
        <v>100</v>
      </c>
      <c r="E331" s="7">
        <f t="shared" si="329"/>
        <v>150</v>
      </c>
      <c r="F331" s="7">
        <f t="shared" si="329"/>
        <v>200</v>
      </c>
      <c r="G331" s="7">
        <f t="shared" si="329"/>
        <v>300</v>
      </c>
      <c r="H331" s="7">
        <f t="shared" si="329"/>
        <v>400</v>
      </c>
      <c r="I331" s="7">
        <f t="shared" si="329"/>
        <v>500</v>
      </c>
      <c r="J331" s="7">
        <f t="shared" si="329"/>
        <v>600</v>
      </c>
      <c r="K331" s="7">
        <f t="shared" si="329"/>
        <v>700</v>
      </c>
      <c r="L331" s="7">
        <f t="shared" si="329"/>
        <v>800</v>
      </c>
      <c r="M331" s="7">
        <f t="shared" si="329"/>
        <v>900</v>
      </c>
      <c r="N331" s="10"/>
    </row>
    <row r="332">
      <c r="A332" s="13">
        <v>50891.0</v>
      </c>
      <c r="B332" s="12">
        <v>1000.0</v>
      </c>
      <c r="C332" s="7">
        <f t="shared" ref="C332:M332" si="330">$B332*C$2</f>
        <v>50</v>
      </c>
      <c r="D332" s="7">
        <f t="shared" si="330"/>
        <v>100</v>
      </c>
      <c r="E332" s="7">
        <f t="shared" si="330"/>
        <v>150</v>
      </c>
      <c r="F332" s="7">
        <f t="shared" si="330"/>
        <v>200</v>
      </c>
      <c r="G332" s="7">
        <f t="shared" si="330"/>
        <v>300</v>
      </c>
      <c r="H332" s="7">
        <f t="shared" si="330"/>
        <v>400</v>
      </c>
      <c r="I332" s="7">
        <f t="shared" si="330"/>
        <v>500</v>
      </c>
      <c r="J332" s="7">
        <f t="shared" si="330"/>
        <v>600</v>
      </c>
      <c r="K332" s="7">
        <f t="shared" si="330"/>
        <v>700</v>
      </c>
      <c r="L332" s="7">
        <f t="shared" si="330"/>
        <v>800</v>
      </c>
      <c r="M332" s="7">
        <f t="shared" si="330"/>
        <v>900</v>
      </c>
      <c r="N332" s="10"/>
    </row>
    <row r="333">
      <c r="A333" s="13">
        <v>50922.0</v>
      </c>
      <c r="B333" s="12">
        <v>1000.0</v>
      </c>
      <c r="C333" s="7">
        <f t="shared" ref="C333:M333" si="331">$B333*C$2</f>
        <v>50</v>
      </c>
      <c r="D333" s="7">
        <f t="shared" si="331"/>
        <v>100</v>
      </c>
      <c r="E333" s="7">
        <f t="shared" si="331"/>
        <v>150</v>
      </c>
      <c r="F333" s="7">
        <f t="shared" si="331"/>
        <v>200</v>
      </c>
      <c r="G333" s="7">
        <f t="shared" si="331"/>
        <v>300</v>
      </c>
      <c r="H333" s="7">
        <f t="shared" si="331"/>
        <v>400</v>
      </c>
      <c r="I333" s="7">
        <f t="shared" si="331"/>
        <v>500</v>
      </c>
      <c r="J333" s="7">
        <f t="shared" si="331"/>
        <v>600</v>
      </c>
      <c r="K333" s="7">
        <f t="shared" si="331"/>
        <v>700</v>
      </c>
      <c r="L333" s="7">
        <f t="shared" si="331"/>
        <v>800</v>
      </c>
      <c r="M333" s="7">
        <f t="shared" si="331"/>
        <v>900</v>
      </c>
      <c r="N333" s="10"/>
    </row>
    <row r="334">
      <c r="A334" s="13">
        <v>50952.0</v>
      </c>
      <c r="B334" s="12">
        <v>1000.0</v>
      </c>
      <c r="C334" s="7">
        <f t="shared" ref="C334:M334" si="332">$B334*C$2</f>
        <v>50</v>
      </c>
      <c r="D334" s="7">
        <f t="shared" si="332"/>
        <v>100</v>
      </c>
      <c r="E334" s="7">
        <f t="shared" si="332"/>
        <v>150</v>
      </c>
      <c r="F334" s="7">
        <f t="shared" si="332"/>
        <v>200</v>
      </c>
      <c r="G334" s="7">
        <f t="shared" si="332"/>
        <v>300</v>
      </c>
      <c r="H334" s="7">
        <f t="shared" si="332"/>
        <v>400</v>
      </c>
      <c r="I334" s="7">
        <f t="shared" si="332"/>
        <v>500</v>
      </c>
      <c r="J334" s="7">
        <f t="shared" si="332"/>
        <v>600</v>
      </c>
      <c r="K334" s="7">
        <f t="shared" si="332"/>
        <v>700</v>
      </c>
      <c r="L334" s="7">
        <f t="shared" si="332"/>
        <v>800</v>
      </c>
      <c r="M334" s="7">
        <f t="shared" si="332"/>
        <v>900</v>
      </c>
      <c r="N334" s="10"/>
    </row>
    <row r="335">
      <c r="A335" s="13">
        <v>50983.0</v>
      </c>
      <c r="B335" s="12">
        <v>1000.0</v>
      </c>
      <c r="C335" s="7">
        <f t="shared" ref="C335:M335" si="333">$B335*C$2</f>
        <v>50</v>
      </c>
      <c r="D335" s="7">
        <f t="shared" si="333"/>
        <v>100</v>
      </c>
      <c r="E335" s="7">
        <f t="shared" si="333"/>
        <v>150</v>
      </c>
      <c r="F335" s="7">
        <f t="shared" si="333"/>
        <v>200</v>
      </c>
      <c r="G335" s="7">
        <f t="shared" si="333"/>
        <v>300</v>
      </c>
      <c r="H335" s="7">
        <f t="shared" si="333"/>
        <v>400</v>
      </c>
      <c r="I335" s="7">
        <f t="shared" si="333"/>
        <v>500</v>
      </c>
      <c r="J335" s="7">
        <f t="shared" si="333"/>
        <v>600</v>
      </c>
      <c r="K335" s="7">
        <f t="shared" si="333"/>
        <v>700</v>
      </c>
      <c r="L335" s="7">
        <f t="shared" si="333"/>
        <v>800</v>
      </c>
      <c r="M335" s="7">
        <f t="shared" si="333"/>
        <v>900</v>
      </c>
      <c r="N335" s="10"/>
    </row>
    <row r="336">
      <c r="A336" s="13">
        <v>51014.0</v>
      </c>
      <c r="B336" s="12">
        <v>1000.0</v>
      </c>
      <c r="C336" s="7">
        <f t="shared" ref="C336:M336" si="334">$B336*C$2</f>
        <v>50</v>
      </c>
      <c r="D336" s="7">
        <f t="shared" si="334"/>
        <v>100</v>
      </c>
      <c r="E336" s="7">
        <f t="shared" si="334"/>
        <v>150</v>
      </c>
      <c r="F336" s="7">
        <f t="shared" si="334"/>
        <v>200</v>
      </c>
      <c r="G336" s="7">
        <f t="shared" si="334"/>
        <v>300</v>
      </c>
      <c r="H336" s="7">
        <f t="shared" si="334"/>
        <v>400</v>
      </c>
      <c r="I336" s="7">
        <f t="shared" si="334"/>
        <v>500</v>
      </c>
      <c r="J336" s="7">
        <f t="shared" si="334"/>
        <v>600</v>
      </c>
      <c r="K336" s="7">
        <f t="shared" si="334"/>
        <v>700</v>
      </c>
      <c r="L336" s="7">
        <f t="shared" si="334"/>
        <v>800</v>
      </c>
      <c r="M336" s="7">
        <f t="shared" si="334"/>
        <v>900</v>
      </c>
      <c r="N336" s="10"/>
    </row>
    <row r="337">
      <c r="A337" s="13">
        <v>51044.0</v>
      </c>
      <c r="B337" s="12">
        <v>1000.0</v>
      </c>
      <c r="C337" s="7">
        <f t="shared" ref="C337:M337" si="335">$B337*C$2</f>
        <v>50</v>
      </c>
      <c r="D337" s="7">
        <f t="shared" si="335"/>
        <v>100</v>
      </c>
      <c r="E337" s="7">
        <f t="shared" si="335"/>
        <v>150</v>
      </c>
      <c r="F337" s="7">
        <f t="shared" si="335"/>
        <v>200</v>
      </c>
      <c r="G337" s="7">
        <f t="shared" si="335"/>
        <v>300</v>
      </c>
      <c r="H337" s="7">
        <f t="shared" si="335"/>
        <v>400</v>
      </c>
      <c r="I337" s="7">
        <f t="shared" si="335"/>
        <v>500</v>
      </c>
      <c r="J337" s="7">
        <f t="shared" si="335"/>
        <v>600</v>
      </c>
      <c r="K337" s="7">
        <f t="shared" si="335"/>
        <v>700</v>
      </c>
      <c r="L337" s="7">
        <f t="shared" si="335"/>
        <v>800</v>
      </c>
      <c r="M337" s="7">
        <f t="shared" si="335"/>
        <v>900</v>
      </c>
      <c r="N337" s="10"/>
    </row>
    <row r="338">
      <c r="A338" s="13">
        <v>51075.0</v>
      </c>
      <c r="B338" s="12">
        <v>1000.0</v>
      </c>
      <c r="C338" s="7">
        <f t="shared" ref="C338:M338" si="336">$B338*C$2</f>
        <v>50</v>
      </c>
      <c r="D338" s="7">
        <f t="shared" si="336"/>
        <v>100</v>
      </c>
      <c r="E338" s="7">
        <f t="shared" si="336"/>
        <v>150</v>
      </c>
      <c r="F338" s="7">
        <f t="shared" si="336"/>
        <v>200</v>
      </c>
      <c r="G338" s="7">
        <f t="shared" si="336"/>
        <v>300</v>
      </c>
      <c r="H338" s="7">
        <f t="shared" si="336"/>
        <v>400</v>
      </c>
      <c r="I338" s="7">
        <f t="shared" si="336"/>
        <v>500</v>
      </c>
      <c r="J338" s="7">
        <f t="shared" si="336"/>
        <v>600</v>
      </c>
      <c r="K338" s="7">
        <f t="shared" si="336"/>
        <v>700</v>
      </c>
      <c r="L338" s="7">
        <f t="shared" si="336"/>
        <v>800</v>
      </c>
      <c r="M338" s="7">
        <f t="shared" si="336"/>
        <v>900</v>
      </c>
      <c r="N338" s="10"/>
    </row>
    <row r="339">
      <c r="A339" s="14">
        <v>51105.0</v>
      </c>
      <c r="B339" s="12">
        <v>1000.0</v>
      </c>
      <c r="C339" s="7">
        <f t="shared" ref="C339:M339" si="337">$B339*C$2</f>
        <v>50</v>
      </c>
      <c r="D339" s="7">
        <f t="shared" si="337"/>
        <v>100</v>
      </c>
      <c r="E339" s="7">
        <f t="shared" si="337"/>
        <v>150</v>
      </c>
      <c r="F339" s="7">
        <f t="shared" si="337"/>
        <v>200</v>
      </c>
      <c r="G339" s="7">
        <f t="shared" si="337"/>
        <v>300</v>
      </c>
      <c r="H339" s="7">
        <f t="shared" si="337"/>
        <v>400</v>
      </c>
      <c r="I339" s="7">
        <f t="shared" si="337"/>
        <v>500</v>
      </c>
      <c r="J339" s="7">
        <f t="shared" si="337"/>
        <v>600</v>
      </c>
      <c r="K339" s="7">
        <f t="shared" si="337"/>
        <v>700</v>
      </c>
      <c r="L339" s="7">
        <f t="shared" si="337"/>
        <v>800</v>
      </c>
      <c r="M339" s="7">
        <f t="shared" si="337"/>
        <v>900</v>
      </c>
      <c r="N339" s="10"/>
    </row>
    <row r="340">
      <c r="A340" s="13">
        <v>51136.0</v>
      </c>
      <c r="B340" s="12">
        <v>1000.0</v>
      </c>
      <c r="C340" s="7">
        <f t="shared" ref="C340:M340" si="338">$B340*C$2</f>
        <v>50</v>
      </c>
      <c r="D340" s="7">
        <f t="shared" si="338"/>
        <v>100</v>
      </c>
      <c r="E340" s="7">
        <f t="shared" si="338"/>
        <v>150</v>
      </c>
      <c r="F340" s="7">
        <f t="shared" si="338"/>
        <v>200</v>
      </c>
      <c r="G340" s="7">
        <f t="shared" si="338"/>
        <v>300</v>
      </c>
      <c r="H340" s="7">
        <f t="shared" si="338"/>
        <v>400</v>
      </c>
      <c r="I340" s="7">
        <f t="shared" si="338"/>
        <v>500</v>
      </c>
      <c r="J340" s="7">
        <f t="shared" si="338"/>
        <v>600</v>
      </c>
      <c r="K340" s="7">
        <f t="shared" si="338"/>
        <v>700</v>
      </c>
      <c r="L340" s="7">
        <f t="shared" si="338"/>
        <v>800</v>
      </c>
      <c r="M340" s="7">
        <f t="shared" si="338"/>
        <v>900</v>
      </c>
      <c r="N340" s="10"/>
    </row>
    <row r="341">
      <c r="A341" s="13">
        <v>51167.0</v>
      </c>
      <c r="B341" s="12">
        <v>1000.0</v>
      </c>
      <c r="C341" s="7">
        <f t="shared" ref="C341:M341" si="339">$B341*C$2</f>
        <v>50</v>
      </c>
      <c r="D341" s="7">
        <f t="shared" si="339"/>
        <v>100</v>
      </c>
      <c r="E341" s="7">
        <f t="shared" si="339"/>
        <v>150</v>
      </c>
      <c r="F341" s="7">
        <f t="shared" si="339"/>
        <v>200</v>
      </c>
      <c r="G341" s="7">
        <f t="shared" si="339"/>
        <v>300</v>
      </c>
      <c r="H341" s="7">
        <f t="shared" si="339"/>
        <v>400</v>
      </c>
      <c r="I341" s="7">
        <f t="shared" si="339"/>
        <v>500</v>
      </c>
      <c r="J341" s="7">
        <f t="shared" si="339"/>
        <v>600</v>
      </c>
      <c r="K341" s="7">
        <f t="shared" si="339"/>
        <v>700</v>
      </c>
      <c r="L341" s="7">
        <f t="shared" si="339"/>
        <v>800</v>
      </c>
      <c r="M341" s="7">
        <f t="shared" si="339"/>
        <v>900</v>
      </c>
      <c r="N341" s="10"/>
    </row>
    <row r="342">
      <c r="A342" s="13">
        <v>51196.0</v>
      </c>
      <c r="B342" s="12">
        <v>1000.0</v>
      </c>
      <c r="C342" s="7">
        <f t="shared" ref="C342:M342" si="340">$B342*C$2</f>
        <v>50</v>
      </c>
      <c r="D342" s="7">
        <f t="shared" si="340"/>
        <v>100</v>
      </c>
      <c r="E342" s="7">
        <f t="shared" si="340"/>
        <v>150</v>
      </c>
      <c r="F342" s="7">
        <f t="shared" si="340"/>
        <v>200</v>
      </c>
      <c r="G342" s="7">
        <f t="shared" si="340"/>
        <v>300</v>
      </c>
      <c r="H342" s="7">
        <f t="shared" si="340"/>
        <v>400</v>
      </c>
      <c r="I342" s="7">
        <f t="shared" si="340"/>
        <v>500</v>
      </c>
      <c r="J342" s="7">
        <f t="shared" si="340"/>
        <v>600</v>
      </c>
      <c r="K342" s="7">
        <f t="shared" si="340"/>
        <v>700</v>
      </c>
      <c r="L342" s="7">
        <f t="shared" si="340"/>
        <v>800</v>
      </c>
      <c r="M342" s="7">
        <f t="shared" si="340"/>
        <v>900</v>
      </c>
      <c r="N342" s="10"/>
    </row>
    <row r="343">
      <c r="A343" s="13">
        <v>51227.0</v>
      </c>
      <c r="B343" s="12">
        <v>1000.0</v>
      </c>
      <c r="C343" s="7">
        <f t="shared" ref="C343:M343" si="341">$B343*C$2</f>
        <v>50</v>
      </c>
      <c r="D343" s="7">
        <f t="shared" si="341"/>
        <v>100</v>
      </c>
      <c r="E343" s="7">
        <f t="shared" si="341"/>
        <v>150</v>
      </c>
      <c r="F343" s="7">
        <f t="shared" si="341"/>
        <v>200</v>
      </c>
      <c r="G343" s="7">
        <f t="shared" si="341"/>
        <v>300</v>
      </c>
      <c r="H343" s="7">
        <f t="shared" si="341"/>
        <v>400</v>
      </c>
      <c r="I343" s="7">
        <f t="shared" si="341"/>
        <v>500</v>
      </c>
      <c r="J343" s="7">
        <f t="shared" si="341"/>
        <v>600</v>
      </c>
      <c r="K343" s="7">
        <f t="shared" si="341"/>
        <v>700</v>
      </c>
      <c r="L343" s="7">
        <f t="shared" si="341"/>
        <v>800</v>
      </c>
      <c r="M343" s="7">
        <f t="shared" si="341"/>
        <v>900</v>
      </c>
      <c r="N343" s="10"/>
    </row>
    <row r="344">
      <c r="A344" s="13">
        <v>51257.0</v>
      </c>
      <c r="B344" s="12">
        <v>1000.0</v>
      </c>
      <c r="C344" s="7">
        <f t="shared" ref="C344:M344" si="342">$B344*C$2</f>
        <v>50</v>
      </c>
      <c r="D344" s="7">
        <f t="shared" si="342"/>
        <v>100</v>
      </c>
      <c r="E344" s="7">
        <f t="shared" si="342"/>
        <v>150</v>
      </c>
      <c r="F344" s="7">
        <f t="shared" si="342"/>
        <v>200</v>
      </c>
      <c r="G344" s="7">
        <f t="shared" si="342"/>
        <v>300</v>
      </c>
      <c r="H344" s="7">
        <f t="shared" si="342"/>
        <v>400</v>
      </c>
      <c r="I344" s="7">
        <f t="shared" si="342"/>
        <v>500</v>
      </c>
      <c r="J344" s="7">
        <f t="shared" si="342"/>
        <v>600</v>
      </c>
      <c r="K344" s="7">
        <f t="shared" si="342"/>
        <v>700</v>
      </c>
      <c r="L344" s="7">
        <f t="shared" si="342"/>
        <v>800</v>
      </c>
      <c r="M344" s="7">
        <f t="shared" si="342"/>
        <v>900</v>
      </c>
      <c r="N344" s="10"/>
    </row>
    <row r="345">
      <c r="A345" s="13">
        <v>51288.0</v>
      </c>
      <c r="B345" s="12">
        <v>1000.0</v>
      </c>
      <c r="C345" s="7">
        <f t="shared" ref="C345:M345" si="343">$B345*C$2</f>
        <v>50</v>
      </c>
      <c r="D345" s="7">
        <f t="shared" si="343"/>
        <v>100</v>
      </c>
      <c r="E345" s="7">
        <f t="shared" si="343"/>
        <v>150</v>
      </c>
      <c r="F345" s="7">
        <f t="shared" si="343"/>
        <v>200</v>
      </c>
      <c r="G345" s="7">
        <f t="shared" si="343"/>
        <v>300</v>
      </c>
      <c r="H345" s="7">
        <f t="shared" si="343"/>
        <v>400</v>
      </c>
      <c r="I345" s="7">
        <f t="shared" si="343"/>
        <v>500</v>
      </c>
      <c r="J345" s="7">
        <f t="shared" si="343"/>
        <v>600</v>
      </c>
      <c r="K345" s="7">
        <f t="shared" si="343"/>
        <v>700</v>
      </c>
      <c r="L345" s="7">
        <f t="shared" si="343"/>
        <v>800</v>
      </c>
      <c r="M345" s="7">
        <f t="shared" si="343"/>
        <v>900</v>
      </c>
      <c r="N345" s="10"/>
    </row>
    <row r="346">
      <c r="A346" s="13">
        <v>51318.0</v>
      </c>
      <c r="B346" s="12">
        <v>1000.0</v>
      </c>
      <c r="C346" s="7">
        <f t="shared" ref="C346:M346" si="344">$B346*C$2</f>
        <v>50</v>
      </c>
      <c r="D346" s="7">
        <f t="shared" si="344"/>
        <v>100</v>
      </c>
      <c r="E346" s="7">
        <f t="shared" si="344"/>
        <v>150</v>
      </c>
      <c r="F346" s="7">
        <f t="shared" si="344"/>
        <v>200</v>
      </c>
      <c r="G346" s="7">
        <f t="shared" si="344"/>
        <v>300</v>
      </c>
      <c r="H346" s="7">
        <f t="shared" si="344"/>
        <v>400</v>
      </c>
      <c r="I346" s="7">
        <f t="shared" si="344"/>
        <v>500</v>
      </c>
      <c r="J346" s="7">
        <f t="shared" si="344"/>
        <v>600</v>
      </c>
      <c r="K346" s="7">
        <f t="shared" si="344"/>
        <v>700</v>
      </c>
      <c r="L346" s="7">
        <f t="shared" si="344"/>
        <v>800</v>
      </c>
      <c r="M346" s="7">
        <f t="shared" si="344"/>
        <v>900</v>
      </c>
      <c r="N346" s="10"/>
    </row>
    <row r="347">
      <c r="A347" s="13">
        <v>51349.0</v>
      </c>
      <c r="B347" s="12">
        <v>1000.0</v>
      </c>
      <c r="C347" s="7">
        <f t="shared" ref="C347:M347" si="345">$B347*C$2</f>
        <v>50</v>
      </c>
      <c r="D347" s="7">
        <f t="shared" si="345"/>
        <v>100</v>
      </c>
      <c r="E347" s="7">
        <f t="shared" si="345"/>
        <v>150</v>
      </c>
      <c r="F347" s="7">
        <f t="shared" si="345"/>
        <v>200</v>
      </c>
      <c r="G347" s="7">
        <f t="shared" si="345"/>
        <v>300</v>
      </c>
      <c r="H347" s="7">
        <f t="shared" si="345"/>
        <v>400</v>
      </c>
      <c r="I347" s="7">
        <f t="shared" si="345"/>
        <v>500</v>
      </c>
      <c r="J347" s="7">
        <f t="shared" si="345"/>
        <v>600</v>
      </c>
      <c r="K347" s="7">
        <f t="shared" si="345"/>
        <v>700</v>
      </c>
      <c r="L347" s="7">
        <f t="shared" si="345"/>
        <v>800</v>
      </c>
      <c r="M347" s="7">
        <f t="shared" si="345"/>
        <v>900</v>
      </c>
      <c r="N347" s="10"/>
    </row>
    <row r="348">
      <c r="A348" s="13">
        <v>51380.0</v>
      </c>
      <c r="B348" s="12">
        <v>1000.0</v>
      </c>
      <c r="C348" s="7">
        <f t="shared" ref="C348:M348" si="346">$B348*C$2</f>
        <v>50</v>
      </c>
      <c r="D348" s="7">
        <f t="shared" si="346"/>
        <v>100</v>
      </c>
      <c r="E348" s="7">
        <f t="shared" si="346"/>
        <v>150</v>
      </c>
      <c r="F348" s="7">
        <f t="shared" si="346"/>
        <v>200</v>
      </c>
      <c r="G348" s="7">
        <f t="shared" si="346"/>
        <v>300</v>
      </c>
      <c r="H348" s="7">
        <f t="shared" si="346"/>
        <v>400</v>
      </c>
      <c r="I348" s="7">
        <f t="shared" si="346"/>
        <v>500</v>
      </c>
      <c r="J348" s="7">
        <f t="shared" si="346"/>
        <v>600</v>
      </c>
      <c r="K348" s="7">
        <f t="shared" si="346"/>
        <v>700</v>
      </c>
      <c r="L348" s="7">
        <f t="shared" si="346"/>
        <v>800</v>
      </c>
      <c r="M348" s="7">
        <f t="shared" si="346"/>
        <v>900</v>
      </c>
      <c r="N348" s="10"/>
    </row>
    <row r="349">
      <c r="A349" s="13">
        <v>51410.0</v>
      </c>
      <c r="B349" s="12">
        <v>1000.0</v>
      </c>
      <c r="C349" s="7">
        <f t="shared" ref="C349:M349" si="347">$B349*C$2</f>
        <v>50</v>
      </c>
      <c r="D349" s="7">
        <f t="shared" si="347"/>
        <v>100</v>
      </c>
      <c r="E349" s="7">
        <f t="shared" si="347"/>
        <v>150</v>
      </c>
      <c r="F349" s="7">
        <f t="shared" si="347"/>
        <v>200</v>
      </c>
      <c r="G349" s="7">
        <f t="shared" si="347"/>
        <v>300</v>
      </c>
      <c r="H349" s="7">
        <f t="shared" si="347"/>
        <v>400</v>
      </c>
      <c r="I349" s="7">
        <f t="shared" si="347"/>
        <v>500</v>
      </c>
      <c r="J349" s="7">
        <f t="shared" si="347"/>
        <v>600</v>
      </c>
      <c r="K349" s="7">
        <f t="shared" si="347"/>
        <v>700</v>
      </c>
      <c r="L349" s="7">
        <f t="shared" si="347"/>
        <v>800</v>
      </c>
      <c r="M349" s="7">
        <f t="shared" si="347"/>
        <v>900</v>
      </c>
      <c r="N349" s="10"/>
    </row>
    <row r="350">
      <c r="A350" s="13">
        <v>51441.0</v>
      </c>
      <c r="B350" s="12">
        <v>1000.0</v>
      </c>
      <c r="C350" s="7">
        <f t="shared" ref="C350:M350" si="348">$B350*C$2</f>
        <v>50</v>
      </c>
      <c r="D350" s="7">
        <f t="shared" si="348"/>
        <v>100</v>
      </c>
      <c r="E350" s="7">
        <f t="shared" si="348"/>
        <v>150</v>
      </c>
      <c r="F350" s="7">
        <f t="shared" si="348"/>
        <v>200</v>
      </c>
      <c r="G350" s="7">
        <f t="shared" si="348"/>
        <v>300</v>
      </c>
      <c r="H350" s="7">
        <f t="shared" si="348"/>
        <v>400</v>
      </c>
      <c r="I350" s="7">
        <f t="shared" si="348"/>
        <v>500</v>
      </c>
      <c r="J350" s="7">
        <f t="shared" si="348"/>
        <v>600</v>
      </c>
      <c r="K350" s="7">
        <f t="shared" si="348"/>
        <v>700</v>
      </c>
      <c r="L350" s="7">
        <f t="shared" si="348"/>
        <v>800</v>
      </c>
      <c r="M350" s="7">
        <f t="shared" si="348"/>
        <v>900</v>
      </c>
      <c r="N350" s="10"/>
    </row>
    <row r="351">
      <c r="A351" s="14">
        <v>51471.0</v>
      </c>
      <c r="B351" s="12">
        <v>1000.0</v>
      </c>
      <c r="C351" s="7">
        <f t="shared" ref="C351:M351" si="349">$B351*C$2</f>
        <v>50</v>
      </c>
      <c r="D351" s="7">
        <f t="shared" si="349"/>
        <v>100</v>
      </c>
      <c r="E351" s="7">
        <f t="shared" si="349"/>
        <v>150</v>
      </c>
      <c r="F351" s="7">
        <f t="shared" si="349"/>
        <v>200</v>
      </c>
      <c r="G351" s="7">
        <f t="shared" si="349"/>
        <v>300</v>
      </c>
      <c r="H351" s="7">
        <f t="shared" si="349"/>
        <v>400</v>
      </c>
      <c r="I351" s="7">
        <f t="shared" si="349"/>
        <v>500</v>
      </c>
      <c r="J351" s="7">
        <f t="shared" si="349"/>
        <v>600</v>
      </c>
      <c r="K351" s="7">
        <f t="shared" si="349"/>
        <v>700</v>
      </c>
      <c r="L351" s="7">
        <f t="shared" si="349"/>
        <v>800</v>
      </c>
      <c r="M351" s="7">
        <f t="shared" si="349"/>
        <v>900</v>
      </c>
      <c r="N351" s="10"/>
    </row>
    <row r="352">
      <c r="A352" s="16"/>
      <c r="B352" s="1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6.13"/>
    <col customWidth="1" min="3" max="3" width="16.25"/>
    <col customWidth="1" min="4" max="4" width="6.13"/>
    <col customWidth="1" min="5" max="5" width="16.25"/>
    <col customWidth="1" min="6" max="6" width="5.25"/>
    <col customWidth="1" min="7" max="7" width="16.25"/>
    <col customWidth="1" min="8" max="8" width="5.25"/>
    <col customWidth="1" min="9" max="9" width="16.25"/>
    <col customWidth="1" min="10" max="10" width="6.13"/>
    <col customWidth="1" min="11" max="11" width="16.25"/>
    <col customWidth="1" min="12" max="12" width="5.25"/>
    <col customWidth="1" min="13" max="15" width="4.75"/>
    <col customWidth="1" min="16" max="16" width="10.75"/>
    <col customWidth="1" min="17" max="17" width="11.63"/>
    <col customWidth="1" min="18" max="18" width="10.75"/>
  </cols>
  <sheetData>
    <row r="1">
      <c r="A1" s="18" t="s">
        <v>4</v>
      </c>
      <c r="B1" s="19"/>
      <c r="C1" s="18" t="s">
        <v>11</v>
      </c>
      <c r="D1" s="19"/>
      <c r="E1" s="18" t="s">
        <v>26</v>
      </c>
      <c r="F1" s="19"/>
      <c r="G1" s="18" t="s">
        <v>10</v>
      </c>
      <c r="H1" s="19"/>
      <c r="I1" s="18" t="s">
        <v>8</v>
      </c>
      <c r="J1" s="19"/>
      <c r="K1" s="18" t="s">
        <v>12</v>
      </c>
      <c r="L1" s="19"/>
      <c r="M1" s="20" t="s">
        <v>10</v>
      </c>
      <c r="N1" s="20" t="s">
        <v>8</v>
      </c>
      <c r="O1" s="20" t="s">
        <v>12</v>
      </c>
      <c r="P1" s="20" t="s">
        <v>10</v>
      </c>
      <c r="Q1" s="20" t="s">
        <v>8</v>
      </c>
      <c r="R1" s="20" t="s">
        <v>12</v>
      </c>
      <c r="S1" s="19"/>
      <c r="T1" s="19"/>
      <c r="U1" s="19"/>
      <c r="V1" s="19"/>
    </row>
    <row r="2">
      <c r="A2" s="21" t="str">
        <f>IFERROR(__xludf.DUMMYFUNCTION("GOOGLEFINANCE(CONCAT(""ASX:"",A1), ""price"", DATE(2012,6,1), DATE(2023,12,31), ""DAILY"")"),"Date")</f>
        <v>Date</v>
      </c>
      <c r="B2" s="19" t="str">
        <f>IFERROR(__xludf.DUMMYFUNCTION("""COMPUTED_VALUE"""),"Close")</f>
        <v>Close</v>
      </c>
      <c r="C2" s="21" t="str">
        <f>IFERROR(__xludf.DUMMYFUNCTION("GOOGLEFINANCE(CONCAT(""ASX:"",C1), ""price"", DATE(2012,6,1), DATE(2023,12,31), ""DAILY"")"),"Date")</f>
        <v>Date</v>
      </c>
      <c r="D2" s="19" t="str">
        <f>IFERROR(__xludf.DUMMYFUNCTION("""COMPUTED_VALUE"""),"Close")</f>
        <v>Close</v>
      </c>
      <c r="E2" s="21" t="str">
        <f>IFERROR(__xludf.DUMMYFUNCTION("GOOGLEFINANCE(CONCAT(""ASX:"",E1), ""price"", DATE(2012,6,1), DATE(2023,12,31), ""DAILY"")"),"Date")</f>
        <v>Date</v>
      </c>
      <c r="F2" s="19" t="str">
        <f>IFERROR(__xludf.DUMMYFUNCTION("""COMPUTED_VALUE"""),"Close")</f>
        <v>Close</v>
      </c>
      <c r="G2" s="21" t="str">
        <f>IFERROR(__xludf.DUMMYFUNCTION("GOOGLEFINANCE(CONCAT(""ASX:"",G1), ""price"", DATE(2012,6,1), DATE(2023,12,31), 7)"),"Date")</f>
        <v>Date</v>
      </c>
      <c r="H2" s="19" t="str">
        <f>IFERROR(__xludf.DUMMYFUNCTION("""COMPUTED_VALUE"""),"Close")</f>
        <v>Close</v>
      </c>
      <c r="I2" s="21" t="str">
        <f>IFERROR(__xludf.DUMMYFUNCTION("GOOGLEFINANCE(CONCAT(""ASX:"",I1), ""price"", DATE(2012,6,1), DATE(2023,12,31), 7)"),"Date")</f>
        <v>Date</v>
      </c>
      <c r="J2" s="19" t="str">
        <f>IFERROR(__xludf.DUMMYFUNCTION("""COMPUTED_VALUE"""),"Close")</f>
        <v>Close</v>
      </c>
      <c r="K2" s="21" t="str">
        <f>IFERROR(__xludf.DUMMYFUNCTION("GOOGLEFINANCE(CONCAT(""ASX:"",K1), ""price"", DATE(2012,6,1), DATE(2023,12,31), 7)"),"Date")</f>
        <v>Date</v>
      </c>
      <c r="L2" s="19" t="str">
        <f>IFERROR(__xludf.DUMMYFUNCTION("""COMPUTED_VALUE"""),"Close")</f>
        <v>Close</v>
      </c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2">
        <f>IFERROR(__xludf.DUMMYFUNCTION("""COMPUTED_VALUE"""),41962.66666666667)</f>
        <v>41962.66667</v>
      </c>
      <c r="B3" s="23">
        <f>IFERROR(__xludf.DUMMYFUNCTION("""COMPUTED_VALUE"""),50.86)</f>
        <v>50.86</v>
      </c>
      <c r="C3" s="22">
        <f>IFERROR(__xludf.DUMMYFUNCTION("""COMPUTED_VALUE"""),43228.66666666667)</f>
        <v>43228.66667</v>
      </c>
      <c r="D3" s="23">
        <f>IFERROR(__xludf.DUMMYFUNCTION("""COMPUTED_VALUE"""),100.74)</f>
        <v>100.74</v>
      </c>
      <c r="E3" s="22">
        <f>IFERROR(__xludf.DUMMYFUNCTION("""COMPUTED_VALUE"""),42150.66666666667)</f>
        <v>42150.66667</v>
      </c>
      <c r="F3" s="23">
        <f>IFERROR(__xludf.DUMMYFUNCTION("""COMPUTED_VALUE"""),10.01)</f>
        <v>10.01</v>
      </c>
      <c r="G3" s="22">
        <f>IFERROR(__xludf.DUMMYFUNCTION("""COMPUTED_VALUE"""),41068.666666666664)</f>
        <v>41068.66667</v>
      </c>
      <c r="H3" s="23">
        <f>IFERROR(__xludf.DUMMYFUNCTION("""COMPUTED_VALUE"""),52.6)</f>
        <v>52.6</v>
      </c>
      <c r="I3" s="22">
        <f>IFERROR(__xludf.DUMMYFUNCTION("""COMPUTED_VALUE"""),41068.666666666664)</f>
        <v>41068.66667</v>
      </c>
      <c r="J3" s="23">
        <f>IFERROR(__xludf.DUMMYFUNCTION("""COMPUTED_VALUE"""),68.33)</f>
        <v>68.33</v>
      </c>
      <c r="K3" s="22">
        <f>IFERROR(__xludf.DUMMYFUNCTION("""COMPUTED_VALUE"""),41068.666666666664)</f>
        <v>41068.66667</v>
      </c>
      <c r="L3" s="23">
        <f>IFERROR(__xludf.DUMMYFUNCTION("""COMPUTED_VALUE"""),39.56)</f>
        <v>39.56</v>
      </c>
      <c r="M3" s="23">
        <v>100.0</v>
      </c>
      <c r="N3" s="23">
        <v>100.0</v>
      </c>
      <c r="O3" s="23">
        <v>100.0</v>
      </c>
      <c r="P3" s="23">
        <f t="shared" ref="P3:P564" si="1">M3/H3</f>
        <v>1.901140684</v>
      </c>
      <c r="Q3" s="23">
        <f t="shared" ref="Q3:Q564" si="2">N3/J3</f>
        <v>1.463486024</v>
      </c>
      <c r="R3" s="23">
        <f t="shared" ref="R3:R564" si="3">O3/L3</f>
        <v>2.527805865</v>
      </c>
      <c r="S3" s="19"/>
      <c r="T3" s="19"/>
      <c r="U3" s="19"/>
      <c r="V3" s="19"/>
    </row>
    <row r="4">
      <c r="A4" s="22">
        <f>IFERROR(__xludf.DUMMYFUNCTION("""COMPUTED_VALUE"""),41963.66666666667)</f>
        <v>41963.66667</v>
      </c>
      <c r="B4" s="23">
        <f>IFERROR(__xludf.DUMMYFUNCTION("""COMPUTED_VALUE"""),50.81)</f>
        <v>50.81</v>
      </c>
      <c r="C4" s="22">
        <f>IFERROR(__xludf.DUMMYFUNCTION("""COMPUTED_VALUE"""),43229.66666666667)</f>
        <v>43229.66667</v>
      </c>
      <c r="D4" s="23">
        <f>IFERROR(__xludf.DUMMYFUNCTION("""COMPUTED_VALUE"""),100.77)</f>
        <v>100.77</v>
      </c>
      <c r="E4" s="22">
        <f>IFERROR(__xludf.DUMMYFUNCTION("""COMPUTED_VALUE"""),42151.66666666667)</f>
        <v>42151.66667</v>
      </c>
      <c r="F4" s="23">
        <f>IFERROR(__xludf.DUMMYFUNCTION("""COMPUTED_VALUE"""),10.0)</f>
        <v>10</v>
      </c>
      <c r="G4" s="22">
        <f>IFERROR(__xludf.DUMMYFUNCTION("""COMPUTED_VALUE"""),41075.666666666664)</f>
        <v>41075.66667</v>
      </c>
      <c r="H4" s="23">
        <f>IFERROR(__xludf.DUMMYFUNCTION("""COMPUTED_VALUE"""),52.42)</f>
        <v>52.42</v>
      </c>
      <c r="I4" s="22">
        <f>IFERROR(__xludf.DUMMYFUNCTION("""COMPUTED_VALUE"""),41075.666666666664)</f>
        <v>41075.66667</v>
      </c>
      <c r="J4" s="23">
        <f>IFERROR(__xludf.DUMMYFUNCTION("""COMPUTED_VALUE"""),68.26)</f>
        <v>68.26</v>
      </c>
      <c r="K4" s="22">
        <f>IFERROR(__xludf.DUMMYFUNCTION("""COMPUTED_VALUE"""),41075.666666666664)</f>
        <v>41075.66667</v>
      </c>
      <c r="L4" s="23">
        <f>IFERROR(__xludf.DUMMYFUNCTION("""COMPUTED_VALUE"""),39.5)</f>
        <v>39.5</v>
      </c>
      <c r="M4" s="23">
        <v>0.0</v>
      </c>
      <c r="N4" s="23">
        <v>0.0</v>
      </c>
      <c r="O4" s="23">
        <v>0.0</v>
      </c>
      <c r="P4" s="23">
        <f t="shared" si="1"/>
        <v>0</v>
      </c>
      <c r="Q4" s="23">
        <f t="shared" si="2"/>
        <v>0</v>
      </c>
      <c r="R4" s="23">
        <f t="shared" si="3"/>
        <v>0</v>
      </c>
      <c r="S4" s="19"/>
      <c r="T4" s="19"/>
      <c r="U4" s="19"/>
      <c r="V4" s="19"/>
    </row>
    <row r="5">
      <c r="A5" s="22">
        <f>IFERROR(__xludf.DUMMYFUNCTION("""COMPUTED_VALUE"""),41964.66666666667)</f>
        <v>41964.66667</v>
      </c>
      <c r="B5" s="23">
        <f>IFERROR(__xludf.DUMMYFUNCTION("""COMPUTED_VALUE"""),50.7)</f>
        <v>50.7</v>
      </c>
      <c r="C5" s="22">
        <f>IFERROR(__xludf.DUMMYFUNCTION("""COMPUTED_VALUE"""),43230.66666666667)</f>
        <v>43230.66667</v>
      </c>
      <c r="D5" s="23">
        <f>IFERROR(__xludf.DUMMYFUNCTION("""COMPUTED_VALUE"""),101.01)</f>
        <v>101.01</v>
      </c>
      <c r="E5" s="22">
        <f>IFERROR(__xludf.DUMMYFUNCTION("""COMPUTED_VALUE"""),42152.66666666667)</f>
        <v>42152.66667</v>
      </c>
      <c r="F5" s="23">
        <f>IFERROR(__xludf.DUMMYFUNCTION("""COMPUTED_VALUE"""),10.21)</f>
        <v>10.21</v>
      </c>
      <c r="G5" s="22">
        <f>IFERROR(__xludf.DUMMYFUNCTION("""COMPUTED_VALUE"""),41082.666666666664)</f>
        <v>41082.66667</v>
      </c>
      <c r="H5" s="23">
        <f>IFERROR(__xludf.DUMMYFUNCTION("""COMPUTED_VALUE"""),52.29)</f>
        <v>52.29</v>
      </c>
      <c r="I5" s="22">
        <f>IFERROR(__xludf.DUMMYFUNCTION("""COMPUTED_VALUE"""),41082.666666666664)</f>
        <v>41082.66667</v>
      </c>
      <c r="J5" s="23">
        <f>IFERROR(__xludf.DUMMYFUNCTION("""COMPUTED_VALUE"""),67.86)</f>
        <v>67.86</v>
      </c>
      <c r="K5" s="22">
        <f>IFERROR(__xludf.DUMMYFUNCTION("""COMPUTED_VALUE"""),41082.666666666664)</f>
        <v>41082.66667</v>
      </c>
      <c r="L5" s="23">
        <f>IFERROR(__xludf.DUMMYFUNCTION("""COMPUTED_VALUE"""),40.0)</f>
        <v>40</v>
      </c>
      <c r="M5" s="23">
        <v>0.0</v>
      </c>
      <c r="N5" s="23">
        <v>0.0</v>
      </c>
      <c r="O5" s="23">
        <v>0.0</v>
      </c>
      <c r="P5" s="23">
        <f t="shared" si="1"/>
        <v>0</v>
      </c>
      <c r="Q5" s="23">
        <f t="shared" si="2"/>
        <v>0</v>
      </c>
      <c r="R5" s="23">
        <f t="shared" si="3"/>
        <v>0</v>
      </c>
      <c r="S5" s="19"/>
      <c r="T5" s="19"/>
      <c r="U5" s="19"/>
      <c r="V5" s="19"/>
    </row>
    <row r="6">
      <c r="A6" s="22">
        <f>IFERROR(__xludf.DUMMYFUNCTION("""COMPUTED_VALUE"""),41967.66666666667)</f>
        <v>41967.66667</v>
      </c>
      <c r="B6" s="23">
        <f>IFERROR(__xludf.DUMMYFUNCTION("""COMPUTED_VALUE"""),50.81)</f>
        <v>50.81</v>
      </c>
      <c r="C6" s="22">
        <f>IFERROR(__xludf.DUMMYFUNCTION("""COMPUTED_VALUE"""),43231.66666666667)</f>
        <v>43231.66667</v>
      </c>
      <c r="D6" s="23">
        <f>IFERROR(__xludf.DUMMYFUNCTION("""COMPUTED_VALUE"""),100.91)</f>
        <v>100.91</v>
      </c>
      <c r="E6" s="22">
        <f>IFERROR(__xludf.DUMMYFUNCTION("""COMPUTED_VALUE"""),42153.66666666667)</f>
        <v>42153.66667</v>
      </c>
      <c r="F6" s="23">
        <f>IFERROR(__xludf.DUMMYFUNCTION("""COMPUTED_VALUE"""),10.26)</f>
        <v>10.26</v>
      </c>
      <c r="G6" s="22">
        <f>IFERROR(__xludf.DUMMYFUNCTION("""COMPUTED_VALUE"""),41089.666666666664)</f>
        <v>41089.66667</v>
      </c>
      <c r="H6" s="23">
        <f>IFERROR(__xludf.DUMMYFUNCTION("""COMPUTED_VALUE"""),53.12)</f>
        <v>53.12</v>
      </c>
      <c r="I6" s="22">
        <f>IFERROR(__xludf.DUMMYFUNCTION("""COMPUTED_VALUE"""),41089.666666666664)</f>
        <v>41089.66667</v>
      </c>
      <c r="J6" s="23">
        <f>IFERROR(__xludf.DUMMYFUNCTION("""COMPUTED_VALUE"""),67.7)</f>
        <v>67.7</v>
      </c>
      <c r="K6" s="22">
        <f>IFERROR(__xludf.DUMMYFUNCTION("""COMPUTED_VALUE"""),41089.666666666664)</f>
        <v>41089.66667</v>
      </c>
      <c r="L6" s="23">
        <f>IFERROR(__xludf.DUMMYFUNCTION("""COMPUTED_VALUE"""),39.76)</f>
        <v>39.76</v>
      </c>
      <c r="M6" s="23">
        <v>0.0</v>
      </c>
      <c r="N6" s="23">
        <v>0.0</v>
      </c>
      <c r="O6" s="23">
        <v>0.0</v>
      </c>
      <c r="P6" s="23">
        <f t="shared" si="1"/>
        <v>0</v>
      </c>
      <c r="Q6" s="23">
        <f t="shared" si="2"/>
        <v>0</v>
      </c>
      <c r="R6" s="23">
        <f t="shared" si="3"/>
        <v>0</v>
      </c>
      <c r="S6" s="19"/>
      <c r="T6" s="19"/>
      <c r="U6" s="19"/>
      <c r="V6" s="19"/>
    </row>
    <row r="7">
      <c r="A7" s="22">
        <f>IFERROR(__xludf.DUMMYFUNCTION("""COMPUTED_VALUE"""),41968.66666666667)</f>
        <v>41968.66667</v>
      </c>
      <c r="B7" s="23">
        <f>IFERROR(__xludf.DUMMYFUNCTION("""COMPUTED_VALUE"""),51.91)</f>
        <v>51.91</v>
      </c>
      <c r="C7" s="22">
        <f>IFERROR(__xludf.DUMMYFUNCTION("""COMPUTED_VALUE"""),43234.66666666667)</f>
        <v>43234.66667</v>
      </c>
      <c r="D7" s="23">
        <f>IFERROR(__xludf.DUMMYFUNCTION("""COMPUTED_VALUE"""),101.41)</f>
        <v>101.41</v>
      </c>
      <c r="E7" s="22">
        <f>IFERROR(__xludf.DUMMYFUNCTION("""COMPUTED_VALUE"""),42156.66666666667)</f>
        <v>42156.66667</v>
      </c>
      <c r="F7" s="23">
        <f>IFERROR(__xludf.DUMMYFUNCTION("""COMPUTED_VALUE"""),10.24)</f>
        <v>10.24</v>
      </c>
      <c r="G7" s="22">
        <f>IFERROR(__xludf.DUMMYFUNCTION("""COMPUTED_VALUE"""),41096.666666666664)</f>
        <v>41096.66667</v>
      </c>
      <c r="H7" s="23">
        <f>IFERROR(__xludf.DUMMYFUNCTION("""COMPUTED_VALUE"""),53.48)</f>
        <v>53.48</v>
      </c>
      <c r="I7" s="22">
        <f>IFERROR(__xludf.DUMMYFUNCTION("""COMPUTED_VALUE"""),41096.666666666664)</f>
        <v>41096.66667</v>
      </c>
      <c r="J7" s="23">
        <f>IFERROR(__xludf.DUMMYFUNCTION("""COMPUTED_VALUE"""),68.0)</f>
        <v>68</v>
      </c>
      <c r="K7" s="22">
        <f>IFERROR(__xludf.DUMMYFUNCTION("""COMPUTED_VALUE"""),41096.666666666664)</f>
        <v>41096.66667</v>
      </c>
      <c r="L7" s="23">
        <f>IFERROR(__xludf.DUMMYFUNCTION("""COMPUTED_VALUE"""),40.15)</f>
        <v>40.15</v>
      </c>
      <c r="M7" s="23">
        <v>100.0</v>
      </c>
      <c r="N7" s="23">
        <v>100.0</v>
      </c>
      <c r="O7" s="23">
        <v>100.0</v>
      </c>
      <c r="P7" s="23">
        <f t="shared" si="1"/>
        <v>1.869857891</v>
      </c>
      <c r="Q7" s="23">
        <f t="shared" si="2"/>
        <v>1.470588235</v>
      </c>
      <c r="R7" s="23">
        <f t="shared" si="3"/>
        <v>2.490660025</v>
      </c>
      <c r="S7" s="19"/>
      <c r="T7" s="19"/>
      <c r="U7" s="19"/>
      <c r="V7" s="19"/>
    </row>
    <row r="8">
      <c r="A8" s="22">
        <f>IFERROR(__xludf.DUMMYFUNCTION("""COMPUTED_VALUE"""),41969.66666666667)</f>
        <v>41969.66667</v>
      </c>
      <c r="B8" s="23">
        <f>IFERROR(__xludf.DUMMYFUNCTION("""COMPUTED_VALUE"""),52.1)</f>
        <v>52.1</v>
      </c>
      <c r="C8" s="22">
        <f>IFERROR(__xludf.DUMMYFUNCTION("""COMPUTED_VALUE"""),43235.66666666667)</f>
        <v>43235.66667</v>
      </c>
      <c r="D8" s="23">
        <f>IFERROR(__xludf.DUMMYFUNCTION("""COMPUTED_VALUE"""),100.96)</f>
        <v>100.96</v>
      </c>
      <c r="E8" s="22">
        <f>IFERROR(__xludf.DUMMYFUNCTION("""COMPUTED_VALUE"""),42157.66666666667)</f>
        <v>42157.66667</v>
      </c>
      <c r="F8" s="23">
        <f>IFERROR(__xludf.DUMMYFUNCTION("""COMPUTED_VALUE"""),10.18)</f>
        <v>10.18</v>
      </c>
      <c r="G8" s="22">
        <f>IFERROR(__xludf.DUMMYFUNCTION("""COMPUTED_VALUE"""),41103.666666666664)</f>
        <v>41103.66667</v>
      </c>
      <c r="H8" s="23">
        <f>IFERROR(__xludf.DUMMYFUNCTION("""COMPUTED_VALUE"""),53.0)</f>
        <v>53</v>
      </c>
      <c r="I8" s="22">
        <f>IFERROR(__xludf.DUMMYFUNCTION("""COMPUTED_VALUE"""),41103.666666666664)</f>
        <v>41103.66667</v>
      </c>
      <c r="J8" s="23">
        <f>IFERROR(__xludf.DUMMYFUNCTION("""COMPUTED_VALUE"""),67.7)</f>
        <v>67.7</v>
      </c>
      <c r="K8" s="22">
        <f>IFERROR(__xludf.DUMMYFUNCTION("""COMPUTED_VALUE"""),41103.666666666664)</f>
        <v>41103.66667</v>
      </c>
      <c r="L8" s="23">
        <f>IFERROR(__xludf.DUMMYFUNCTION("""COMPUTED_VALUE"""),39.35)</f>
        <v>39.35</v>
      </c>
      <c r="M8" s="23">
        <v>0.0</v>
      </c>
      <c r="N8" s="23">
        <v>0.0</v>
      </c>
      <c r="O8" s="23">
        <v>0.0</v>
      </c>
      <c r="P8" s="23">
        <f t="shared" si="1"/>
        <v>0</v>
      </c>
      <c r="Q8" s="23">
        <f t="shared" si="2"/>
        <v>0</v>
      </c>
      <c r="R8" s="23">
        <f t="shared" si="3"/>
        <v>0</v>
      </c>
      <c r="S8" s="19"/>
      <c r="T8" s="19"/>
      <c r="U8" s="19"/>
      <c r="V8" s="19"/>
    </row>
    <row r="9">
      <c r="A9" s="22">
        <f>IFERROR(__xludf.DUMMYFUNCTION("""COMPUTED_VALUE"""),41970.66666666667)</f>
        <v>41970.66667</v>
      </c>
      <c r="B9" s="23">
        <f>IFERROR(__xludf.DUMMYFUNCTION("""COMPUTED_VALUE"""),51.98)</f>
        <v>51.98</v>
      </c>
      <c r="C9" s="22">
        <f>IFERROR(__xludf.DUMMYFUNCTION("""COMPUTED_VALUE"""),43236.66666666667)</f>
        <v>43236.66667</v>
      </c>
      <c r="D9" s="23">
        <f>IFERROR(__xludf.DUMMYFUNCTION("""COMPUTED_VALUE"""),101.14)</f>
        <v>101.14</v>
      </c>
      <c r="E9" s="22">
        <f>IFERROR(__xludf.DUMMYFUNCTION("""COMPUTED_VALUE"""),42158.66666666667)</f>
        <v>42158.66667</v>
      </c>
      <c r="F9" s="23">
        <f>IFERROR(__xludf.DUMMYFUNCTION("""COMPUTED_VALUE"""),10.02)</f>
        <v>10.02</v>
      </c>
      <c r="G9" s="22">
        <f>IFERROR(__xludf.DUMMYFUNCTION("""COMPUTED_VALUE"""),41110.666666666664)</f>
        <v>41110.66667</v>
      </c>
      <c r="H9" s="23">
        <f>IFERROR(__xludf.DUMMYFUNCTION("""COMPUTED_VALUE"""),54.0)</f>
        <v>54</v>
      </c>
      <c r="I9" s="22">
        <f>IFERROR(__xludf.DUMMYFUNCTION("""COMPUTED_VALUE"""),41110.666666666664)</f>
        <v>41110.66667</v>
      </c>
      <c r="J9" s="23">
        <f>IFERROR(__xludf.DUMMYFUNCTION("""COMPUTED_VALUE"""),67.35)</f>
        <v>67.35</v>
      </c>
      <c r="K9" s="22">
        <f>IFERROR(__xludf.DUMMYFUNCTION("""COMPUTED_VALUE"""),41110.666666666664)</f>
        <v>41110.66667</v>
      </c>
      <c r="L9" s="23">
        <f>IFERROR(__xludf.DUMMYFUNCTION("""COMPUTED_VALUE"""),39.38)</f>
        <v>39.38</v>
      </c>
      <c r="M9" s="23">
        <v>0.0</v>
      </c>
      <c r="N9" s="23">
        <v>0.0</v>
      </c>
      <c r="O9" s="23">
        <v>0.0</v>
      </c>
      <c r="P9" s="23">
        <f t="shared" si="1"/>
        <v>0</v>
      </c>
      <c r="Q9" s="23">
        <f t="shared" si="2"/>
        <v>0</v>
      </c>
      <c r="R9" s="23">
        <f t="shared" si="3"/>
        <v>0</v>
      </c>
      <c r="S9" s="19"/>
      <c r="T9" s="19"/>
      <c r="U9" s="19"/>
      <c r="V9" s="19"/>
    </row>
    <row r="10">
      <c r="A10" s="22">
        <f>IFERROR(__xludf.DUMMYFUNCTION("""COMPUTED_VALUE"""),41971.66666666667)</f>
        <v>41971.66667</v>
      </c>
      <c r="B10" s="23">
        <f>IFERROR(__xludf.DUMMYFUNCTION("""COMPUTED_VALUE"""),52.26)</f>
        <v>52.26</v>
      </c>
      <c r="C10" s="22">
        <f>IFERROR(__xludf.DUMMYFUNCTION("""COMPUTED_VALUE"""),43237.66666666667)</f>
        <v>43237.66667</v>
      </c>
      <c r="D10" s="23">
        <f>IFERROR(__xludf.DUMMYFUNCTION("""COMPUTED_VALUE"""),100.85)</f>
        <v>100.85</v>
      </c>
      <c r="E10" s="22">
        <f>IFERROR(__xludf.DUMMYFUNCTION("""COMPUTED_VALUE"""),42159.66666666667)</f>
        <v>42159.66667</v>
      </c>
      <c r="F10" s="23">
        <f>IFERROR(__xludf.DUMMYFUNCTION("""COMPUTED_VALUE"""),10.13)</f>
        <v>10.13</v>
      </c>
      <c r="G10" s="22">
        <f>IFERROR(__xludf.DUMMYFUNCTION("""COMPUTED_VALUE"""),41117.666666666664)</f>
        <v>41117.66667</v>
      </c>
      <c r="H10" s="23">
        <f>IFERROR(__xludf.DUMMYFUNCTION("""COMPUTED_VALUE"""),53.92)</f>
        <v>53.92</v>
      </c>
      <c r="I10" s="22">
        <f>IFERROR(__xludf.DUMMYFUNCTION("""COMPUTED_VALUE"""),41117.666666666664)</f>
        <v>41117.66667</v>
      </c>
      <c r="J10" s="23">
        <f>IFERROR(__xludf.DUMMYFUNCTION("""COMPUTED_VALUE"""),66.9)</f>
        <v>66.9</v>
      </c>
      <c r="K10" s="22">
        <f>IFERROR(__xludf.DUMMYFUNCTION("""COMPUTED_VALUE"""),41117.666666666664)</f>
        <v>41117.66667</v>
      </c>
      <c r="L10" s="23">
        <f>IFERROR(__xludf.DUMMYFUNCTION("""COMPUTED_VALUE"""),39.05)</f>
        <v>39.05</v>
      </c>
      <c r="M10" s="23">
        <v>0.0</v>
      </c>
      <c r="N10" s="23">
        <v>0.0</v>
      </c>
      <c r="O10" s="23">
        <v>0.0</v>
      </c>
      <c r="P10" s="23">
        <f t="shared" si="1"/>
        <v>0</v>
      </c>
      <c r="Q10" s="23">
        <f t="shared" si="2"/>
        <v>0</v>
      </c>
      <c r="R10" s="23">
        <f t="shared" si="3"/>
        <v>0</v>
      </c>
      <c r="S10" s="19"/>
      <c r="T10" s="19"/>
      <c r="U10" s="19"/>
      <c r="V10" s="19"/>
    </row>
    <row r="11">
      <c r="A11" s="22">
        <f>IFERROR(__xludf.DUMMYFUNCTION("""COMPUTED_VALUE"""),41974.66666666667)</f>
        <v>41974.66667</v>
      </c>
      <c r="B11" s="23">
        <f>IFERROR(__xludf.DUMMYFUNCTION("""COMPUTED_VALUE"""),52.26)</f>
        <v>52.26</v>
      </c>
      <c r="C11" s="22">
        <f>IFERROR(__xludf.DUMMYFUNCTION("""COMPUTED_VALUE"""),43238.66666666667)</f>
        <v>43238.66667</v>
      </c>
      <c r="D11" s="23">
        <f>IFERROR(__xludf.DUMMYFUNCTION("""COMPUTED_VALUE"""),100.91)</f>
        <v>100.91</v>
      </c>
      <c r="E11" s="22">
        <f>IFERROR(__xludf.DUMMYFUNCTION("""COMPUTED_VALUE"""),42160.66666666667)</f>
        <v>42160.66667</v>
      </c>
      <c r="F11" s="23">
        <f>IFERROR(__xludf.DUMMYFUNCTION("""COMPUTED_VALUE"""),10.1)</f>
        <v>10.1</v>
      </c>
      <c r="G11" s="22">
        <f>IFERROR(__xludf.DUMMYFUNCTION("""COMPUTED_VALUE"""),41124.666666666664)</f>
        <v>41124.66667</v>
      </c>
      <c r="H11" s="23">
        <f>IFERROR(__xludf.DUMMYFUNCTION("""COMPUTED_VALUE"""),54.07)</f>
        <v>54.07</v>
      </c>
      <c r="I11" s="22">
        <f>IFERROR(__xludf.DUMMYFUNCTION("""COMPUTED_VALUE"""),41124.666666666664)</f>
        <v>41124.66667</v>
      </c>
      <c r="J11" s="23">
        <f>IFERROR(__xludf.DUMMYFUNCTION("""COMPUTED_VALUE"""),66.55)</f>
        <v>66.55</v>
      </c>
      <c r="K11" s="22">
        <f>IFERROR(__xludf.DUMMYFUNCTION("""COMPUTED_VALUE"""),41124.666666666664)</f>
        <v>41124.66667</v>
      </c>
      <c r="L11" s="23">
        <f>IFERROR(__xludf.DUMMYFUNCTION("""COMPUTED_VALUE"""),39.09)</f>
        <v>39.09</v>
      </c>
      <c r="M11" s="23">
        <v>100.0</v>
      </c>
      <c r="N11" s="23">
        <v>100.0</v>
      </c>
      <c r="O11" s="23">
        <v>100.0</v>
      </c>
      <c r="P11" s="23">
        <f t="shared" si="1"/>
        <v>1.849454411</v>
      </c>
      <c r="Q11" s="23">
        <f t="shared" si="2"/>
        <v>1.502629602</v>
      </c>
      <c r="R11" s="23">
        <f t="shared" si="3"/>
        <v>2.558199028</v>
      </c>
      <c r="S11" s="19"/>
      <c r="T11" s="19"/>
      <c r="U11" s="19"/>
      <c r="V11" s="19"/>
    </row>
    <row r="12">
      <c r="A12" s="22">
        <f>IFERROR(__xludf.DUMMYFUNCTION("""COMPUTED_VALUE"""),41975.66666666667)</f>
        <v>41975.66667</v>
      </c>
      <c r="B12" s="23">
        <f>IFERROR(__xludf.DUMMYFUNCTION("""COMPUTED_VALUE"""),51.8)</f>
        <v>51.8</v>
      </c>
      <c r="C12" s="22">
        <f>IFERROR(__xludf.DUMMYFUNCTION("""COMPUTED_VALUE"""),43241.66666666667)</f>
        <v>43241.66667</v>
      </c>
      <c r="D12" s="23">
        <f>IFERROR(__xludf.DUMMYFUNCTION("""COMPUTED_VALUE"""),101.09)</f>
        <v>101.09</v>
      </c>
      <c r="E12" s="22">
        <f>IFERROR(__xludf.DUMMYFUNCTION("""COMPUTED_VALUE"""),42164.66666666667)</f>
        <v>42164.66667</v>
      </c>
      <c r="F12" s="23">
        <f>IFERROR(__xludf.DUMMYFUNCTION("""COMPUTED_VALUE"""),9.99)</f>
        <v>9.99</v>
      </c>
      <c r="G12" s="22">
        <f>IFERROR(__xludf.DUMMYFUNCTION("""COMPUTED_VALUE"""),41131.666666666664)</f>
        <v>41131.66667</v>
      </c>
      <c r="H12" s="23">
        <f>IFERROR(__xludf.DUMMYFUNCTION("""COMPUTED_VALUE"""),55.05)</f>
        <v>55.05</v>
      </c>
      <c r="I12" s="22">
        <f>IFERROR(__xludf.DUMMYFUNCTION("""COMPUTED_VALUE"""),41131.666666666664)</f>
        <v>41131.66667</v>
      </c>
      <c r="J12" s="23">
        <f>IFERROR(__xludf.DUMMYFUNCTION("""COMPUTED_VALUE"""),67.82)</f>
        <v>67.82</v>
      </c>
      <c r="K12" s="22">
        <f>IFERROR(__xludf.DUMMYFUNCTION("""COMPUTED_VALUE"""),41131.666666666664)</f>
        <v>41131.66667</v>
      </c>
      <c r="L12" s="23">
        <f>IFERROR(__xludf.DUMMYFUNCTION("""COMPUTED_VALUE"""),40.22)</f>
        <v>40.22</v>
      </c>
      <c r="M12" s="23">
        <v>0.0</v>
      </c>
      <c r="N12" s="23">
        <v>0.0</v>
      </c>
      <c r="O12" s="23">
        <v>0.0</v>
      </c>
      <c r="P12" s="23">
        <f t="shared" si="1"/>
        <v>0</v>
      </c>
      <c r="Q12" s="23">
        <f t="shared" si="2"/>
        <v>0</v>
      </c>
      <c r="R12" s="23">
        <f t="shared" si="3"/>
        <v>0</v>
      </c>
      <c r="S12" s="19"/>
      <c r="T12" s="19"/>
      <c r="U12" s="19"/>
      <c r="V12" s="19"/>
    </row>
    <row r="13">
      <c r="A13" s="22">
        <f>IFERROR(__xludf.DUMMYFUNCTION("""COMPUTED_VALUE"""),41976.66666666667)</f>
        <v>41976.66667</v>
      </c>
      <c r="B13" s="23">
        <f>IFERROR(__xludf.DUMMYFUNCTION("""COMPUTED_VALUE"""),52.77)</f>
        <v>52.77</v>
      </c>
      <c r="C13" s="22">
        <f>IFERROR(__xludf.DUMMYFUNCTION("""COMPUTED_VALUE"""),43242.66666666667)</f>
        <v>43242.66667</v>
      </c>
      <c r="D13" s="23">
        <f>IFERROR(__xludf.DUMMYFUNCTION("""COMPUTED_VALUE"""),100.15)</f>
        <v>100.15</v>
      </c>
      <c r="E13" s="22">
        <f>IFERROR(__xludf.DUMMYFUNCTION("""COMPUTED_VALUE"""),42165.66666666667)</f>
        <v>42165.66667</v>
      </c>
      <c r="F13" s="23">
        <f>IFERROR(__xludf.DUMMYFUNCTION("""COMPUTED_VALUE"""),9.95)</f>
        <v>9.95</v>
      </c>
      <c r="G13" s="22">
        <f>IFERROR(__xludf.DUMMYFUNCTION("""COMPUTED_VALUE"""),41138.666666666664)</f>
        <v>41138.66667</v>
      </c>
      <c r="H13" s="23">
        <f>IFERROR(__xludf.DUMMYFUNCTION("""COMPUTED_VALUE"""),55.94)</f>
        <v>55.94</v>
      </c>
      <c r="I13" s="22">
        <f>IFERROR(__xludf.DUMMYFUNCTION("""COMPUTED_VALUE"""),41138.666666666664)</f>
        <v>41138.66667</v>
      </c>
      <c r="J13" s="23">
        <f>IFERROR(__xludf.DUMMYFUNCTION("""COMPUTED_VALUE"""),69.17)</f>
        <v>69.17</v>
      </c>
      <c r="K13" s="22">
        <f>IFERROR(__xludf.DUMMYFUNCTION("""COMPUTED_VALUE"""),41138.666666666664)</f>
        <v>41138.66667</v>
      </c>
      <c r="L13" s="23">
        <f>IFERROR(__xludf.DUMMYFUNCTION("""COMPUTED_VALUE"""),40.85)</f>
        <v>40.85</v>
      </c>
      <c r="M13" s="23">
        <v>0.0</v>
      </c>
      <c r="N13" s="23">
        <v>0.0</v>
      </c>
      <c r="O13" s="23">
        <v>0.0</v>
      </c>
      <c r="P13" s="23">
        <f t="shared" si="1"/>
        <v>0</v>
      </c>
      <c r="Q13" s="23">
        <f t="shared" si="2"/>
        <v>0</v>
      </c>
      <c r="R13" s="23">
        <f t="shared" si="3"/>
        <v>0</v>
      </c>
      <c r="S13" s="19"/>
      <c r="T13" s="19"/>
      <c r="U13" s="19"/>
      <c r="V13" s="19"/>
    </row>
    <row r="14">
      <c r="A14" s="22">
        <f>IFERROR(__xludf.DUMMYFUNCTION("""COMPUTED_VALUE"""),41977.66666666667)</f>
        <v>41977.66667</v>
      </c>
      <c r="B14" s="23">
        <f>IFERROR(__xludf.DUMMYFUNCTION("""COMPUTED_VALUE"""),52.82)</f>
        <v>52.82</v>
      </c>
      <c r="C14" s="22">
        <f>IFERROR(__xludf.DUMMYFUNCTION("""COMPUTED_VALUE"""),43243.66666666667)</f>
        <v>43243.66667</v>
      </c>
      <c r="D14" s="23">
        <f>IFERROR(__xludf.DUMMYFUNCTION("""COMPUTED_VALUE"""),100.19)</f>
        <v>100.19</v>
      </c>
      <c r="E14" s="22">
        <f>IFERROR(__xludf.DUMMYFUNCTION("""COMPUTED_VALUE"""),42166.66666666667)</f>
        <v>42166.66667</v>
      </c>
      <c r="F14" s="23">
        <f>IFERROR(__xludf.DUMMYFUNCTION("""COMPUTED_VALUE"""),10.02)</f>
        <v>10.02</v>
      </c>
      <c r="G14" s="22">
        <f>IFERROR(__xludf.DUMMYFUNCTION("""COMPUTED_VALUE"""),41145.666666666664)</f>
        <v>41145.66667</v>
      </c>
      <c r="H14" s="23">
        <f>IFERROR(__xludf.DUMMYFUNCTION("""COMPUTED_VALUE"""),56.29)</f>
        <v>56.29</v>
      </c>
      <c r="I14" s="22">
        <f>IFERROR(__xludf.DUMMYFUNCTION("""COMPUTED_VALUE"""),41145.666666666664)</f>
        <v>41145.66667</v>
      </c>
      <c r="J14" s="23">
        <f>IFERROR(__xludf.DUMMYFUNCTION("""COMPUTED_VALUE"""),69.03)</f>
        <v>69.03</v>
      </c>
      <c r="K14" s="22">
        <f>IFERROR(__xludf.DUMMYFUNCTION("""COMPUTED_VALUE"""),41145.666666666664)</f>
        <v>41145.66667</v>
      </c>
      <c r="L14" s="23">
        <f>IFERROR(__xludf.DUMMYFUNCTION("""COMPUTED_VALUE"""),41.17)</f>
        <v>41.17</v>
      </c>
      <c r="M14" s="23">
        <v>0.0</v>
      </c>
      <c r="N14" s="23">
        <v>0.0</v>
      </c>
      <c r="O14" s="23">
        <v>0.0</v>
      </c>
      <c r="P14" s="23">
        <f t="shared" si="1"/>
        <v>0</v>
      </c>
      <c r="Q14" s="23">
        <f t="shared" si="2"/>
        <v>0</v>
      </c>
      <c r="R14" s="23">
        <f t="shared" si="3"/>
        <v>0</v>
      </c>
      <c r="S14" s="19"/>
      <c r="T14" s="19"/>
      <c r="U14" s="19"/>
      <c r="V14" s="19"/>
    </row>
    <row r="15">
      <c r="A15" s="22">
        <f>IFERROR(__xludf.DUMMYFUNCTION("""COMPUTED_VALUE"""),41978.66666666667)</f>
        <v>41978.66667</v>
      </c>
      <c r="B15" s="23">
        <f>IFERROR(__xludf.DUMMYFUNCTION("""COMPUTED_VALUE"""),52.88)</f>
        <v>52.88</v>
      </c>
      <c r="C15" s="22">
        <f>IFERROR(__xludf.DUMMYFUNCTION("""COMPUTED_VALUE"""),43244.66666666667)</f>
        <v>43244.66667</v>
      </c>
      <c r="D15" s="23">
        <f>IFERROR(__xludf.DUMMYFUNCTION("""COMPUTED_VALUE"""),100.12)</f>
        <v>100.12</v>
      </c>
      <c r="E15" s="22">
        <f>IFERROR(__xludf.DUMMYFUNCTION("""COMPUTED_VALUE"""),42167.66666666667)</f>
        <v>42167.66667</v>
      </c>
      <c r="F15" s="23">
        <f>IFERROR(__xludf.DUMMYFUNCTION("""COMPUTED_VALUE"""),10.05)</f>
        <v>10.05</v>
      </c>
      <c r="G15" s="22">
        <f>IFERROR(__xludf.DUMMYFUNCTION("""COMPUTED_VALUE"""),41152.666666666664)</f>
        <v>41152.66667</v>
      </c>
      <c r="H15" s="23">
        <f>IFERROR(__xludf.DUMMYFUNCTION("""COMPUTED_VALUE"""),56.0)</f>
        <v>56</v>
      </c>
      <c r="I15" s="22">
        <f>IFERROR(__xludf.DUMMYFUNCTION("""COMPUTED_VALUE"""),41152.666666666664)</f>
        <v>41152.66667</v>
      </c>
      <c r="J15" s="23">
        <f>IFERROR(__xludf.DUMMYFUNCTION("""COMPUTED_VALUE"""),69.8)</f>
        <v>69.8</v>
      </c>
      <c r="K15" s="22">
        <f>IFERROR(__xludf.DUMMYFUNCTION("""COMPUTED_VALUE"""),41152.666666666664)</f>
        <v>41152.66667</v>
      </c>
      <c r="L15" s="23">
        <f>IFERROR(__xludf.DUMMYFUNCTION("""COMPUTED_VALUE"""),40.72)</f>
        <v>40.72</v>
      </c>
      <c r="M15" s="23">
        <v>100.0</v>
      </c>
      <c r="N15" s="23">
        <v>100.0</v>
      </c>
      <c r="O15" s="23">
        <v>100.0</v>
      </c>
      <c r="P15" s="23">
        <f t="shared" si="1"/>
        <v>1.785714286</v>
      </c>
      <c r="Q15" s="23">
        <f t="shared" si="2"/>
        <v>1.432664756</v>
      </c>
      <c r="R15" s="23">
        <f t="shared" si="3"/>
        <v>2.455795678</v>
      </c>
      <c r="S15" s="19"/>
      <c r="T15" s="19"/>
      <c r="U15" s="19"/>
      <c r="V15" s="19"/>
    </row>
    <row r="16">
      <c r="A16" s="22">
        <f>IFERROR(__xludf.DUMMYFUNCTION("""COMPUTED_VALUE"""),41981.66666666667)</f>
        <v>41981.66667</v>
      </c>
      <c r="B16" s="23">
        <f>IFERROR(__xludf.DUMMYFUNCTION("""COMPUTED_VALUE"""),53.18)</f>
        <v>53.18</v>
      </c>
      <c r="C16" s="22">
        <f>IFERROR(__xludf.DUMMYFUNCTION("""COMPUTED_VALUE"""),43245.66666666667)</f>
        <v>43245.66667</v>
      </c>
      <c r="D16" s="23">
        <f>IFERROR(__xludf.DUMMYFUNCTION("""COMPUTED_VALUE"""),99.99)</f>
        <v>99.99</v>
      </c>
      <c r="E16" s="22">
        <f>IFERROR(__xludf.DUMMYFUNCTION("""COMPUTED_VALUE"""),42170.66666666667)</f>
        <v>42170.66667</v>
      </c>
      <c r="F16" s="23">
        <f>IFERROR(__xludf.DUMMYFUNCTION("""COMPUTED_VALUE"""),9.94)</f>
        <v>9.94</v>
      </c>
      <c r="G16" s="22">
        <f>IFERROR(__xludf.DUMMYFUNCTION("""COMPUTED_VALUE"""),41159.666666666664)</f>
        <v>41159.66667</v>
      </c>
      <c r="H16" s="23">
        <f>IFERROR(__xludf.DUMMYFUNCTION("""COMPUTED_VALUE"""),56.79)</f>
        <v>56.79</v>
      </c>
      <c r="I16" s="22">
        <f>IFERROR(__xludf.DUMMYFUNCTION("""COMPUTED_VALUE"""),41159.666666666664)</f>
        <v>41159.66667</v>
      </c>
      <c r="J16" s="23">
        <f>IFERROR(__xludf.DUMMYFUNCTION("""COMPUTED_VALUE"""),71.3)</f>
        <v>71.3</v>
      </c>
      <c r="K16" s="22">
        <f>IFERROR(__xludf.DUMMYFUNCTION("""COMPUTED_VALUE"""),41159.666666666664)</f>
        <v>41159.66667</v>
      </c>
      <c r="L16" s="23">
        <f>IFERROR(__xludf.DUMMYFUNCTION("""COMPUTED_VALUE"""),41.62)</f>
        <v>41.62</v>
      </c>
      <c r="M16" s="23">
        <v>0.0</v>
      </c>
      <c r="N16" s="23">
        <v>0.0</v>
      </c>
      <c r="O16" s="23">
        <v>0.0</v>
      </c>
      <c r="P16" s="23">
        <f t="shared" si="1"/>
        <v>0</v>
      </c>
      <c r="Q16" s="23">
        <f t="shared" si="2"/>
        <v>0</v>
      </c>
      <c r="R16" s="23">
        <f t="shared" si="3"/>
        <v>0</v>
      </c>
      <c r="S16" s="19"/>
      <c r="T16" s="19"/>
      <c r="U16" s="19"/>
      <c r="V16" s="19"/>
    </row>
    <row r="17">
      <c r="A17" s="22">
        <f>IFERROR(__xludf.DUMMYFUNCTION("""COMPUTED_VALUE"""),41982.66666666667)</f>
        <v>41982.66667</v>
      </c>
      <c r="B17" s="23">
        <f>IFERROR(__xludf.DUMMYFUNCTION("""COMPUTED_VALUE"""),53.0)</f>
        <v>53</v>
      </c>
      <c r="C17" s="22">
        <f>IFERROR(__xludf.DUMMYFUNCTION("""COMPUTED_VALUE"""),43248.66666666667)</f>
        <v>43248.66667</v>
      </c>
      <c r="D17" s="23">
        <f>IFERROR(__xludf.DUMMYFUNCTION("""COMPUTED_VALUE"""),99.6)</f>
        <v>99.6</v>
      </c>
      <c r="E17" s="22">
        <f>IFERROR(__xludf.DUMMYFUNCTION("""COMPUTED_VALUE"""),42171.66666666667)</f>
        <v>42171.66667</v>
      </c>
      <c r="F17" s="23">
        <f>IFERROR(__xludf.DUMMYFUNCTION("""COMPUTED_VALUE"""),9.9)</f>
        <v>9.9</v>
      </c>
      <c r="G17" s="22">
        <f>IFERROR(__xludf.DUMMYFUNCTION("""COMPUTED_VALUE"""),41166.666666666664)</f>
        <v>41166.66667</v>
      </c>
      <c r="H17" s="23">
        <f>IFERROR(__xludf.DUMMYFUNCTION("""COMPUTED_VALUE"""),57.15)</f>
        <v>57.15</v>
      </c>
      <c r="I17" s="22">
        <f>IFERROR(__xludf.DUMMYFUNCTION("""COMPUTED_VALUE"""),41166.666666666664)</f>
        <v>41166.66667</v>
      </c>
      <c r="J17" s="23">
        <f>IFERROR(__xludf.DUMMYFUNCTION("""COMPUTED_VALUE"""),71.19)</f>
        <v>71.19</v>
      </c>
      <c r="K17" s="22">
        <f>IFERROR(__xludf.DUMMYFUNCTION("""COMPUTED_VALUE"""),41166.666666666664)</f>
        <v>41166.66667</v>
      </c>
      <c r="L17" s="23">
        <f>IFERROR(__xludf.DUMMYFUNCTION("""COMPUTED_VALUE"""),42.57)</f>
        <v>42.57</v>
      </c>
      <c r="M17" s="23">
        <v>0.0</v>
      </c>
      <c r="N17" s="23">
        <v>0.0</v>
      </c>
      <c r="O17" s="23">
        <v>0.0</v>
      </c>
      <c r="P17" s="23">
        <f t="shared" si="1"/>
        <v>0</v>
      </c>
      <c r="Q17" s="23">
        <f t="shared" si="2"/>
        <v>0</v>
      </c>
      <c r="R17" s="23">
        <f t="shared" si="3"/>
        <v>0</v>
      </c>
      <c r="S17" s="19"/>
      <c r="T17" s="19"/>
      <c r="U17" s="19"/>
      <c r="V17" s="19"/>
    </row>
    <row r="18">
      <c r="A18" s="22">
        <f>IFERROR(__xludf.DUMMYFUNCTION("""COMPUTED_VALUE"""),41983.66666666667)</f>
        <v>41983.66667</v>
      </c>
      <c r="B18" s="23">
        <f>IFERROR(__xludf.DUMMYFUNCTION("""COMPUTED_VALUE"""),51.92)</f>
        <v>51.92</v>
      </c>
      <c r="C18" s="22">
        <f>IFERROR(__xludf.DUMMYFUNCTION("""COMPUTED_VALUE"""),43249.66666666667)</f>
        <v>43249.66667</v>
      </c>
      <c r="D18" s="23">
        <f>IFERROR(__xludf.DUMMYFUNCTION("""COMPUTED_VALUE"""),99.84)</f>
        <v>99.84</v>
      </c>
      <c r="E18" s="22">
        <f>IFERROR(__xludf.DUMMYFUNCTION("""COMPUTED_VALUE"""),42172.66666666667)</f>
        <v>42172.66667</v>
      </c>
      <c r="F18" s="23">
        <f>IFERROR(__xludf.DUMMYFUNCTION("""COMPUTED_VALUE"""),10.02)</f>
        <v>10.02</v>
      </c>
      <c r="G18" s="22">
        <f>IFERROR(__xludf.DUMMYFUNCTION("""COMPUTED_VALUE"""),41173.666666666664)</f>
        <v>41173.66667</v>
      </c>
      <c r="H18" s="23">
        <f>IFERROR(__xludf.DUMMYFUNCTION("""COMPUTED_VALUE"""),57.41)</f>
        <v>57.41</v>
      </c>
      <c r="I18" s="22">
        <f>IFERROR(__xludf.DUMMYFUNCTION("""COMPUTED_VALUE"""),41173.666666666664)</f>
        <v>41173.66667</v>
      </c>
      <c r="J18" s="23">
        <f>IFERROR(__xludf.DUMMYFUNCTION("""COMPUTED_VALUE"""),71.97)</f>
        <v>71.97</v>
      </c>
      <c r="K18" s="22">
        <f>IFERROR(__xludf.DUMMYFUNCTION("""COMPUTED_VALUE"""),41173.666666666664)</f>
        <v>41173.66667</v>
      </c>
      <c r="L18" s="23">
        <f>IFERROR(__xludf.DUMMYFUNCTION("""COMPUTED_VALUE"""),42.87)</f>
        <v>42.87</v>
      </c>
      <c r="M18" s="23">
        <v>0.0</v>
      </c>
      <c r="N18" s="23">
        <v>0.0</v>
      </c>
      <c r="O18" s="23">
        <v>0.0</v>
      </c>
      <c r="P18" s="23">
        <f t="shared" si="1"/>
        <v>0</v>
      </c>
      <c r="Q18" s="23">
        <f t="shared" si="2"/>
        <v>0</v>
      </c>
      <c r="R18" s="23">
        <f t="shared" si="3"/>
        <v>0</v>
      </c>
      <c r="S18" s="19"/>
      <c r="T18" s="19"/>
      <c r="U18" s="19"/>
      <c r="V18" s="19"/>
    </row>
    <row r="19">
      <c r="A19" s="22">
        <f>IFERROR(__xludf.DUMMYFUNCTION("""COMPUTED_VALUE"""),41984.66666666667)</f>
        <v>41984.66667</v>
      </c>
      <c r="B19" s="23">
        <f>IFERROR(__xludf.DUMMYFUNCTION("""COMPUTED_VALUE"""),52.41)</f>
        <v>52.41</v>
      </c>
      <c r="C19" s="22">
        <f>IFERROR(__xludf.DUMMYFUNCTION("""COMPUTED_VALUE"""),43250.66666666667)</f>
        <v>43250.66667</v>
      </c>
      <c r="D19" s="23">
        <f>IFERROR(__xludf.DUMMYFUNCTION("""COMPUTED_VALUE"""),99.3)</f>
        <v>99.3</v>
      </c>
      <c r="E19" s="22">
        <f>IFERROR(__xludf.DUMMYFUNCTION("""COMPUTED_VALUE"""),42173.66666666667)</f>
        <v>42173.66667</v>
      </c>
      <c r="F19" s="23">
        <f>IFERROR(__xludf.DUMMYFUNCTION("""COMPUTED_VALUE"""),9.97)</f>
        <v>9.97</v>
      </c>
      <c r="G19" s="22">
        <f>IFERROR(__xludf.DUMMYFUNCTION("""COMPUTED_VALUE"""),41180.666666666664)</f>
        <v>41180.66667</v>
      </c>
      <c r="H19" s="23">
        <f>IFERROR(__xludf.DUMMYFUNCTION("""COMPUTED_VALUE"""),58.66)</f>
        <v>58.66</v>
      </c>
      <c r="I19" s="22">
        <f>IFERROR(__xludf.DUMMYFUNCTION("""COMPUTED_VALUE"""),41180.666666666664)</f>
        <v>41180.66667</v>
      </c>
      <c r="J19" s="23">
        <f>IFERROR(__xludf.DUMMYFUNCTION("""COMPUTED_VALUE"""),70.8)</f>
        <v>70.8</v>
      </c>
      <c r="K19" s="22">
        <f>IFERROR(__xludf.DUMMYFUNCTION("""COMPUTED_VALUE"""),41180.666666666664)</f>
        <v>41180.66667</v>
      </c>
      <c r="L19" s="23">
        <f>IFERROR(__xludf.DUMMYFUNCTION("""COMPUTED_VALUE"""),41.96)</f>
        <v>41.96</v>
      </c>
      <c r="M19" s="23">
        <v>100.0</v>
      </c>
      <c r="N19" s="23">
        <v>100.0</v>
      </c>
      <c r="O19" s="23">
        <v>100.0</v>
      </c>
      <c r="P19" s="23">
        <f t="shared" si="1"/>
        <v>1.704739175</v>
      </c>
      <c r="Q19" s="23">
        <f t="shared" si="2"/>
        <v>1.412429379</v>
      </c>
      <c r="R19" s="23">
        <f t="shared" si="3"/>
        <v>2.383222116</v>
      </c>
      <c r="S19" s="19"/>
      <c r="T19" s="19"/>
      <c r="U19" s="19"/>
      <c r="V19" s="19"/>
    </row>
    <row r="20">
      <c r="A20" s="22">
        <f>IFERROR(__xludf.DUMMYFUNCTION("""COMPUTED_VALUE"""),41985.66666666667)</f>
        <v>41985.66667</v>
      </c>
      <c r="B20" s="23">
        <f>IFERROR(__xludf.DUMMYFUNCTION("""COMPUTED_VALUE"""),52.2)</f>
        <v>52.2</v>
      </c>
      <c r="C20" s="22">
        <f>IFERROR(__xludf.DUMMYFUNCTION("""COMPUTED_VALUE"""),43251.66666666667)</f>
        <v>43251.66667</v>
      </c>
      <c r="D20" s="23">
        <f>IFERROR(__xludf.DUMMYFUNCTION("""COMPUTED_VALUE"""),99.75)</f>
        <v>99.75</v>
      </c>
      <c r="E20" s="22">
        <f>IFERROR(__xludf.DUMMYFUNCTION("""COMPUTED_VALUE"""),42174.66666666667)</f>
        <v>42174.66667</v>
      </c>
      <c r="F20" s="23">
        <f>IFERROR(__xludf.DUMMYFUNCTION("""COMPUTED_VALUE"""),10.12)</f>
        <v>10.12</v>
      </c>
      <c r="G20" s="22">
        <f>IFERROR(__xludf.DUMMYFUNCTION("""COMPUTED_VALUE"""),41187.666666666664)</f>
        <v>41187.66667</v>
      </c>
      <c r="H20" s="23">
        <f>IFERROR(__xludf.DUMMYFUNCTION("""COMPUTED_VALUE"""),57.59)</f>
        <v>57.59</v>
      </c>
      <c r="I20" s="22">
        <f>IFERROR(__xludf.DUMMYFUNCTION("""COMPUTED_VALUE"""),41187.666666666664)</f>
        <v>41187.66667</v>
      </c>
      <c r="J20" s="23">
        <f>IFERROR(__xludf.DUMMYFUNCTION("""COMPUTED_VALUE"""),72.78)</f>
        <v>72.78</v>
      </c>
      <c r="K20" s="22">
        <f>IFERROR(__xludf.DUMMYFUNCTION("""COMPUTED_VALUE"""),41187.666666666664)</f>
        <v>41187.66667</v>
      </c>
      <c r="L20" s="23">
        <f>IFERROR(__xludf.DUMMYFUNCTION("""COMPUTED_VALUE"""),42.69)</f>
        <v>42.69</v>
      </c>
      <c r="M20" s="23">
        <v>0.0</v>
      </c>
      <c r="N20" s="23">
        <v>0.0</v>
      </c>
      <c r="O20" s="23">
        <v>0.0</v>
      </c>
      <c r="P20" s="23">
        <f t="shared" si="1"/>
        <v>0</v>
      </c>
      <c r="Q20" s="23">
        <f t="shared" si="2"/>
        <v>0</v>
      </c>
      <c r="R20" s="23">
        <f t="shared" si="3"/>
        <v>0</v>
      </c>
      <c r="S20" s="19"/>
      <c r="T20" s="19"/>
      <c r="U20" s="19"/>
      <c r="V20" s="19"/>
    </row>
    <row r="21">
      <c r="A21" s="22">
        <f>IFERROR(__xludf.DUMMYFUNCTION("""COMPUTED_VALUE"""),41988.66666666667)</f>
        <v>41988.66667</v>
      </c>
      <c r="B21" s="23">
        <f>IFERROR(__xludf.DUMMYFUNCTION("""COMPUTED_VALUE"""),51.26)</f>
        <v>51.26</v>
      </c>
      <c r="C21" s="22">
        <f>IFERROR(__xludf.DUMMYFUNCTION("""COMPUTED_VALUE"""),43252.66666666667)</f>
        <v>43252.66667</v>
      </c>
      <c r="D21" s="23">
        <f>IFERROR(__xludf.DUMMYFUNCTION("""COMPUTED_VALUE"""),99.31)</f>
        <v>99.31</v>
      </c>
      <c r="E21" s="22">
        <f>IFERROR(__xludf.DUMMYFUNCTION("""COMPUTED_VALUE"""),42177.66666666667)</f>
        <v>42177.66667</v>
      </c>
      <c r="F21" s="23">
        <f>IFERROR(__xludf.DUMMYFUNCTION("""COMPUTED_VALUE"""),10.08)</f>
        <v>10.08</v>
      </c>
      <c r="G21" s="22">
        <f>IFERROR(__xludf.DUMMYFUNCTION("""COMPUTED_VALUE"""),41194.666666666664)</f>
        <v>41194.66667</v>
      </c>
      <c r="H21" s="23">
        <f>IFERROR(__xludf.DUMMYFUNCTION("""COMPUTED_VALUE"""),57.55)</f>
        <v>57.55</v>
      </c>
      <c r="I21" s="22">
        <f>IFERROR(__xludf.DUMMYFUNCTION("""COMPUTED_VALUE"""),41194.666666666664)</f>
        <v>41194.66667</v>
      </c>
      <c r="J21" s="23">
        <f>IFERROR(__xludf.DUMMYFUNCTION("""COMPUTED_VALUE"""),71.65)</f>
        <v>71.65</v>
      </c>
      <c r="K21" s="22">
        <f>IFERROR(__xludf.DUMMYFUNCTION("""COMPUTED_VALUE"""),41194.666666666664)</f>
        <v>41194.66667</v>
      </c>
      <c r="L21" s="23">
        <f>IFERROR(__xludf.DUMMYFUNCTION("""COMPUTED_VALUE"""),42.0)</f>
        <v>42</v>
      </c>
      <c r="M21" s="23">
        <v>0.0</v>
      </c>
      <c r="N21" s="23">
        <v>0.0</v>
      </c>
      <c r="O21" s="23">
        <v>0.0</v>
      </c>
      <c r="P21" s="23">
        <f t="shared" si="1"/>
        <v>0</v>
      </c>
      <c r="Q21" s="23">
        <f t="shared" si="2"/>
        <v>0</v>
      </c>
      <c r="R21" s="23">
        <f t="shared" si="3"/>
        <v>0</v>
      </c>
      <c r="S21" s="19"/>
      <c r="T21" s="19"/>
      <c r="U21" s="19"/>
      <c r="V21" s="19"/>
    </row>
    <row r="22">
      <c r="A22" s="22">
        <f>IFERROR(__xludf.DUMMYFUNCTION("""COMPUTED_VALUE"""),41989.66666666667)</f>
        <v>41989.66667</v>
      </c>
      <c r="B22" s="23">
        <f>IFERROR(__xludf.DUMMYFUNCTION("""COMPUTED_VALUE"""),51.03)</f>
        <v>51.03</v>
      </c>
      <c r="C22" s="22">
        <f>IFERROR(__xludf.DUMMYFUNCTION("""COMPUTED_VALUE"""),43255.66666666667)</f>
        <v>43255.66667</v>
      </c>
      <c r="D22" s="23">
        <f>IFERROR(__xludf.DUMMYFUNCTION("""COMPUTED_VALUE"""),99.91)</f>
        <v>99.91</v>
      </c>
      <c r="E22" s="22">
        <f>IFERROR(__xludf.DUMMYFUNCTION("""COMPUTED_VALUE"""),42178.66666666667)</f>
        <v>42178.66667</v>
      </c>
      <c r="F22" s="23">
        <f>IFERROR(__xludf.DUMMYFUNCTION("""COMPUTED_VALUE"""),10.24)</f>
        <v>10.24</v>
      </c>
      <c r="G22" s="22">
        <f>IFERROR(__xludf.DUMMYFUNCTION("""COMPUTED_VALUE"""),41201.666666666664)</f>
        <v>41201.66667</v>
      </c>
      <c r="H22" s="23">
        <f>IFERROR(__xludf.DUMMYFUNCTION("""COMPUTED_VALUE"""),58.55)</f>
        <v>58.55</v>
      </c>
      <c r="I22" s="22">
        <f>IFERROR(__xludf.DUMMYFUNCTION("""COMPUTED_VALUE"""),41201.666666666664)</f>
        <v>41201.66667</v>
      </c>
      <c r="J22" s="23">
        <f>IFERROR(__xludf.DUMMYFUNCTION("""COMPUTED_VALUE"""),72.06)</f>
        <v>72.06</v>
      </c>
      <c r="K22" s="22">
        <f>IFERROR(__xludf.DUMMYFUNCTION("""COMPUTED_VALUE"""),41201.666666666664)</f>
        <v>41201.66667</v>
      </c>
      <c r="L22" s="23">
        <f>IFERROR(__xludf.DUMMYFUNCTION("""COMPUTED_VALUE"""),42.73)</f>
        <v>42.73</v>
      </c>
      <c r="M22" s="23">
        <v>0.0</v>
      </c>
      <c r="N22" s="23">
        <v>0.0</v>
      </c>
      <c r="O22" s="23">
        <v>0.0</v>
      </c>
      <c r="P22" s="23">
        <f t="shared" si="1"/>
        <v>0</v>
      </c>
      <c r="Q22" s="23">
        <f t="shared" si="2"/>
        <v>0</v>
      </c>
      <c r="R22" s="23">
        <f t="shared" si="3"/>
        <v>0</v>
      </c>
      <c r="S22" s="19"/>
      <c r="T22" s="19"/>
      <c r="U22" s="19"/>
      <c r="V22" s="19"/>
    </row>
    <row r="23">
      <c r="A23" s="22">
        <f>IFERROR(__xludf.DUMMYFUNCTION("""COMPUTED_VALUE"""),41990.66666666667)</f>
        <v>41990.66667</v>
      </c>
      <c r="B23" s="23">
        <f>IFERROR(__xludf.DUMMYFUNCTION("""COMPUTED_VALUE"""),52.59)</f>
        <v>52.59</v>
      </c>
      <c r="C23" s="22">
        <f>IFERROR(__xludf.DUMMYFUNCTION("""COMPUTED_VALUE"""),43256.66666666667)</f>
        <v>43256.66667</v>
      </c>
      <c r="D23" s="23">
        <f>IFERROR(__xludf.DUMMYFUNCTION("""COMPUTED_VALUE"""),99.54)</f>
        <v>99.54</v>
      </c>
      <c r="E23" s="22">
        <f>IFERROR(__xludf.DUMMYFUNCTION("""COMPUTED_VALUE"""),42179.66666666667)</f>
        <v>42179.66667</v>
      </c>
      <c r="F23" s="23">
        <f>IFERROR(__xludf.DUMMYFUNCTION("""COMPUTED_VALUE"""),10.19)</f>
        <v>10.19</v>
      </c>
      <c r="G23" s="22">
        <f>IFERROR(__xludf.DUMMYFUNCTION("""COMPUTED_VALUE"""),41208.666666666664)</f>
        <v>41208.66667</v>
      </c>
      <c r="H23" s="23">
        <f>IFERROR(__xludf.DUMMYFUNCTION("""COMPUTED_VALUE"""),57.72)</f>
        <v>57.72</v>
      </c>
      <c r="I23" s="22">
        <f>IFERROR(__xludf.DUMMYFUNCTION("""COMPUTED_VALUE"""),41208.666666666664)</f>
        <v>41208.66667</v>
      </c>
      <c r="J23" s="23">
        <f>IFERROR(__xludf.DUMMYFUNCTION("""COMPUTED_VALUE"""),70.3)</f>
        <v>70.3</v>
      </c>
      <c r="K23" s="22">
        <f>IFERROR(__xludf.DUMMYFUNCTION("""COMPUTED_VALUE"""),41208.666666666664)</f>
        <v>41208.66667</v>
      </c>
      <c r="L23" s="23">
        <f>IFERROR(__xludf.DUMMYFUNCTION("""COMPUTED_VALUE"""),41.7)</f>
        <v>41.7</v>
      </c>
      <c r="M23" s="23">
        <v>100.0</v>
      </c>
      <c r="N23" s="23">
        <v>100.0</v>
      </c>
      <c r="O23" s="23">
        <v>100.0</v>
      </c>
      <c r="P23" s="23">
        <f t="shared" si="1"/>
        <v>1.732501733</v>
      </c>
      <c r="Q23" s="23">
        <f t="shared" si="2"/>
        <v>1.422475107</v>
      </c>
      <c r="R23" s="23">
        <f t="shared" si="3"/>
        <v>2.398081535</v>
      </c>
      <c r="S23" s="19"/>
      <c r="T23" s="19"/>
      <c r="U23" s="19"/>
      <c r="V23" s="19"/>
    </row>
    <row r="24">
      <c r="A24" s="22">
        <f>IFERROR(__xludf.DUMMYFUNCTION("""COMPUTED_VALUE"""),41991.66666666667)</f>
        <v>41991.66667</v>
      </c>
      <c r="B24" s="23">
        <f>IFERROR(__xludf.DUMMYFUNCTION("""COMPUTED_VALUE"""),52.49)</f>
        <v>52.49</v>
      </c>
      <c r="C24" s="22">
        <f>IFERROR(__xludf.DUMMYFUNCTION("""COMPUTED_VALUE"""),43257.66666666667)</f>
        <v>43257.66667</v>
      </c>
      <c r="D24" s="23">
        <f>IFERROR(__xludf.DUMMYFUNCTION("""COMPUTED_VALUE"""),99.92)</f>
        <v>99.92</v>
      </c>
      <c r="E24" s="22">
        <f>IFERROR(__xludf.DUMMYFUNCTION("""COMPUTED_VALUE"""),42180.66666666667)</f>
        <v>42180.66667</v>
      </c>
      <c r="F24" s="23">
        <f>IFERROR(__xludf.DUMMYFUNCTION("""COMPUTED_VALUE"""),10.16)</f>
        <v>10.16</v>
      </c>
      <c r="G24" s="22">
        <f>IFERROR(__xludf.DUMMYFUNCTION("""COMPUTED_VALUE"""),41215.666666666664)</f>
        <v>41215.66667</v>
      </c>
      <c r="H24" s="23">
        <f>IFERROR(__xludf.DUMMYFUNCTION("""COMPUTED_VALUE"""),57.23)</f>
        <v>57.23</v>
      </c>
      <c r="I24" s="22">
        <f>IFERROR(__xludf.DUMMYFUNCTION("""COMPUTED_VALUE"""),41215.666666666664)</f>
        <v>41215.66667</v>
      </c>
      <c r="J24" s="23">
        <f>IFERROR(__xludf.DUMMYFUNCTION("""COMPUTED_VALUE"""),70.73)</f>
        <v>70.73</v>
      </c>
      <c r="K24" s="22">
        <f>IFERROR(__xludf.DUMMYFUNCTION("""COMPUTED_VALUE"""),41215.666666666664)</f>
        <v>41215.66667</v>
      </c>
      <c r="L24" s="23">
        <f>IFERROR(__xludf.DUMMYFUNCTION("""COMPUTED_VALUE"""),42.22)</f>
        <v>42.22</v>
      </c>
      <c r="M24" s="23">
        <v>0.0</v>
      </c>
      <c r="N24" s="23">
        <v>0.0</v>
      </c>
      <c r="O24" s="23">
        <v>0.0</v>
      </c>
      <c r="P24" s="23">
        <f t="shared" si="1"/>
        <v>0</v>
      </c>
      <c r="Q24" s="23">
        <f t="shared" si="2"/>
        <v>0</v>
      </c>
      <c r="R24" s="23">
        <f t="shared" si="3"/>
        <v>0</v>
      </c>
      <c r="S24" s="19"/>
      <c r="T24" s="19"/>
      <c r="U24" s="19"/>
      <c r="V24" s="19"/>
    </row>
    <row r="25">
      <c r="A25" s="22">
        <f>IFERROR(__xludf.DUMMYFUNCTION("""COMPUTED_VALUE"""),41992.66666666667)</f>
        <v>41992.66667</v>
      </c>
      <c r="B25" s="23">
        <f>IFERROR(__xludf.DUMMYFUNCTION("""COMPUTED_VALUE"""),53.52)</f>
        <v>53.52</v>
      </c>
      <c r="C25" s="22">
        <f>IFERROR(__xludf.DUMMYFUNCTION("""COMPUTED_VALUE"""),43258.66666666667)</f>
        <v>43258.66667</v>
      </c>
      <c r="D25" s="23">
        <f>IFERROR(__xludf.DUMMYFUNCTION("""COMPUTED_VALUE"""),100.66)</f>
        <v>100.66</v>
      </c>
      <c r="E25" s="22">
        <f>IFERROR(__xludf.DUMMYFUNCTION("""COMPUTED_VALUE"""),42181.66666666667)</f>
        <v>42181.66667</v>
      </c>
      <c r="F25" s="23">
        <f>IFERROR(__xludf.DUMMYFUNCTION("""COMPUTED_VALUE"""),10.15)</f>
        <v>10.15</v>
      </c>
      <c r="G25" s="22">
        <f>IFERROR(__xludf.DUMMYFUNCTION("""COMPUTED_VALUE"""),41222.666666666664)</f>
        <v>41222.66667</v>
      </c>
      <c r="H25" s="23">
        <f>IFERROR(__xludf.DUMMYFUNCTION("""COMPUTED_VALUE"""),57.51)</f>
        <v>57.51</v>
      </c>
      <c r="I25" s="22">
        <f>IFERROR(__xludf.DUMMYFUNCTION("""COMPUTED_VALUE"""),41222.666666666664)</f>
        <v>41222.66667</v>
      </c>
      <c r="J25" s="23">
        <f>IFERROR(__xludf.DUMMYFUNCTION("""COMPUTED_VALUE"""),68.5)</f>
        <v>68.5</v>
      </c>
      <c r="K25" s="22">
        <f>IFERROR(__xludf.DUMMYFUNCTION("""COMPUTED_VALUE"""),41222.666666666664)</f>
        <v>41222.66667</v>
      </c>
      <c r="L25" s="23">
        <f>IFERROR(__xludf.DUMMYFUNCTION("""COMPUTED_VALUE"""),41.28)</f>
        <v>41.28</v>
      </c>
      <c r="M25" s="23">
        <v>0.0</v>
      </c>
      <c r="N25" s="23">
        <v>0.0</v>
      </c>
      <c r="O25" s="23">
        <v>0.0</v>
      </c>
      <c r="P25" s="23">
        <f t="shared" si="1"/>
        <v>0</v>
      </c>
      <c r="Q25" s="23">
        <f t="shared" si="2"/>
        <v>0</v>
      </c>
      <c r="R25" s="23">
        <f t="shared" si="3"/>
        <v>0</v>
      </c>
      <c r="S25" s="19"/>
      <c r="T25" s="19"/>
      <c r="U25" s="19"/>
      <c r="V25" s="19"/>
    </row>
    <row r="26">
      <c r="A26" s="22">
        <f>IFERROR(__xludf.DUMMYFUNCTION("""COMPUTED_VALUE"""),41995.66666666667)</f>
        <v>41995.66667</v>
      </c>
      <c r="B26" s="23">
        <f>IFERROR(__xludf.DUMMYFUNCTION("""COMPUTED_VALUE"""),53.71)</f>
        <v>53.71</v>
      </c>
      <c r="C26" s="22">
        <f>IFERROR(__xludf.DUMMYFUNCTION("""COMPUTED_VALUE"""),43259.66666666667)</f>
        <v>43259.66667</v>
      </c>
      <c r="D26" s="23">
        <f>IFERROR(__xludf.DUMMYFUNCTION("""COMPUTED_VALUE"""),100.31)</f>
        <v>100.31</v>
      </c>
      <c r="E26" s="22">
        <f>IFERROR(__xludf.DUMMYFUNCTION("""COMPUTED_VALUE"""),42184.66666666667)</f>
        <v>42184.66667</v>
      </c>
      <c r="F26" s="23">
        <f>IFERROR(__xludf.DUMMYFUNCTION("""COMPUTED_VALUE"""),10.03)</f>
        <v>10.03</v>
      </c>
      <c r="G26" s="22">
        <f>IFERROR(__xludf.DUMMYFUNCTION("""COMPUTED_VALUE"""),41229.666666666664)</f>
        <v>41229.66667</v>
      </c>
      <c r="H26" s="23">
        <f>IFERROR(__xludf.DUMMYFUNCTION("""COMPUTED_VALUE"""),56.0)</f>
        <v>56</v>
      </c>
      <c r="I26" s="22">
        <f>IFERROR(__xludf.DUMMYFUNCTION("""COMPUTED_VALUE"""),41229.666666666664)</f>
        <v>41229.66667</v>
      </c>
      <c r="J26" s="23">
        <f>IFERROR(__xludf.DUMMYFUNCTION("""COMPUTED_VALUE"""),67.38)</f>
        <v>67.38</v>
      </c>
      <c r="K26" s="22">
        <f>IFERROR(__xludf.DUMMYFUNCTION("""COMPUTED_VALUE"""),41229.666666666664)</f>
        <v>41229.66667</v>
      </c>
      <c r="L26" s="23">
        <f>IFERROR(__xludf.DUMMYFUNCTION("""COMPUTED_VALUE"""),40.83)</f>
        <v>40.83</v>
      </c>
      <c r="M26" s="23">
        <v>0.0</v>
      </c>
      <c r="N26" s="23">
        <v>0.0</v>
      </c>
      <c r="O26" s="23">
        <v>0.0</v>
      </c>
      <c r="P26" s="23">
        <f t="shared" si="1"/>
        <v>0</v>
      </c>
      <c r="Q26" s="23">
        <f t="shared" si="2"/>
        <v>0</v>
      </c>
      <c r="R26" s="23">
        <f t="shared" si="3"/>
        <v>0</v>
      </c>
      <c r="S26" s="19"/>
      <c r="T26" s="19"/>
      <c r="U26" s="19"/>
      <c r="V26" s="19"/>
    </row>
    <row r="27">
      <c r="A27" s="22">
        <f>IFERROR(__xludf.DUMMYFUNCTION("""COMPUTED_VALUE"""),41996.66666666667)</f>
        <v>41996.66667</v>
      </c>
      <c r="B27" s="23">
        <f>IFERROR(__xludf.DUMMYFUNCTION("""COMPUTED_VALUE"""),54.14)</f>
        <v>54.14</v>
      </c>
      <c r="C27" s="22">
        <f>IFERROR(__xludf.DUMMYFUNCTION("""COMPUTED_VALUE"""),43263.66666666667)</f>
        <v>43263.66667</v>
      </c>
      <c r="D27" s="23">
        <f>IFERROR(__xludf.DUMMYFUNCTION("""COMPUTED_VALUE"""),100.44)</f>
        <v>100.44</v>
      </c>
      <c r="E27" s="22">
        <f>IFERROR(__xludf.DUMMYFUNCTION("""COMPUTED_VALUE"""),42185.66666666667)</f>
        <v>42185.66667</v>
      </c>
      <c r="F27" s="23">
        <f>IFERROR(__xludf.DUMMYFUNCTION("""COMPUTED_VALUE"""),9.94)</f>
        <v>9.94</v>
      </c>
      <c r="G27" s="22">
        <f>IFERROR(__xludf.DUMMYFUNCTION("""COMPUTED_VALUE"""),41236.666666666664)</f>
        <v>41236.66667</v>
      </c>
      <c r="H27" s="23">
        <f>IFERROR(__xludf.DUMMYFUNCTION("""COMPUTED_VALUE"""),56.9)</f>
        <v>56.9</v>
      </c>
      <c r="I27" s="22">
        <f>IFERROR(__xludf.DUMMYFUNCTION("""COMPUTED_VALUE"""),41236.666666666664)</f>
        <v>41236.66667</v>
      </c>
      <c r="J27" s="23">
        <f>IFERROR(__xludf.DUMMYFUNCTION("""COMPUTED_VALUE"""),69.13)</f>
        <v>69.13</v>
      </c>
      <c r="K27" s="22">
        <f>IFERROR(__xludf.DUMMYFUNCTION("""COMPUTED_VALUE"""),41236.666666666664)</f>
        <v>41236.66667</v>
      </c>
      <c r="L27" s="23">
        <f>IFERROR(__xludf.DUMMYFUNCTION("""COMPUTED_VALUE"""),41.68)</f>
        <v>41.68</v>
      </c>
      <c r="M27" s="23">
        <v>100.0</v>
      </c>
      <c r="N27" s="23">
        <v>100.0</v>
      </c>
      <c r="O27" s="23">
        <v>100.0</v>
      </c>
      <c r="P27" s="23">
        <f t="shared" si="1"/>
        <v>1.757469244</v>
      </c>
      <c r="Q27" s="23">
        <f t="shared" si="2"/>
        <v>1.446549978</v>
      </c>
      <c r="R27" s="23">
        <f t="shared" si="3"/>
        <v>2.399232246</v>
      </c>
      <c r="S27" s="19"/>
      <c r="T27" s="19"/>
      <c r="U27" s="19"/>
      <c r="V27" s="19"/>
    </row>
    <row r="28">
      <c r="A28" s="22">
        <f>IFERROR(__xludf.DUMMYFUNCTION("""COMPUTED_VALUE"""),41997.66666666667)</f>
        <v>41997.66667</v>
      </c>
      <c r="B28" s="23">
        <f>IFERROR(__xludf.DUMMYFUNCTION("""COMPUTED_VALUE"""),54.16)</f>
        <v>54.16</v>
      </c>
      <c r="C28" s="22">
        <f>IFERROR(__xludf.DUMMYFUNCTION("""COMPUTED_VALUE"""),43264.66666666667)</f>
        <v>43264.66667</v>
      </c>
      <c r="D28" s="23">
        <f>IFERROR(__xludf.DUMMYFUNCTION("""COMPUTED_VALUE"""),99.72)</f>
        <v>99.72</v>
      </c>
      <c r="E28" s="22">
        <f>IFERROR(__xludf.DUMMYFUNCTION("""COMPUTED_VALUE"""),42186.66666666667)</f>
        <v>42186.66667</v>
      </c>
      <c r="F28" s="23">
        <f>IFERROR(__xludf.DUMMYFUNCTION("""COMPUTED_VALUE"""),9.92)</f>
        <v>9.92</v>
      </c>
      <c r="G28" s="22">
        <f>IFERROR(__xludf.DUMMYFUNCTION("""COMPUTED_VALUE"""),41243.666666666664)</f>
        <v>41243.66667</v>
      </c>
      <c r="H28" s="23">
        <f>IFERROR(__xludf.DUMMYFUNCTION("""COMPUTED_VALUE"""),58.18)</f>
        <v>58.18</v>
      </c>
      <c r="I28" s="22">
        <f>IFERROR(__xludf.DUMMYFUNCTION("""COMPUTED_VALUE"""),41243.666666666664)</f>
        <v>41243.66667</v>
      </c>
      <c r="J28" s="23">
        <f>IFERROR(__xludf.DUMMYFUNCTION("""COMPUTED_VALUE"""),70.1)</f>
        <v>70.1</v>
      </c>
      <c r="K28" s="22">
        <f>IFERROR(__xludf.DUMMYFUNCTION("""COMPUTED_VALUE"""),41243.666666666664)</f>
        <v>41243.66667</v>
      </c>
      <c r="L28" s="23">
        <f>IFERROR(__xludf.DUMMYFUNCTION("""COMPUTED_VALUE"""),42.37)</f>
        <v>42.37</v>
      </c>
      <c r="M28" s="23">
        <v>0.0</v>
      </c>
      <c r="N28" s="23">
        <v>0.0</v>
      </c>
      <c r="O28" s="23">
        <v>0.0</v>
      </c>
      <c r="P28" s="23">
        <f t="shared" si="1"/>
        <v>0</v>
      </c>
      <c r="Q28" s="23">
        <f t="shared" si="2"/>
        <v>0</v>
      </c>
      <c r="R28" s="23">
        <f t="shared" si="3"/>
        <v>0</v>
      </c>
      <c r="S28" s="19"/>
      <c r="T28" s="19"/>
      <c r="U28" s="19"/>
      <c r="V28" s="19"/>
    </row>
    <row r="29">
      <c r="A29" s="22">
        <f>IFERROR(__xludf.DUMMYFUNCTION("""COMPUTED_VALUE"""),42002.66666666667)</f>
        <v>42002.66667</v>
      </c>
      <c r="B29" s="23">
        <f>IFERROR(__xludf.DUMMYFUNCTION("""COMPUTED_VALUE"""),54.36)</f>
        <v>54.36</v>
      </c>
      <c r="C29" s="22">
        <f>IFERROR(__xludf.DUMMYFUNCTION("""COMPUTED_VALUE"""),43265.66666666667)</f>
        <v>43265.66667</v>
      </c>
      <c r="D29" s="23">
        <f>IFERROR(__xludf.DUMMYFUNCTION("""COMPUTED_VALUE"""),99.92)</f>
        <v>99.92</v>
      </c>
      <c r="E29" s="22">
        <f>IFERROR(__xludf.DUMMYFUNCTION("""COMPUTED_VALUE"""),42187.66666666667)</f>
        <v>42187.66667</v>
      </c>
      <c r="F29" s="23">
        <f>IFERROR(__xludf.DUMMYFUNCTION("""COMPUTED_VALUE"""),10.08)</f>
        <v>10.08</v>
      </c>
      <c r="G29" s="22">
        <f>IFERROR(__xludf.DUMMYFUNCTION("""COMPUTED_VALUE"""),41250.666666666664)</f>
        <v>41250.66667</v>
      </c>
      <c r="H29" s="23">
        <f>IFERROR(__xludf.DUMMYFUNCTION("""COMPUTED_VALUE"""),58.99)</f>
        <v>58.99</v>
      </c>
      <c r="I29" s="22">
        <f>IFERROR(__xludf.DUMMYFUNCTION("""COMPUTED_VALUE"""),41250.666666666664)</f>
        <v>41250.66667</v>
      </c>
      <c r="J29" s="23">
        <f>IFERROR(__xludf.DUMMYFUNCTION("""COMPUTED_VALUE"""),69.77)</f>
        <v>69.77</v>
      </c>
      <c r="K29" s="22">
        <f>IFERROR(__xludf.DUMMYFUNCTION("""COMPUTED_VALUE"""),41250.666666666664)</f>
        <v>41250.66667</v>
      </c>
      <c r="L29" s="23">
        <f>IFERROR(__xludf.DUMMYFUNCTION("""COMPUTED_VALUE"""),42.34)</f>
        <v>42.34</v>
      </c>
      <c r="M29" s="23">
        <v>0.0</v>
      </c>
      <c r="N29" s="23">
        <v>0.0</v>
      </c>
      <c r="O29" s="23">
        <v>0.0</v>
      </c>
      <c r="P29" s="23">
        <f t="shared" si="1"/>
        <v>0</v>
      </c>
      <c r="Q29" s="23">
        <f t="shared" si="2"/>
        <v>0</v>
      </c>
      <c r="R29" s="23">
        <f t="shared" si="3"/>
        <v>0</v>
      </c>
      <c r="S29" s="19"/>
      <c r="T29" s="19"/>
      <c r="U29" s="19"/>
      <c r="V29" s="19"/>
    </row>
    <row r="30">
      <c r="A30" s="22">
        <f>IFERROR(__xludf.DUMMYFUNCTION("""COMPUTED_VALUE"""),42003.66666666667)</f>
        <v>42003.66667</v>
      </c>
      <c r="B30" s="23">
        <f>IFERROR(__xludf.DUMMYFUNCTION("""COMPUTED_VALUE"""),54.0)</f>
        <v>54</v>
      </c>
      <c r="C30" s="22">
        <f>IFERROR(__xludf.DUMMYFUNCTION("""COMPUTED_VALUE"""),43266.66666666667)</f>
        <v>43266.66667</v>
      </c>
      <c r="D30" s="23">
        <f>IFERROR(__xludf.DUMMYFUNCTION("""COMPUTED_VALUE"""),101.14)</f>
        <v>101.14</v>
      </c>
      <c r="E30" s="22">
        <f>IFERROR(__xludf.DUMMYFUNCTION("""COMPUTED_VALUE"""),42188.66666666667)</f>
        <v>42188.66667</v>
      </c>
      <c r="F30" s="23">
        <f>IFERROR(__xludf.DUMMYFUNCTION("""COMPUTED_VALUE"""),10.15)</f>
        <v>10.15</v>
      </c>
      <c r="G30" s="22">
        <f>IFERROR(__xludf.DUMMYFUNCTION("""COMPUTED_VALUE"""),41257.666666666664)</f>
        <v>41257.66667</v>
      </c>
      <c r="H30" s="23">
        <f>IFERROR(__xludf.DUMMYFUNCTION("""COMPUTED_VALUE"""),59.22)</f>
        <v>59.22</v>
      </c>
      <c r="I30" s="22">
        <f>IFERROR(__xludf.DUMMYFUNCTION("""COMPUTED_VALUE"""),41257.666666666664)</f>
        <v>41257.66667</v>
      </c>
      <c r="J30" s="23">
        <f>IFERROR(__xludf.DUMMYFUNCTION("""COMPUTED_VALUE"""),69.86)</f>
        <v>69.86</v>
      </c>
      <c r="K30" s="22">
        <f>IFERROR(__xludf.DUMMYFUNCTION("""COMPUTED_VALUE"""),41257.666666666664)</f>
        <v>41257.66667</v>
      </c>
      <c r="L30" s="23">
        <f>IFERROR(__xludf.DUMMYFUNCTION("""COMPUTED_VALUE"""),42.95)</f>
        <v>42.95</v>
      </c>
      <c r="M30" s="23">
        <v>0.0</v>
      </c>
      <c r="N30" s="23">
        <v>0.0</v>
      </c>
      <c r="O30" s="23">
        <v>0.0</v>
      </c>
      <c r="P30" s="23">
        <f t="shared" si="1"/>
        <v>0</v>
      </c>
      <c r="Q30" s="23">
        <f t="shared" si="2"/>
        <v>0</v>
      </c>
      <c r="R30" s="23">
        <f t="shared" si="3"/>
        <v>0</v>
      </c>
      <c r="S30" s="19"/>
      <c r="T30" s="19"/>
      <c r="U30" s="19"/>
      <c r="V30" s="19"/>
    </row>
    <row r="31">
      <c r="A31" s="22">
        <f>IFERROR(__xludf.DUMMYFUNCTION("""COMPUTED_VALUE"""),42006.66666666667)</f>
        <v>42006.66667</v>
      </c>
      <c r="B31" s="23">
        <f>IFERROR(__xludf.DUMMYFUNCTION("""COMPUTED_VALUE"""),53.43)</f>
        <v>53.43</v>
      </c>
      <c r="C31" s="22">
        <f>IFERROR(__xludf.DUMMYFUNCTION("""COMPUTED_VALUE"""),43269.66666666667)</f>
        <v>43269.66667</v>
      </c>
      <c r="D31" s="23">
        <f>IFERROR(__xludf.DUMMYFUNCTION("""COMPUTED_VALUE"""),101.08)</f>
        <v>101.08</v>
      </c>
      <c r="E31" s="22">
        <f>IFERROR(__xludf.DUMMYFUNCTION("""COMPUTED_VALUE"""),42191.66666666667)</f>
        <v>42191.66667</v>
      </c>
      <c r="F31" s="23">
        <f>IFERROR(__xludf.DUMMYFUNCTION("""COMPUTED_VALUE"""),10.15)</f>
        <v>10.15</v>
      </c>
      <c r="G31" s="22">
        <f>IFERROR(__xludf.DUMMYFUNCTION("""COMPUTED_VALUE"""),41264.666666666664)</f>
        <v>41264.66667</v>
      </c>
      <c r="H31" s="23">
        <f>IFERROR(__xludf.DUMMYFUNCTION("""COMPUTED_VALUE"""),59.67)</f>
        <v>59.67</v>
      </c>
      <c r="I31" s="22">
        <f>IFERROR(__xludf.DUMMYFUNCTION("""COMPUTED_VALUE"""),41264.666666666664)</f>
        <v>41264.66667</v>
      </c>
      <c r="J31" s="23">
        <f>IFERROR(__xludf.DUMMYFUNCTION("""COMPUTED_VALUE"""),70.12)</f>
        <v>70.12</v>
      </c>
      <c r="K31" s="22">
        <f>IFERROR(__xludf.DUMMYFUNCTION("""COMPUTED_VALUE"""),41264.666666666664)</f>
        <v>41264.66667</v>
      </c>
      <c r="L31" s="23">
        <f>IFERROR(__xludf.DUMMYFUNCTION("""COMPUTED_VALUE"""),42.8)</f>
        <v>42.8</v>
      </c>
      <c r="M31" s="23">
        <v>100.0</v>
      </c>
      <c r="N31" s="23">
        <v>100.0</v>
      </c>
      <c r="O31" s="23">
        <v>100.0</v>
      </c>
      <c r="P31" s="23">
        <f t="shared" si="1"/>
        <v>1.675884029</v>
      </c>
      <c r="Q31" s="23">
        <f t="shared" si="2"/>
        <v>1.42612664</v>
      </c>
      <c r="R31" s="23">
        <f t="shared" si="3"/>
        <v>2.336448598</v>
      </c>
      <c r="S31" s="19"/>
      <c r="T31" s="19"/>
      <c r="U31" s="19"/>
      <c r="V31" s="19"/>
    </row>
    <row r="32">
      <c r="A32" s="22">
        <f>IFERROR(__xludf.DUMMYFUNCTION("""COMPUTED_VALUE"""),42009.66666666667)</f>
        <v>42009.66667</v>
      </c>
      <c r="B32" s="23">
        <f>IFERROR(__xludf.DUMMYFUNCTION("""COMPUTED_VALUE"""),53.56)</f>
        <v>53.56</v>
      </c>
      <c r="C32" s="22">
        <f>IFERROR(__xludf.DUMMYFUNCTION("""COMPUTED_VALUE"""),43270.66666666667)</f>
        <v>43270.66667</v>
      </c>
      <c r="D32" s="23">
        <f>IFERROR(__xludf.DUMMYFUNCTION("""COMPUTED_VALUE"""),101.48)</f>
        <v>101.48</v>
      </c>
      <c r="E32" s="22">
        <f>IFERROR(__xludf.DUMMYFUNCTION("""COMPUTED_VALUE"""),42192.66666666667)</f>
        <v>42192.66667</v>
      </c>
      <c r="F32" s="23">
        <f>IFERROR(__xludf.DUMMYFUNCTION("""COMPUTED_VALUE"""),10.32)</f>
        <v>10.32</v>
      </c>
      <c r="G32" s="22">
        <f>IFERROR(__xludf.DUMMYFUNCTION("""COMPUTED_VALUE"""),41271.666666666664)</f>
        <v>41271.66667</v>
      </c>
      <c r="H32" s="23">
        <f>IFERROR(__xludf.DUMMYFUNCTION("""COMPUTED_VALUE"""),60.36)</f>
        <v>60.36</v>
      </c>
      <c r="I32" s="22">
        <f>IFERROR(__xludf.DUMMYFUNCTION("""COMPUTED_VALUE"""),41271.666666666664)</f>
        <v>41271.66667</v>
      </c>
      <c r="J32" s="23">
        <f>IFERROR(__xludf.DUMMYFUNCTION("""COMPUTED_VALUE"""),70.33)</f>
        <v>70.33</v>
      </c>
      <c r="K32" s="22">
        <f>IFERROR(__xludf.DUMMYFUNCTION("""COMPUTED_VALUE"""),41271.666666666664)</f>
        <v>41271.66667</v>
      </c>
      <c r="L32" s="23">
        <f>IFERROR(__xludf.DUMMYFUNCTION("""COMPUTED_VALUE"""),43.7)</f>
        <v>43.7</v>
      </c>
      <c r="M32" s="23">
        <v>0.0</v>
      </c>
      <c r="N32" s="23">
        <v>0.0</v>
      </c>
      <c r="O32" s="23">
        <v>0.0</v>
      </c>
      <c r="P32" s="23">
        <f t="shared" si="1"/>
        <v>0</v>
      </c>
      <c r="Q32" s="23">
        <f t="shared" si="2"/>
        <v>0</v>
      </c>
      <c r="R32" s="23">
        <f t="shared" si="3"/>
        <v>0</v>
      </c>
      <c r="S32" s="19"/>
      <c r="T32" s="19"/>
      <c r="U32" s="19"/>
      <c r="V32" s="19"/>
    </row>
    <row r="33">
      <c r="A33" s="22">
        <f>IFERROR(__xludf.DUMMYFUNCTION("""COMPUTED_VALUE"""),42010.66666666667)</f>
        <v>42010.66667</v>
      </c>
      <c r="B33" s="23">
        <f>IFERROR(__xludf.DUMMYFUNCTION("""COMPUTED_VALUE"""),51.95)</f>
        <v>51.95</v>
      </c>
      <c r="C33" s="22">
        <f>IFERROR(__xludf.DUMMYFUNCTION("""COMPUTED_VALUE"""),43271.66666666667)</f>
        <v>43271.66667</v>
      </c>
      <c r="D33" s="23">
        <f>IFERROR(__xludf.DUMMYFUNCTION("""COMPUTED_VALUE"""),102.0)</f>
        <v>102</v>
      </c>
      <c r="E33" s="22">
        <f>IFERROR(__xludf.DUMMYFUNCTION("""COMPUTED_VALUE"""),42193.66666666667)</f>
        <v>42193.66667</v>
      </c>
      <c r="F33" s="23">
        <f>IFERROR(__xludf.DUMMYFUNCTION("""COMPUTED_VALUE"""),10.3)</f>
        <v>10.3</v>
      </c>
      <c r="G33" s="22">
        <f>IFERROR(__xludf.DUMMYFUNCTION("""COMPUTED_VALUE"""),41278.666666666664)</f>
        <v>41278.66667</v>
      </c>
      <c r="H33" s="23">
        <f>IFERROR(__xludf.DUMMYFUNCTION("""COMPUTED_VALUE"""),60.03)</f>
        <v>60.03</v>
      </c>
      <c r="I33" s="22">
        <f>IFERROR(__xludf.DUMMYFUNCTION("""COMPUTED_VALUE"""),41278.666666666664)</f>
        <v>41278.66667</v>
      </c>
      <c r="J33" s="23">
        <f>IFERROR(__xludf.DUMMYFUNCTION("""COMPUTED_VALUE"""),72.1)</f>
        <v>72.1</v>
      </c>
      <c r="K33" s="22">
        <f>IFERROR(__xludf.DUMMYFUNCTION("""COMPUTED_VALUE"""),41278.666666666664)</f>
        <v>41278.66667</v>
      </c>
      <c r="L33" s="23">
        <f>IFERROR(__xludf.DUMMYFUNCTION("""COMPUTED_VALUE"""),44.14)</f>
        <v>44.14</v>
      </c>
      <c r="M33" s="23">
        <v>0.0</v>
      </c>
      <c r="N33" s="23">
        <v>0.0</v>
      </c>
      <c r="O33" s="23">
        <v>0.0</v>
      </c>
      <c r="P33" s="23">
        <f t="shared" si="1"/>
        <v>0</v>
      </c>
      <c r="Q33" s="23">
        <f t="shared" si="2"/>
        <v>0</v>
      </c>
      <c r="R33" s="23">
        <f t="shared" si="3"/>
        <v>0</v>
      </c>
      <c r="S33" s="19"/>
      <c r="T33" s="19"/>
      <c r="U33" s="19"/>
      <c r="V33" s="19"/>
    </row>
    <row r="34">
      <c r="A34" s="22">
        <f>IFERROR(__xludf.DUMMYFUNCTION("""COMPUTED_VALUE"""),42011.66666666667)</f>
        <v>42011.66667</v>
      </c>
      <c r="B34" s="23">
        <f>IFERROR(__xludf.DUMMYFUNCTION("""COMPUTED_VALUE"""),51.91)</f>
        <v>51.91</v>
      </c>
      <c r="C34" s="22">
        <f>IFERROR(__xludf.DUMMYFUNCTION("""COMPUTED_VALUE"""),43272.66666666667)</f>
        <v>43272.66667</v>
      </c>
      <c r="D34" s="23">
        <f>IFERROR(__xludf.DUMMYFUNCTION("""COMPUTED_VALUE"""),103.6)</f>
        <v>103.6</v>
      </c>
      <c r="E34" s="22">
        <f>IFERROR(__xludf.DUMMYFUNCTION("""COMPUTED_VALUE"""),42194.66666666667)</f>
        <v>42194.66667</v>
      </c>
      <c r="F34" s="23">
        <f>IFERROR(__xludf.DUMMYFUNCTION("""COMPUTED_VALUE"""),10.19)</f>
        <v>10.19</v>
      </c>
      <c r="G34" s="22">
        <f>IFERROR(__xludf.DUMMYFUNCTION("""COMPUTED_VALUE"""),41285.666666666664)</f>
        <v>41285.66667</v>
      </c>
      <c r="H34" s="23">
        <f>IFERROR(__xludf.DUMMYFUNCTION("""COMPUTED_VALUE"""),59.93)</f>
        <v>59.93</v>
      </c>
      <c r="I34" s="22">
        <f>IFERROR(__xludf.DUMMYFUNCTION("""COMPUTED_VALUE"""),41285.666666666664)</f>
        <v>41285.66667</v>
      </c>
      <c r="J34" s="23">
        <f>IFERROR(__xludf.DUMMYFUNCTION("""COMPUTED_VALUE"""),71.84)</f>
        <v>71.84</v>
      </c>
      <c r="K34" s="22">
        <f>IFERROR(__xludf.DUMMYFUNCTION("""COMPUTED_VALUE"""),41285.666666666664)</f>
        <v>41285.66667</v>
      </c>
      <c r="L34" s="23">
        <f>IFERROR(__xludf.DUMMYFUNCTION("""COMPUTED_VALUE"""),44.2)</f>
        <v>44.2</v>
      </c>
      <c r="M34" s="23">
        <v>0.0</v>
      </c>
      <c r="N34" s="23">
        <v>0.0</v>
      </c>
      <c r="O34" s="23">
        <v>0.0</v>
      </c>
      <c r="P34" s="23">
        <f t="shared" si="1"/>
        <v>0</v>
      </c>
      <c r="Q34" s="23">
        <f t="shared" si="2"/>
        <v>0</v>
      </c>
      <c r="R34" s="23">
        <f t="shared" si="3"/>
        <v>0</v>
      </c>
      <c r="S34" s="19"/>
      <c r="T34" s="19"/>
      <c r="U34" s="19"/>
      <c r="V34" s="19"/>
    </row>
    <row r="35">
      <c r="A35" s="22">
        <f>IFERROR(__xludf.DUMMYFUNCTION("""COMPUTED_VALUE"""),42012.66666666667)</f>
        <v>42012.66667</v>
      </c>
      <c r="B35" s="23">
        <f>IFERROR(__xludf.DUMMYFUNCTION("""COMPUTED_VALUE"""),52.09)</f>
        <v>52.09</v>
      </c>
      <c r="C35" s="22">
        <f>IFERROR(__xludf.DUMMYFUNCTION("""COMPUTED_VALUE"""),43273.66666666667)</f>
        <v>43273.66667</v>
      </c>
      <c r="D35" s="23">
        <f>IFERROR(__xludf.DUMMYFUNCTION("""COMPUTED_VALUE"""),103.28)</f>
        <v>103.28</v>
      </c>
      <c r="E35" s="22">
        <f>IFERROR(__xludf.DUMMYFUNCTION("""COMPUTED_VALUE"""),42195.66666666667)</f>
        <v>42195.66667</v>
      </c>
      <c r="F35" s="23">
        <f>IFERROR(__xludf.DUMMYFUNCTION("""COMPUTED_VALUE"""),10.2)</f>
        <v>10.2</v>
      </c>
      <c r="G35" s="22">
        <f>IFERROR(__xludf.DUMMYFUNCTION("""COMPUTED_VALUE"""),41292.666666666664)</f>
        <v>41292.66667</v>
      </c>
      <c r="H35" s="23">
        <f>IFERROR(__xludf.DUMMYFUNCTION("""COMPUTED_VALUE"""),60.73)</f>
        <v>60.73</v>
      </c>
      <c r="I35" s="22">
        <f>IFERROR(__xludf.DUMMYFUNCTION("""COMPUTED_VALUE"""),41292.666666666664)</f>
        <v>41292.66667</v>
      </c>
      <c r="J35" s="23">
        <f>IFERROR(__xludf.DUMMYFUNCTION("""COMPUTED_VALUE"""),72.8)</f>
        <v>72.8</v>
      </c>
      <c r="K35" s="22">
        <f>IFERROR(__xludf.DUMMYFUNCTION("""COMPUTED_VALUE"""),41292.666666666664)</f>
        <v>41292.66667</v>
      </c>
      <c r="L35" s="23">
        <f>IFERROR(__xludf.DUMMYFUNCTION("""COMPUTED_VALUE"""),44.68)</f>
        <v>44.68</v>
      </c>
      <c r="M35" s="23">
        <v>100.0</v>
      </c>
      <c r="N35" s="23">
        <v>100.0</v>
      </c>
      <c r="O35" s="23">
        <v>100.0</v>
      </c>
      <c r="P35" s="23">
        <f t="shared" si="1"/>
        <v>1.646632636</v>
      </c>
      <c r="Q35" s="23">
        <f t="shared" si="2"/>
        <v>1.373626374</v>
      </c>
      <c r="R35" s="23">
        <f t="shared" si="3"/>
        <v>2.238137869</v>
      </c>
      <c r="S35" s="19"/>
      <c r="T35" s="19"/>
      <c r="U35" s="19"/>
      <c r="V35" s="19"/>
    </row>
    <row r="36">
      <c r="A36" s="22">
        <f>IFERROR(__xludf.DUMMYFUNCTION("""COMPUTED_VALUE"""),42013.66666666667)</f>
        <v>42013.66667</v>
      </c>
      <c r="B36" s="23">
        <f>IFERROR(__xludf.DUMMYFUNCTION("""COMPUTED_VALUE"""),52.8)</f>
        <v>52.8</v>
      </c>
      <c r="C36" s="22">
        <f>IFERROR(__xludf.DUMMYFUNCTION("""COMPUTED_VALUE"""),43276.66666666667)</f>
        <v>43276.66667</v>
      </c>
      <c r="D36" s="23">
        <f>IFERROR(__xludf.DUMMYFUNCTION("""COMPUTED_VALUE"""),103.11)</f>
        <v>103.11</v>
      </c>
      <c r="E36" s="22">
        <f>IFERROR(__xludf.DUMMYFUNCTION("""COMPUTED_VALUE"""),42198.66666666667)</f>
        <v>42198.66667</v>
      </c>
      <c r="F36" s="23">
        <f>IFERROR(__xludf.DUMMYFUNCTION("""COMPUTED_VALUE"""),10.31)</f>
        <v>10.31</v>
      </c>
      <c r="G36" s="22">
        <f>IFERROR(__xludf.DUMMYFUNCTION("""COMPUTED_VALUE"""),41299.666666666664)</f>
        <v>41299.66667</v>
      </c>
      <c r="H36" s="23">
        <f>IFERROR(__xludf.DUMMYFUNCTION("""COMPUTED_VALUE"""),61.48)</f>
        <v>61.48</v>
      </c>
      <c r="I36" s="22">
        <f>IFERROR(__xludf.DUMMYFUNCTION("""COMPUTED_VALUE"""),41299.666666666664)</f>
        <v>41299.66667</v>
      </c>
      <c r="J36" s="23">
        <f>IFERROR(__xludf.DUMMYFUNCTION("""COMPUTED_VALUE"""),74.05)</f>
        <v>74.05</v>
      </c>
      <c r="K36" s="22">
        <f>IFERROR(__xludf.DUMMYFUNCTION("""COMPUTED_VALUE"""),41299.666666666664)</f>
        <v>41299.66667</v>
      </c>
      <c r="L36" s="23">
        <f>IFERROR(__xludf.DUMMYFUNCTION("""COMPUTED_VALUE"""),44.68)</f>
        <v>44.68</v>
      </c>
      <c r="M36" s="23">
        <v>0.0</v>
      </c>
      <c r="N36" s="23">
        <v>0.0</v>
      </c>
      <c r="O36" s="23">
        <v>0.0</v>
      </c>
      <c r="P36" s="23">
        <f t="shared" si="1"/>
        <v>0</v>
      </c>
      <c r="Q36" s="23">
        <f t="shared" si="2"/>
        <v>0</v>
      </c>
      <c r="R36" s="23">
        <f t="shared" si="3"/>
        <v>0</v>
      </c>
      <c r="S36" s="19"/>
      <c r="T36" s="19"/>
      <c r="U36" s="19"/>
      <c r="V36" s="19"/>
    </row>
    <row r="37">
      <c r="A37" s="22">
        <f>IFERROR(__xludf.DUMMYFUNCTION("""COMPUTED_VALUE"""),42016.66666666667)</f>
        <v>42016.66667</v>
      </c>
      <c r="B37" s="23">
        <f>IFERROR(__xludf.DUMMYFUNCTION("""COMPUTED_VALUE"""),51.55)</f>
        <v>51.55</v>
      </c>
      <c r="C37" s="22">
        <f>IFERROR(__xludf.DUMMYFUNCTION("""COMPUTED_VALUE"""),43277.66666666667)</f>
        <v>43277.66667</v>
      </c>
      <c r="D37" s="23">
        <f>IFERROR(__xludf.DUMMYFUNCTION("""COMPUTED_VALUE"""),102.77)</f>
        <v>102.77</v>
      </c>
      <c r="E37" s="22">
        <f>IFERROR(__xludf.DUMMYFUNCTION("""COMPUTED_VALUE"""),42199.66666666667)</f>
        <v>42199.66667</v>
      </c>
      <c r="F37" s="23">
        <f>IFERROR(__xludf.DUMMYFUNCTION("""COMPUTED_VALUE"""),10.52)</f>
        <v>10.52</v>
      </c>
      <c r="G37" s="22">
        <f>IFERROR(__xludf.DUMMYFUNCTION("""COMPUTED_VALUE"""),41306.666666666664)</f>
        <v>41306.66667</v>
      </c>
      <c r="H37" s="23">
        <f>IFERROR(__xludf.DUMMYFUNCTION("""COMPUTED_VALUE"""),62.63)</f>
        <v>62.63</v>
      </c>
      <c r="I37" s="22">
        <f>IFERROR(__xludf.DUMMYFUNCTION("""COMPUTED_VALUE"""),41306.666666666664)</f>
        <v>41306.66667</v>
      </c>
      <c r="J37" s="23">
        <f>IFERROR(__xludf.DUMMYFUNCTION("""COMPUTED_VALUE"""),74.96)</f>
        <v>74.96</v>
      </c>
      <c r="K37" s="22">
        <f>IFERROR(__xludf.DUMMYFUNCTION("""COMPUTED_VALUE"""),41306.666666666664)</f>
        <v>41306.66667</v>
      </c>
      <c r="L37" s="23">
        <f>IFERROR(__xludf.DUMMYFUNCTION("""COMPUTED_VALUE"""),45.7)</f>
        <v>45.7</v>
      </c>
      <c r="M37" s="23">
        <v>0.0</v>
      </c>
      <c r="N37" s="23">
        <v>0.0</v>
      </c>
      <c r="O37" s="23">
        <v>0.0</v>
      </c>
      <c r="P37" s="23">
        <f t="shared" si="1"/>
        <v>0</v>
      </c>
      <c r="Q37" s="23">
        <f t="shared" si="2"/>
        <v>0</v>
      </c>
      <c r="R37" s="23">
        <f t="shared" si="3"/>
        <v>0</v>
      </c>
      <c r="S37" s="19"/>
      <c r="T37" s="19"/>
      <c r="U37" s="19"/>
      <c r="V37" s="19"/>
    </row>
    <row r="38">
      <c r="A38" s="22">
        <f>IFERROR(__xludf.DUMMYFUNCTION("""COMPUTED_VALUE"""),42017.66666666667)</f>
        <v>42017.66667</v>
      </c>
      <c r="B38" s="23">
        <f>IFERROR(__xludf.DUMMYFUNCTION("""COMPUTED_VALUE"""),52.08)</f>
        <v>52.08</v>
      </c>
      <c r="C38" s="22">
        <f>IFERROR(__xludf.DUMMYFUNCTION("""COMPUTED_VALUE"""),43278.66666666667)</f>
        <v>43278.66667</v>
      </c>
      <c r="D38" s="23">
        <f>IFERROR(__xludf.DUMMYFUNCTION("""COMPUTED_VALUE"""),102.82)</f>
        <v>102.82</v>
      </c>
      <c r="E38" s="22">
        <f>IFERROR(__xludf.DUMMYFUNCTION("""COMPUTED_VALUE"""),42200.66666666667)</f>
        <v>42200.66667</v>
      </c>
      <c r="F38" s="23">
        <f>IFERROR(__xludf.DUMMYFUNCTION("""COMPUTED_VALUE"""),10.52)</f>
        <v>10.52</v>
      </c>
      <c r="G38" s="22">
        <f>IFERROR(__xludf.DUMMYFUNCTION("""COMPUTED_VALUE"""),41313.666666666664)</f>
        <v>41313.66667</v>
      </c>
      <c r="H38" s="23">
        <f>IFERROR(__xludf.DUMMYFUNCTION("""COMPUTED_VALUE"""),63.24)</f>
        <v>63.24</v>
      </c>
      <c r="I38" s="22">
        <f>IFERROR(__xludf.DUMMYFUNCTION("""COMPUTED_VALUE"""),41313.666666666664)</f>
        <v>41313.66667</v>
      </c>
      <c r="J38" s="23">
        <f>IFERROR(__xludf.DUMMYFUNCTION("""COMPUTED_VALUE"""),76.18)</f>
        <v>76.18</v>
      </c>
      <c r="K38" s="22">
        <f>IFERROR(__xludf.DUMMYFUNCTION("""COMPUTED_VALUE"""),41313.666666666664)</f>
        <v>41313.66667</v>
      </c>
      <c r="L38" s="23">
        <f>IFERROR(__xludf.DUMMYFUNCTION("""COMPUTED_VALUE"""),45.27)</f>
        <v>45.27</v>
      </c>
      <c r="M38" s="23">
        <v>0.0</v>
      </c>
      <c r="N38" s="23">
        <v>0.0</v>
      </c>
      <c r="O38" s="23">
        <v>0.0</v>
      </c>
      <c r="P38" s="23">
        <f t="shared" si="1"/>
        <v>0</v>
      </c>
      <c r="Q38" s="23">
        <f t="shared" si="2"/>
        <v>0</v>
      </c>
      <c r="R38" s="23">
        <f t="shared" si="3"/>
        <v>0</v>
      </c>
      <c r="S38" s="19"/>
      <c r="T38" s="19"/>
      <c r="U38" s="19"/>
      <c r="V38" s="19"/>
    </row>
    <row r="39">
      <c r="A39" s="22">
        <f>IFERROR(__xludf.DUMMYFUNCTION("""COMPUTED_VALUE"""),42018.66666666667)</f>
        <v>42018.66667</v>
      </c>
      <c r="B39" s="23">
        <f>IFERROR(__xludf.DUMMYFUNCTION("""COMPUTED_VALUE"""),52.17)</f>
        <v>52.17</v>
      </c>
      <c r="C39" s="22">
        <f>IFERROR(__xludf.DUMMYFUNCTION("""COMPUTED_VALUE"""),43279.66666666667)</f>
        <v>43279.66667</v>
      </c>
      <c r="D39" s="23">
        <f>IFERROR(__xludf.DUMMYFUNCTION("""COMPUTED_VALUE"""),103.24)</f>
        <v>103.24</v>
      </c>
      <c r="E39" s="22">
        <f>IFERROR(__xludf.DUMMYFUNCTION("""COMPUTED_VALUE"""),42201.66666666667)</f>
        <v>42201.66667</v>
      </c>
      <c r="F39" s="23">
        <f>IFERROR(__xludf.DUMMYFUNCTION("""COMPUTED_VALUE"""),10.74)</f>
        <v>10.74</v>
      </c>
      <c r="G39" s="22">
        <f>IFERROR(__xludf.DUMMYFUNCTION("""COMPUTED_VALUE"""),41320.666666666664)</f>
        <v>41320.66667</v>
      </c>
      <c r="H39" s="23">
        <f>IFERROR(__xludf.DUMMYFUNCTION("""COMPUTED_VALUE"""),64.02)</f>
        <v>64.02</v>
      </c>
      <c r="I39" s="22">
        <f>IFERROR(__xludf.DUMMYFUNCTION("""COMPUTED_VALUE"""),41320.666666666664)</f>
        <v>41320.66667</v>
      </c>
      <c r="J39" s="23">
        <f>IFERROR(__xludf.DUMMYFUNCTION("""COMPUTED_VALUE"""),76.0)</f>
        <v>76</v>
      </c>
      <c r="K39" s="22">
        <f>IFERROR(__xludf.DUMMYFUNCTION("""COMPUTED_VALUE"""),41320.666666666664)</f>
        <v>41320.66667</v>
      </c>
      <c r="L39" s="23">
        <f>IFERROR(__xludf.DUMMYFUNCTION("""COMPUTED_VALUE"""),45.0)</f>
        <v>45</v>
      </c>
      <c r="M39" s="23">
        <v>100.0</v>
      </c>
      <c r="N39" s="23">
        <v>100.0</v>
      </c>
      <c r="O39" s="23">
        <v>100.0</v>
      </c>
      <c r="P39" s="23">
        <f t="shared" si="1"/>
        <v>1.562011871</v>
      </c>
      <c r="Q39" s="23">
        <f t="shared" si="2"/>
        <v>1.315789474</v>
      </c>
      <c r="R39" s="23">
        <f t="shared" si="3"/>
        <v>2.222222222</v>
      </c>
      <c r="S39" s="19"/>
      <c r="T39" s="19"/>
      <c r="U39" s="19"/>
      <c r="V39" s="19"/>
    </row>
    <row r="40">
      <c r="A40" s="22">
        <f>IFERROR(__xludf.DUMMYFUNCTION("""COMPUTED_VALUE"""),42019.66666666667)</f>
        <v>42019.66667</v>
      </c>
      <c r="B40" s="23">
        <f>IFERROR(__xludf.DUMMYFUNCTION("""COMPUTED_VALUE"""),51.59)</f>
        <v>51.59</v>
      </c>
      <c r="C40" s="22">
        <f>IFERROR(__xludf.DUMMYFUNCTION("""COMPUTED_VALUE"""),43280.66666666667)</f>
        <v>43280.66667</v>
      </c>
      <c r="D40" s="23">
        <f>IFERROR(__xludf.DUMMYFUNCTION("""COMPUTED_VALUE"""),103.39)</f>
        <v>103.39</v>
      </c>
      <c r="E40" s="22">
        <f>IFERROR(__xludf.DUMMYFUNCTION("""COMPUTED_VALUE"""),42202.66666666667)</f>
        <v>42202.66667</v>
      </c>
      <c r="F40" s="23">
        <f>IFERROR(__xludf.DUMMYFUNCTION("""COMPUTED_VALUE"""),10.77)</f>
        <v>10.77</v>
      </c>
      <c r="G40" s="22">
        <f>IFERROR(__xludf.DUMMYFUNCTION("""COMPUTED_VALUE"""),41327.666666666664)</f>
        <v>41327.66667</v>
      </c>
      <c r="H40" s="23">
        <f>IFERROR(__xludf.DUMMYFUNCTION("""COMPUTED_VALUE"""),64.16)</f>
        <v>64.16</v>
      </c>
      <c r="I40" s="22">
        <f>IFERROR(__xludf.DUMMYFUNCTION("""COMPUTED_VALUE"""),41327.666666666664)</f>
        <v>41327.66667</v>
      </c>
      <c r="J40" s="23">
        <f>IFERROR(__xludf.DUMMYFUNCTION("""COMPUTED_VALUE"""),75.6)</f>
        <v>75.6</v>
      </c>
      <c r="K40" s="22">
        <f>IFERROR(__xludf.DUMMYFUNCTION("""COMPUTED_VALUE"""),41327.666666666664)</f>
        <v>41327.66667</v>
      </c>
      <c r="L40" s="23">
        <f>IFERROR(__xludf.DUMMYFUNCTION("""COMPUTED_VALUE"""),44.85)</f>
        <v>44.85</v>
      </c>
      <c r="M40" s="23">
        <v>0.0</v>
      </c>
      <c r="N40" s="23">
        <v>0.0</v>
      </c>
      <c r="O40" s="23">
        <v>0.0</v>
      </c>
      <c r="P40" s="23">
        <f t="shared" si="1"/>
        <v>0</v>
      </c>
      <c r="Q40" s="23">
        <f t="shared" si="2"/>
        <v>0</v>
      </c>
      <c r="R40" s="23">
        <f t="shared" si="3"/>
        <v>0</v>
      </c>
      <c r="S40" s="19"/>
      <c r="T40" s="19"/>
      <c r="U40" s="19"/>
      <c r="V40" s="19"/>
    </row>
    <row r="41">
      <c r="A41" s="22">
        <f>IFERROR(__xludf.DUMMYFUNCTION("""COMPUTED_VALUE"""),42020.66666666667)</f>
        <v>42020.66667</v>
      </c>
      <c r="B41" s="23">
        <f>IFERROR(__xludf.DUMMYFUNCTION("""COMPUTED_VALUE"""),50.94)</f>
        <v>50.94</v>
      </c>
      <c r="C41" s="22">
        <f>IFERROR(__xludf.DUMMYFUNCTION("""COMPUTED_VALUE"""),43283.66666666667)</f>
        <v>43283.66667</v>
      </c>
      <c r="D41" s="23">
        <f>IFERROR(__xludf.DUMMYFUNCTION("""COMPUTED_VALUE"""),102.6)</f>
        <v>102.6</v>
      </c>
      <c r="E41" s="22">
        <f>IFERROR(__xludf.DUMMYFUNCTION("""COMPUTED_VALUE"""),42205.66666666667)</f>
        <v>42205.66667</v>
      </c>
      <c r="F41" s="23">
        <f>IFERROR(__xludf.DUMMYFUNCTION("""COMPUTED_VALUE"""),10.99)</f>
        <v>10.99</v>
      </c>
      <c r="G41" s="22">
        <f>IFERROR(__xludf.DUMMYFUNCTION("""COMPUTED_VALUE"""),41334.666666666664)</f>
        <v>41334.66667</v>
      </c>
      <c r="H41" s="23">
        <f>IFERROR(__xludf.DUMMYFUNCTION("""COMPUTED_VALUE"""),65.02)</f>
        <v>65.02</v>
      </c>
      <c r="I41" s="22">
        <f>IFERROR(__xludf.DUMMYFUNCTION("""COMPUTED_VALUE"""),41334.666666666664)</f>
        <v>41334.66667</v>
      </c>
      <c r="J41" s="23">
        <f>IFERROR(__xludf.DUMMYFUNCTION("""COMPUTED_VALUE"""),76.77)</f>
        <v>76.77</v>
      </c>
      <c r="K41" s="22">
        <f>IFERROR(__xludf.DUMMYFUNCTION("""COMPUTED_VALUE"""),41334.666666666664)</f>
        <v>41334.66667</v>
      </c>
      <c r="L41" s="23">
        <f>IFERROR(__xludf.DUMMYFUNCTION("""COMPUTED_VALUE"""),45.4)</f>
        <v>45.4</v>
      </c>
      <c r="M41" s="23">
        <v>0.0</v>
      </c>
      <c r="N41" s="23">
        <v>0.0</v>
      </c>
      <c r="O41" s="23">
        <v>0.0</v>
      </c>
      <c r="P41" s="23">
        <f t="shared" si="1"/>
        <v>0</v>
      </c>
      <c r="Q41" s="23">
        <f t="shared" si="2"/>
        <v>0</v>
      </c>
      <c r="R41" s="23">
        <f t="shared" si="3"/>
        <v>0</v>
      </c>
      <c r="S41" s="19"/>
      <c r="T41" s="19"/>
      <c r="U41" s="19"/>
      <c r="V41" s="19"/>
    </row>
    <row r="42">
      <c r="A42" s="22">
        <f>IFERROR(__xludf.DUMMYFUNCTION("""COMPUTED_VALUE"""),42023.66666666667)</f>
        <v>42023.66667</v>
      </c>
      <c r="B42" s="23">
        <f>IFERROR(__xludf.DUMMYFUNCTION("""COMPUTED_VALUE"""),51.72)</f>
        <v>51.72</v>
      </c>
      <c r="C42" s="22">
        <f>IFERROR(__xludf.DUMMYFUNCTION("""COMPUTED_VALUE"""),43284.66666666667)</f>
        <v>43284.66667</v>
      </c>
      <c r="D42" s="23">
        <f>IFERROR(__xludf.DUMMYFUNCTION("""COMPUTED_VALUE"""),103.03)</f>
        <v>103.03</v>
      </c>
      <c r="E42" s="22">
        <f>IFERROR(__xludf.DUMMYFUNCTION("""COMPUTED_VALUE"""),42206.66666666667)</f>
        <v>42206.66667</v>
      </c>
      <c r="F42" s="23">
        <f>IFERROR(__xludf.DUMMYFUNCTION("""COMPUTED_VALUE"""),11.07)</f>
        <v>11.07</v>
      </c>
      <c r="G42" s="22">
        <f>IFERROR(__xludf.DUMMYFUNCTION("""COMPUTED_VALUE"""),41341.666666666664)</f>
        <v>41341.66667</v>
      </c>
      <c r="H42" s="23">
        <f>IFERROR(__xludf.DUMMYFUNCTION("""COMPUTED_VALUE"""),65.76)</f>
        <v>65.76</v>
      </c>
      <c r="I42" s="22">
        <f>IFERROR(__xludf.DUMMYFUNCTION("""COMPUTED_VALUE"""),41341.666666666664)</f>
        <v>41341.66667</v>
      </c>
      <c r="J42" s="23">
        <f>IFERROR(__xludf.DUMMYFUNCTION("""COMPUTED_VALUE"""),77.96)</f>
        <v>77.96</v>
      </c>
      <c r="K42" s="22">
        <f>IFERROR(__xludf.DUMMYFUNCTION("""COMPUTED_VALUE"""),41341.666666666664)</f>
        <v>41341.66667</v>
      </c>
      <c r="L42" s="23">
        <f>IFERROR(__xludf.DUMMYFUNCTION("""COMPUTED_VALUE"""),45.86)</f>
        <v>45.86</v>
      </c>
      <c r="M42" s="23">
        <v>0.0</v>
      </c>
      <c r="N42" s="23">
        <v>0.0</v>
      </c>
      <c r="O42" s="23">
        <v>0.0</v>
      </c>
      <c r="P42" s="23">
        <f t="shared" si="1"/>
        <v>0</v>
      </c>
      <c r="Q42" s="23">
        <f t="shared" si="2"/>
        <v>0</v>
      </c>
      <c r="R42" s="23">
        <f t="shared" si="3"/>
        <v>0</v>
      </c>
      <c r="S42" s="19"/>
      <c r="T42" s="19"/>
      <c r="U42" s="19"/>
      <c r="V42" s="19"/>
    </row>
    <row r="43">
      <c r="A43" s="22">
        <f>IFERROR(__xludf.DUMMYFUNCTION("""COMPUTED_VALUE"""),42024.66666666667)</f>
        <v>42024.66667</v>
      </c>
      <c r="B43" s="23">
        <f>IFERROR(__xludf.DUMMYFUNCTION("""COMPUTED_VALUE"""),52.0)</f>
        <v>52</v>
      </c>
      <c r="C43" s="22">
        <f>IFERROR(__xludf.DUMMYFUNCTION("""COMPUTED_VALUE"""),43285.66666666667)</f>
        <v>43285.66667</v>
      </c>
      <c r="D43" s="23">
        <f>IFERROR(__xludf.DUMMYFUNCTION("""COMPUTED_VALUE"""),102.55)</f>
        <v>102.55</v>
      </c>
      <c r="E43" s="22">
        <f>IFERROR(__xludf.DUMMYFUNCTION("""COMPUTED_VALUE"""),42207.66666666667)</f>
        <v>42207.66667</v>
      </c>
      <c r="F43" s="23">
        <f>IFERROR(__xludf.DUMMYFUNCTION("""COMPUTED_VALUE"""),10.85)</f>
        <v>10.85</v>
      </c>
      <c r="G43" s="22">
        <f>IFERROR(__xludf.DUMMYFUNCTION("""COMPUTED_VALUE"""),41348.666666666664)</f>
        <v>41348.66667</v>
      </c>
      <c r="H43" s="23">
        <f>IFERROR(__xludf.DUMMYFUNCTION("""COMPUTED_VALUE"""),65.7)</f>
        <v>65.7</v>
      </c>
      <c r="I43" s="22">
        <f>IFERROR(__xludf.DUMMYFUNCTION("""COMPUTED_VALUE"""),41348.666666666664)</f>
        <v>41348.66667</v>
      </c>
      <c r="J43" s="23">
        <f>IFERROR(__xludf.DUMMYFUNCTION("""COMPUTED_VALUE"""),78.43)</f>
        <v>78.43</v>
      </c>
      <c r="K43" s="22">
        <f>IFERROR(__xludf.DUMMYFUNCTION("""COMPUTED_VALUE"""),41348.666666666664)</f>
        <v>41348.66667</v>
      </c>
      <c r="L43" s="23">
        <f>IFERROR(__xludf.DUMMYFUNCTION("""COMPUTED_VALUE"""),45.49)</f>
        <v>45.49</v>
      </c>
      <c r="M43" s="23">
        <v>100.0</v>
      </c>
      <c r="N43" s="23">
        <v>100.0</v>
      </c>
      <c r="O43" s="23">
        <v>100.0</v>
      </c>
      <c r="P43" s="23">
        <f t="shared" si="1"/>
        <v>1.522070015</v>
      </c>
      <c r="Q43" s="23">
        <f t="shared" si="2"/>
        <v>1.275022313</v>
      </c>
      <c r="R43" s="23">
        <f t="shared" si="3"/>
        <v>2.198285337</v>
      </c>
      <c r="S43" s="19"/>
      <c r="T43" s="19"/>
      <c r="U43" s="19"/>
      <c r="V43" s="19"/>
    </row>
    <row r="44">
      <c r="A44" s="22">
        <f>IFERROR(__xludf.DUMMYFUNCTION("""COMPUTED_VALUE"""),42025.66666666667)</f>
        <v>42025.66667</v>
      </c>
      <c r="B44" s="23">
        <f>IFERROR(__xludf.DUMMYFUNCTION("""COMPUTED_VALUE"""),52.11)</f>
        <v>52.11</v>
      </c>
      <c r="C44" s="22">
        <f>IFERROR(__xludf.DUMMYFUNCTION("""COMPUTED_VALUE"""),43286.66666666667)</f>
        <v>43286.66667</v>
      </c>
      <c r="D44" s="23">
        <f>IFERROR(__xludf.DUMMYFUNCTION("""COMPUTED_VALUE"""),103.19)</f>
        <v>103.19</v>
      </c>
      <c r="E44" s="22">
        <f>IFERROR(__xludf.DUMMYFUNCTION("""COMPUTED_VALUE"""),42208.66666666667)</f>
        <v>42208.66667</v>
      </c>
      <c r="F44" s="23">
        <f>IFERROR(__xludf.DUMMYFUNCTION("""COMPUTED_VALUE"""),10.91)</f>
        <v>10.91</v>
      </c>
      <c r="G44" s="22">
        <f>IFERROR(__xludf.DUMMYFUNCTION("""COMPUTED_VALUE"""),41355.666666666664)</f>
        <v>41355.66667</v>
      </c>
      <c r="H44" s="23">
        <f>IFERROR(__xludf.DUMMYFUNCTION("""COMPUTED_VALUE"""),65.01)</f>
        <v>65.01</v>
      </c>
      <c r="I44" s="22">
        <f>IFERROR(__xludf.DUMMYFUNCTION("""COMPUTED_VALUE"""),41355.666666666664)</f>
        <v>41355.66667</v>
      </c>
      <c r="J44" s="23">
        <f>IFERROR(__xludf.DUMMYFUNCTION("""COMPUTED_VALUE"""),76.93)</f>
        <v>76.93</v>
      </c>
      <c r="K44" s="22">
        <f>IFERROR(__xludf.DUMMYFUNCTION("""COMPUTED_VALUE"""),41355.666666666664)</f>
        <v>41355.66667</v>
      </c>
      <c r="L44" s="23">
        <f>IFERROR(__xludf.DUMMYFUNCTION("""COMPUTED_VALUE"""),44.3)</f>
        <v>44.3</v>
      </c>
      <c r="M44" s="23">
        <v>0.0</v>
      </c>
      <c r="N44" s="23">
        <v>0.0</v>
      </c>
      <c r="O44" s="23">
        <v>0.0</v>
      </c>
      <c r="P44" s="23">
        <f t="shared" si="1"/>
        <v>0</v>
      </c>
      <c r="Q44" s="23">
        <f t="shared" si="2"/>
        <v>0</v>
      </c>
      <c r="R44" s="23">
        <f t="shared" si="3"/>
        <v>0</v>
      </c>
      <c r="S44" s="19"/>
      <c r="T44" s="19"/>
      <c r="U44" s="19"/>
      <c r="V44" s="19"/>
    </row>
    <row r="45">
      <c r="A45" s="22">
        <f>IFERROR(__xludf.DUMMYFUNCTION("""COMPUTED_VALUE"""),42026.66666666667)</f>
        <v>42026.66667</v>
      </c>
      <c r="B45" s="23">
        <f>IFERROR(__xludf.DUMMYFUNCTION("""COMPUTED_VALUE"""),53.33)</f>
        <v>53.33</v>
      </c>
      <c r="C45" s="22">
        <f>IFERROR(__xludf.DUMMYFUNCTION("""COMPUTED_VALUE"""),43287.66666666667)</f>
        <v>43287.66667</v>
      </c>
      <c r="D45" s="23">
        <f>IFERROR(__xludf.DUMMYFUNCTION("""COMPUTED_VALUE"""),104.13)</f>
        <v>104.13</v>
      </c>
      <c r="E45" s="22">
        <f>IFERROR(__xludf.DUMMYFUNCTION("""COMPUTED_VALUE"""),42209.66666666667)</f>
        <v>42209.66667</v>
      </c>
      <c r="F45" s="23">
        <f>IFERROR(__xludf.DUMMYFUNCTION("""COMPUTED_VALUE"""),10.98)</f>
        <v>10.98</v>
      </c>
      <c r="G45" s="22">
        <f>IFERROR(__xludf.DUMMYFUNCTION("""COMPUTED_VALUE"""),41361.666666666664)</f>
        <v>41361.66667</v>
      </c>
      <c r="H45" s="23">
        <f>IFERROR(__xludf.DUMMYFUNCTION("""COMPUTED_VALUE"""),64.06)</f>
        <v>64.06</v>
      </c>
      <c r="I45" s="22">
        <f>IFERROR(__xludf.DUMMYFUNCTION("""COMPUTED_VALUE"""),41361.666666666664)</f>
        <v>41361.66667</v>
      </c>
      <c r="J45" s="23">
        <f>IFERROR(__xludf.DUMMYFUNCTION("""COMPUTED_VALUE"""),77.44)</f>
        <v>77.44</v>
      </c>
      <c r="K45" s="22">
        <f>IFERROR(__xludf.DUMMYFUNCTION("""COMPUTED_VALUE"""),41361.666666666664)</f>
        <v>41361.66667</v>
      </c>
      <c r="L45" s="23">
        <f>IFERROR(__xludf.DUMMYFUNCTION("""COMPUTED_VALUE"""),44.42)</f>
        <v>44.42</v>
      </c>
      <c r="M45" s="23">
        <v>0.0</v>
      </c>
      <c r="N45" s="23">
        <v>0.0</v>
      </c>
      <c r="O45" s="23">
        <v>0.0</v>
      </c>
      <c r="P45" s="23">
        <f t="shared" si="1"/>
        <v>0</v>
      </c>
      <c r="Q45" s="23">
        <f t="shared" si="2"/>
        <v>0</v>
      </c>
      <c r="R45" s="23">
        <f t="shared" si="3"/>
        <v>0</v>
      </c>
      <c r="S45" s="19"/>
      <c r="T45" s="19"/>
      <c r="U45" s="19"/>
      <c r="V45" s="19"/>
    </row>
    <row r="46">
      <c r="A46" s="22">
        <f>IFERROR(__xludf.DUMMYFUNCTION("""COMPUTED_VALUE"""),42027.66666666667)</f>
        <v>42027.66667</v>
      </c>
      <c r="B46" s="23">
        <f>IFERROR(__xludf.DUMMYFUNCTION("""COMPUTED_VALUE"""),54.14)</f>
        <v>54.14</v>
      </c>
      <c r="C46" s="22">
        <f>IFERROR(__xludf.DUMMYFUNCTION("""COMPUTED_VALUE"""),43290.66666666667)</f>
        <v>43290.66667</v>
      </c>
      <c r="D46" s="23">
        <f>IFERROR(__xludf.DUMMYFUNCTION("""COMPUTED_VALUE"""),104.32)</f>
        <v>104.32</v>
      </c>
      <c r="E46" s="22">
        <f>IFERROR(__xludf.DUMMYFUNCTION("""COMPUTED_VALUE"""),42212.66666666667)</f>
        <v>42212.66667</v>
      </c>
      <c r="F46" s="23">
        <f>IFERROR(__xludf.DUMMYFUNCTION("""COMPUTED_VALUE"""),10.88)</f>
        <v>10.88</v>
      </c>
      <c r="G46" s="22">
        <f>IFERROR(__xludf.DUMMYFUNCTION("""COMPUTED_VALUE"""),41369.666666666664)</f>
        <v>41369.66667</v>
      </c>
      <c r="H46" s="23">
        <f>IFERROR(__xludf.DUMMYFUNCTION("""COMPUTED_VALUE"""),63.94)</f>
        <v>63.94</v>
      </c>
      <c r="I46" s="22">
        <f>IFERROR(__xludf.DUMMYFUNCTION("""COMPUTED_VALUE"""),41369.666666666664)</f>
        <v>41369.66667</v>
      </c>
      <c r="J46" s="23">
        <f>IFERROR(__xludf.DUMMYFUNCTION("""COMPUTED_VALUE"""),77.25)</f>
        <v>77.25</v>
      </c>
      <c r="K46" s="22">
        <f>IFERROR(__xludf.DUMMYFUNCTION("""COMPUTED_VALUE"""),41369.666666666664)</f>
        <v>41369.66667</v>
      </c>
      <c r="L46" s="23">
        <f>IFERROR(__xludf.DUMMYFUNCTION("""COMPUTED_VALUE"""),44.4)</f>
        <v>44.4</v>
      </c>
      <c r="M46" s="23">
        <v>0.0</v>
      </c>
      <c r="N46" s="23">
        <v>0.0</v>
      </c>
      <c r="O46" s="23">
        <v>0.0</v>
      </c>
      <c r="P46" s="23">
        <f t="shared" si="1"/>
        <v>0</v>
      </c>
      <c r="Q46" s="23">
        <f t="shared" si="2"/>
        <v>0</v>
      </c>
      <c r="R46" s="23">
        <f t="shared" si="3"/>
        <v>0</v>
      </c>
      <c r="S46" s="19"/>
      <c r="T46" s="19"/>
      <c r="U46" s="19"/>
      <c r="V46" s="19"/>
    </row>
    <row r="47">
      <c r="A47" s="22">
        <f>IFERROR(__xludf.DUMMYFUNCTION("""COMPUTED_VALUE"""),42031.66666666667)</f>
        <v>42031.66667</v>
      </c>
      <c r="B47" s="23">
        <f>IFERROR(__xludf.DUMMYFUNCTION("""COMPUTED_VALUE"""),54.8)</f>
        <v>54.8</v>
      </c>
      <c r="C47" s="22">
        <f>IFERROR(__xludf.DUMMYFUNCTION("""COMPUTED_VALUE"""),43291.66666666667)</f>
        <v>43291.66667</v>
      </c>
      <c r="D47" s="23">
        <f>IFERROR(__xludf.DUMMYFUNCTION("""COMPUTED_VALUE"""),103.98)</f>
        <v>103.98</v>
      </c>
      <c r="E47" s="22">
        <f>IFERROR(__xludf.DUMMYFUNCTION("""COMPUTED_VALUE"""),42213.66666666667)</f>
        <v>42213.66667</v>
      </c>
      <c r="F47" s="23">
        <f>IFERROR(__xludf.DUMMYFUNCTION("""COMPUTED_VALUE"""),10.8)</f>
        <v>10.8</v>
      </c>
      <c r="G47" s="22">
        <f>IFERROR(__xludf.DUMMYFUNCTION("""COMPUTED_VALUE"""),41376.666666666664)</f>
        <v>41376.66667</v>
      </c>
      <c r="H47" s="23">
        <f>IFERROR(__xludf.DUMMYFUNCTION("""COMPUTED_VALUE"""),64.0)</f>
        <v>64</v>
      </c>
      <c r="I47" s="22">
        <f>IFERROR(__xludf.DUMMYFUNCTION("""COMPUTED_VALUE"""),41376.666666666664)</f>
        <v>41376.66667</v>
      </c>
      <c r="J47" s="23">
        <f>IFERROR(__xludf.DUMMYFUNCTION("""COMPUTED_VALUE"""),77.99)</f>
        <v>77.99</v>
      </c>
      <c r="K47" s="22">
        <f>IFERROR(__xludf.DUMMYFUNCTION("""COMPUTED_VALUE"""),41376.666666666664)</f>
        <v>41376.66667</v>
      </c>
      <c r="L47" s="23">
        <f>IFERROR(__xludf.DUMMYFUNCTION("""COMPUTED_VALUE"""),44.89)</f>
        <v>44.89</v>
      </c>
      <c r="M47" s="23">
        <v>100.0</v>
      </c>
      <c r="N47" s="23">
        <v>100.0</v>
      </c>
      <c r="O47" s="23">
        <v>100.0</v>
      </c>
      <c r="P47" s="23">
        <f t="shared" si="1"/>
        <v>1.5625</v>
      </c>
      <c r="Q47" s="23">
        <f t="shared" si="2"/>
        <v>1.282215669</v>
      </c>
      <c r="R47" s="23">
        <f t="shared" si="3"/>
        <v>2.227667632</v>
      </c>
      <c r="S47" s="19"/>
      <c r="T47" s="19"/>
      <c r="U47" s="19"/>
      <c r="V47" s="19"/>
    </row>
    <row r="48">
      <c r="A48" s="22">
        <f>IFERROR(__xludf.DUMMYFUNCTION("""COMPUTED_VALUE"""),42032.66666666667)</f>
        <v>42032.66667</v>
      </c>
      <c r="B48" s="23">
        <f>IFERROR(__xludf.DUMMYFUNCTION("""COMPUTED_VALUE"""),54.5)</f>
        <v>54.5</v>
      </c>
      <c r="C48" s="22">
        <f>IFERROR(__xludf.DUMMYFUNCTION("""COMPUTED_VALUE"""),43292.66666666667)</f>
        <v>43292.66667</v>
      </c>
      <c r="D48" s="23">
        <f>IFERROR(__xludf.DUMMYFUNCTION("""COMPUTED_VALUE"""),103.33)</f>
        <v>103.33</v>
      </c>
      <c r="E48" s="22">
        <f>IFERROR(__xludf.DUMMYFUNCTION("""COMPUTED_VALUE"""),42214.66666666667)</f>
        <v>42214.66667</v>
      </c>
      <c r="F48" s="23">
        <f>IFERROR(__xludf.DUMMYFUNCTION("""COMPUTED_VALUE"""),10.82)</f>
        <v>10.82</v>
      </c>
      <c r="G48" s="22">
        <f>IFERROR(__xludf.DUMMYFUNCTION("""COMPUTED_VALUE"""),41383.666666666664)</f>
        <v>41383.66667</v>
      </c>
      <c r="H48" s="23">
        <f>IFERROR(__xludf.DUMMYFUNCTION("""COMPUTED_VALUE"""),62.8)</f>
        <v>62.8</v>
      </c>
      <c r="I48" s="22">
        <f>IFERROR(__xludf.DUMMYFUNCTION("""COMPUTED_VALUE"""),41383.666666666664)</f>
        <v>41383.66667</v>
      </c>
      <c r="J48" s="23">
        <f>IFERROR(__xludf.DUMMYFUNCTION("""COMPUTED_VALUE"""),77.31)</f>
        <v>77.31</v>
      </c>
      <c r="K48" s="22">
        <f>IFERROR(__xludf.DUMMYFUNCTION("""COMPUTED_VALUE"""),41383.666666666664)</f>
        <v>41383.66667</v>
      </c>
      <c r="L48" s="23">
        <f>IFERROR(__xludf.DUMMYFUNCTION("""COMPUTED_VALUE"""),44.4)</f>
        <v>44.4</v>
      </c>
      <c r="M48" s="23">
        <v>0.0</v>
      </c>
      <c r="N48" s="23">
        <v>0.0</v>
      </c>
      <c r="O48" s="23">
        <v>0.0</v>
      </c>
      <c r="P48" s="23">
        <f t="shared" si="1"/>
        <v>0</v>
      </c>
      <c r="Q48" s="23">
        <f t="shared" si="2"/>
        <v>0</v>
      </c>
      <c r="R48" s="23">
        <f t="shared" si="3"/>
        <v>0</v>
      </c>
      <c r="S48" s="19"/>
      <c r="T48" s="19"/>
      <c r="U48" s="19"/>
      <c r="V48" s="19"/>
    </row>
    <row r="49">
      <c r="A49" s="22">
        <f>IFERROR(__xludf.DUMMYFUNCTION("""COMPUTED_VALUE"""),42033.66666666667)</f>
        <v>42033.66667</v>
      </c>
      <c r="B49" s="23">
        <f>IFERROR(__xludf.DUMMYFUNCTION("""COMPUTED_VALUE"""),54.18)</f>
        <v>54.18</v>
      </c>
      <c r="C49" s="22">
        <f>IFERROR(__xludf.DUMMYFUNCTION("""COMPUTED_VALUE"""),43293.66666666667)</f>
        <v>43293.66667</v>
      </c>
      <c r="D49" s="23">
        <f>IFERROR(__xludf.DUMMYFUNCTION("""COMPUTED_VALUE"""),104.15)</f>
        <v>104.15</v>
      </c>
      <c r="E49" s="22">
        <f>IFERROR(__xludf.DUMMYFUNCTION("""COMPUTED_VALUE"""),42215.66666666667)</f>
        <v>42215.66667</v>
      </c>
      <c r="F49" s="23">
        <f>IFERROR(__xludf.DUMMYFUNCTION("""COMPUTED_VALUE"""),10.88)</f>
        <v>10.88</v>
      </c>
      <c r="G49" s="22">
        <f>IFERROR(__xludf.DUMMYFUNCTION("""COMPUTED_VALUE"""),41390.666666666664)</f>
        <v>41390.66667</v>
      </c>
      <c r="H49" s="23">
        <f>IFERROR(__xludf.DUMMYFUNCTION("""COMPUTED_VALUE"""),64.98)</f>
        <v>64.98</v>
      </c>
      <c r="I49" s="22">
        <f>IFERROR(__xludf.DUMMYFUNCTION("""COMPUTED_VALUE"""),41390.666666666664)</f>
        <v>41390.66667</v>
      </c>
      <c r="J49" s="23">
        <f>IFERROR(__xludf.DUMMYFUNCTION("""COMPUTED_VALUE"""),79.4)</f>
        <v>79.4</v>
      </c>
      <c r="K49" s="22">
        <f>IFERROR(__xludf.DUMMYFUNCTION("""COMPUTED_VALUE"""),41390.666666666664)</f>
        <v>41390.66667</v>
      </c>
      <c r="L49" s="23">
        <f>IFERROR(__xludf.DUMMYFUNCTION("""COMPUTED_VALUE"""),45.98)</f>
        <v>45.98</v>
      </c>
      <c r="M49" s="23">
        <v>0.0</v>
      </c>
      <c r="N49" s="23">
        <v>0.0</v>
      </c>
      <c r="O49" s="23">
        <v>0.0</v>
      </c>
      <c r="P49" s="23">
        <f t="shared" si="1"/>
        <v>0</v>
      </c>
      <c r="Q49" s="23">
        <f t="shared" si="2"/>
        <v>0</v>
      </c>
      <c r="R49" s="23">
        <f t="shared" si="3"/>
        <v>0</v>
      </c>
      <c r="S49" s="19"/>
      <c r="T49" s="19"/>
      <c r="U49" s="19"/>
      <c r="V49" s="19"/>
    </row>
    <row r="50">
      <c r="A50" s="22">
        <f>IFERROR(__xludf.DUMMYFUNCTION("""COMPUTED_VALUE"""),42034.66666666667)</f>
        <v>42034.66667</v>
      </c>
      <c r="B50" s="23">
        <f>IFERROR(__xludf.DUMMYFUNCTION("""COMPUTED_VALUE"""),55.28)</f>
        <v>55.28</v>
      </c>
      <c r="C50" s="22">
        <f>IFERROR(__xludf.DUMMYFUNCTION("""COMPUTED_VALUE"""),43294.66666666667)</f>
        <v>43294.66667</v>
      </c>
      <c r="D50" s="23">
        <f>IFERROR(__xludf.DUMMYFUNCTION("""COMPUTED_VALUE"""),103.91)</f>
        <v>103.91</v>
      </c>
      <c r="E50" s="22">
        <f>IFERROR(__xludf.DUMMYFUNCTION("""COMPUTED_VALUE"""),42216.66666666667)</f>
        <v>42216.66667</v>
      </c>
      <c r="F50" s="23">
        <f>IFERROR(__xludf.DUMMYFUNCTION("""COMPUTED_VALUE"""),10.97)</f>
        <v>10.97</v>
      </c>
      <c r="G50" s="22">
        <f>IFERROR(__xludf.DUMMYFUNCTION("""COMPUTED_VALUE"""),41397.666666666664)</f>
        <v>41397.66667</v>
      </c>
      <c r="H50" s="23">
        <f>IFERROR(__xludf.DUMMYFUNCTION("""COMPUTED_VALUE"""),65.55)</f>
        <v>65.55</v>
      </c>
      <c r="I50" s="22">
        <f>IFERROR(__xludf.DUMMYFUNCTION("""COMPUTED_VALUE"""),41397.666666666664)</f>
        <v>41397.66667</v>
      </c>
      <c r="J50" s="23">
        <f>IFERROR(__xludf.DUMMYFUNCTION("""COMPUTED_VALUE"""),80.46)</f>
        <v>80.46</v>
      </c>
      <c r="K50" s="22">
        <f>IFERROR(__xludf.DUMMYFUNCTION("""COMPUTED_VALUE"""),41397.666666666664)</f>
        <v>41397.66667</v>
      </c>
      <c r="L50" s="23">
        <f>IFERROR(__xludf.DUMMYFUNCTION("""COMPUTED_VALUE"""),46.84)</f>
        <v>46.84</v>
      </c>
      <c r="M50" s="23">
        <v>0.0</v>
      </c>
      <c r="N50" s="23">
        <v>0.0</v>
      </c>
      <c r="O50" s="23">
        <v>0.0</v>
      </c>
      <c r="P50" s="23">
        <f t="shared" si="1"/>
        <v>0</v>
      </c>
      <c r="Q50" s="23">
        <f t="shared" si="2"/>
        <v>0</v>
      </c>
      <c r="R50" s="23">
        <f t="shared" si="3"/>
        <v>0</v>
      </c>
      <c r="S50" s="19"/>
      <c r="T50" s="19"/>
      <c r="U50" s="19"/>
      <c r="V50" s="19"/>
    </row>
    <row r="51">
      <c r="A51" s="22">
        <f>IFERROR(__xludf.DUMMYFUNCTION("""COMPUTED_VALUE"""),42037.66666666667)</f>
        <v>42037.66667</v>
      </c>
      <c r="B51" s="23">
        <f>IFERROR(__xludf.DUMMYFUNCTION("""COMPUTED_VALUE"""),54.79)</f>
        <v>54.79</v>
      </c>
      <c r="C51" s="22">
        <f>IFERROR(__xludf.DUMMYFUNCTION("""COMPUTED_VALUE"""),43297.66666666667)</f>
        <v>43297.66667</v>
      </c>
      <c r="D51" s="23">
        <f>IFERROR(__xludf.DUMMYFUNCTION("""COMPUTED_VALUE"""),103.59)</f>
        <v>103.59</v>
      </c>
      <c r="E51" s="22">
        <f>IFERROR(__xludf.DUMMYFUNCTION("""COMPUTED_VALUE"""),42219.66666666667)</f>
        <v>42219.66667</v>
      </c>
      <c r="F51" s="23">
        <f>IFERROR(__xludf.DUMMYFUNCTION("""COMPUTED_VALUE"""),10.92)</f>
        <v>10.92</v>
      </c>
      <c r="G51" s="22">
        <f>IFERROR(__xludf.DUMMYFUNCTION("""COMPUTED_VALUE"""),41404.666666666664)</f>
        <v>41404.66667</v>
      </c>
      <c r="H51" s="23">
        <f>IFERROR(__xludf.DUMMYFUNCTION("""COMPUTED_VALUE"""),66.35)</f>
        <v>66.35</v>
      </c>
      <c r="I51" s="22">
        <f>IFERROR(__xludf.DUMMYFUNCTION("""COMPUTED_VALUE"""),41404.666666666664)</f>
        <v>41404.66667</v>
      </c>
      <c r="J51" s="23">
        <f>IFERROR(__xludf.DUMMYFUNCTION("""COMPUTED_VALUE"""),83.79)</f>
        <v>83.79</v>
      </c>
      <c r="K51" s="22">
        <f>IFERROR(__xludf.DUMMYFUNCTION("""COMPUTED_VALUE"""),41404.666666666664)</f>
        <v>41404.66667</v>
      </c>
      <c r="L51" s="23">
        <f>IFERROR(__xludf.DUMMYFUNCTION("""COMPUTED_VALUE"""),48.62)</f>
        <v>48.62</v>
      </c>
      <c r="M51" s="23">
        <v>100.0</v>
      </c>
      <c r="N51" s="23">
        <v>100.0</v>
      </c>
      <c r="O51" s="23">
        <v>100.0</v>
      </c>
      <c r="P51" s="23">
        <f t="shared" si="1"/>
        <v>1.507159005</v>
      </c>
      <c r="Q51" s="23">
        <f t="shared" si="2"/>
        <v>1.19345984</v>
      </c>
      <c r="R51" s="23">
        <f t="shared" si="3"/>
        <v>2.056766763</v>
      </c>
      <c r="S51" s="19"/>
      <c r="T51" s="19"/>
      <c r="U51" s="19"/>
      <c r="V51" s="19"/>
    </row>
    <row r="52">
      <c r="A52" s="22">
        <f>IFERROR(__xludf.DUMMYFUNCTION("""COMPUTED_VALUE"""),42038.66666666667)</f>
        <v>42038.66667</v>
      </c>
      <c r="B52" s="23">
        <f>IFERROR(__xludf.DUMMYFUNCTION("""COMPUTED_VALUE"""),55.98)</f>
        <v>55.98</v>
      </c>
      <c r="C52" s="22">
        <f>IFERROR(__xludf.DUMMYFUNCTION("""COMPUTED_VALUE"""),43298.66666666667)</f>
        <v>43298.66667</v>
      </c>
      <c r="D52" s="23">
        <f>IFERROR(__xludf.DUMMYFUNCTION("""COMPUTED_VALUE"""),102.99)</f>
        <v>102.99</v>
      </c>
      <c r="E52" s="22">
        <f>IFERROR(__xludf.DUMMYFUNCTION("""COMPUTED_VALUE"""),42220.66666666667)</f>
        <v>42220.66667</v>
      </c>
      <c r="F52" s="23">
        <f>IFERROR(__xludf.DUMMYFUNCTION("""COMPUTED_VALUE"""),10.81)</f>
        <v>10.81</v>
      </c>
      <c r="G52" s="22">
        <f>IFERROR(__xludf.DUMMYFUNCTION("""COMPUTED_VALUE"""),41411.666666666664)</f>
        <v>41411.66667</v>
      </c>
      <c r="H52" s="23">
        <f>IFERROR(__xludf.DUMMYFUNCTION("""COMPUTED_VALUE"""),66.36)</f>
        <v>66.36</v>
      </c>
      <c r="I52" s="22">
        <f>IFERROR(__xludf.DUMMYFUNCTION("""COMPUTED_VALUE"""),41411.666666666664)</f>
        <v>41411.66667</v>
      </c>
      <c r="J52" s="23">
        <f>IFERROR(__xludf.DUMMYFUNCTION("""COMPUTED_VALUE"""),87.76)</f>
        <v>87.76</v>
      </c>
      <c r="K52" s="22">
        <f>IFERROR(__xludf.DUMMYFUNCTION("""COMPUTED_VALUE"""),41411.666666666664)</f>
        <v>41411.66667</v>
      </c>
      <c r="L52" s="23">
        <f>IFERROR(__xludf.DUMMYFUNCTION("""COMPUTED_VALUE"""),50.0)</f>
        <v>50</v>
      </c>
      <c r="M52" s="23">
        <v>0.0</v>
      </c>
      <c r="N52" s="23">
        <v>0.0</v>
      </c>
      <c r="O52" s="23">
        <v>0.0</v>
      </c>
      <c r="P52" s="23">
        <f t="shared" si="1"/>
        <v>0</v>
      </c>
      <c r="Q52" s="23">
        <f t="shared" si="2"/>
        <v>0</v>
      </c>
      <c r="R52" s="23">
        <f t="shared" si="3"/>
        <v>0</v>
      </c>
      <c r="S52" s="19"/>
      <c r="T52" s="19"/>
      <c r="U52" s="19"/>
      <c r="V52" s="19"/>
    </row>
    <row r="53">
      <c r="A53" s="22">
        <f>IFERROR(__xludf.DUMMYFUNCTION("""COMPUTED_VALUE"""),42039.66666666667)</f>
        <v>42039.66667</v>
      </c>
      <c r="B53" s="23">
        <f>IFERROR(__xludf.DUMMYFUNCTION("""COMPUTED_VALUE"""),56.07)</f>
        <v>56.07</v>
      </c>
      <c r="C53" s="22">
        <f>IFERROR(__xludf.DUMMYFUNCTION("""COMPUTED_VALUE"""),43299.66666666667)</f>
        <v>43299.66667</v>
      </c>
      <c r="D53" s="23">
        <f>IFERROR(__xludf.DUMMYFUNCTION("""COMPUTED_VALUE"""),103.61)</f>
        <v>103.61</v>
      </c>
      <c r="E53" s="22">
        <f>IFERROR(__xludf.DUMMYFUNCTION("""COMPUTED_VALUE"""),42221.66666666667)</f>
        <v>42221.66667</v>
      </c>
      <c r="F53" s="23">
        <f>IFERROR(__xludf.DUMMYFUNCTION("""COMPUTED_VALUE"""),10.79)</f>
        <v>10.79</v>
      </c>
      <c r="G53" s="22">
        <f>IFERROR(__xludf.DUMMYFUNCTION("""COMPUTED_VALUE"""),41418.666666666664)</f>
        <v>41418.66667</v>
      </c>
      <c r="H53" s="23">
        <f>IFERROR(__xludf.DUMMYFUNCTION("""COMPUTED_VALUE"""),63.67)</f>
        <v>63.67</v>
      </c>
      <c r="I53" s="22">
        <f>IFERROR(__xludf.DUMMYFUNCTION("""COMPUTED_VALUE"""),41418.666666666664)</f>
        <v>41418.66667</v>
      </c>
      <c r="J53" s="23">
        <f>IFERROR(__xludf.DUMMYFUNCTION("""COMPUTED_VALUE"""),88.47)</f>
        <v>88.47</v>
      </c>
      <c r="K53" s="22">
        <f>IFERROR(__xludf.DUMMYFUNCTION("""COMPUTED_VALUE"""),41418.666666666664)</f>
        <v>41418.66667</v>
      </c>
      <c r="L53" s="23">
        <f>IFERROR(__xludf.DUMMYFUNCTION("""COMPUTED_VALUE"""),49.88)</f>
        <v>49.88</v>
      </c>
      <c r="M53" s="23">
        <v>0.0</v>
      </c>
      <c r="N53" s="23">
        <v>0.0</v>
      </c>
      <c r="O53" s="23">
        <v>0.0</v>
      </c>
      <c r="P53" s="23">
        <f t="shared" si="1"/>
        <v>0</v>
      </c>
      <c r="Q53" s="23">
        <f t="shared" si="2"/>
        <v>0</v>
      </c>
      <c r="R53" s="23">
        <f t="shared" si="3"/>
        <v>0</v>
      </c>
      <c r="S53" s="19"/>
      <c r="T53" s="19"/>
      <c r="U53" s="19"/>
      <c r="V53" s="19"/>
    </row>
    <row r="54">
      <c r="A54" s="22">
        <f>IFERROR(__xludf.DUMMYFUNCTION("""COMPUTED_VALUE"""),42040.66666666667)</f>
        <v>42040.66667</v>
      </c>
      <c r="B54" s="23">
        <f>IFERROR(__xludf.DUMMYFUNCTION("""COMPUTED_VALUE"""),55.75)</f>
        <v>55.75</v>
      </c>
      <c r="C54" s="22">
        <f>IFERROR(__xludf.DUMMYFUNCTION("""COMPUTED_VALUE"""),43300.66666666667)</f>
        <v>43300.66667</v>
      </c>
      <c r="D54" s="23">
        <f>IFERROR(__xludf.DUMMYFUNCTION("""COMPUTED_VALUE"""),104.1)</f>
        <v>104.1</v>
      </c>
      <c r="E54" s="22">
        <f>IFERROR(__xludf.DUMMYFUNCTION("""COMPUTED_VALUE"""),42222.66666666667)</f>
        <v>42222.66667</v>
      </c>
      <c r="F54" s="23">
        <f>IFERROR(__xludf.DUMMYFUNCTION("""COMPUTED_VALUE"""),10.87)</f>
        <v>10.87</v>
      </c>
      <c r="G54" s="22">
        <f>IFERROR(__xludf.DUMMYFUNCTION("""COMPUTED_VALUE"""),41425.666666666664)</f>
        <v>41425.66667</v>
      </c>
      <c r="H54" s="23">
        <f>IFERROR(__xludf.DUMMYFUNCTION("""COMPUTED_VALUE"""),63.37)</f>
        <v>63.37</v>
      </c>
      <c r="I54" s="22">
        <f>IFERROR(__xludf.DUMMYFUNCTION("""COMPUTED_VALUE"""),41425.666666666664)</f>
        <v>41425.66667</v>
      </c>
      <c r="J54" s="23">
        <f>IFERROR(__xludf.DUMMYFUNCTION("""COMPUTED_VALUE"""),88.9)</f>
        <v>88.9</v>
      </c>
      <c r="K54" s="22">
        <f>IFERROR(__xludf.DUMMYFUNCTION("""COMPUTED_VALUE"""),41425.666666666664)</f>
        <v>41425.66667</v>
      </c>
      <c r="L54" s="23">
        <f>IFERROR(__xludf.DUMMYFUNCTION("""COMPUTED_VALUE"""),49.3)</f>
        <v>49.3</v>
      </c>
      <c r="M54" s="23">
        <v>0.0</v>
      </c>
      <c r="N54" s="23">
        <v>0.0</v>
      </c>
      <c r="O54" s="23">
        <v>0.0</v>
      </c>
      <c r="P54" s="23">
        <f t="shared" si="1"/>
        <v>0</v>
      </c>
      <c r="Q54" s="23">
        <f t="shared" si="2"/>
        <v>0</v>
      </c>
      <c r="R54" s="23">
        <f t="shared" si="3"/>
        <v>0</v>
      </c>
      <c r="S54" s="19"/>
      <c r="T54" s="19"/>
      <c r="U54" s="19"/>
      <c r="V54" s="19"/>
    </row>
    <row r="55">
      <c r="A55" s="22">
        <f>IFERROR(__xludf.DUMMYFUNCTION("""COMPUTED_VALUE"""),42041.66666666667)</f>
        <v>42041.66667</v>
      </c>
      <c r="B55" s="23">
        <f>IFERROR(__xludf.DUMMYFUNCTION("""COMPUTED_VALUE"""),56.03)</f>
        <v>56.03</v>
      </c>
      <c r="C55" s="22">
        <f>IFERROR(__xludf.DUMMYFUNCTION("""COMPUTED_VALUE"""),43301.66666666667)</f>
        <v>43301.66667</v>
      </c>
      <c r="D55" s="23">
        <f>IFERROR(__xludf.DUMMYFUNCTION("""COMPUTED_VALUE"""),104.34)</f>
        <v>104.34</v>
      </c>
      <c r="E55" s="22">
        <f>IFERROR(__xludf.DUMMYFUNCTION("""COMPUTED_VALUE"""),42223.66666666667)</f>
        <v>42223.66667</v>
      </c>
      <c r="F55" s="23">
        <f>IFERROR(__xludf.DUMMYFUNCTION("""COMPUTED_VALUE"""),10.7)</f>
        <v>10.7</v>
      </c>
      <c r="G55" s="22">
        <f>IFERROR(__xludf.DUMMYFUNCTION("""COMPUTED_VALUE"""),41432.666666666664)</f>
        <v>41432.66667</v>
      </c>
      <c r="H55" s="23">
        <f>IFERROR(__xludf.DUMMYFUNCTION("""COMPUTED_VALUE"""),60.91)</f>
        <v>60.91</v>
      </c>
      <c r="I55" s="22">
        <f>IFERROR(__xludf.DUMMYFUNCTION("""COMPUTED_VALUE"""),41432.666666666664)</f>
        <v>41432.66667</v>
      </c>
      <c r="J55" s="23">
        <f>IFERROR(__xludf.DUMMYFUNCTION("""COMPUTED_VALUE"""),88.72)</f>
        <v>88.72</v>
      </c>
      <c r="K55" s="22">
        <f>IFERROR(__xludf.DUMMYFUNCTION("""COMPUTED_VALUE"""),41432.666666666664)</f>
        <v>41432.66667</v>
      </c>
      <c r="L55" s="23">
        <f>IFERROR(__xludf.DUMMYFUNCTION("""COMPUTED_VALUE"""),49.12)</f>
        <v>49.12</v>
      </c>
      <c r="M55" s="23">
        <v>100.0</v>
      </c>
      <c r="N55" s="23">
        <v>100.0</v>
      </c>
      <c r="O55" s="23">
        <v>100.0</v>
      </c>
      <c r="P55" s="23">
        <f t="shared" si="1"/>
        <v>1.641766541</v>
      </c>
      <c r="Q55" s="23">
        <f t="shared" si="2"/>
        <v>1.127141569</v>
      </c>
      <c r="R55" s="23">
        <f t="shared" si="3"/>
        <v>2.035830619</v>
      </c>
      <c r="S55" s="19"/>
      <c r="T55" s="19"/>
      <c r="U55" s="19"/>
      <c r="V55" s="19"/>
    </row>
    <row r="56">
      <c r="A56" s="22">
        <f>IFERROR(__xludf.DUMMYFUNCTION("""COMPUTED_VALUE"""),42044.66666666667)</f>
        <v>42044.66667</v>
      </c>
      <c r="B56" s="23">
        <f>IFERROR(__xludf.DUMMYFUNCTION("""COMPUTED_VALUE"""),56.09)</f>
        <v>56.09</v>
      </c>
      <c r="C56" s="22">
        <f>IFERROR(__xludf.DUMMYFUNCTION("""COMPUTED_VALUE"""),43304.66666666667)</f>
        <v>43304.66667</v>
      </c>
      <c r="D56" s="23">
        <f>IFERROR(__xludf.DUMMYFUNCTION("""COMPUTED_VALUE"""),103.33)</f>
        <v>103.33</v>
      </c>
      <c r="E56" s="22">
        <f>IFERROR(__xludf.DUMMYFUNCTION("""COMPUTED_VALUE"""),42226.66666666667)</f>
        <v>42226.66667</v>
      </c>
      <c r="F56" s="23">
        <f>IFERROR(__xludf.DUMMYFUNCTION("""COMPUTED_VALUE"""),10.67)</f>
        <v>10.67</v>
      </c>
      <c r="G56" s="22">
        <f>IFERROR(__xludf.DUMMYFUNCTION("""COMPUTED_VALUE"""),41439.666666666664)</f>
        <v>41439.66667</v>
      </c>
      <c r="H56" s="23">
        <f>IFERROR(__xludf.DUMMYFUNCTION("""COMPUTED_VALUE"""),61.38)</f>
        <v>61.38</v>
      </c>
      <c r="I56" s="22">
        <f>IFERROR(__xludf.DUMMYFUNCTION("""COMPUTED_VALUE"""),41439.666666666664)</f>
        <v>41439.66667</v>
      </c>
      <c r="J56" s="23">
        <f>IFERROR(__xludf.DUMMYFUNCTION("""COMPUTED_VALUE"""),88.5)</f>
        <v>88.5</v>
      </c>
      <c r="K56" s="22">
        <f>IFERROR(__xludf.DUMMYFUNCTION("""COMPUTED_VALUE"""),41439.666666666664)</f>
        <v>41439.66667</v>
      </c>
      <c r="L56" s="23">
        <f>IFERROR(__xludf.DUMMYFUNCTION("""COMPUTED_VALUE"""),48.5)</f>
        <v>48.5</v>
      </c>
      <c r="M56" s="23">
        <v>0.0</v>
      </c>
      <c r="N56" s="23">
        <v>0.0</v>
      </c>
      <c r="O56" s="23">
        <v>0.0</v>
      </c>
      <c r="P56" s="23">
        <f t="shared" si="1"/>
        <v>0</v>
      </c>
      <c r="Q56" s="23">
        <f t="shared" si="2"/>
        <v>0</v>
      </c>
      <c r="R56" s="23">
        <f t="shared" si="3"/>
        <v>0</v>
      </c>
      <c r="S56" s="19"/>
      <c r="T56" s="19"/>
      <c r="U56" s="19"/>
      <c r="V56" s="19"/>
    </row>
    <row r="57">
      <c r="A57" s="22">
        <f>IFERROR(__xludf.DUMMYFUNCTION("""COMPUTED_VALUE"""),42045.66666666667)</f>
        <v>42045.66667</v>
      </c>
      <c r="B57" s="23">
        <f>IFERROR(__xludf.DUMMYFUNCTION("""COMPUTED_VALUE"""),55.69)</f>
        <v>55.69</v>
      </c>
      <c r="C57" s="22">
        <f>IFERROR(__xludf.DUMMYFUNCTION("""COMPUTED_VALUE"""),43305.66666666667)</f>
        <v>43305.66667</v>
      </c>
      <c r="D57" s="23">
        <f>IFERROR(__xludf.DUMMYFUNCTION("""COMPUTED_VALUE"""),104.03)</f>
        <v>104.03</v>
      </c>
      <c r="E57" s="22">
        <f>IFERROR(__xludf.DUMMYFUNCTION("""COMPUTED_VALUE"""),42227.66666666667)</f>
        <v>42227.66667</v>
      </c>
      <c r="F57" s="23">
        <f>IFERROR(__xludf.DUMMYFUNCTION("""COMPUTED_VALUE"""),10.8)</f>
        <v>10.8</v>
      </c>
      <c r="G57" s="22">
        <f>IFERROR(__xludf.DUMMYFUNCTION("""COMPUTED_VALUE"""),41446.666666666664)</f>
        <v>41446.66667</v>
      </c>
      <c r="H57" s="23">
        <f>IFERROR(__xludf.DUMMYFUNCTION("""COMPUTED_VALUE"""),60.77)</f>
        <v>60.77</v>
      </c>
      <c r="I57" s="22">
        <f>IFERROR(__xludf.DUMMYFUNCTION("""COMPUTED_VALUE"""),41446.666666666664)</f>
        <v>41446.66667</v>
      </c>
      <c r="J57" s="23">
        <f>IFERROR(__xludf.DUMMYFUNCTION("""COMPUTED_VALUE"""),89.84)</f>
        <v>89.84</v>
      </c>
      <c r="K57" s="22">
        <f>IFERROR(__xludf.DUMMYFUNCTION("""COMPUTED_VALUE"""),41446.666666666664)</f>
        <v>41446.66667</v>
      </c>
      <c r="L57" s="23">
        <f>IFERROR(__xludf.DUMMYFUNCTION("""COMPUTED_VALUE"""),48.79)</f>
        <v>48.79</v>
      </c>
      <c r="M57" s="23">
        <v>0.0</v>
      </c>
      <c r="N57" s="23">
        <v>0.0</v>
      </c>
      <c r="O57" s="23">
        <v>0.0</v>
      </c>
      <c r="P57" s="23">
        <f t="shared" si="1"/>
        <v>0</v>
      </c>
      <c r="Q57" s="23">
        <f t="shared" si="2"/>
        <v>0</v>
      </c>
      <c r="R57" s="23">
        <f t="shared" si="3"/>
        <v>0</v>
      </c>
      <c r="S57" s="19"/>
      <c r="T57" s="19"/>
      <c r="U57" s="19"/>
      <c r="V57" s="19"/>
    </row>
    <row r="58">
      <c r="A58" s="22">
        <f>IFERROR(__xludf.DUMMYFUNCTION("""COMPUTED_VALUE"""),42046.66666666667)</f>
        <v>42046.66667</v>
      </c>
      <c r="B58" s="23">
        <f>IFERROR(__xludf.DUMMYFUNCTION("""COMPUTED_VALUE"""),56.47)</f>
        <v>56.47</v>
      </c>
      <c r="C58" s="22">
        <f>IFERROR(__xludf.DUMMYFUNCTION("""COMPUTED_VALUE"""),43306.66666666667)</f>
        <v>43306.66667</v>
      </c>
      <c r="D58" s="23">
        <f>IFERROR(__xludf.DUMMYFUNCTION("""COMPUTED_VALUE"""),103.62)</f>
        <v>103.62</v>
      </c>
      <c r="E58" s="22">
        <f>IFERROR(__xludf.DUMMYFUNCTION("""COMPUTED_VALUE"""),42228.66666666667)</f>
        <v>42228.66667</v>
      </c>
      <c r="F58" s="23">
        <f>IFERROR(__xludf.DUMMYFUNCTION("""COMPUTED_VALUE"""),10.74)</f>
        <v>10.74</v>
      </c>
      <c r="G58" s="22">
        <f>IFERROR(__xludf.DUMMYFUNCTION("""COMPUTED_VALUE"""),41453.666666666664)</f>
        <v>41453.66667</v>
      </c>
      <c r="H58" s="23">
        <f>IFERROR(__xludf.DUMMYFUNCTION("""COMPUTED_VALUE"""),61.7)</f>
        <v>61.7</v>
      </c>
      <c r="I58" s="22">
        <f>IFERROR(__xludf.DUMMYFUNCTION("""COMPUTED_VALUE"""),41453.666666666664)</f>
        <v>41453.66667</v>
      </c>
      <c r="J58" s="23">
        <f>IFERROR(__xludf.DUMMYFUNCTION("""COMPUTED_VALUE"""),90.39)</f>
        <v>90.39</v>
      </c>
      <c r="K58" s="22">
        <f>IFERROR(__xludf.DUMMYFUNCTION("""COMPUTED_VALUE"""),41453.666666666664)</f>
        <v>41453.66667</v>
      </c>
      <c r="L58" s="23">
        <f>IFERROR(__xludf.DUMMYFUNCTION("""COMPUTED_VALUE"""),48.53)</f>
        <v>48.53</v>
      </c>
      <c r="M58" s="23">
        <v>0.0</v>
      </c>
      <c r="N58" s="23">
        <v>0.0</v>
      </c>
      <c r="O58" s="23">
        <v>0.0</v>
      </c>
      <c r="P58" s="23">
        <f t="shared" si="1"/>
        <v>0</v>
      </c>
      <c r="Q58" s="23">
        <f t="shared" si="2"/>
        <v>0</v>
      </c>
      <c r="R58" s="23">
        <f t="shared" si="3"/>
        <v>0</v>
      </c>
      <c r="S58" s="19"/>
      <c r="T58" s="19"/>
      <c r="U58" s="19"/>
      <c r="V58" s="19"/>
    </row>
    <row r="59">
      <c r="A59" s="22">
        <f>IFERROR(__xludf.DUMMYFUNCTION("""COMPUTED_VALUE"""),42047.66666666667)</f>
        <v>42047.66667</v>
      </c>
      <c r="B59" s="23">
        <f>IFERROR(__xludf.DUMMYFUNCTION("""COMPUTED_VALUE"""),57.21)</f>
        <v>57.21</v>
      </c>
      <c r="C59" s="22">
        <f>IFERROR(__xludf.DUMMYFUNCTION("""COMPUTED_VALUE"""),43307.66666666667)</f>
        <v>43307.66667</v>
      </c>
      <c r="D59" s="23">
        <f>IFERROR(__xludf.DUMMYFUNCTION("""COMPUTED_VALUE"""),103.71)</f>
        <v>103.71</v>
      </c>
      <c r="E59" s="22">
        <f>IFERROR(__xludf.DUMMYFUNCTION("""COMPUTED_VALUE"""),42229.66666666667)</f>
        <v>42229.66667</v>
      </c>
      <c r="F59" s="23">
        <f>IFERROR(__xludf.DUMMYFUNCTION("""COMPUTED_VALUE"""),10.66)</f>
        <v>10.66</v>
      </c>
      <c r="G59" s="22">
        <f>IFERROR(__xludf.DUMMYFUNCTION("""COMPUTED_VALUE"""),41460.666666666664)</f>
        <v>41460.66667</v>
      </c>
      <c r="H59" s="23">
        <f>IFERROR(__xludf.DUMMYFUNCTION("""COMPUTED_VALUE"""),61.77)</f>
        <v>61.77</v>
      </c>
      <c r="I59" s="22">
        <f>IFERROR(__xludf.DUMMYFUNCTION("""COMPUTED_VALUE"""),41460.666666666664)</f>
        <v>41460.66667</v>
      </c>
      <c r="J59" s="23">
        <f>IFERROR(__xludf.DUMMYFUNCTION("""COMPUTED_VALUE"""),92.49)</f>
        <v>92.49</v>
      </c>
      <c r="K59" s="22">
        <f>IFERROR(__xludf.DUMMYFUNCTION("""COMPUTED_VALUE"""),41460.666666666664)</f>
        <v>41460.66667</v>
      </c>
      <c r="L59" s="23">
        <f>IFERROR(__xludf.DUMMYFUNCTION("""COMPUTED_VALUE"""),49.61)</f>
        <v>49.61</v>
      </c>
      <c r="M59" s="23">
        <v>100.0</v>
      </c>
      <c r="N59" s="23">
        <v>100.0</v>
      </c>
      <c r="O59" s="23">
        <v>100.0</v>
      </c>
      <c r="P59" s="23">
        <f t="shared" si="1"/>
        <v>1.618908855</v>
      </c>
      <c r="Q59" s="23">
        <f t="shared" si="2"/>
        <v>1.081197967</v>
      </c>
      <c r="R59" s="23">
        <f t="shared" si="3"/>
        <v>2.015722637</v>
      </c>
      <c r="S59" s="19"/>
      <c r="T59" s="19"/>
      <c r="U59" s="19"/>
      <c r="V59" s="19"/>
    </row>
    <row r="60">
      <c r="A60" s="22">
        <f>IFERROR(__xludf.DUMMYFUNCTION("""COMPUTED_VALUE"""),42048.66666666667)</f>
        <v>42048.66667</v>
      </c>
      <c r="B60" s="23">
        <f>IFERROR(__xludf.DUMMYFUNCTION("""COMPUTED_VALUE"""),57.24)</f>
        <v>57.24</v>
      </c>
      <c r="C60" s="22">
        <f>IFERROR(__xludf.DUMMYFUNCTION("""COMPUTED_VALUE"""),43308.66666666667)</f>
        <v>43308.66667</v>
      </c>
      <c r="D60" s="23">
        <f>IFERROR(__xludf.DUMMYFUNCTION("""COMPUTED_VALUE"""),104.56)</f>
        <v>104.56</v>
      </c>
      <c r="E60" s="22">
        <f>IFERROR(__xludf.DUMMYFUNCTION("""COMPUTED_VALUE"""),42230.66666666667)</f>
        <v>42230.66667</v>
      </c>
      <c r="F60" s="23">
        <f>IFERROR(__xludf.DUMMYFUNCTION("""COMPUTED_VALUE"""),10.66)</f>
        <v>10.66</v>
      </c>
      <c r="G60" s="22">
        <f>IFERROR(__xludf.DUMMYFUNCTION("""COMPUTED_VALUE"""),41467.666666666664)</f>
        <v>41467.66667</v>
      </c>
      <c r="H60" s="23">
        <f>IFERROR(__xludf.DUMMYFUNCTION("""COMPUTED_VALUE"""),63.52)</f>
        <v>63.52</v>
      </c>
      <c r="I60" s="22">
        <f>IFERROR(__xludf.DUMMYFUNCTION("""COMPUTED_VALUE"""),41467.666666666664)</f>
        <v>41467.66667</v>
      </c>
      <c r="J60" s="23">
        <f>IFERROR(__xludf.DUMMYFUNCTION("""COMPUTED_VALUE"""),94.32)</f>
        <v>94.32</v>
      </c>
      <c r="K60" s="22">
        <f>IFERROR(__xludf.DUMMYFUNCTION("""COMPUTED_VALUE"""),41467.666666666664)</f>
        <v>41467.66667</v>
      </c>
      <c r="L60" s="23">
        <f>IFERROR(__xludf.DUMMYFUNCTION("""COMPUTED_VALUE"""),50.54)</f>
        <v>50.54</v>
      </c>
      <c r="M60" s="23">
        <v>0.0</v>
      </c>
      <c r="N60" s="23">
        <v>0.0</v>
      </c>
      <c r="O60" s="23">
        <v>0.0</v>
      </c>
      <c r="P60" s="23">
        <f t="shared" si="1"/>
        <v>0</v>
      </c>
      <c r="Q60" s="23">
        <f t="shared" si="2"/>
        <v>0</v>
      </c>
      <c r="R60" s="23">
        <f t="shared" si="3"/>
        <v>0</v>
      </c>
      <c r="S60" s="19"/>
      <c r="T60" s="19"/>
      <c r="U60" s="19"/>
      <c r="V60" s="19"/>
    </row>
    <row r="61">
      <c r="A61" s="22">
        <f>IFERROR(__xludf.DUMMYFUNCTION("""COMPUTED_VALUE"""),42051.66666666667)</f>
        <v>42051.66667</v>
      </c>
      <c r="B61" s="23">
        <f>IFERROR(__xludf.DUMMYFUNCTION("""COMPUTED_VALUE"""),57.29)</f>
        <v>57.29</v>
      </c>
      <c r="C61" s="22">
        <f>IFERROR(__xludf.DUMMYFUNCTION("""COMPUTED_VALUE"""),43311.66666666667)</f>
        <v>43311.66667</v>
      </c>
      <c r="D61" s="23">
        <f>IFERROR(__xludf.DUMMYFUNCTION("""COMPUTED_VALUE"""),104.28)</f>
        <v>104.28</v>
      </c>
      <c r="E61" s="22">
        <f>IFERROR(__xludf.DUMMYFUNCTION("""COMPUTED_VALUE"""),42233.66666666667)</f>
        <v>42233.66667</v>
      </c>
      <c r="F61" s="23">
        <f>IFERROR(__xludf.DUMMYFUNCTION("""COMPUTED_VALUE"""),10.66)</f>
        <v>10.66</v>
      </c>
      <c r="G61" s="22">
        <f>IFERROR(__xludf.DUMMYFUNCTION("""COMPUTED_VALUE"""),41474.666666666664)</f>
        <v>41474.66667</v>
      </c>
      <c r="H61" s="23">
        <f>IFERROR(__xludf.DUMMYFUNCTION("""COMPUTED_VALUE"""),63.32)</f>
        <v>63.32</v>
      </c>
      <c r="I61" s="22">
        <f>IFERROR(__xludf.DUMMYFUNCTION("""COMPUTED_VALUE"""),41474.666666666664)</f>
        <v>41474.66667</v>
      </c>
      <c r="J61" s="23">
        <f>IFERROR(__xludf.DUMMYFUNCTION("""COMPUTED_VALUE"""),95.0)</f>
        <v>95</v>
      </c>
      <c r="K61" s="22">
        <f>IFERROR(__xludf.DUMMYFUNCTION("""COMPUTED_VALUE"""),41474.666666666664)</f>
        <v>41474.66667</v>
      </c>
      <c r="L61" s="23">
        <f>IFERROR(__xludf.DUMMYFUNCTION("""COMPUTED_VALUE"""),50.52)</f>
        <v>50.52</v>
      </c>
      <c r="M61" s="23">
        <v>0.0</v>
      </c>
      <c r="N61" s="23">
        <v>0.0</v>
      </c>
      <c r="O61" s="23">
        <v>0.0</v>
      </c>
      <c r="P61" s="23">
        <f t="shared" si="1"/>
        <v>0</v>
      </c>
      <c r="Q61" s="23">
        <f t="shared" si="2"/>
        <v>0</v>
      </c>
      <c r="R61" s="23">
        <f t="shared" si="3"/>
        <v>0</v>
      </c>
      <c r="S61" s="19"/>
      <c r="T61" s="19"/>
      <c r="U61" s="19"/>
      <c r="V61" s="19"/>
    </row>
    <row r="62">
      <c r="A62" s="22">
        <f>IFERROR(__xludf.DUMMYFUNCTION("""COMPUTED_VALUE"""),42052.66666666667)</f>
        <v>42052.66667</v>
      </c>
      <c r="B62" s="23">
        <f>IFERROR(__xludf.DUMMYFUNCTION("""COMPUTED_VALUE"""),57.05)</f>
        <v>57.05</v>
      </c>
      <c r="C62" s="22">
        <f>IFERROR(__xludf.DUMMYFUNCTION("""COMPUTED_VALUE"""),43312.66666666667)</f>
        <v>43312.66667</v>
      </c>
      <c r="D62" s="23">
        <f>IFERROR(__xludf.DUMMYFUNCTION("""COMPUTED_VALUE"""),104.27)</f>
        <v>104.27</v>
      </c>
      <c r="E62" s="22">
        <f>IFERROR(__xludf.DUMMYFUNCTION("""COMPUTED_VALUE"""),42234.66666666667)</f>
        <v>42234.66667</v>
      </c>
      <c r="F62" s="23">
        <f>IFERROR(__xludf.DUMMYFUNCTION("""COMPUTED_VALUE"""),10.78)</f>
        <v>10.78</v>
      </c>
      <c r="G62" s="22">
        <f>IFERROR(__xludf.DUMMYFUNCTION("""COMPUTED_VALUE"""),41481.666666666664)</f>
        <v>41481.66667</v>
      </c>
      <c r="H62" s="23">
        <f>IFERROR(__xludf.DUMMYFUNCTION("""COMPUTED_VALUE"""),64.24)</f>
        <v>64.24</v>
      </c>
      <c r="I62" s="22">
        <f>IFERROR(__xludf.DUMMYFUNCTION("""COMPUTED_VALUE"""),41481.666666666664)</f>
        <v>41481.66667</v>
      </c>
      <c r="J62" s="23">
        <f>IFERROR(__xludf.DUMMYFUNCTION("""COMPUTED_VALUE"""),94.8)</f>
        <v>94.8</v>
      </c>
      <c r="K62" s="22">
        <f>IFERROR(__xludf.DUMMYFUNCTION("""COMPUTED_VALUE"""),41481.666666666664)</f>
        <v>41481.66667</v>
      </c>
      <c r="L62" s="23">
        <f>IFERROR(__xludf.DUMMYFUNCTION("""COMPUTED_VALUE"""),50.75)</f>
        <v>50.75</v>
      </c>
      <c r="M62" s="23">
        <v>0.0</v>
      </c>
      <c r="N62" s="23">
        <v>0.0</v>
      </c>
      <c r="O62" s="23">
        <v>0.0</v>
      </c>
      <c r="P62" s="23">
        <f t="shared" si="1"/>
        <v>0</v>
      </c>
      <c r="Q62" s="23">
        <f t="shared" si="2"/>
        <v>0</v>
      </c>
      <c r="R62" s="23">
        <f t="shared" si="3"/>
        <v>0</v>
      </c>
      <c r="S62" s="19"/>
      <c r="T62" s="19"/>
      <c r="U62" s="19"/>
      <c r="V62" s="19"/>
    </row>
    <row r="63">
      <c r="A63" s="22">
        <f>IFERROR(__xludf.DUMMYFUNCTION("""COMPUTED_VALUE"""),42053.66666666667)</f>
        <v>42053.66667</v>
      </c>
      <c r="B63" s="23">
        <f>IFERROR(__xludf.DUMMYFUNCTION("""COMPUTED_VALUE"""),57.28)</f>
        <v>57.28</v>
      </c>
      <c r="C63" s="22">
        <f>IFERROR(__xludf.DUMMYFUNCTION("""COMPUTED_VALUE"""),43313.66666666667)</f>
        <v>43313.66667</v>
      </c>
      <c r="D63" s="23">
        <f>IFERROR(__xludf.DUMMYFUNCTION("""COMPUTED_VALUE"""),104.27)</f>
        <v>104.27</v>
      </c>
      <c r="E63" s="22">
        <f>IFERROR(__xludf.DUMMYFUNCTION("""COMPUTED_VALUE"""),42235.66666666667)</f>
        <v>42235.66667</v>
      </c>
      <c r="F63" s="23">
        <f>IFERROR(__xludf.DUMMYFUNCTION("""COMPUTED_VALUE"""),10.74)</f>
        <v>10.74</v>
      </c>
      <c r="G63" s="22">
        <f>IFERROR(__xludf.DUMMYFUNCTION("""COMPUTED_VALUE"""),41488.666666666664)</f>
        <v>41488.66667</v>
      </c>
      <c r="H63" s="23">
        <f>IFERROR(__xludf.DUMMYFUNCTION("""COMPUTED_VALUE"""),65.1)</f>
        <v>65.1</v>
      </c>
      <c r="I63" s="22">
        <f>IFERROR(__xludf.DUMMYFUNCTION("""COMPUTED_VALUE"""),41488.666666666664)</f>
        <v>41488.66667</v>
      </c>
      <c r="J63" s="23">
        <f>IFERROR(__xludf.DUMMYFUNCTION("""COMPUTED_VALUE"""),99.6)</f>
        <v>99.6</v>
      </c>
      <c r="K63" s="22">
        <f>IFERROR(__xludf.DUMMYFUNCTION("""COMPUTED_VALUE"""),41488.666666666664)</f>
        <v>41488.66667</v>
      </c>
      <c r="L63" s="23">
        <f>IFERROR(__xludf.DUMMYFUNCTION("""COMPUTED_VALUE"""),52.8)</f>
        <v>52.8</v>
      </c>
      <c r="M63" s="23">
        <v>100.0</v>
      </c>
      <c r="N63" s="23">
        <v>100.0</v>
      </c>
      <c r="O63" s="23">
        <v>100.0</v>
      </c>
      <c r="P63" s="23">
        <f t="shared" si="1"/>
        <v>1.53609831</v>
      </c>
      <c r="Q63" s="23">
        <f t="shared" si="2"/>
        <v>1.004016064</v>
      </c>
      <c r="R63" s="23">
        <f t="shared" si="3"/>
        <v>1.893939394</v>
      </c>
      <c r="S63" s="19"/>
      <c r="T63" s="19"/>
      <c r="U63" s="19"/>
      <c r="V63" s="19"/>
    </row>
    <row r="64">
      <c r="A64" s="22">
        <f>IFERROR(__xludf.DUMMYFUNCTION("""COMPUTED_VALUE"""),42054.66666666667)</f>
        <v>42054.66667</v>
      </c>
      <c r="B64" s="23">
        <f>IFERROR(__xludf.DUMMYFUNCTION("""COMPUTED_VALUE"""),57.1)</f>
        <v>57.1</v>
      </c>
      <c r="C64" s="22">
        <f>IFERROR(__xludf.DUMMYFUNCTION("""COMPUTED_VALUE"""),43314.66666666667)</f>
        <v>43314.66667</v>
      </c>
      <c r="D64" s="23">
        <f>IFERROR(__xludf.DUMMYFUNCTION("""COMPUTED_VALUE"""),103.68)</f>
        <v>103.68</v>
      </c>
      <c r="E64" s="22">
        <f>IFERROR(__xludf.DUMMYFUNCTION("""COMPUTED_VALUE"""),42236.66666666667)</f>
        <v>42236.66667</v>
      </c>
      <c r="F64" s="23">
        <f>IFERROR(__xludf.DUMMYFUNCTION("""COMPUTED_VALUE"""),10.67)</f>
        <v>10.67</v>
      </c>
      <c r="G64" s="22">
        <f>IFERROR(__xludf.DUMMYFUNCTION("""COMPUTED_VALUE"""),41495.666666666664)</f>
        <v>41495.66667</v>
      </c>
      <c r="H64" s="23">
        <f>IFERROR(__xludf.DUMMYFUNCTION("""COMPUTED_VALUE"""),64.36)</f>
        <v>64.36</v>
      </c>
      <c r="I64" s="22">
        <f>IFERROR(__xludf.DUMMYFUNCTION("""COMPUTED_VALUE"""),41495.666666666664)</f>
        <v>41495.66667</v>
      </c>
      <c r="J64" s="23">
        <f>IFERROR(__xludf.DUMMYFUNCTION("""COMPUTED_VALUE"""),96.7)</f>
        <v>96.7</v>
      </c>
      <c r="K64" s="22">
        <f>IFERROR(__xludf.DUMMYFUNCTION("""COMPUTED_VALUE"""),41495.666666666664)</f>
        <v>41495.66667</v>
      </c>
      <c r="L64" s="23">
        <f>IFERROR(__xludf.DUMMYFUNCTION("""COMPUTED_VALUE"""),51.85)</f>
        <v>51.85</v>
      </c>
      <c r="M64" s="23">
        <v>0.0</v>
      </c>
      <c r="N64" s="23">
        <v>0.0</v>
      </c>
      <c r="O64" s="23">
        <v>0.0</v>
      </c>
      <c r="P64" s="23">
        <f t="shared" si="1"/>
        <v>0</v>
      </c>
      <c r="Q64" s="23">
        <f t="shared" si="2"/>
        <v>0</v>
      </c>
      <c r="R64" s="23">
        <f t="shared" si="3"/>
        <v>0</v>
      </c>
      <c r="S64" s="19"/>
      <c r="T64" s="19"/>
      <c r="U64" s="19"/>
      <c r="V64" s="19"/>
    </row>
    <row r="65">
      <c r="A65" s="22">
        <f>IFERROR(__xludf.DUMMYFUNCTION("""COMPUTED_VALUE"""),42055.66666666667)</f>
        <v>42055.66667</v>
      </c>
      <c r="B65" s="23">
        <f>IFERROR(__xludf.DUMMYFUNCTION("""COMPUTED_VALUE"""),57.25)</f>
        <v>57.25</v>
      </c>
      <c r="C65" s="22">
        <f>IFERROR(__xludf.DUMMYFUNCTION("""COMPUTED_VALUE"""),43315.66666666667)</f>
        <v>43315.66667</v>
      </c>
      <c r="D65" s="23">
        <f>IFERROR(__xludf.DUMMYFUNCTION("""COMPUTED_VALUE"""),103.56)</f>
        <v>103.56</v>
      </c>
      <c r="E65" s="22">
        <f>IFERROR(__xludf.DUMMYFUNCTION("""COMPUTED_VALUE"""),42237.66666666667)</f>
        <v>42237.66667</v>
      </c>
      <c r="F65" s="23">
        <f>IFERROR(__xludf.DUMMYFUNCTION("""COMPUTED_VALUE"""),10.32)</f>
        <v>10.32</v>
      </c>
      <c r="G65" s="22">
        <f>IFERROR(__xludf.DUMMYFUNCTION("""COMPUTED_VALUE"""),41502.666666666664)</f>
        <v>41502.66667</v>
      </c>
      <c r="H65" s="23">
        <f>IFERROR(__xludf.DUMMYFUNCTION("""COMPUTED_VALUE"""),65.18)</f>
        <v>65.18</v>
      </c>
      <c r="I65" s="22">
        <f>IFERROR(__xludf.DUMMYFUNCTION("""COMPUTED_VALUE"""),41502.666666666664)</f>
        <v>41502.66667</v>
      </c>
      <c r="J65" s="23">
        <f>IFERROR(__xludf.DUMMYFUNCTION("""COMPUTED_VALUE"""),94.46)</f>
        <v>94.46</v>
      </c>
      <c r="K65" s="22">
        <f>IFERROR(__xludf.DUMMYFUNCTION("""COMPUTED_VALUE"""),41502.666666666664)</f>
        <v>41502.66667</v>
      </c>
      <c r="L65" s="23">
        <f>IFERROR(__xludf.DUMMYFUNCTION("""COMPUTED_VALUE"""),51.58)</f>
        <v>51.58</v>
      </c>
      <c r="M65" s="23">
        <v>0.0</v>
      </c>
      <c r="N65" s="23">
        <v>0.0</v>
      </c>
      <c r="O65" s="23">
        <v>0.0</v>
      </c>
      <c r="P65" s="23">
        <f t="shared" si="1"/>
        <v>0</v>
      </c>
      <c r="Q65" s="23">
        <f t="shared" si="2"/>
        <v>0</v>
      </c>
      <c r="R65" s="23">
        <f t="shared" si="3"/>
        <v>0</v>
      </c>
      <c r="S65" s="19"/>
      <c r="T65" s="19"/>
      <c r="U65" s="19"/>
      <c r="V65" s="19"/>
    </row>
    <row r="66">
      <c r="A66" s="22">
        <f>IFERROR(__xludf.DUMMYFUNCTION("""COMPUTED_VALUE"""),42058.66666666667)</f>
        <v>42058.66667</v>
      </c>
      <c r="B66" s="23">
        <f>IFERROR(__xludf.DUMMYFUNCTION("""COMPUTED_VALUE"""),57.44)</f>
        <v>57.44</v>
      </c>
      <c r="C66" s="22">
        <f>IFERROR(__xludf.DUMMYFUNCTION("""COMPUTED_VALUE"""),43318.66666666667)</f>
        <v>43318.66667</v>
      </c>
      <c r="D66" s="23">
        <f>IFERROR(__xludf.DUMMYFUNCTION("""COMPUTED_VALUE"""),104.16)</f>
        <v>104.16</v>
      </c>
      <c r="E66" s="22">
        <f>IFERROR(__xludf.DUMMYFUNCTION("""COMPUTED_VALUE"""),42240.66666666667)</f>
        <v>42240.66667</v>
      </c>
      <c r="F66" s="23">
        <f>IFERROR(__xludf.DUMMYFUNCTION("""COMPUTED_VALUE"""),9.88)</f>
        <v>9.88</v>
      </c>
      <c r="G66" s="22">
        <f>IFERROR(__xludf.DUMMYFUNCTION("""COMPUTED_VALUE"""),41509.666666666664)</f>
        <v>41509.66667</v>
      </c>
      <c r="H66" s="23">
        <f>IFERROR(__xludf.DUMMYFUNCTION("""COMPUTED_VALUE"""),65.89)</f>
        <v>65.89</v>
      </c>
      <c r="I66" s="22">
        <f>IFERROR(__xludf.DUMMYFUNCTION("""COMPUTED_VALUE"""),41509.666666666664)</f>
        <v>41509.66667</v>
      </c>
      <c r="J66" s="23">
        <f>IFERROR(__xludf.DUMMYFUNCTION("""COMPUTED_VALUE"""),96.1)</f>
        <v>96.1</v>
      </c>
      <c r="K66" s="22">
        <f>IFERROR(__xludf.DUMMYFUNCTION("""COMPUTED_VALUE"""),41509.666666666664)</f>
        <v>41509.66667</v>
      </c>
      <c r="L66" s="23">
        <f>IFERROR(__xludf.DUMMYFUNCTION("""COMPUTED_VALUE"""),51.73)</f>
        <v>51.73</v>
      </c>
      <c r="M66" s="23">
        <v>0.0</v>
      </c>
      <c r="N66" s="23">
        <v>0.0</v>
      </c>
      <c r="O66" s="23">
        <v>0.0</v>
      </c>
      <c r="P66" s="23">
        <f t="shared" si="1"/>
        <v>0</v>
      </c>
      <c r="Q66" s="23">
        <f t="shared" si="2"/>
        <v>0</v>
      </c>
      <c r="R66" s="23">
        <f t="shared" si="3"/>
        <v>0</v>
      </c>
      <c r="S66" s="19"/>
      <c r="T66" s="19"/>
      <c r="U66" s="19"/>
      <c r="V66" s="19"/>
    </row>
    <row r="67">
      <c r="A67" s="22">
        <f>IFERROR(__xludf.DUMMYFUNCTION("""COMPUTED_VALUE"""),42059.66666666667)</f>
        <v>42059.66667</v>
      </c>
      <c r="B67" s="23">
        <f>IFERROR(__xludf.DUMMYFUNCTION("""COMPUTED_VALUE"""),57.97)</f>
        <v>57.97</v>
      </c>
      <c r="C67" s="22">
        <f>IFERROR(__xludf.DUMMYFUNCTION("""COMPUTED_VALUE"""),43319.66666666667)</f>
        <v>43319.66667</v>
      </c>
      <c r="D67" s="23">
        <f>IFERROR(__xludf.DUMMYFUNCTION("""COMPUTED_VALUE"""),103.74)</f>
        <v>103.74</v>
      </c>
      <c r="E67" s="22">
        <f>IFERROR(__xludf.DUMMYFUNCTION("""COMPUTED_VALUE"""),42241.66666666667)</f>
        <v>42241.66667</v>
      </c>
      <c r="F67" s="23">
        <f>IFERROR(__xludf.DUMMYFUNCTION("""COMPUTED_VALUE"""),9.75)</f>
        <v>9.75</v>
      </c>
      <c r="G67" s="22">
        <f>IFERROR(__xludf.DUMMYFUNCTION("""COMPUTED_VALUE"""),41516.666666666664)</f>
        <v>41516.66667</v>
      </c>
      <c r="H67" s="23">
        <f>IFERROR(__xludf.DUMMYFUNCTION("""COMPUTED_VALUE"""),65.89)</f>
        <v>65.89</v>
      </c>
      <c r="I67" s="22">
        <f>IFERROR(__xludf.DUMMYFUNCTION("""COMPUTED_VALUE"""),41516.666666666664)</f>
        <v>41516.66667</v>
      </c>
      <c r="J67" s="23">
        <f>IFERROR(__xludf.DUMMYFUNCTION("""COMPUTED_VALUE"""),95.76)</f>
        <v>95.76</v>
      </c>
      <c r="K67" s="22">
        <f>IFERROR(__xludf.DUMMYFUNCTION("""COMPUTED_VALUE"""),41516.666666666664)</f>
        <v>41516.66667</v>
      </c>
      <c r="L67" s="23">
        <f>IFERROR(__xludf.DUMMYFUNCTION("""COMPUTED_VALUE"""),51.29)</f>
        <v>51.29</v>
      </c>
      <c r="M67" s="23">
        <v>100.0</v>
      </c>
      <c r="N67" s="23">
        <v>100.0</v>
      </c>
      <c r="O67" s="23">
        <v>100.0</v>
      </c>
      <c r="P67" s="23">
        <f t="shared" si="1"/>
        <v>1.517680983</v>
      </c>
      <c r="Q67" s="23">
        <f t="shared" si="2"/>
        <v>1.04427736</v>
      </c>
      <c r="R67" s="23">
        <f t="shared" si="3"/>
        <v>1.949697797</v>
      </c>
      <c r="S67" s="19"/>
      <c r="T67" s="19"/>
      <c r="U67" s="19"/>
      <c r="V67" s="19"/>
    </row>
    <row r="68">
      <c r="A68" s="22">
        <f>IFERROR(__xludf.DUMMYFUNCTION("""COMPUTED_VALUE"""),42060.66666666667)</f>
        <v>42060.66667</v>
      </c>
      <c r="B68" s="23">
        <f>IFERROR(__xludf.DUMMYFUNCTION("""COMPUTED_VALUE"""),57.56)</f>
        <v>57.56</v>
      </c>
      <c r="C68" s="22">
        <f>IFERROR(__xludf.DUMMYFUNCTION("""COMPUTED_VALUE"""),43320.66666666667)</f>
        <v>43320.66667</v>
      </c>
      <c r="D68" s="23">
        <f>IFERROR(__xludf.DUMMYFUNCTION("""COMPUTED_VALUE"""),104.07)</f>
        <v>104.07</v>
      </c>
      <c r="E68" s="22">
        <f>IFERROR(__xludf.DUMMYFUNCTION("""COMPUTED_VALUE"""),42242.66666666667)</f>
        <v>42242.66667</v>
      </c>
      <c r="F68" s="23">
        <f>IFERROR(__xludf.DUMMYFUNCTION("""COMPUTED_VALUE"""),9.97)</f>
        <v>9.97</v>
      </c>
      <c r="G68" s="22">
        <f>IFERROR(__xludf.DUMMYFUNCTION("""COMPUTED_VALUE"""),41523.666666666664)</f>
        <v>41523.66667</v>
      </c>
      <c r="H68" s="23">
        <f>IFERROR(__xludf.DUMMYFUNCTION("""COMPUTED_VALUE"""),66.26)</f>
        <v>66.26</v>
      </c>
      <c r="I68" s="22">
        <f>IFERROR(__xludf.DUMMYFUNCTION("""COMPUTED_VALUE"""),41523.666666666664)</f>
        <v>41523.66667</v>
      </c>
      <c r="J68" s="23">
        <f>IFERROR(__xludf.DUMMYFUNCTION("""COMPUTED_VALUE"""),94.3)</f>
        <v>94.3</v>
      </c>
      <c r="K68" s="22">
        <f>IFERROR(__xludf.DUMMYFUNCTION("""COMPUTED_VALUE"""),41523.666666666664)</f>
        <v>41523.66667</v>
      </c>
      <c r="L68" s="23">
        <f>IFERROR(__xludf.DUMMYFUNCTION("""COMPUTED_VALUE"""),51.11)</f>
        <v>51.11</v>
      </c>
      <c r="M68" s="23">
        <v>0.0</v>
      </c>
      <c r="N68" s="23">
        <v>0.0</v>
      </c>
      <c r="O68" s="23">
        <v>0.0</v>
      </c>
      <c r="P68" s="23">
        <f t="shared" si="1"/>
        <v>0</v>
      </c>
      <c r="Q68" s="23">
        <f t="shared" si="2"/>
        <v>0</v>
      </c>
      <c r="R68" s="23">
        <f t="shared" si="3"/>
        <v>0</v>
      </c>
      <c r="S68" s="19"/>
      <c r="T68" s="19"/>
      <c r="U68" s="19"/>
      <c r="V68" s="19"/>
    </row>
    <row r="69">
      <c r="A69" s="22">
        <f>IFERROR(__xludf.DUMMYFUNCTION("""COMPUTED_VALUE"""),42061.66666666667)</f>
        <v>42061.66667</v>
      </c>
      <c r="B69" s="23">
        <f>IFERROR(__xludf.DUMMYFUNCTION("""COMPUTED_VALUE"""),57.56)</f>
        <v>57.56</v>
      </c>
      <c r="C69" s="22">
        <f>IFERROR(__xludf.DUMMYFUNCTION("""COMPUTED_VALUE"""),43321.66666666667)</f>
        <v>43321.66667</v>
      </c>
      <c r="D69" s="23">
        <f>IFERROR(__xludf.DUMMYFUNCTION("""COMPUTED_VALUE"""),104.64)</f>
        <v>104.64</v>
      </c>
      <c r="E69" s="22">
        <f>IFERROR(__xludf.DUMMYFUNCTION("""COMPUTED_VALUE"""),42243.66666666667)</f>
        <v>42243.66667</v>
      </c>
      <c r="F69" s="23">
        <f>IFERROR(__xludf.DUMMYFUNCTION("""COMPUTED_VALUE"""),10.3)</f>
        <v>10.3</v>
      </c>
      <c r="G69" s="22">
        <f>IFERROR(__xludf.DUMMYFUNCTION("""COMPUTED_VALUE"""),41530.666666666664)</f>
        <v>41530.66667</v>
      </c>
      <c r="H69" s="23">
        <f>IFERROR(__xludf.DUMMYFUNCTION("""COMPUTED_VALUE"""),67.42)</f>
        <v>67.42</v>
      </c>
      <c r="I69" s="22">
        <f>IFERROR(__xludf.DUMMYFUNCTION("""COMPUTED_VALUE"""),41530.666666666664)</f>
        <v>41530.66667</v>
      </c>
      <c r="J69" s="23">
        <f>IFERROR(__xludf.DUMMYFUNCTION("""COMPUTED_VALUE"""),95.1)</f>
        <v>95.1</v>
      </c>
      <c r="K69" s="22">
        <f>IFERROR(__xludf.DUMMYFUNCTION("""COMPUTED_VALUE"""),41530.666666666664)</f>
        <v>41530.66667</v>
      </c>
      <c r="L69" s="23">
        <f>IFERROR(__xludf.DUMMYFUNCTION("""COMPUTED_VALUE"""),51.96)</f>
        <v>51.96</v>
      </c>
      <c r="M69" s="23">
        <v>0.0</v>
      </c>
      <c r="N69" s="23">
        <v>0.0</v>
      </c>
      <c r="O69" s="23">
        <v>0.0</v>
      </c>
      <c r="P69" s="23">
        <f t="shared" si="1"/>
        <v>0</v>
      </c>
      <c r="Q69" s="23">
        <f t="shared" si="2"/>
        <v>0</v>
      </c>
      <c r="R69" s="23">
        <f t="shared" si="3"/>
        <v>0</v>
      </c>
      <c r="S69" s="19"/>
      <c r="T69" s="19"/>
      <c r="U69" s="19"/>
      <c r="V69" s="19"/>
    </row>
    <row r="70">
      <c r="A70" s="22">
        <f>IFERROR(__xludf.DUMMYFUNCTION("""COMPUTED_VALUE"""),42062.66666666667)</f>
        <v>42062.66667</v>
      </c>
      <c r="B70" s="23">
        <f>IFERROR(__xludf.DUMMYFUNCTION("""COMPUTED_VALUE"""),57.91)</f>
        <v>57.91</v>
      </c>
      <c r="C70" s="22">
        <f>IFERROR(__xludf.DUMMYFUNCTION("""COMPUTED_VALUE"""),43322.66666666667)</f>
        <v>43322.66667</v>
      </c>
      <c r="D70" s="23">
        <f>IFERROR(__xludf.DUMMYFUNCTION("""COMPUTED_VALUE"""),104.47)</f>
        <v>104.47</v>
      </c>
      <c r="E70" s="22">
        <f>IFERROR(__xludf.DUMMYFUNCTION("""COMPUTED_VALUE"""),42244.66666666667)</f>
        <v>42244.66667</v>
      </c>
      <c r="F70" s="23">
        <f>IFERROR(__xludf.DUMMYFUNCTION("""COMPUTED_VALUE"""),10.46)</f>
        <v>10.46</v>
      </c>
      <c r="G70" s="22">
        <f>IFERROR(__xludf.DUMMYFUNCTION("""COMPUTED_VALUE"""),41537.666666666664)</f>
        <v>41537.66667</v>
      </c>
      <c r="H70" s="23">
        <f>IFERROR(__xludf.DUMMYFUNCTION("""COMPUTED_VALUE"""),68.11)</f>
        <v>68.11</v>
      </c>
      <c r="I70" s="22">
        <f>IFERROR(__xludf.DUMMYFUNCTION("""COMPUTED_VALUE"""),41537.666666666664)</f>
        <v>41537.66667</v>
      </c>
      <c r="J70" s="23">
        <f>IFERROR(__xludf.DUMMYFUNCTION("""COMPUTED_VALUE"""),95.33)</f>
        <v>95.33</v>
      </c>
      <c r="K70" s="22">
        <f>IFERROR(__xludf.DUMMYFUNCTION("""COMPUTED_VALUE"""),41537.666666666664)</f>
        <v>41537.66667</v>
      </c>
      <c r="L70" s="23">
        <f>IFERROR(__xludf.DUMMYFUNCTION("""COMPUTED_VALUE"""),52.71)</f>
        <v>52.71</v>
      </c>
      <c r="M70" s="23">
        <v>0.0</v>
      </c>
      <c r="N70" s="23">
        <v>0.0</v>
      </c>
      <c r="O70" s="23">
        <v>0.0</v>
      </c>
      <c r="P70" s="23">
        <f t="shared" si="1"/>
        <v>0</v>
      </c>
      <c r="Q70" s="23">
        <f t="shared" si="2"/>
        <v>0</v>
      </c>
      <c r="R70" s="23">
        <f t="shared" si="3"/>
        <v>0</v>
      </c>
      <c r="S70" s="19"/>
      <c r="T70" s="19"/>
      <c r="U70" s="19"/>
      <c r="V70" s="19"/>
    </row>
    <row r="71">
      <c r="A71" s="22">
        <f>IFERROR(__xludf.DUMMYFUNCTION("""COMPUTED_VALUE"""),42065.66666666667)</f>
        <v>42065.66667</v>
      </c>
      <c r="B71" s="23">
        <f>IFERROR(__xludf.DUMMYFUNCTION("""COMPUTED_VALUE"""),58.13)</f>
        <v>58.13</v>
      </c>
      <c r="C71" s="22">
        <f>IFERROR(__xludf.DUMMYFUNCTION("""COMPUTED_VALUE"""),43325.66666666667)</f>
        <v>43325.66667</v>
      </c>
      <c r="D71" s="23">
        <f>IFERROR(__xludf.DUMMYFUNCTION("""COMPUTED_VALUE"""),103.75)</f>
        <v>103.75</v>
      </c>
      <c r="E71" s="22">
        <f>IFERROR(__xludf.DUMMYFUNCTION("""COMPUTED_VALUE"""),42247.66666666667)</f>
        <v>42247.66667</v>
      </c>
      <c r="F71" s="23">
        <f>IFERROR(__xludf.DUMMYFUNCTION("""COMPUTED_VALUE"""),10.42)</f>
        <v>10.42</v>
      </c>
      <c r="G71" s="22">
        <f>IFERROR(__xludf.DUMMYFUNCTION("""COMPUTED_VALUE"""),41544.666666666664)</f>
        <v>41544.66667</v>
      </c>
      <c r="H71" s="23">
        <f>IFERROR(__xludf.DUMMYFUNCTION("""COMPUTED_VALUE"""),68.52)</f>
        <v>68.52</v>
      </c>
      <c r="I71" s="22">
        <f>IFERROR(__xludf.DUMMYFUNCTION("""COMPUTED_VALUE"""),41544.666666666664)</f>
        <v>41544.66667</v>
      </c>
      <c r="J71" s="23">
        <f>IFERROR(__xludf.DUMMYFUNCTION("""COMPUTED_VALUE"""),95.0)</f>
        <v>95</v>
      </c>
      <c r="K71" s="22">
        <f>IFERROR(__xludf.DUMMYFUNCTION("""COMPUTED_VALUE"""),41544.666666666664)</f>
        <v>41544.66667</v>
      </c>
      <c r="L71" s="23">
        <f>IFERROR(__xludf.DUMMYFUNCTION("""COMPUTED_VALUE"""),52.58)</f>
        <v>52.58</v>
      </c>
      <c r="M71" s="23">
        <v>100.0</v>
      </c>
      <c r="N71" s="23">
        <v>100.0</v>
      </c>
      <c r="O71" s="23">
        <v>100.0</v>
      </c>
      <c r="P71" s="23">
        <f t="shared" si="1"/>
        <v>1.459427904</v>
      </c>
      <c r="Q71" s="23">
        <f t="shared" si="2"/>
        <v>1.052631579</v>
      </c>
      <c r="R71" s="23">
        <f t="shared" si="3"/>
        <v>1.901863827</v>
      </c>
      <c r="S71" s="19"/>
      <c r="T71" s="19"/>
      <c r="U71" s="19"/>
      <c r="V71" s="19"/>
    </row>
    <row r="72">
      <c r="A72" s="22">
        <f>IFERROR(__xludf.DUMMYFUNCTION("""COMPUTED_VALUE"""),42066.66666666667)</f>
        <v>42066.66667</v>
      </c>
      <c r="B72" s="23">
        <f>IFERROR(__xludf.DUMMYFUNCTION("""COMPUTED_VALUE"""),57.86)</f>
        <v>57.86</v>
      </c>
      <c r="C72" s="22">
        <f>IFERROR(__xludf.DUMMYFUNCTION("""COMPUTED_VALUE"""),43326.66666666667)</f>
        <v>43326.66667</v>
      </c>
      <c r="D72" s="23">
        <f>IFERROR(__xludf.DUMMYFUNCTION("""COMPUTED_VALUE"""),104.69)</f>
        <v>104.69</v>
      </c>
      <c r="E72" s="22">
        <f>IFERROR(__xludf.DUMMYFUNCTION("""COMPUTED_VALUE"""),42248.66666666667)</f>
        <v>42248.66667</v>
      </c>
      <c r="F72" s="23">
        <f>IFERROR(__xludf.DUMMYFUNCTION("""COMPUTED_VALUE"""),10.26)</f>
        <v>10.26</v>
      </c>
      <c r="G72" s="22">
        <f>IFERROR(__xludf.DUMMYFUNCTION("""COMPUTED_VALUE"""),41551.666666666664)</f>
        <v>41551.66667</v>
      </c>
      <c r="H72" s="23">
        <f>IFERROR(__xludf.DUMMYFUNCTION("""COMPUTED_VALUE"""),66.29)</f>
        <v>66.29</v>
      </c>
      <c r="I72" s="22">
        <f>IFERROR(__xludf.DUMMYFUNCTION("""COMPUTED_VALUE"""),41551.666666666664)</f>
        <v>41551.66667</v>
      </c>
      <c r="J72" s="23">
        <f>IFERROR(__xludf.DUMMYFUNCTION("""COMPUTED_VALUE"""),92.58)</f>
        <v>92.58</v>
      </c>
      <c r="K72" s="22">
        <f>IFERROR(__xludf.DUMMYFUNCTION("""COMPUTED_VALUE"""),41551.666666666664)</f>
        <v>41551.66667</v>
      </c>
      <c r="L72" s="23">
        <f>IFERROR(__xludf.DUMMYFUNCTION("""COMPUTED_VALUE"""),51.66)</f>
        <v>51.66</v>
      </c>
      <c r="M72" s="23">
        <v>0.0</v>
      </c>
      <c r="N72" s="23">
        <v>0.0</v>
      </c>
      <c r="O72" s="23">
        <v>0.0</v>
      </c>
      <c r="P72" s="23">
        <f t="shared" si="1"/>
        <v>0</v>
      </c>
      <c r="Q72" s="23">
        <f t="shared" si="2"/>
        <v>0</v>
      </c>
      <c r="R72" s="23">
        <f t="shared" si="3"/>
        <v>0</v>
      </c>
      <c r="S72" s="19"/>
      <c r="T72" s="19"/>
      <c r="U72" s="19"/>
      <c r="V72" s="19"/>
    </row>
    <row r="73">
      <c r="A73" s="22">
        <f>IFERROR(__xludf.DUMMYFUNCTION("""COMPUTED_VALUE"""),42067.66666666667)</f>
        <v>42067.66667</v>
      </c>
      <c r="B73" s="23">
        <f>IFERROR(__xludf.DUMMYFUNCTION("""COMPUTED_VALUE"""),57.58)</f>
        <v>57.58</v>
      </c>
      <c r="C73" s="22">
        <f>IFERROR(__xludf.DUMMYFUNCTION("""COMPUTED_VALUE"""),43327.66666666667)</f>
        <v>43327.66667</v>
      </c>
      <c r="D73" s="23">
        <f>IFERROR(__xludf.DUMMYFUNCTION("""COMPUTED_VALUE"""),105.09)</f>
        <v>105.09</v>
      </c>
      <c r="E73" s="22">
        <f>IFERROR(__xludf.DUMMYFUNCTION("""COMPUTED_VALUE"""),42249.66666666667)</f>
        <v>42249.66667</v>
      </c>
      <c r="F73" s="23">
        <f>IFERROR(__xludf.DUMMYFUNCTION("""COMPUTED_VALUE"""),10.35)</f>
        <v>10.35</v>
      </c>
      <c r="G73" s="22">
        <f>IFERROR(__xludf.DUMMYFUNCTION("""COMPUTED_VALUE"""),41558.666666666664)</f>
        <v>41558.66667</v>
      </c>
      <c r="H73" s="23">
        <f>IFERROR(__xludf.DUMMYFUNCTION("""COMPUTED_VALUE"""),66.51)</f>
        <v>66.51</v>
      </c>
      <c r="I73" s="22">
        <f>IFERROR(__xludf.DUMMYFUNCTION("""COMPUTED_VALUE"""),41558.666666666664)</f>
        <v>41558.66667</v>
      </c>
      <c r="J73" s="23">
        <f>IFERROR(__xludf.DUMMYFUNCTION("""COMPUTED_VALUE"""),93.1)</f>
        <v>93.1</v>
      </c>
      <c r="K73" s="22">
        <f>IFERROR(__xludf.DUMMYFUNCTION("""COMPUTED_VALUE"""),41558.666666666664)</f>
        <v>41558.66667</v>
      </c>
      <c r="L73" s="23">
        <f>IFERROR(__xludf.DUMMYFUNCTION("""COMPUTED_VALUE"""),52.0)</f>
        <v>52</v>
      </c>
      <c r="M73" s="23">
        <v>0.0</v>
      </c>
      <c r="N73" s="23">
        <v>0.0</v>
      </c>
      <c r="O73" s="23">
        <v>0.0</v>
      </c>
      <c r="P73" s="23">
        <f t="shared" si="1"/>
        <v>0</v>
      </c>
      <c r="Q73" s="23">
        <f t="shared" si="2"/>
        <v>0</v>
      </c>
      <c r="R73" s="23">
        <f t="shared" si="3"/>
        <v>0</v>
      </c>
      <c r="S73" s="19"/>
      <c r="T73" s="19"/>
      <c r="U73" s="19"/>
      <c r="V73" s="19"/>
    </row>
    <row r="74">
      <c r="A74" s="22">
        <f>IFERROR(__xludf.DUMMYFUNCTION("""COMPUTED_VALUE"""),42068.66666666667)</f>
        <v>42068.66667</v>
      </c>
      <c r="B74" s="23">
        <f>IFERROR(__xludf.DUMMYFUNCTION("""COMPUTED_VALUE"""),57.41)</f>
        <v>57.41</v>
      </c>
      <c r="C74" s="22">
        <f>IFERROR(__xludf.DUMMYFUNCTION("""COMPUTED_VALUE"""),43328.66666666667)</f>
        <v>43328.66667</v>
      </c>
      <c r="D74" s="23">
        <f>IFERROR(__xludf.DUMMYFUNCTION("""COMPUTED_VALUE"""),105.39)</f>
        <v>105.39</v>
      </c>
      <c r="E74" s="22">
        <f>IFERROR(__xludf.DUMMYFUNCTION("""COMPUTED_VALUE"""),42250.66666666667)</f>
        <v>42250.66667</v>
      </c>
      <c r="F74" s="23">
        <f>IFERROR(__xludf.DUMMYFUNCTION("""COMPUTED_VALUE"""),10.54)</f>
        <v>10.54</v>
      </c>
      <c r="G74" s="22">
        <f>IFERROR(__xludf.DUMMYFUNCTION("""COMPUTED_VALUE"""),41565.666666666664)</f>
        <v>41565.66667</v>
      </c>
      <c r="H74" s="23">
        <f>IFERROR(__xludf.DUMMYFUNCTION("""COMPUTED_VALUE"""),67.69)</f>
        <v>67.69</v>
      </c>
      <c r="I74" s="22">
        <f>IFERROR(__xludf.DUMMYFUNCTION("""COMPUTED_VALUE"""),41565.666666666664)</f>
        <v>41565.66667</v>
      </c>
      <c r="J74" s="23">
        <f>IFERROR(__xludf.DUMMYFUNCTION("""COMPUTED_VALUE"""),94.25)</f>
        <v>94.25</v>
      </c>
      <c r="K74" s="22">
        <f>IFERROR(__xludf.DUMMYFUNCTION("""COMPUTED_VALUE"""),41565.666666666664)</f>
        <v>41565.66667</v>
      </c>
      <c r="L74" s="23">
        <f>IFERROR(__xludf.DUMMYFUNCTION("""COMPUTED_VALUE"""),52.26)</f>
        <v>52.26</v>
      </c>
      <c r="M74" s="23">
        <v>0.0</v>
      </c>
      <c r="N74" s="23">
        <v>0.0</v>
      </c>
      <c r="O74" s="23">
        <v>0.0</v>
      </c>
      <c r="P74" s="23">
        <f t="shared" si="1"/>
        <v>0</v>
      </c>
      <c r="Q74" s="23">
        <f t="shared" si="2"/>
        <v>0</v>
      </c>
      <c r="R74" s="23">
        <f t="shared" si="3"/>
        <v>0</v>
      </c>
      <c r="S74" s="19"/>
      <c r="T74" s="19"/>
      <c r="U74" s="19"/>
      <c r="V74" s="19"/>
    </row>
    <row r="75">
      <c r="A75" s="22">
        <f>IFERROR(__xludf.DUMMYFUNCTION("""COMPUTED_VALUE"""),42069.66666666667)</f>
        <v>42069.66667</v>
      </c>
      <c r="B75" s="23">
        <f>IFERROR(__xludf.DUMMYFUNCTION("""COMPUTED_VALUE"""),57.63)</f>
        <v>57.63</v>
      </c>
      <c r="C75" s="22">
        <f>IFERROR(__xludf.DUMMYFUNCTION("""COMPUTED_VALUE"""),43329.66666666667)</f>
        <v>43329.66667</v>
      </c>
      <c r="D75" s="23">
        <f>IFERROR(__xludf.DUMMYFUNCTION("""COMPUTED_VALUE"""),105.49)</f>
        <v>105.49</v>
      </c>
      <c r="E75" s="22">
        <f>IFERROR(__xludf.DUMMYFUNCTION("""COMPUTED_VALUE"""),42251.66666666667)</f>
        <v>42251.66667</v>
      </c>
      <c r="F75" s="23">
        <f>IFERROR(__xludf.DUMMYFUNCTION("""COMPUTED_VALUE"""),10.46)</f>
        <v>10.46</v>
      </c>
      <c r="G75" s="22">
        <f>IFERROR(__xludf.DUMMYFUNCTION("""COMPUTED_VALUE"""),41572.666666666664)</f>
        <v>41572.66667</v>
      </c>
      <c r="H75" s="23">
        <f>IFERROR(__xludf.DUMMYFUNCTION("""COMPUTED_VALUE"""),68.56)</f>
        <v>68.56</v>
      </c>
      <c r="I75" s="22">
        <f>IFERROR(__xludf.DUMMYFUNCTION("""COMPUTED_VALUE"""),41572.666666666664)</f>
        <v>41572.66667</v>
      </c>
      <c r="J75" s="23">
        <f>IFERROR(__xludf.DUMMYFUNCTION("""COMPUTED_VALUE"""),95.0)</f>
        <v>95</v>
      </c>
      <c r="K75" s="22">
        <f>IFERROR(__xludf.DUMMYFUNCTION("""COMPUTED_VALUE"""),41572.666666666664)</f>
        <v>41572.66667</v>
      </c>
      <c r="L75" s="23">
        <f>IFERROR(__xludf.DUMMYFUNCTION("""COMPUTED_VALUE"""),52.69)</f>
        <v>52.69</v>
      </c>
      <c r="M75" s="23">
        <v>100.0</v>
      </c>
      <c r="N75" s="23">
        <v>100.0</v>
      </c>
      <c r="O75" s="23">
        <v>100.0</v>
      </c>
      <c r="P75" s="23">
        <f t="shared" si="1"/>
        <v>1.458576429</v>
      </c>
      <c r="Q75" s="23">
        <f t="shared" si="2"/>
        <v>1.052631579</v>
      </c>
      <c r="R75" s="23">
        <f t="shared" si="3"/>
        <v>1.897893338</v>
      </c>
      <c r="S75" s="19"/>
      <c r="T75" s="19"/>
      <c r="U75" s="19"/>
      <c r="V75" s="19"/>
    </row>
    <row r="76">
      <c r="A76" s="22">
        <f>IFERROR(__xludf.DUMMYFUNCTION("""COMPUTED_VALUE"""),42072.66666666667)</f>
        <v>42072.66667</v>
      </c>
      <c r="B76" s="23">
        <f>IFERROR(__xludf.DUMMYFUNCTION("""COMPUTED_VALUE"""),57.55)</f>
        <v>57.55</v>
      </c>
      <c r="C76" s="22">
        <f>IFERROR(__xludf.DUMMYFUNCTION("""COMPUTED_VALUE"""),43332.66666666667)</f>
        <v>43332.66667</v>
      </c>
      <c r="D76" s="23">
        <f>IFERROR(__xludf.DUMMYFUNCTION("""COMPUTED_VALUE"""),105.81)</f>
        <v>105.81</v>
      </c>
      <c r="E76" s="22">
        <f>IFERROR(__xludf.DUMMYFUNCTION("""COMPUTED_VALUE"""),42254.66666666667)</f>
        <v>42254.66667</v>
      </c>
      <c r="F76" s="23">
        <f>IFERROR(__xludf.DUMMYFUNCTION("""COMPUTED_VALUE"""),10.59)</f>
        <v>10.59</v>
      </c>
      <c r="G76" s="22">
        <f>IFERROR(__xludf.DUMMYFUNCTION("""COMPUTED_VALUE"""),41579.666666666664)</f>
        <v>41579.66667</v>
      </c>
      <c r="H76" s="23">
        <f>IFERROR(__xludf.DUMMYFUNCTION("""COMPUTED_VALUE"""),68.88)</f>
        <v>68.88</v>
      </c>
      <c r="I76" s="22">
        <f>IFERROR(__xludf.DUMMYFUNCTION("""COMPUTED_VALUE"""),41579.666666666664)</f>
        <v>41579.66667</v>
      </c>
      <c r="J76" s="23">
        <f>IFERROR(__xludf.DUMMYFUNCTION("""COMPUTED_VALUE"""),96.47)</f>
        <v>96.47</v>
      </c>
      <c r="K76" s="22">
        <f>IFERROR(__xludf.DUMMYFUNCTION("""COMPUTED_VALUE"""),41579.666666666664)</f>
        <v>41579.66667</v>
      </c>
      <c r="L76" s="23">
        <f>IFERROR(__xludf.DUMMYFUNCTION("""COMPUTED_VALUE"""),52.95)</f>
        <v>52.95</v>
      </c>
      <c r="M76" s="23">
        <v>0.0</v>
      </c>
      <c r="N76" s="23">
        <v>0.0</v>
      </c>
      <c r="O76" s="23">
        <v>0.0</v>
      </c>
      <c r="P76" s="23">
        <f t="shared" si="1"/>
        <v>0</v>
      </c>
      <c r="Q76" s="23">
        <f t="shared" si="2"/>
        <v>0</v>
      </c>
      <c r="R76" s="23">
        <f t="shared" si="3"/>
        <v>0</v>
      </c>
      <c r="S76" s="19"/>
      <c r="T76" s="19"/>
      <c r="U76" s="19"/>
      <c r="V76" s="19"/>
    </row>
    <row r="77">
      <c r="A77" s="22">
        <f>IFERROR(__xludf.DUMMYFUNCTION("""COMPUTED_VALUE"""),42073.66666666667)</f>
        <v>42073.66667</v>
      </c>
      <c r="B77" s="23">
        <f>IFERROR(__xludf.DUMMYFUNCTION("""COMPUTED_VALUE"""),57.91)</f>
        <v>57.91</v>
      </c>
      <c r="C77" s="22">
        <f>IFERROR(__xludf.DUMMYFUNCTION("""COMPUTED_VALUE"""),43333.66666666667)</f>
        <v>43333.66667</v>
      </c>
      <c r="D77" s="23">
        <f>IFERROR(__xludf.DUMMYFUNCTION("""COMPUTED_VALUE"""),104.9)</f>
        <v>104.9</v>
      </c>
      <c r="E77" s="22">
        <f>IFERROR(__xludf.DUMMYFUNCTION("""COMPUTED_VALUE"""),42255.66666666667)</f>
        <v>42255.66667</v>
      </c>
      <c r="F77" s="23">
        <f>IFERROR(__xludf.DUMMYFUNCTION("""COMPUTED_VALUE"""),10.55)</f>
        <v>10.55</v>
      </c>
      <c r="G77" s="22">
        <f>IFERROR(__xludf.DUMMYFUNCTION("""COMPUTED_VALUE"""),41586.666666666664)</f>
        <v>41586.66667</v>
      </c>
      <c r="H77" s="23">
        <f>IFERROR(__xludf.DUMMYFUNCTION("""COMPUTED_VALUE"""),69.35)</f>
        <v>69.35</v>
      </c>
      <c r="I77" s="22">
        <f>IFERROR(__xludf.DUMMYFUNCTION("""COMPUTED_VALUE"""),41586.666666666664)</f>
        <v>41586.66667</v>
      </c>
      <c r="J77" s="23">
        <f>IFERROR(__xludf.DUMMYFUNCTION("""COMPUTED_VALUE"""),96.36)</f>
        <v>96.36</v>
      </c>
      <c r="K77" s="22">
        <f>IFERROR(__xludf.DUMMYFUNCTION("""COMPUTED_VALUE"""),41586.666666666664)</f>
        <v>41586.66667</v>
      </c>
      <c r="L77" s="23">
        <f>IFERROR(__xludf.DUMMYFUNCTION("""COMPUTED_VALUE"""),52.37)</f>
        <v>52.37</v>
      </c>
      <c r="M77" s="23">
        <v>0.0</v>
      </c>
      <c r="N77" s="23">
        <v>0.0</v>
      </c>
      <c r="O77" s="23">
        <v>0.0</v>
      </c>
      <c r="P77" s="23">
        <f t="shared" si="1"/>
        <v>0</v>
      </c>
      <c r="Q77" s="23">
        <f t="shared" si="2"/>
        <v>0</v>
      </c>
      <c r="R77" s="23">
        <f t="shared" si="3"/>
        <v>0</v>
      </c>
      <c r="S77" s="19"/>
      <c r="T77" s="19"/>
      <c r="U77" s="19"/>
      <c r="V77" s="19"/>
    </row>
    <row r="78">
      <c r="A78" s="22">
        <f>IFERROR(__xludf.DUMMYFUNCTION("""COMPUTED_VALUE"""),42074.66666666667)</f>
        <v>42074.66667</v>
      </c>
      <c r="B78" s="23">
        <f>IFERROR(__xludf.DUMMYFUNCTION("""COMPUTED_VALUE"""),57.38)</f>
        <v>57.38</v>
      </c>
      <c r="C78" s="22">
        <f>IFERROR(__xludf.DUMMYFUNCTION("""COMPUTED_VALUE"""),43334.66666666667)</f>
        <v>43334.66667</v>
      </c>
      <c r="D78" s="23">
        <f>IFERROR(__xludf.DUMMYFUNCTION("""COMPUTED_VALUE"""),104.5)</f>
        <v>104.5</v>
      </c>
      <c r="E78" s="22">
        <f>IFERROR(__xludf.DUMMYFUNCTION("""COMPUTED_VALUE"""),42256.66666666667)</f>
        <v>42256.66667</v>
      </c>
      <c r="F78" s="23">
        <f>IFERROR(__xludf.DUMMYFUNCTION("""COMPUTED_VALUE"""),10.7)</f>
        <v>10.7</v>
      </c>
      <c r="G78" s="22">
        <f>IFERROR(__xludf.DUMMYFUNCTION("""COMPUTED_VALUE"""),41593.666666666664)</f>
        <v>41593.66667</v>
      </c>
      <c r="H78" s="23">
        <f>IFERROR(__xludf.DUMMYFUNCTION("""COMPUTED_VALUE"""),69.08)</f>
        <v>69.08</v>
      </c>
      <c r="I78" s="22">
        <f>IFERROR(__xludf.DUMMYFUNCTION("""COMPUTED_VALUE"""),41593.666666666664)</f>
        <v>41593.66667</v>
      </c>
      <c r="J78" s="23">
        <f>IFERROR(__xludf.DUMMYFUNCTION("""COMPUTED_VALUE"""),100.0)</f>
        <v>100</v>
      </c>
      <c r="K78" s="22">
        <f>IFERROR(__xludf.DUMMYFUNCTION("""COMPUTED_VALUE"""),41593.666666666664)</f>
        <v>41593.66667</v>
      </c>
      <c r="L78" s="23">
        <f>IFERROR(__xludf.DUMMYFUNCTION("""COMPUTED_VALUE"""),53.62)</f>
        <v>53.62</v>
      </c>
      <c r="M78" s="23">
        <v>0.0</v>
      </c>
      <c r="N78" s="23">
        <v>0.0</v>
      </c>
      <c r="O78" s="23">
        <v>0.0</v>
      </c>
      <c r="P78" s="23">
        <f t="shared" si="1"/>
        <v>0</v>
      </c>
      <c r="Q78" s="23">
        <f t="shared" si="2"/>
        <v>0</v>
      </c>
      <c r="R78" s="23">
        <f t="shared" si="3"/>
        <v>0</v>
      </c>
      <c r="S78" s="19"/>
      <c r="T78" s="19"/>
      <c r="U78" s="19"/>
      <c r="V78" s="19"/>
    </row>
    <row r="79">
      <c r="A79" s="22">
        <f>IFERROR(__xludf.DUMMYFUNCTION("""COMPUTED_VALUE"""),42075.66666666667)</f>
        <v>42075.66667</v>
      </c>
      <c r="B79" s="23">
        <f>IFERROR(__xludf.DUMMYFUNCTION("""COMPUTED_VALUE"""),57.5)</f>
        <v>57.5</v>
      </c>
      <c r="C79" s="22">
        <f>IFERROR(__xludf.DUMMYFUNCTION("""COMPUTED_VALUE"""),43335.66666666667)</f>
        <v>43335.66667</v>
      </c>
      <c r="D79" s="23">
        <f>IFERROR(__xludf.DUMMYFUNCTION("""COMPUTED_VALUE"""),104.32)</f>
        <v>104.32</v>
      </c>
      <c r="E79" s="22">
        <f>IFERROR(__xludf.DUMMYFUNCTION("""COMPUTED_VALUE"""),42257.66666666667)</f>
        <v>42257.66667</v>
      </c>
      <c r="F79" s="23">
        <f>IFERROR(__xludf.DUMMYFUNCTION("""COMPUTED_VALUE"""),10.58)</f>
        <v>10.58</v>
      </c>
      <c r="G79" s="22">
        <f>IFERROR(__xludf.DUMMYFUNCTION("""COMPUTED_VALUE"""),41600.666666666664)</f>
        <v>41600.66667</v>
      </c>
      <c r="H79" s="23">
        <f>IFERROR(__xludf.DUMMYFUNCTION("""COMPUTED_VALUE"""),68.3)</f>
        <v>68.3</v>
      </c>
      <c r="I79" s="22">
        <f>IFERROR(__xludf.DUMMYFUNCTION("""COMPUTED_VALUE"""),41600.666666666664)</f>
        <v>41600.66667</v>
      </c>
      <c r="J79" s="23">
        <f>IFERROR(__xludf.DUMMYFUNCTION("""COMPUTED_VALUE"""),101.75)</f>
        <v>101.75</v>
      </c>
      <c r="K79" s="22">
        <f>IFERROR(__xludf.DUMMYFUNCTION("""COMPUTED_VALUE"""),41600.666666666664)</f>
        <v>41600.66667</v>
      </c>
      <c r="L79" s="23">
        <f>IFERROR(__xludf.DUMMYFUNCTION("""COMPUTED_VALUE"""),54.48)</f>
        <v>54.48</v>
      </c>
      <c r="M79" s="23">
        <v>100.0</v>
      </c>
      <c r="N79" s="23">
        <v>100.0</v>
      </c>
      <c r="O79" s="23">
        <v>100.0</v>
      </c>
      <c r="P79" s="23">
        <f t="shared" si="1"/>
        <v>1.464128843</v>
      </c>
      <c r="Q79" s="23">
        <f t="shared" si="2"/>
        <v>0.9828009828</v>
      </c>
      <c r="R79" s="23">
        <f t="shared" si="3"/>
        <v>1.835535977</v>
      </c>
      <c r="S79" s="19"/>
      <c r="T79" s="19"/>
      <c r="U79" s="19"/>
      <c r="V79" s="19"/>
    </row>
    <row r="80">
      <c r="A80" s="22">
        <f>IFERROR(__xludf.DUMMYFUNCTION("""COMPUTED_VALUE"""),42076.66666666667)</f>
        <v>42076.66667</v>
      </c>
      <c r="B80" s="23">
        <f>IFERROR(__xludf.DUMMYFUNCTION("""COMPUTED_VALUE"""),57.42)</f>
        <v>57.42</v>
      </c>
      <c r="C80" s="22">
        <f>IFERROR(__xludf.DUMMYFUNCTION("""COMPUTED_VALUE"""),43336.66666666667)</f>
        <v>43336.66667</v>
      </c>
      <c r="D80" s="23">
        <f>IFERROR(__xludf.DUMMYFUNCTION("""COMPUTED_VALUE"""),104.5)</f>
        <v>104.5</v>
      </c>
      <c r="E80" s="22">
        <f>IFERROR(__xludf.DUMMYFUNCTION("""COMPUTED_VALUE"""),42258.66666666667)</f>
        <v>42258.66667</v>
      </c>
      <c r="F80" s="23">
        <f>IFERROR(__xludf.DUMMYFUNCTION("""COMPUTED_VALUE"""),10.58)</f>
        <v>10.58</v>
      </c>
      <c r="G80" s="22">
        <f>IFERROR(__xludf.DUMMYFUNCTION("""COMPUTED_VALUE"""),41607.666666666664)</f>
        <v>41607.66667</v>
      </c>
      <c r="H80" s="23">
        <f>IFERROR(__xludf.DUMMYFUNCTION("""COMPUTED_VALUE"""),68.13)</f>
        <v>68.13</v>
      </c>
      <c r="I80" s="22">
        <f>IFERROR(__xludf.DUMMYFUNCTION("""COMPUTED_VALUE"""),41607.666666666664)</f>
        <v>41607.66667</v>
      </c>
      <c r="J80" s="23">
        <f>IFERROR(__xludf.DUMMYFUNCTION("""COMPUTED_VALUE"""),103.54)</f>
        <v>103.54</v>
      </c>
      <c r="K80" s="22">
        <f>IFERROR(__xludf.DUMMYFUNCTION("""COMPUTED_VALUE"""),41607.666666666664)</f>
        <v>41607.66667</v>
      </c>
      <c r="L80" s="23">
        <f>IFERROR(__xludf.DUMMYFUNCTION("""COMPUTED_VALUE"""),55.54)</f>
        <v>55.54</v>
      </c>
      <c r="M80" s="23">
        <v>0.0</v>
      </c>
      <c r="N80" s="23">
        <v>0.0</v>
      </c>
      <c r="O80" s="23">
        <v>0.0</v>
      </c>
      <c r="P80" s="23">
        <f t="shared" si="1"/>
        <v>0</v>
      </c>
      <c r="Q80" s="23">
        <f t="shared" si="2"/>
        <v>0</v>
      </c>
      <c r="R80" s="23">
        <f t="shared" si="3"/>
        <v>0</v>
      </c>
      <c r="S80" s="19"/>
      <c r="T80" s="19"/>
      <c r="U80" s="19"/>
      <c r="V80" s="19"/>
    </row>
    <row r="81">
      <c r="A81" s="22">
        <f>IFERROR(__xludf.DUMMYFUNCTION("""COMPUTED_VALUE"""),42079.66666666667)</f>
        <v>42079.66667</v>
      </c>
      <c r="B81" s="23">
        <f>IFERROR(__xludf.DUMMYFUNCTION("""COMPUTED_VALUE"""),58.0)</f>
        <v>58</v>
      </c>
      <c r="C81" s="22">
        <f>IFERROR(__xludf.DUMMYFUNCTION("""COMPUTED_VALUE"""),43339.66666666667)</f>
        <v>43339.66667</v>
      </c>
      <c r="D81" s="23">
        <f>IFERROR(__xludf.DUMMYFUNCTION("""COMPUTED_VALUE"""),104.68)</f>
        <v>104.68</v>
      </c>
      <c r="E81" s="22">
        <f>IFERROR(__xludf.DUMMYFUNCTION("""COMPUTED_VALUE"""),42261.66666666667)</f>
        <v>42261.66667</v>
      </c>
      <c r="F81" s="23">
        <f>IFERROR(__xludf.DUMMYFUNCTION("""COMPUTED_VALUE"""),10.61)</f>
        <v>10.61</v>
      </c>
      <c r="G81" s="22">
        <f>IFERROR(__xludf.DUMMYFUNCTION("""COMPUTED_VALUE"""),41614.666666666664)</f>
        <v>41614.66667</v>
      </c>
      <c r="H81" s="23">
        <f>IFERROR(__xludf.DUMMYFUNCTION("""COMPUTED_VALUE"""),66.42)</f>
        <v>66.42</v>
      </c>
      <c r="I81" s="22">
        <f>IFERROR(__xludf.DUMMYFUNCTION("""COMPUTED_VALUE"""),41614.666666666664)</f>
        <v>41614.66667</v>
      </c>
      <c r="J81" s="23">
        <f>IFERROR(__xludf.DUMMYFUNCTION("""COMPUTED_VALUE"""),102.77)</f>
        <v>102.77</v>
      </c>
      <c r="K81" s="22">
        <f>IFERROR(__xludf.DUMMYFUNCTION("""COMPUTED_VALUE"""),41614.666666666664)</f>
        <v>41614.66667</v>
      </c>
      <c r="L81" s="23">
        <f>IFERROR(__xludf.DUMMYFUNCTION("""COMPUTED_VALUE"""),54.35)</f>
        <v>54.35</v>
      </c>
      <c r="M81" s="23">
        <v>0.0</v>
      </c>
      <c r="N81" s="23">
        <v>0.0</v>
      </c>
      <c r="O81" s="23">
        <v>0.0</v>
      </c>
      <c r="P81" s="23">
        <f t="shared" si="1"/>
        <v>0</v>
      </c>
      <c r="Q81" s="23">
        <f t="shared" si="2"/>
        <v>0</v>
      </c>
      <c r="R81" s="23">
        <f t="shared" si="3"/>
        <v>0</v>
      </c>
      <c r="S81" s="19"/>
      <c r="T81" s="19"/>
      <c r="U81" s="19"/>
      <c r="V81" s="19"/>
    </row>
    <row r="82">
      <c r="A82" s="22">
        <f>IFERROR(__xludf.DUMMYFUNCTION("""COMPUTED_VALUE"""),42080.66666666667)</f>
        <v>42080.66667</v>
      </c>
      <c r="B82" s="23">
        <f>IFERROR(__xludf.DUMMYFUNCTION("""COMPUTED_VALUE"""),58.14)</f>
        <v>58.14</v>
      </c>
      <c r="C82" s="22">
        <f>IFERROR(__xludf.DUMMYFUNCTION("""COMPUTED_VALUE"""),43340.66666666667)</f>
        <v>43340.66667</v>
      </c>
      <c r="D82" s="23">
        <f>IFERROR(__xludf.DUMMYFUNCTION("""COMPUTED_VALUE"""),105.39)</f>
        <v>105.39</v>
      </c>
      <c r="E82" s="22">
        <f>IFERROR(__xludf.DUMMYFUNCTION("""COMPUTED_VALUE"""),42262.66666666667)</f>
        <v>42262.66667</v>
      </c>
      <c r="F82" s="23">
        <f>IFERROR(__xludf.DUMMYFUNCTION("""COMPUTED_VALUE"""),10.54)</f>
        <v>10.54</v>
      </c>
      <c r="G82" s="22">
        <f>IFERROR(__xludf.DUMMYFUNCTION("""COMPUTED_VALUE"""),41621.666666666664)</f>
        <v>41621.66667</v>
      </c>
      <c r="H82" s="23">
        <f>IFERROR(__xludf.DUMMYFUNCTION("""COMPUTED_VALUE"""),65.68)</f>
        <v>65.68</v>
      </c>
      <c r="I82" s="22">
        <f>IFERROR(__xludf.DUMMYFUNCTION("""COMPUTED_VALUE"""),41621.666666666664)</f>
        <v>41621.66667</v>
      </c>
      <c r="J82" s="23">
        <f>IFERROR(__xludf.DUMMYFUNCTION("""COMPUTED_VALUE"""),103.68)</f>
        <v>103.68</v>
      </c>
      <c r="K82" s="22">
        <f>IFERROR(__xludf.DUMMYFUNCTION("""COMPUTED_VALUE"""),41621.666666666664)</f>
        <v>41621.66667</v>
      </c>
      <c r="L82" s="23">
        <f>IFERROR(__xludf.DUMMYFUNCTION("""COMPUTED_VALUE"""),54.69)</f>
        <v>54.69</v>
      </c>
      <c r="M82" s="23">
        <v>0.0</v>
      </c>
      <c r="N82" s="23">
        <v>0.0</v>
      </c>
      <c r="O82" s="23">
        <v>0.0</v>
      </c>
      <c r="P82" s="23">
        <f t="shared" si="1"/>
        <v>0</v>
      </c>
      <c r="Q82" s="23">
        <f t="shared" si="2"/>
        <v>0</v>
      </c>
      <c r="R82" s="23">
        <f t="shared" si="3"/>
        <v>0</v>
      </c>
      <c r="S82" s="19"/>
      <c r="T82" s="19"/>
      <c r="U82" s="19"/>
      <c r="V82" s="19"/>
    </row>
    <row r="83">
      <c r="A83" s="22">
        <f>IFERROR(__xludf.DUMMYFUNCTION("""COMPUTED_VALUE"""),42081.66666666667)</f>
        <v>42081.66667</v>
      </c>
      <c r="B83" s="23">
        <f>IFERROR(__xludf.DUMMYFUNCTION("""COMPUTED_VALUE"""),59.29)</f>
        <v>59.29</v>
      </c>
      <c r="C83" s="22">
        <f>IFERROR(__xludf.DUMMYFUNCTION("""COMPUTED_VALUE"""),43341.66666666667)</f>
        <v>43341.66667</v>
      </c>
      <c r="D83" s="23">
        <f>IFERROR(__xludf.DUMMYFUNCTION("""COMPUTED_VALUE"""),105.94)</f>
        <v>105.94</v>
      </c>
      <c r="E83" s="22">
        <f>IFERROR(__xludf.DUMMYFUNCTION("""COMPUTED_VALUE"""),42263.66666666667)</f>
        <v>42263.66667</v>
      </c>
      <c r="F83" s="23">
        <f>IFERROR(__xludf.DUMMYFUNCTION("""COMPUTED_VALUE"""),10.62)</f>
        <v>10.62</v>
      </c>
      <c r="G83" s="22">
        <f>IFERROR(__xludf.DUMMYFUNCTION("""COMPUTED_VALUE"""),41628.666666666664)</f>
        <v>41628.66667</v>
      </c>
      <c r="H83" s="23">
        <f>IFERROR(__xludf.DUMMYFUNCTION("""COMPUTED_VALUE"""),67.3)</f>
        <v>67.3</v>
      </c>
      <c r="I83" s="22">
        <f>IFERROR(__xludf.DUMMYFUNCTION("""COMPUTED_VALUE"""),41628.666666666664)</f>
        <v>41628.66667</v>
      </c>
      <c r="J83" s="23">
        <f>IFERROR(__xludf.DUMMYFUNCTION("""COMPUTED_VALUE"""),106.38)</f>
        <v>106.38</v>
      </c>
      <c r="K83" s="22">
        <f>IFERROR(__xludf.DUMMYFUNCTION("""COMPUTED_VALUE"""),41628.666666666664)</f>
        <v>41628.66667</v>
      </c>
      <c r="L83" s="23">
        <f>IFERROR(__xludf.DUMMYFUNCTION("""COMPUTED_VALUE"""),55.92)</f>
        <v>55.92</v>
      </c>
      <c r="M83" s="23">
        <v>100.0</v>
      </c>
      <c r="N83" s="23">
        <v>100.0</v>
      </c>
      <c r="O83" s="23">
        <v>100.0</v>
      </c>
      <c r="P83" s="23">
        <f t="shared" si="1"/>
        <v>1.485884101</v>
      </c>
      <c r="Q83" s="23">
        <f t="shared" si="2"/>
        <v>0.9400263207</v>
      </c>
      <c r="R83" s="23">
        <f t="shared" si="3"/>
        <v>1.788268956</v>
      </c>
      <c r="S83" s="19"/>
      <c r="T83" s="19"/>
      <c r="U83" s="19"/>
      <c r="V83" s="19"/>
    </row>
    <row r="84">
      <c r="A84" s="22">
        <f>IFERROR(__xludf.DUMMYFUNCTION("""COMPUTED_VALUE"""),42082.66666666667)</f>
        <v>42082.66667</v>
      </c>
      <c r="B84" s="23">
        <f>IFERROR(__xludf.DUMMYFUNCTION("""COMPUTED_VALUE"""),58.4)</f>
        <v>58.4</v>
      </c>
      <c r="C84" s="22">
        <f>IFERROR(__xludf.DUMMYFUNCTION("""COMPUTED_VALUE"""),43342.66666666667)</f>
        <v>43342.66667</v>
      </c>
      <c r="D84" s="23">
        <f>IFERROR(__xludf.DUMMYFUNCTION("""COMPUTED_VALUE"""),106.39)</f>
        <v>106.39</v>
      </c>
      <c r="E84" s="22">
        <f>IFERROR(__xludf.DUMMYFUNCTION("""COMPUTED_VALUE"""),42264.66666666667)</f>
        <v>42264.66667</v>
      </c>
      <c r="F84" s="23">
        <f>IFERROR(__xludf.DUMMYFUNCTION("""COMPUTED_VALUE"""),10.57)</f>
        <v>10.57</v>
      </c>
      <c r="G84" s="22">
        <f>IFERROR(__xludf.DUMMYFUNCTION("""COMPUTED_VALUE"""),41635.666666666664)</f>
        <v>41635.66667</v>
      </c>
      <c r="H84" s="23">
        <f>IFERROR(__xludf.DUMMYFUNCTION("""COMPUTED_VALUE"""),68.28)</f>
        <v>68.28</v>
      </c>
      <c r="I84" s="22">
        <f>IFERROR(__xludf.DUMMYFUNCTION("""COMPUTED_VALUE"""),41635.666666666664)</f>
        <v>41635.66667</v>
      </c>
      <c r="J84" s="23">
        <f>IFERROR(__xludf.DUMMYFUNCTION("""COMPUTED_VALUE"""),107.45)</f>
        <v>107.45</v>
      </c>
      <c r="K84" s="22">
        <f>IFERROR(__xludf.DUMMYFUNCTION("""COMPUTED_VALUE"""),41635.666666666664)</f>
        <v>41635.66667</v>
      </c>
      <c r="L84" s="23">
        <f>IFERROR(__xludf.DUMMYFUNCTION("""COMPUTED_VALUE"""),56.3)</f>
        <v>56.3</v>
      </c>
      <c r="M84" s="23">
        <v>0.0</v>
      </c>
      <c r="N84" s="23">
        <v>0.0</v>
      </c>
      <c r="O84" s="23">
        <v>0.0</v>
      </c>
      <c r="P84" s="23">
        <f t="shared" si="1"/>
        <v>0</v>
      </c>
      <c r="Q84" s="23">
        <f t="shared" si="2"/>
        <v>0</v>
      </c>
      <c r="R84" s="23">
        <f t="shared" si="3"/>
        <v>0</v>
      </c>
      <c r="S84" s="19"/>
      <c r="T84" s="19"/>
      <c r="U84" s="19"/>
      <c r="V84" s="19"/>
    </row>
    <row r="85">
      <c r="A85" s="22">
        <f>IFERROR(__xludf.DUMMYFUNCTION("""COMPUTED_VALUE"""),42083.66666666667)</f>
        <v>42083.66667</v>
      </c>
      <c r="B85" s="23">
        <f>IFERROR(__xludf.DUMMYFUNCTION("""COMPUTED_VALUE"""),58.39)</f>
        <v>58.39</v>
      </c>
      <c r="C85" s="22">
        <f>IFERROR(__xludf.DUMMYFUNCTION("""COMPUTED_VALUE"""),43343.66666666667)</f>
        <v>43343.66667</v>
      </c>
      <c r="D85" s="23">
        <f>IFERROR(__xludf.DUMMYFUNCTION("""COMPUTED_VALUE"""),105.92)</f>
        <v>105.92</v>
      </c>
      <c r="E85" s="22">
        <f>IFERROR(__xludf.DUMMYFUNCTION("""COMPUTED_VALUE"""),42265.66666666667)</f>
        <v>42265.66667</v>
      </c>
      <c r="F85" s="23">
        <f>IFERROR(__xludf.DUMMYFUNCTION("""COMPUTED_VALUE"""),10.58)</f>
        <v>10.58</v>
      </c>
      <c r="G85" s="22">
        <f>IFERROR(__xludf.DUMMYFUNCTION("""COMPUTED_VALUE"""),41642.666666666664)</f>
        <v>41642.66667</v>
      </c>
      <c r="H85" s="23">
        <f>IFERROR(__xludf.DUMMYFUNCTION("""COMPUTED_VALUE"""),67.54)</f>
        <v>67.54</v>
      </c>
      <c r="I85" s="22">
        <f>IFERROR(__xludf.DUMMYFUNCTION("""COMPUTED_VALUE"""),41642.666666666664)</f>
        <v>41642.66667</v>
      </c>
      <c r="J85" s="23">
        <f>IFERROR(__xludf.DUMMYFUNCTION("""COMPUTED_VALUE"""),106.0)</f>
        <v>106</v>
      </c>
      <c r="K85" s="22">
        <f>IFERROR(__xludf.DUMMYFUNCTION("""COMPUTED_VALUE"""),41642.666666666664)</f>
        <v>41642.66667</v>
      </c>
      <c r="L85" s="23">
        <f>IFERROR(__xludf.DUMMYFUNCTION("""COMPUTED_VALUE"""),55.45)</f>
        <v>55.45</v>
      </c>
      <c r="M85" s="23">
        <v>0.0</v>
      </c>
      <c r="N85" s="23">
        <v>0.0</v>
      </c>
      <c r="O85" s="23">
        <v>0.0</v>
      </c>
      <c r="P85" s="23">
        <f t="shared" si="1"/>
        <v>0</v>
      </c>
      <c r="Q85" s="23">
        <f t="shared" si="2"/>
        <v>0</v>
      </c>
      <c r="R85" s="23">
        <f t="shared" si="3"/>
        <v>0</v>
      </c>
      <c r="S85" s="19"/>
      <c r="T85" s="19"/>
      <c r="U85" s="19"/>
      <c r="V85" s="19"/>
    </row>
    <row r="86">
      <c r="A86" s="22">
        <f>IFERROR(__xludf.DUMMYFUNCTION("""COMPUTED_VALUE"""),42086.66666666667)</f>
        <v>42086.66667</v>
      </c>
      <c r="B86" s="23">
        <f>IFERROR(__xludf.DUMMYFUNCTION("""COMPUTED_VALUE"""),58.1)</f>
        <v>58.1</v>
      </c>
      <c r="C86" s="22">
        <f>IFERROR(__xludf.DUMMYFUNCTION("""COMPUTED_VALUE"""),43346.66666666667)</f>
        <v>43346.66667</v>
      </c>
      <c r="D86" s="23">
        <f>IFERROR(__xludf.DUMMYFUNCTION("""COMPUTED_VALUE"""),105.86)</f>
        <v>105.86</v>
      </c>
      <c r="E86" s="22">
        <f>IFERROR(__xludf.DUMMYFUNCTION("""COMPUTED_VALUE"""),42268.66666666667)</f>
        <v>42268.66667</v>
      </c>
      <c r="F86" s="23">
        <f>IFERROR(__xludf.DUMMYFUNCTION("""COMPUTED_VALUE"""),10.47)</f>
        <v>10.47</v>
      </c>
      <c r="G86" s="22">
        <f>IFERROR(__xludf.DUMMYFUNCTION("""COMPUTED_VALUE"""),41649.666666666664)</f>
        <v>41649.66667</v>
      </c>
      <c r="H86" s="23">
        <f>IFERROR(__xludf.DUMMYFUNCTION("""COMPUTED_VALUE"""),67.19)</f>
        <v>67.19</v>
      </c>
      <c r="I86" s="22">
        <f>IFERROR(__xludf.DUMMYFUNCTION("""COMPUTED_VALUE"""),41649.666666666664)</f>
        <v>41649.66667</v>
      </c>
      <c r="J86" s="23">
        <f>IFERROR(__xludf.DUMMYFUNCTION("""COMPUTED_VALUE"""),107.49)</f>
        <v>107.49</v>
      </c>
      <c r="K86" s="22">
        <f>IFERROR(__xludf.DUMMYFUNCTION("""COMPUTED_VALUE"""),41649.666666666664)</f>
        <v>41649.66667</v>
      </c>
      <c r="L86" s="23">
        <f>IFERROR(__xludf.DUMMYFUNCTION("""COMPUTED_VALUE"""),55.95)</f>
        <v>55.95</v>
      </c>
      <c r="M86" s="23">
        <v>0.0</v>
      </c>
      <c r="N86" s="23">
        <v>0.0</v>
      </c>
      <c r="O86" s="23">
        <v>0.0</v>
      </c>
      <c r="P86" s="23">
        <f t="shared" si="1"/>
        <v>0</v>
      </c>
      <c r="Q86" s="23">
        <f t="shared" si="2"/>
        <v>0</v>
      </c>
      <c r="R86" s="23">
        <f t="shared" si="3"/>
        <v>0</v>
      </c>
      <c r="S86" s="19"/>
      <c r="T86" s="19"/>
      <c r="U86" s="19"/>
      <c r="V86" s="19"/>
    </row>
    <row r="87">
      <c r="A87" s="22">
        <f>IFERROR(__xludf.DUMMYFUNCTION("""COMPUTED_VALUE"""),42087.66666666667)</f>
        <v>42087.66667</v>
      </c>
      <c r="B87" s="23">
        <f>IFERROR(__xludf.DUMMYFUNCTION("""COMPUTED_VALUE"""),57.73)</f>
        <v>57.73</v>
      </c>
      <c r="C87" s="22">
        <f>IFERROR(__xludf.DUMMYFUNCTION("""COMPUTED_VALUE"""),43347.66666666667)</f>
        <v>43347.66667</v>
      </c>
      <c r="D87" s="23">
        <f>IFERROR(__xludf.DUMMYFUNCTION("""COMPUTED_VALUE"""),105.27)</f>
        <v>105.27</v>
      </c>
      <c r="E87" s="22">
        <f>IFERROR(__xludf.DUMMYFUNCTION("""COMPUTED_VALUE"""),42269.66666666667)</f>
        <v>42269.66667</v>
      </c>
      <c r="F87" s="23">
        <f>IFERROR(__xludf.DUMMYFUNCTION("""COMPUTED_VALUE"""),10.59)</f>
        <v>10.59</v>
      </c>
      <c r="G87" s="22">
        <f>IFERROR(__xludf.DUMMYFUNCTION("""COMPUTED_VALUE"""),41656.666666666664)</f>
        <v>41656.66667</v>
      </c>
      <c r="H87" s="23">
        <f>IFERROR(__xludf.DUMMYFUNCTION("""COMPUTED_VALUE"""),66.96)</f>
        <v>66.96</v>
      </c>
      <c r="I87" s="22">
        <f>IFERROR(__xludf.DUMMYFUNCTION("""COMPUTED_VALUE"""),41656.666666666664)</f>
        <v>41656.66667</v>
      </c>
      <c r="J87" s="23">
        <f>IFERROR(__xludf.DUMMYFUNCTION("""COMPUTED_VALUE"""),108.77)</f>
        <v>108.77</v>
      </c>
      <c r="K87" s="22">
        <f>IFERROR(__xludf.DUMMYFUNCTION("""COMPUTED_VALUE"""),41656.666666666664)</f>
        <v>41656.66667</v>
      </c>
      <c r="L87" s="23">
        <f>IFERROR(__xludf.DUMMYFUNCTION("""COMPUTED_VALUE"""),57.1)</f>
        <v>57.1</v>
      </c>
      <c r="M87" s="23">
        <v>200.0</v>
      </c>
      <c r="N87" s="23">
        <v>200.0</v>
      </c>
      <c r="O87" s="23">
        <v>200.0</v>
      </c>
      <c r="P87" s="23">
        <f t="shared" si="1"/>
        <v>2.986857826</v>
      </c>
      <c r="Q87" s="23">
        <f t="shared" si="2"/>
        <v>1.8387423</v>
      </c>
      <c r="R87" s="23">
        <f t="shared" si="3"/>
        <v>3.50262697</v>
      </c>
      <c r="S87" s="19"/>
      <c r="T87" s="19"/>
      <c r="U87" s="19"/>
      <c r="V87" s="19"/>
    </row>
    <row r="88">
      <c r="A88" s="22">
        <f>IFERROR(__xludf.DUMMYFUNCTION("""COMPUTED_VALUE"""),42088.66666666667)</f>
        <v>42088.66667</v>
      </c>
      <c r="B88" s="23">
        <f>IFERROR(__xludf.DUMMYFUNCTION("""COMPUTED_VALUE"""),57.39)</f>
        <v>57.39</v>
      </c>
      <c r="C88" s="22">
        <f>IFERROR(__xludf.DUMMYFUNCTION("""COMPUTED_VALUE"""),43348.66666666667)</f>
        <v>43348.66667</v>
      </c>
      <c r="D88" s="23">
        <f>IFERROR(__xludf.DUMMYFUNCTION("""COMPUTED_VALUE"""),104.36)</f>
        <v>104.36</v>
      </c>
      <c r="E88" s="22">
        <f>IFERROR(__xludf.DUMMYFUNCTION("""COMPUTED_VALUE"""),42270.66666666667)</f>
        <v>42270.66667</v>
      </c>
      <c r="F88" s="23">
        <f>IFERROR(__xludf.DUMMYFUNCTION("""COMPUTED_VALUE"""),10.46)</f>
        <v>10.46</v>
      </c>
      <c r="G88" s="22">
        <f>IFERROR(__xludf.DUMMYFUNCTION("""COMPUTED_VALUE"""),41663.666666666664)</f>
        <v>41663.66667</v>
      </c>
      <c r="H88" s="23">
        <f>IFERROR(__xludf.DUMMYFUNCTION("""COMPUTED_VALUE"""),67.4)</f>
        <v>67.4</v>
      </c>
      <c r="I88" s="22">
        <f>IFERROR(__xludf.DUMMYFUNCTION("""COMPUTED_VALUE"""),41663.666666666664)</f>
        <v>41663.66667</v>
      </c>
      <c r="J88" s="23">
        <f>IFERROR(__xludf.DUMMYFUNCTION("""COMPUTED_VALUE"""),109.56)</f>
        <v>109.56</v>
      </c>
      <c r="K88" s="22">
        <f>IFERROR(__xludf.DUMMYFUNCTION("""COMPUTED_VALUE"""),41663.666666666664)</f>
        <v>41663.66667</v>
      </c>
      <c r="L88" s="23">
        <f>IFERROR(__xludf.DUMMYFUNCTION("""COMPUTED_VALUE"""),57.26)</f>
        <v>57.26</v>
      </c>
      <c r="M88" s="23">
        <v>0.0</v>
      </c>
      <c r="N88" s="23">
        <v>0.0</v>
      </c>
      <c r="O88" s="23">
        <v>0.0</v>
      </c>
      <c r="P88" s="23">
        <f t="shared" si="1"/>
        <v>0</v>
      </c>
      <c r="Q88" s="23">
        <f t="shared" si="2"/>
        <v>0</v>
      </c>
      <c r="R88" s="23">
        <f t="shared" si="3"/>
        <v>0</v>
      </c>
      <c r="S88" s="19"/>
      <c r="T88" s="19"/>
      <c r="U88" s="19"/>
      <c r="V88" s="19"/>
    </row>
    <row r="89">
      <c r="A89" s="22">
        <f>IFERROR(__xludf.DUMMYFUNCTION("""COMPUTED_VALUE"""),42089.66666666667)</f>
        <v>42089.66667</v>
      </c>
      <c r="B89" s="23">
        <f>IFERROR(__xludf.DUMMYFUNCTION("""COMPUTED_VALUE"""),57.22)</f>
        <v>57.22</v>
      </c>
      <c r="C89" s="22">
        <f>IFERROR(__xludf.DUMMYFUNCTION("""COMPUTED_VALUE"""),43349.66666666667)</f>
        <v>43349.66667</v>
      </c>
      <c r="D89" s="23">
        <f>IFERROR(__xludf.DUMMYFUNCTION("""COMPUTED_VALUE"""),103.27)</f>
        <v>103.27</v>
      </c>
      <c r="E89" s="22">
        <f>IFERROR(__xludf.DUMMYFUNCTION("""COMPUTED_VALUE"""),42271.66666666667)</f>
        <v>42271.66667</v>
      </c>
      <c r="F89" s="23">
        <f>IFERROR(__xludf.DUMMYFUNCTION("""COMPUTED_VALUE"""),10.59)</f>
        <v>10.59</v>
      </c>
      <c r="G89" s="22">
        <f>IFERROR(__xludf.DUMMYFUNCTION("""COMPUTED_VALUE"""),41670.666666666664)</f>
        <v>41670.66667</v>
      </c>
      <c r="H89" s="23">
        <f>IFERROR(__xludf.DUMMYFUNCTION("""COMPUTED_VALUE"""),65.58)</f>
        <v>65.58</v>
      </c>
      <c r="I89" s="22">
        <f>IFERROR(__xludf.DUMMYFUNCTION("""COMPUTED_VALUE"""),41670.666666666664)</f>
        <v>41670.66667</v>
      </c>
      <c r="J89" s="23">
        <f>IFERROR(__xludf.DUMMYFUNCTION("""COMPUTED_VALUE"""),106.2)</f>
        <v>106.2</v>
      </c>
      <c r="K89" s="22">
        <f>IFERROR(__xludf.DUMMYFUNCTION("""COMPUTED_VALUE"""),41670.666666666664)</f>
        <v>41670.66667</v>
      </c>
      <c r="L89" s="23">
        <f>IFERROR(__xludf.DUMMYFUNCTION("""COMPUTED_VALUE"""),54.92)</f>
        <v>54.92</v>
      </c>
      <c r="M89" s="23">
        <v>0.0</v>
      </c>
      <c r="N89" s="23">
        <v>0.0</v>
      </c>
      <c r="O89" s="23">
        <v>0.0</v>
      </c>
      <c r="P89" s="23">
        <f t="shared" si="1"/>
        <v>0</v>
      </c>
      <c r="Q89" s="23">
        <f t="shared" si="2"/>
        <v>0</v>
      </c>
      <c r="R89" s="23">
        <f t="shared" si="3"/>
        <v>0</v>
      </c>
      <c r="S89" s="19"/>
      <c r="T89" s="19"/>
      <c r="U89" s="19"/>
      <c r="V89" s="19"/>
    </row>
    <row r="90">
      <c r="A90" s="22">
        <f>IFERROR(__xludf.DUMMYFUNCTION("""COMPUTED_VALUE"""),42090.66666666667)</f>
        <v>42090.66667</v>
      </c>
      <c r="B90" s="23">
        <f>IFERROR(__xludf.DUMMYFUNCTION("""COMPUTED_VALUE"""),57.2)</f>
        <v>57.2</v>
      </c>
      <c r="C90" s="22">
        <f>IFERROR(__xludf.DUMMYFUNCTION("""COMPUTED_VALUE"""),43350.66666666667)</f>
        <v>43350.66667</v>
      </c>
      <c r="D90" s="23">
        <f>IFERROR(__xludf.DUMMYFUNCTION("""COMPUTED_VALUE"""),102.95)</f>
        <v>102.95</v>
      </c>
      <c r="E90" s="22">
        <f>IFERROR(__xludf.DUMMYFUNCTION("""COMPUTED_VALUE"""),42272.66666666667)</f>
        <v>42272.66667</v>
      </c>
      <c r="F90" s="23">
        <f>IFERROR(__xludf.DUMMYFUNCTION("""COMPUTED_VALUE"""),10.59)</f>
        <v>10.59</v>
      </c>
      <c r="G90" s="22">
        <f>IFERROR(__xludf.DUMMYFUNCTION("""COMPUTED_VALUE"""),41677.666666666664)</f>
        <v>41677.66667</v>
      </c>
      <c r="H90" s="23">
        <f>IFERROR(__xludf.DUMMYFUNCTION("""COMPUTED_VALUE"""),66.13)</f>
        <v>66.13</v>
      </c>
      <c r="I90" s="22">
        <f>IFERROR(__xludf.DUMMYFUNCTION("""COMPUTED_VALUE"""),41677.666666666664)</f>
        <v>41677.66667</v>
      </c>
      <c r="J90" s="23">
        <f>IFERROR(__xludf.DUMMYFUNCTION("""COMPUTED_VALUE"""),103.28)</f>
        <v>103.28</v>
      </c>
      <c r="K90" s="22">
        <f>IFERROR(__xludf.DUMMYFUNCTION("""COMPUTED_VALUE"""),41677.666666666664)</f>
        <v>41677.66667</v>
      </c>
      <c r="L90" s="23">
        <f>IFERROR(__xludf.DUMMYFUNCTION("""COMPUTED_VALUE"""),54.0)</f>
        <v>54</v>
      </c>
      <c r="M90" s="23">
        <v>0.0</v>
      </c>
      <c r="N90" s="23">
        <v>0.0</v>
      </c>
      <c r="O90" s="23">
        <v>0.0</v>
      </c>
      <c r="P90" s="23">
        <f t="shared" si="1"/>
        <v>0</v>
      </c>
      <c r="Q90" s="23">
        <f t="shared" si="2"/>
        <v>0</v>
      </c>
      <c r="R90" s="23">
        <f t="shared" si="3"/>
        <v>0</v>
      </c>
      <c r="S90" s="19"/>
      <c r="T90" s="19"/>
      <c r="U90" s="19"/>
      <c r="V90" s="19"/>
    </row>
    <row r="91">
      <c r="A91" s="22">
        <f>IFERROR(__xludf.DUMMYFUNCTION("""COMPUTED_VALUE"""),42093.66666666667)</f>
        <v>42093.66667</v>
      </c>
      <c r="B91" s="23">
        <f>IFERROR(__xludf.DUMMYFUNCTION("""COMPUTED_VALUE"""),57.75)</f>
        <v>57.75</v>
      </c>
      <c r="C91" s="22">
        <f>IFERROR(__xludf.DUMMYFUNCTION("""COMPUTED_VALUE"""),43353.66666666667)</f>
        <v>43353.66667</v>
      </c>
      <c r="D91" s="23">
        <f>IFERROR(__xludf.DUMMYFUNCTION("""COMPUTED_VALUE"""),103.02)</f>
        <v>103.02</v>
      </c>
      <c r="E91" s="22">
        <f>IFERROR(__xludf.DUMMYFUNCTION("""COMPUTED_VALUE"""),42275.66666666667)</f>
        <v>42275.66667</v>
      </c>
      <c r="F91" s="23">
        <f>IFERROR(__xludf.DUMMYFUNCTION("""COMPUTED_VALUE"""),10.4)</f>
        <v>10.4</v>
      </c>
      <c r="G91" s="22">
        <f>IFERROR(__xludf.DUMMYFUNCTION("""COMPUTED_VALUE"""),41684.666666666664)</f>
        <v>41684.66667</v>
      </c>
      <c r="H91" s="23">
        <f>IFERROR(__xludf.DUMMYFUNCTION("""COMPUTED_VALUE"""),67.61)</f>
        <v>67.61</v>
      </c>
      <c r="I91" s="22">
        <f>IFERROR(__xludf.DUMMYFUNCTION("""COMPUTED_VALUE"""),41684.666666666664)</f>
        <v>41684.66667</v>
      </c>
      <c r="J91" s="23">
        <f>IFERROR(__xludf.DUMMYFUNCTION("""COMPUTED_VALUE"""),105.72)</f>
        <v>105.72</v>
      </c>
      <c r="K91" s="22">
        <f>IFERROR(__xludf.DUMMYFUNCTION("""COMPUTED_VALUE"""),41684.666666666664)</f>
        <v>41684.66667</v>
      </c>
      <c r="L91" s="23">
        <f>IFERROR(__xludf.DUMMYFUNCTION("""COMPUTED_VALUE"""),54.86)</f>
        <v>54.86</v>
      </c>
      <c r="M91" s="23">
        <v>200.0</v>
      </c>
      <c r="N91" s="23">
        <v>200.0</v>
      </c>
      <c r="O91" s="23">
        <v>200.0</v>
      </c>
      <c r="P91" s="23">
        <f t="shared" si="1"/>
        <v>2.958142287</v>
      </c>
      <c r="Q91" s="23">
        <f t="shared" si="2"/>
        <v>1.891789633</v>
      </c>
      <c r="R91" s="23">
        <f t="shared" si="3"/>
        <v>3.645643456</v>
      </c>
      <c r="S91" s="19"/>
      <c r="T91" s="19"/>
      <c r="U91" s="19"/>
      <c r="V91" s="19"/>
    </row>
    <row r="92">
      <c r="A92" s="22">
        <f>IFERROR(__xludf.DUMMYFUNCTION("""COMPUTED_VALUE"""),42094.66666666667)</f>
        <v>42094.66667</v>
      </c>
      <c r="B92" s="23">
        <f>IFERROR(__xludf.DUMMYFUNCTION("""COMPUTED_VALUE"""),59.49)</f>
        <v>59.49</v>
      </c>
      <c r="C92" s="22">
        <f>IFERROR(__xludf.DUMMYFUNCTION("""COMPUTED_VALUE"""),43354.66666666667)</f>
        <v>43354.66667</v>
      </c>
      <c r="D92" s="23">
        <f>IFERROR(__xludf.DUMMYFUNCTION("""COMPUTED_VALUE"""),103.83)</f>
        <v>103.83</v>
      </c>
      <c r="E92" s="22">
        <f>IFERROR(__xludf.DUMMYFUNCTION("""COMPUTED_VALUE"""),42276.66666666667)</f>
        <v>42276.66667</v>
      </c>
      <c r="F92" s="23">
        <f>IFERROR(__xludf.DUMMYFUNCTION("""COMPUTED_VALUE"""),10.22)</f>
        <v>10.22</v>
      </c>
      <c r="G92" s="22">
        <f>IFERROR(__xludf.DUMMYFUNCTION("""COMPUTED_VALUE"""),41691.666666666664)</f>
        <v>41691.66667</v>
      </c>
      <c r="H92" s="23">
        <f>IFERROR(__xludf.DUMMYFUNCTION("""COMPUTED_VALUE"""),68.89)</f>
        <v>68.89</v>
      </c>
      <c r="I92" s="22">
        <f>IFERROR(__xludf.DUMMYFUNCTION("""COMPUTED_VALUE"""),41691.666666666664)</f>
        <v>41691.66667</v>
      </c>
      <c r="J92" s="23">
        <f>IFERROR(__xludf.DUMMYFUNCTION("""COMPUTED_VALUE"""),107.08)</f>
        <v>107.08</v>
      </c>
      <c r="K92" s="22">
        <f>IFERROR(__xludf.DUMMYFUNCTION("""COMPUTED_VALUE"""),41691.666666666664)</f>
        <v>41691.66667</v>
      </c>
      <c r="L92" s="23">
        <f>IFERROR(__xludf.DUMMYFUNCTION("""COMPUTED_VALUE"""),55.8)</f>
        <v>55.8</v>
      </c>
      <c r="M92" s="23">
        <v>0.0</v>
      </c>
      <c r="N92" s="23">
        <v>0.0</v>
      </c>
      <c r="O92" s="23">
        <v>0.0</v>
      </c>
      <c r="P92" s="23">
        <f t="shared" si="1"/>
        <v>0</v>
      </c>
      <c r="Q92" s="23">
        <f t="shared" si="2"/>
        <v>0</v>
      </c>
      <c r="R92" s="23">
        <f t="shared" si="3"/>
        <v>0</v>
      </c>
      <c r="S92" s="19"/>
      <c r="T92" s="19"/>
      <c r="U92" s="19"/>
      <c r="V92" s="19"/>
    </row>
    <row r="93">
      <c r="A93" s="22">
        <f>IFERROR(__xludf.DUMMYFUNCTION("""COMPUTED_VALUE"""),42095.66666666667)</f>
        <v>42095.66667</v>
      </c>
      <c r="B93" s="23">
        <f>IFERROR(__xludf.DUMMYFUNCTION("""COMPUTED_VALUE"""),57.75)</f>
        <v>57.75</v>
      </c>
      <c r="C93" s="22">
        <f>IFERROR(__xludf.DUMMYFUNCTION("""COMPUTED_VALUE"""),43355.66666666667)</f>
        <v>43355.66667</v>
      </c>
      <c r="D93" s="23">
        <f>IFERROR(__xludf.DUMMYFUNCTION("""COMPUTED_VALUE"""),103.79)</f>
        <v>103.79</v>
      </c>
      <c r="E93" s="22">
        <f>IFERROR(__xludf.DUMMYFUNCTION("""COMPUTED_VALUE"""),42277.66666666667)</f>
        <v>42277.66667</v>
      </c>
      <c r="F93" s="23">
        <f>IFERROR(__xludf.DUMMYFUNCTION("""COMPUTED_VALUE"""),10.21)</f>
        <v>10.21</v>
      </c>
      <c r="G93" s="22">
        <f>IFERROR(__xludf.DUMMYFUNCTION("""COMPUTED_VALUE"""),41698.666666666664)</f>
        <v>41698.66667</v>
      </c>
      <c r="H93" s="23">
        <f>IFERROR(__xludf.DUMMYFUNCTION("""COMPUTED_VALUE"""),69.5)</f>
        <v>69.5</v>
      </c>
      <c r="I93" s="22">
        <f>IFERROR(__xludf.DUMMYFUNCTION("""COMPUTED_VALUE"""),41698.666666666664)</f>
        <v>41698.66667</v>
      </c>
      <c r="J93" s="23">
        <f>IFERROR(__xludf.DUMMYFUNCTION("""COMPUTED_VALUE"""),108.65)</f>
        <v>108.65</v>
      </c>
      <c r="K93" s="22">
        <f>IFERROR(__xludf.DUMMYFUNCTION("""COMPUTED_VALUE"""),41698.666666666664)</f>
        <v>41698.66667</v>
      </c>
      <c r="L93" s="23">
        <f>IFERROR(__xludf.DUMMYFUNCTION("""COMPUTED_VALUE"""),56.45)</f>
        <v>56.45</v>
      </c>
      <c r="M93" s="23">
        <v>0.0</v>
      </c>
      <c r="N93" s="23">
        <v>0.0</v>
      </c>
      <c r="O93" s="23">
        <v>0.0</v>
      </c>
      <c r="P93" s="23">
        <f t="shared" si="1"/>
        <v>0</v>
      </c>
      <c r="Q93" s="23">
        <f t="shared" si="2"/>
        <v>0</v>
      </c>
      <c r="R93" s="23">
        <f t="shared" si="3"/>
        <v>0</v>
      </c>
      <c r="S93" s="19"/>
      <c r="T93" s="19"/>
      <c r="U93" s="19"/>
      <c r="V93" s="19"/>
    </row>
    <row r="94">
      <c r="A94" s="22">
        <f>IFERROR(__xludf.DUMMYFUNCTION("""COMPUTED_VALUE"""),42096.66666666667)</f>
        <v>42096.66667</v>
      </c>
      <c r="B94" s="23">
        <f>IFERROR(__xludf.DUMMYFUNCTION("""COMPUTED_VALUE"""),58.45)</f>
        <v>58.45</v>
      </c>
      <c r="C94" s="22">
        <f>IFERROR(__xludf.DUMMYFUNCTION("""COMPUTED_VALUE"""),43356.66666666667)</f>
        <v>43356.66667</v>
      </c>
      <c r="D94" s="23">
        <f>IFERROR(__xludf.DUMMYFUNCTION("""COMPUTED_VALUE"""),103.03)</f>
        <v>103.03</v>
      </c>
      <c r="E94" s="22">
        <f>IFERROR(__xludf.DUMMYFUNCTION("""COMPUTED_VALUE"""),42278.66666666667)</f>
        <v>42278.66667</v>
      </c>
      <c r="F94" s="23">
        <f>IFERROR(__xludf.DUMMYFUNCTION("""COMPUTED_VALUE"""),10.38)</f>
        <v>10.38</v>
      </c>
      <c r="G94" s="22">
        <f>IFERROR(__xludf.DUMMYFUNCTION("""COMPUTED_VALUE"""),41705.666666666664)</f>
        <v>41705.66667</v>
      </c>
      <c r="H94" s="23">
        <f>IFERROR(__xludf.DUMMYFUNCTION("""COMPUTED_VALUE"""),69.74)</f>
        <v>69.74</v>
      </c>
      <c r="I94" s="22">
        <f>IFERROR(__xludf.DUMMYFUNCTION("""COMPUTED_VALUE"""),41705.666666666664)</f>
        <v>41705.66667</v>
      </c>
      <c r="J94" s="23">
        <f>IFERROR(__xludf.DUMMYFUNCTION("""COMPUTED_VALUE"""),108.55)</f>
        <v>108.55</v>
      </c>
      <c r="K94" s="22">
        <f>IFERROR(__xludf.DUMMYFUNCTION("""COMPUTED_VALUE"""),41705.666666666664)</f>
        <v>41705.66667</v>
      </c>
      <c r="L94" s="23">
        <f>IFERROR(__xludf.DUMMYFUNCTION("""COMPUTED_VALUE"""),56.06)</f>
        <v>56.06</v>
      </c>
      <c r="M94" s="23">
        <v>0.0</v>
      </c>
      <c r="N94" s="23">
        <v>0.0</v>
      </c>
      <c r="O94" s="23">
        <v>0.0</v>
      </c>
      <c r="P94" s="23">
        <f t="shared" si="1"/>
        <v>0</v>
      </c>
      <c r="Q94" s="23">
        <f t="shared" si="2"/>
        <v>0</v>
      </c>
      <c r="R94" s="23">
        <f t="shared" si="3"/>
        <v>0</v>
      </c>
      <c r="S94" s="19"/>
      <c r="T94" s="19"/>
      <c r="U94" s="19"/>
      <c r="V94" s="19"/>
    </row>
    <row r="95">
      <c r="A95" s="22">
        <f>IFERROR(__xludf.DUMMYFUNCTION("""COMPUTED_VALUE"""),42101.66666666667)</f>
        <v>42101.66667</v>
      </c>
      <c r="B95" s="23">
        <f>IFERROR(__xludf.DUMMYFUNCTION("""COMPUTED_VALUE"""),58.38)</f>
        <v>58.38</v>
      </c>
      <c r="C95" s="22">
        <f>IFERROR(__xludf.DUMMYFUNCTION("""COMPUTED_VALUE"""),43357.66666666667)</f>
        <v>43357.66667</v>
      </c>
      <c r="D95" s="23">
        <f>IFERROR(__xludf.DUMMYFUNCTION("""COMPUTED_VALUE"""),103.85)</f>
        <v>103.85</v>
      </c>
      <c r="E95" s="22">
        <f>IFERROR(__xludf.DUMMYFUNCTION("""COMPUTED_VALUE"""),42279.66666666667)</f>
        <v>42279.66667</v>
      </c>
      <c r="F95" s="23">
        <f>IFERROR(__xludf.DUMMYFUNCTION("""COMPUTED_VALUE"""),10.38)</f>
        <v>10.38</v>
      </c>
      <c r="G95" s="22">
        <f>IFERROR(__xludf.DUMMYFUNCTION("""COMPUTED_VALUE"""),41712.666666666664)</f>
        <v>41712.66667</v>
      </c>
      <c r="H95" s="23">
        <f>IFERROR(__xludf.DUMMYFUNCTION("""COMPUTED_VALUE"""),68.23)</f>
        <v>68.23</v>
      </c>
      <c r="I95" s="22">
        <f>IFERROR(__xludf.DUMMYFUNCTION("""COMPUTED_VALUE"""),41712.666666666664)</f>
        <v>41712.66667</v>
      </c>
      <c r="J95" s="23">
        <f>IFERROR(__xludf.DUMMYFUNCTION("""COMPUTED_VALUE"""),107.6)</f>
        <v>107.6</v>
      </c>
      <c r="K95" s="22">
        <f>IFERROR(__xludf.DUMMYFUNCTION("""COMPUTED_VALUE"""),41712.666666666664)</f>
        <v>41712.66667</v>
      </c>
      <c r="L95" s="23">
        <f>IFERROR(__xludf.DUMMYFUNCTION("""COMPUTED_VALUE"""),54.36)</f>
        <v>54.36</v>
      </c>
      <c r="M95" s="23">
        <v>200.0</v>
      </c>
      <c r="N95" s="23">
        <v>200.0</v>
      </c>
      <c r="O95" s="23">
        <v>200.0</v>
      </c>
      <c r="P95" s="23">
        <f t="shared" si="1"/>
        <v>2.931261908</v>
      </c>
      <c r="Q95" s="23">
        <f t="shared" si="2"/>
        <v>1.858736059</v>
      </c>
      <c r="R95" s="23">
        <f t="shared" si="3"/>
        <v>3.679175865</v>
      </c>
      <c r="S95" s="19"/>
      <c r="T95" s="19"/>
      <c r="U95" s="19"/>
      <c r="V95" s="19"/>
    </row>
    <row r="96">
      <c r="A96" s="22">
        <f>IFERROR(__xludf.DUMMYFUNCTION("""COMPUTED_VALUE"""),42102.66666666667)</f>
        <v>42102.66667</v>
      </c>
      <c r="B96" s="23">
        <f>IFERROR(__xludf.DUMMYFUNCTION("""COMPUTED_VALUE"""),58.36)</f>
        <v>58.36</v>
      </c>
      <c r="C96" s="22">
        <f>IFERROR(__xludf.DUMMYFUNCTION("""COMPUTED_VALUE"""),43360.66666666667)</f>
        <v>43360.66667</v>
      </c>
      <c r="D96" s="23">
        <f>IFERROR(__xludf.DUMMYFUNCTION("""COMPUTED_VALUE"""),104.07)</f>
        <v>104.07</v>
      </c>
      <c r="E96" s="22">
        <f>IFERROR(__xludf.DUMMYFUNCTION("""COMPUTED_VALUE"""),42282.66666666667)</f>
        <v>42282.66667</v>
      </c>
      <c r="F96" s="23">
        <f>IFERROR(__xludf.DUMMYFUNCTION("""COMPUTED_VALUE"""),10.48)</f>
        <v>10.48</v>
      </c>
      <c r="G96" s="22">
        <f>IFERROR(__xludf.DUMMYFUNCTION("""COMPUTED_VALUE"""),41719.666666666664)</f>
        <v>41719.66667</v>
      </c>
      <c r="H96" s="23">
        <f>IFERROR(__xludf.DUMMYFUNCTION("""COMPUTED_VALUE"""),68.16)</f>
        <v>68.16</v>
      </c>
      <c r="I96" s="22">
        <f>IFERROR(__xludf.DUMMYFUNCTION("""COMPUTED_VALUE"""),41719.666666666664)</f>
        <v>41719.66667</v>
      </c>
      <c r="J96" s="23">
        <f>IFERROR(__xludf.DUMMYFUNCTION("""COMPUTED_VALUE"""),108.46)</f>
        <v>108.46</v>
      </c>
      <c r="K96" s="22">
        <f>IFERROR(__xludf.DUMMYFUNCTION("""COMPUTED_VALUE"""),41719.666666666664)</f>
        <v>41719.66667</v>
      </c>
      <c r="L96" s="23">
        <f>IFERROR(__xludf.DUMMYFUNCTION("""COMPUTED_VALUE"""),54.26)</f>
        <v>54.26</v>
      </c>
      <c r="M96" s="23">
        <v>0.0</v>
      </c>
      <c r="N96" s="23">
        <v>0.0</v>
      </c>
      <c r="O96" s="23">
        <v>0.0</v>
      </c>
      <c r="P96" s="23">
        <f t="shared" si="1"/>
        <v>0</v>
      </c>
      <c r="Q96" s="23">
        <f t="shared" si="2"/>
        <v>0</v>
      </c>
      <c r="R96" s="23">
        <f t="shared" si="3"/>
        <v>0</v>
      </c>
      <c r="S96" s="19"/>
      <c r="T96" s="19"/>
      <c r="U96" s="19"/>
      <c r="V96" s="19"/>
    </row>
    <row r="97">
      <c r="A97" s="22">
        <f>IFERROR(__xludf.DUMMYFUNCTION("""COMPUTED_VALUE"""),42103.66666666667)</f>
        <v>42103.66667</v>
      </c>
      <c r="B97" s="23">
        <f>IFERROR(__xludf.DUMMYFUNCTION("""COMPUTED_VALUE"""),58.28)</f>
        <v>58.28</v>
      </c>
      <c r="C97" s="22">
        <f>IFERROR(__xludf.DUMMYFUNCTION("""COMPUTED_VALUE"""),43361.66666666667)</f>
        <v>43361.66667</v>
      </c>
      <c r="D97" s="23">
        <f>IFERROR(__xludf.DUMMYFUNCTION("""COMPUTED_VALUE"""),103.5)</f>
        <v>103.5</v>
      </c>
      <c r="E97" s="22">
        <f>IFERROR(__xludf.DUMMYFUNCTION("""COMPUTED_VALUE"""),42283.66666666667)</f>
        <v>42283.66667</v>
      </c>
      <c r="F97" s="23">
        <f>IFERROR(__xludf.DUMMYFUNCTION("""COMPUTED_VALUE"""),10.53)</f>
        <v>10.53</v>
      </c>
      <c r="G97" s="22">
        <f>IFERROR(__xludf.DUMMYFUNCTION("""COMPUTED_VALUE"""),41726.666666666664)</f>
        <v>41726.66667</v>
      </c>
      <c r="H97" s="23">
        <f>IFERROR(__xludf.DUMMYFUNCTION("""COMPUTED_VALUE"""),68.68)</f>
        <v>68.68</v>
      </c>
      <c r="I97" s="22">
        <f>IFERROR(__xludf.DUMMYFUNCTION("""COMPUTED_VALUE"""),41726.666666666664)</f>
        <v>41726.66667</v>
      </c>
      <c r="J97" s="23">
        <f>IFERROR(__xludf.DUMMYFUNCTION("""COMPUTED_VALUE"""),104.2)</f>
        <v>104.2</v>
      </c>
      <c r="K97" s="22">
        <f>IFERROR(__xludf.DUMMYFUNCTION("""COMPUTED_VALUE"""),41726.666666666664)</f>
        <v>41726.66667</v>
      </c>
      <c r="L97" s="23">
        <f>IFERROR(__xludf.DUMMYFUNCTION("""COMPUTED_VALUE"""),53.74)</f>
        <v>53.74</v>
      </c>
      <c r="M97" s="23">
        <v>0.0</v>
      </c>
      <c r="N97" s="23">
        <v>0.0</v>
      </c>
      <c r="O97" s="23">
        <v>0.0</v>
      </c>
      <c r="P97" s="23">
        <f t="shared" si="1"/>
        <v>0</v>
      </c>
      <c r="Q97" s="23">
        <f t="shared" si="2"/>
        <v>0</v>
      </c>
      <c r="R97" s="23">
        <f t="shared" si="3"/>
        <v>0</v>
      </c>
      <c r="S97" s="19"/>
      <c r="T97" s="19"/>
      <c r="U97" s="19"/>
      <c r="V97" s="19"/>
    </row>
    <row r="98">
      <c r="A98" s="22">
        <f>IFERROR(__xludf.DUMMYFUNCTION("""COMPUTED_VALUE"""),42104.66666666667)</f>
        <v>42104.66667</v>
      </c>
      <c r="B98" s="23">
        <f>IFERROR(__xludf.DUMMYFUNCTION("""COMPUTED_VALUE"""),58.57)</f>
        <v>58.57</v>
      </c>
      <c r="C98" s="22">
        <f>IFERROR(__xludf.DUMMYFUNCTION("""COMPUTED_VALUE"""),43362.66666666667)</f>
        <v>43362.66667</v>
      </c>
      <c r="D98" s="23">
        <f>IFERROR(__xludf.DUMMYFUNCTION("""COMPUTED_VALUE"""),104.18)</f>
        <v>104.18</v>
      </c>
      <c r="E98" s="22">
        <f>IFERROR(__xludf.DUMMYFUNCTION("""COMPUTED_VALUE"""),42284.66666666667)</f>
        <v>42284.66667</v>
      </c>
      <c r="F98" s="23">
        <f>IFERROR(__xludf.DUMMYFUNCTION("""COMPUTED_VALUE"""),10.39)</f>
        <v>10.39</v>
      </c>
      <c r="G98" s="22">
        <f>IFERROR(__xludf.DUMMYFUNCTION("""COMPUTED_VALUE"""),41733.666666666664)</f>
        <v>41733.66667</v>
      </c>
      <c r="H98" s="23">
        <f>IFERROR(__xludf.DUMMYFUNCTION("""COMPUTED_VALUE"""),69.22)</f>
        <v>69.22</v>
      </c>
      <c r="I98" s="22">
        <f>IFERROR(__xludf.DUMMYFUNCTION("""COMPUTED_VALUE"""),41733.666666666664)</f>
        <v>41733.66667</v>
      </c>
      <c r="J98" s="23">
        <f>IFERROR(__xludf.DUMMYFUNCTION("""COMPUTED_VALUE"""),107.05)</f>
        <v>107.05</v>
      </c>
      <c r="K98" s="22">
        <f>IFERROR(__xludf.DUMMYFUNCTION("""COMPUTED_VALUE"""),41733.666666666664)</f>
        <v>41733.66667</v>
      </c>
      <c r="L98" s="23">
        <f>IFERROR(__xludf.DUMMYFUNCTION("""COMPUTED_VALUE"""),54.9)</f>
        <v>54.9</v>
      </c>
      <c r="M98" s="23">
        <v>0.0</v>
      </c>
      <c r="N98" s="23">
        <v>0.0</v>
      </c>
      <c r="O98" s="23">
        <v>0.0</v>
      </c>
      <c r="P98" s="23">
        <f t="shared" si="1"/>
        <v>0</v>
      </c>
      <c r="Q98" s="23">
        <f t="shared" si="2"/>
        <v>0</v>
      </c>
      <c r="R98" s="23">
        <f t="shared" si="3"/>
        <v>0</v>
      </c>
      <c r="S98" s="19"/>
      <c r="T98" s="19"/>
      <c r="U98" s="19"/>
      <c r="V98" s="19"/>
    </row>
    <row r="99">
      <c r="A99" s="22">
        <f>IFERROR(__xludf.DUMMYFUNCTION("""COMPUTED_VALUE"""),42107.66666666667)</f>
        <v>42107.66667</v>
      </c>
      <c r="B99" s="23">
        <f>IFERROR(__xludf.DUMMYFUNCTION("""COMPUTED_VALUE"""),59.4)</f>
        <v>59.4</v>
      </c>
      <c r="C99" s="22">
        <f>IFERROR(__xludf.DUMMYFUNCTION("""COMPUTED_VALUE"""),43363.66666666667)</f>
        <v>43363.66667</v>
      </c>
      <c r="D99" s="23">
        <f>IFERROR(__xludf.DUMMYFUNCTION("""COMPUTED_VALUE"""),103.78)</f>
        <v>103.78</v>
      </c>
      <c r="E99" s="22">
        <f>IFERROR(__xludf.DUMMYFUNCTION("""COMPUTED_VALUE"""),42285.66666666667)</f>
        <v>42285.66667</v>
      </c>
      <c r="F99" s="23">
        <f>IFERROR(__xludf.DUMMYFUNCTION("""COMPUTED_VALUE"""),10.46)</f>
        <v>10.46</v>
      </c>
      <c r="G99" s="22">
        <f>IFERROR(__xludf.DUMMYFUNCTION("""COMPUTED_VALUE"""),41740.666666666664)</f>
        <v>41740.66667</v>
      </c>
      <c r="H99" s="23">
        <f>IFERROR(__xludf.DUMMYFUNCTION("""COMPUTED_VALUE"""),68.93)</f>
        <v>68.93</v>
      </c>
      <c r="I99" s="22">
        <f>IFERROR(__xludf.DUMMYFUNCTION("""COMPUTED_VALUE"""),41740.666666666664)</f>
        <v>41740.66667</v>
      </c>
      <c r="J99" s="23">
        <f>IFERROR(__xludf.DUMMYFUNCTION("""COMPUTED_VALUE"""),101.9)</f>
        <v>101.9</v>
      </c>
      <c r="K99" s="22">
        <f>IFERROR(__xludf.DUMMYFUNCTION("""COMPUTED_VALUE"""),41740.666666666664)</f>
        <v>41740.66667</v>
      </c>
      <c r="L99" s="23">
        <f>IFERROR(__xludf.DUMMYFUNCTION("""COMPUTED_VALUE"""),53.7)</f>
        <v>53.7</v>
      </c>
      <c r="M99" s="23">
        <v>200.0</v>
      </c>
      <c r="N99" s="23">
        <v>200.0</v>
      </c>
      <c r="O99" s="23">
        <v>200.0</v>
      </c>
      <c r="P99" s="23">
        <f t="shared" si="1"/>
        <v>2.90149427</v>
      </c>
      <c r="Q99" s="23">
        <f t="shared" si="2"/>
        <v>1.962708538</v>
      </c>
      <c r="R99" s="23">
        <f t="shared" si="3"/>
        <v>3.724394786</v>
      </c>
      <c r="S99" s="19"/>
      <c r="T99" s="19"/>
      <c r="U99" s="19"/>
      <c r="V99" s="19"/>
    </row>
    <row r="100">
      <c r="A100" s="22">
        <f>IFERROR(__xludf.DUMMYFUNCTION("""COMPUTED_VALUE"""),42108.66666666667)</f>
        <v>42108.66667</v>
      </c>
      <c r="B100" s="23">
        <f>IFERROR(__xludf.DUMMYFUNCTION("""COMPUTED_VALUE"""),59.37)</f>
        <v>59.37</v>
      </c>
      <c r="C100" s="22">
        <f>IFERROR(__xludf.DUMMYFUNCTION("""COMPUTED_VALUE"""),43364.66666666667)</f>
        <v>43364.66667</v>
      </c>
      <c r="D100" s="23">
        <f>IFERROR(__xludf.DUMMYFUNCTION("""COMPUTED_VALUE"""),104.0)</f>
        <v>104</v>
      </c>
      <c r="E100" s="22">
        <f>IFERROR(__xludf.DUMMYFUNCTION("""COMPUTED_VALUE"""),42286.66666666667)</f>
        <v>42286.66667</v>
      </c>
      <c r="F100" s="23">
        <f>IFERROR(__xludf.DUMMYFUNCTION("""COMPUTED_VALUE"""),10.43)</f>
        <v>10.43</v>
      </c>
      <c r="G100" s="22">
        <f>IFERROR(__xludf.DUMMYFUNCTION("""COMPUTED_VALUE"""),41746.666666666664)</f>
        <v>41746.66667</v>
      </c>
      <c r="H100" s="23">
        <f>IFERROR(__xludf.DUMMYFUNCTION("""COMPUTED_VALUE"""),69.22)</f>
        <v>69.22</v>
      </c>
      <c r="I100" s="22">
        <f>IFERROR(__xludf.DUMMYFUNCTION("""COMPUTED_VALUE"""),41746.666666666664)</f>
        <v>41746.66667</v>
      </c>
      <c r="J100" s="23">
        <f>IFERROR(__xludf.DUMMYFUNCTION("""COMPUTED_VALUE"""),103.19)</f>
        <v>103.19</v>
      </c>
      <c r="K100" s="22">
        <f>IFERROR(__xludf.DUMMYFUNCTION("""COMPUTED_VALUE"""),41746.666666666664)</f>
        <v>41746.66667</v>
      </c>
      <c r="L100" s="23">
        <f>IFERROR(__xludf.DUMMYFUNCTION("""COMPUTED_VALUE"""),53.95)</f>
        <v>53.95</v>
      </c>
      <c r="M100" s="23">
        <v>0.0</v>
      </c>
      <c r="N100" s="23">
        <v>0.0</v>
      </c>
      <c r="O100" s="23">
        <v>0.0</v>
      </c>
      <c r="P100" s="23">
        <f t="shared" si="1"/>
        <v>0</v>
      </c>
      <c r="Q100" s="23">
        <f t="shared" si="2"/>
        <v>0</v>
      </c>
      <c r="R100" s="23">
        <f t="shared" si="3"/>
        <v>0</v>
      </c>
      <c r="S100" s="19"/>
      <c r="T100" s="19"/>
      <c r="U100" s="19"/>
      <c r="V100" s="19"/>
    </row>
    <row r="101">
      <c r="A101" s="22">
        <f>IFERROR(__xludf.DUMMYFUNCTION("""COMPUTED_VALUE"""),42109.66666666667)</f>
        <v>42109.66667</v>
      </c>
      <c r="B101" s="23">
        <f>IFERROR(__xludf.DUMMYFUNCTION("""COMPUTED_VALUE"""),59.45)</f>
        <v>59.45</v>
      </c>
      <c r="C101" s="22">
        <f>IFERROR(__xludf.DUMMYFUNCTION("""COMPUTED_VALUE"""),43367.66666666667)</f>
        <v>43367.66667</v>
      </c>
      <c r="D101" s="23">
        <f>IFERROR(__xludf.DUMMYFUNCTION("""COMPUTED_VALUE"""),104.11)</f>
        <v>104.11</v>
      </c>
      <c r="E101" s="22">
        <f>IFERROR(__xludf.DUMMYFUNCTION("""COMPUTED_VALUE"""),42289.66666666667)</f>
        <v>42289.66667</v>
      </c>
      <c r="F101" s="23">
        <f>IFERROR(__xludf.DUMMYFUNCTION("""COMPUTED_VALUE"""),10.38)</f>
        <v>10.38</v>
      </c>
      <c r="G101" s="22">
        <f>IFERROR(__xludf.DUMMYFUNCTION("""COMPUTED_VALUE"""),41753.666666666664)</f>
        <v>41753.66667</v>
      </c>
      <c r="H101" s="23">
        <f>IFERROR(__xludf.DUMMYFUNCTION("""COMPUTED_VALUE"""),70.17)</f>
        <v>70.17</v>
      </c>
      <c r="I101" s="22">
        <f>IFERROR(__xludf.DUMMYFUNCTION("""COMPUTED_VALUE"""),41753.666666666664)</f>
        <v>41753.66667</v>
      </c>
      <c r="J101" s="23">
        <f>IFERROR(__xludf.DUMMYFUNCTION("""COMPUTED_VALUE"""),105.25)</f>
        <v>105.25</v>
      </c>
      <c r="K101" s="22">
        <f>IFERROR(__xludf.DUMMYFUNCTION("""COMPUTED_VALUE"""),41753.666666666664)</f>
        <v>41753.66667</v>
      </c>
      <c r="L101" s="23">
        <f>IFERROR(__xludf.DUMMYFUNCTION("""COMPUTED_VALUE"""),54.82)</f>
        <v>54.82</v>
      </c>
      <c r="M101" s="23">
        <v>0.0</v>
      </c>
      <c r="N101" s="23">
        <v>0.0</v>
      </c>
      <c r="O101" s="23">
        <v>0.0</v>
      </c>
      <c r="P101" s="23">
        <f t="shared" si="1"/>
        <v>0</v>
      </c>
      <c r="Q101" s="23">
        <f t="shared" si="2"/>
        <v>0</v>
      </c>
      <c r="R101" s="23">
        <f t="shared" si="3"/>
        <v>0</v>
      </c>
      <c r="S101" s="19"/>
      <c r="T101" s="19"/>
      <c r="U101" s="19"/>
      <c r="V101" s="19"/>
    </row>
    <row r="102">
      <c r="A102" s="22">
        <f>IFERROR(__xludf.DUMMYFUNCTION("""COMPUTED_VALUE"""),42110.66666666667)</f>
        <v>42110.66667</v>
      </c>
      <c r="B102" s="23">
        <f>IFERROR(__xludf.DUMMYFUNCTION("""COMPUTED_VALUE"""),59.01)</f>
        <v>59.01</v>
      </c>
      <c r="C102" s="22">
        <f>IFERROR(__xludf.DUMMYFUNCTION("""COMPUTED_VALUE"""),43368.66666666667)</f>
        <v>43368.66667</v>
      </c>
      <c r="D102" s="23">
        <f>IFERROR(__xludf.DUMMYFUNCTION("""COMPUTED_VALUE"""),104.01)</f>
        <v>104.01</v>
      </c>
      <c r="E102" s="22">
        <f>IFERROR(__xludf.DUMMYFUNCTION("""COMPUTED_VALUE"""),42290.66666666667)</f>
        <v>42290.66667</v>
      </c>
      <c r="F102" s="23">
        <f>IFERROR(__xludf.DUMMYFUNCTION("""COMPUTED_VALUE"""),10.43)</f>
        <v>10.43</v>
      </c>
      <c r="G102" s="22">
        <f>IFERROR(__xludf.DUMMYFUNCTION("""COMPUTED_VALUE"""),41761.666666666664)</f>
        <v>41761.66667</v>
      </c>
      <c r="H102" s="23">
        <f>IFERROR(__xludf.DUMMYFUNCTION("""COMPUTED_VALUE"""),69.32)</f>
        <v>69.32</v>
      </c>
      <c r="I102" s="22">
        <f>IFERROR(__xludf.DUMMYFUNCTION("""COMPUTED_VALUE"""),41761.666666666664)</f>
        <v>41761.66667</v>
      </c>
      <c r="J102" s="23">
        <f>IFERROR(__xludf.DUMMYFUNCTION("""COMPUTED_VALUE"""),105.33)</f>
        <v>105.33</v>
      </c>
      <c r="K102" s="22">
        <f>IFERROR(__xludf.DUMMYFUNCTION("""COMPUTED_VALUE"""),41761.666666666664)</f>
        <v>41761.66667</v>
      </c>
      <c r="L102" s="23">
        <f>IFERROR(__xludf.DUMMYFUNCTION("""COMPUTED_VALUE"""),55.24)</f>
        <v>55.24</v>
      </c>
      <c r="M102" s="23">
        <v>0.0</v>
      </c>
      <c r="N102" s="23">
        <v>0.0</v>
      </c>
      <c r="O102" s="23">
        <v>0.0</v>
      </c>
      <c r="P102" s="23">
        <f t="shared" si="1"/>
        <v>0</v>
      </c>
      <c r="Q102" s="23">
        <f t="shared" si="2"/>
        <v>0</v>
      </c>
      <c r="R102" s="23">
        <f t="shared" si="3"/>
        <v>0</v>
      </c>
      <c r="S102" s="19"/>
      <c r="T102" s="19"/>
      <c r="U102" s="19"/>
      <c r="V102" s="19"/>
    </row>
    <row r="103">
      <c r="A103" s="22">
        <f>IFERROR(__xludf.DUMMYFUNCTION("""COMPUTED_VALUE"""),42111.66666666667)</f>
        <v>42111.66667</v>
      </c>
      <c r="B103" s="23">
        <f>IFERROR(__xludf.DUMMYFUNCTION("""COMPUTED_VALUE"""),58.37)</f>
        <v>58.37</v>
      </c>
      <c r="C103" s="22">
        <f>IFERROR(__xludf.DUMMYFUNCTION("""COMPUTED_VALUE"""),43369.66666666667)</f>
        <v>43369.66667</v>
      </c>
      <c r="D103" s="23">
        <f>IFERROR(__xludf.DUMMYFUNCTION("""COMPUTED_VALUE"""),104.01)</f>
        <v>104.01</v>
      </c>
      <c r="E103" s="22">
        <f>IFERROR(__xludf.DUMMYFUNCTION("""COMPUTED_VALUE"""),42291.66666666667)</f>
        <v>42291.66667</v>
      </c>
      <c r="F103" s="23">
        <f>IFERROR(__xludf.DUMMYFUNCTION("""COMPUTED_VALUE"""),10.47)</f>
        <v>10.47</v>
      </c>
      <c r="G103" s="22">
        <f>IFERROR(__xludf.DUMMYFUNCTION("""COMPUTED_VALUE"""),41768.666666666664)</f>
        <v>41768.66667</v>
      </c>
      <c r="H103" s="23">
        <f>IFERROR(__xludf.DUMMYFUNCTION("""COMPUTED_VALUE"""),69.5)</f>
        <v>69.5</v>
      </c>
      <c r="I103" s="22">
        <f>IFERROR(__xludf.DUMMYFUNCTION("""COMPUTED_VALUE"""),41768.666666666664)</f>
        <v>41768.66667</v>
      </c>
      <c r="J103" s="23">
        <f>IFERROR(__xludf.DUMMYFUNCTION("""COMPUTED_VALUE"""),103.54)</f>
        <v>103.54</v>
      </c>
      <c r="K103" s="22">
        <f>IFERROR(__xludf.DUMMYFUNCTION("""COMPUTED_VALUE"""),41768.666666666664)</f>
        <v>41768.66667</v>
      </c>
      <c r="L103" s="23">
        <f>IFERROR(__xludf.DUMMYFUNCTION("""COMPUTED_VALUE"""),54.84)</f>
        <v>54.84</v>
      </c>
      <c r="M103" s="23">
        <v>200.0</v>
      </c>
      <c r="N103" s="23">
        <v>200.0</v>
      </c>
      <c r="O103" s="23">
        <v>200.0</v>
      </c>
      <c r="P103" s="23">
        <f t="shared" si="1"/>
        <v>2.877697842</v>
      </c>
      <c r="Q103" s="23">
        <f t="shared" si="2"/>
        <v>1.93162063</v>
      </c>
      <c r="R103" s="23">
        <f t="shared" si="3"/>
        <v>3.646973012</v>
      </c>
      <c r="S103" s="19"/>
      <c r="T103" s="19"/>
      <c r="U103" s="19"/>
      <c r="V103" s="19"/>
    </row>
    <row r="104">
      <c r="A104" s="22">
        <f>IFERROR(__xludf.DUMMYFUNCTION("""COMPUTED_VALUE"""),42114.66666666667)</f>
        <v>42114.66667</v>
      </c>
      <c r="B104" s="23">
        <f>IFERROR(__xludf.DUMMYFUNCTION("""COMPUTED_VALUE"""),57.65)</f>
        <v>57.65</v>
      </c>
      <c r="C104" s="22">
        <f>IFERROR(__xludf.DUMMYFUNCTION("""COMPUTED_VALUE"""),43370.66666666667)</f>
        <v>43370.66667</v>
      </c>
      <c r="D104" s="23">
        <f>IFERROR(__xludf.DUMMYFUNCTION("""COMPUTED_VALUE"""),104.02)</f>
        <v>104.02</v>
      </c>
      <c r="E104" s="22">
        <f>IFERROR(__xludf.DUMMYFUNCTION("""COMPUTED_VALUE"""),42292.66666666667)</f>
        <v>42292.66667</v>
      </c>
      <c r="F104" s="23">
        <f>IFERROR(__xludf.DUMMYFUNCTION("""COMPUTED_VALUE"""),10.3)</f>
        <v>10.3</v>
      </c>
      <c r="G104" s="22">
        <f>IFERROR(__xludf.DUMMYFUNCTION("""COMPUTED_VALUE"""),41775.666666666664)</f>
        <v>41775.66667</v>
      </c>
      <c r="H104" s="23">
        <f>IFERROR(__xludf.DUMMYFUNCTION("""COMPUTED_VALUE"""),69.99)</f>
        <v>69.99</v>
      </c>
      <c r="I104" s="22">
        <f>IFERROR(__xludf.DUMMYFUNCTION("""COMPUTED_VALUE"""),41775.666666666664)</f>
        <v>41775.66667</v>
      </c>
      <c r="J104" s="23">
        <f>IFERROR(__xludf.DUMMYFUNCTION("""COMPUTED_VALUE"""),103.52)</f>
        <v>103.52</v>
      </c>
      <c r="K104" s="22">
        <f>IFERROR(__xludf.DUMMYFUNCTION("""COMPUTED_VALUE"""),41775.666666666664)</f>
        <v>41775.66667</v>
      </c>
      <c r="L104" s="23">
        <f>IFERROR(__xludf.DUMMYFUNCTION("""COMPUTED_VALUE"""),54.99)</f>
        <v>54.99</v>
      </c>
      <c r="M104" s="23">
        <v>0.0</v>
      </c>
      <c r="N104" s="23">
        <v>0.0</v>
      </c>
      <c r="O104" s="23">
        <v>0.0</v>
      </c>
      <c r="P104" s="23">
        <f t="shared" si="1"/>
        <v>0</v>
      </c>
      <c r="Q104" s="23">
        <f t="shared" si="2"/>
        <v>0</v>
      </c>
      <c r="R104" s="23">
        <f t="shared" si="3"/>
        <v>0</v>
      </c>
      <c r="S104" s="19"/>
      <c r="T104" s="19"/>
      <c r="U104" s="19"/>
      <c r="V104" s="19"/>
    </row>
    <row r="105">
      <c r="A105" s="22">
        <f>IFERROR(__xludf.DUMMYFUNCTION("""COMPUTED_VALUE"""),42115.66666666667)</f>
        <v>42115.66667</v>
      </c>
      <c r="B105" s="23">
        <f>IFERROR(__xludf.DUMMYFUNCTION("""COMPUTED_VALUE"""),58.89)</f>
        <v>58.89</v>
      </c>
      <c r="C105" s="22">
        <f>IFERROR(__xludf.DUMMYFUNCTION("""COMPUTED_VALUE"""),43371.66666666667)</f>
        <v>43371.66667</v>
      </c>
      <c r="D105" s="23">
        <f>IFERROR(__xludf.DUMMYFUNCTION("""COMPUTED_VALUE"""),104.3)</f>
        <v>104.3</v>
      </c>
      <c r="E105" s="22">
        <f>IFERROR(__xludf.DUMMYFUNCTION("""COMPUTED_VALUE"""),42293.66666666667)</f>
        <v>42293.66667</v>
      </c>
      <c r="F105" s="23">
        <f>IFERROR(__xludf.DUMMYFUNCTION("""COMPUTED_VALUE"""),10.51)</f>
        <v>10.51</v>
      </c>
      <c r="G105" s="22">
        <f>IFERROR(__xludf.DUMMYFUNCTION("""COMPUTED_VALUE"""),41782.666666666664)</f>
        <v>41782.66667</v>
      </c>
      <c r="H105" s="23">
        <f>IFERROR(__xludf.DUMMYFUNCTION("""COMPUTED_VALUE"""),70.36)</f>
        <v>70.36</v>
      </c>
      <c r="I105" s="22">
        <f>IFERROR(__xludf.DUMMYFUNCTION("""COMPUTED_VALUE"""),41782.666666666664)</f>
        <v>41782.66667</v>
      </c>
      <c r="J105" s="23">
        <f>IFERROR(__xludf.DUMMYFUNCTION("""COMPUTED_VALUE"""),106.19)</f>
        <v>106.19</v>
      </c>
      <c r="K105" s="22">
        <f>IFERROR(__xludf.DUMMYFUNCTION("""COMPUTED_VALUE"""),41782.666666666664)</f>
        <v>41782.66667</v>
      </c>
      <c r="L105" s="23">
        <f>IFERROR(__xludf.DUMMYFUNCTION("""COMPUTED_VALUE"""),56.12)</f>
        <v>56.12</v>
      </c>
      <c r="M105" s="23">
        <v>0.0</v>
      </c>
      <c r="N105" s="23">
        <v>0.0</v>
      </c>
      <c r="O105" s="23">
        <v>0.0</v>
      </c>
      <c r="P105" s="23">
        <f t="shared" si="1"/>
        <v>0</v>
      </c>
      <c r="Q105" s="23">
        <f t="shared" si="2"/>
        <v>0</v>
      </c>
      <c r="R105" s="23">
        <f t="shared" si="3"/>
        <v>0</v>
      </c>
      <c r="S105" s="19"/>
      <c r="T105" s="19"/>
      <c r="U105" s="19"/>
      <c r="V105" s="19"/>
    </row>
    <row r="106">
      <c r="A106" s="22">
        <f>IFERROR(__xludf.DUMMYFUNCTION("""COMPUTED_VALUE"""),42116.66666666667)</f>
        <v>42116.66667</v>
      </c>
      <c r="B106" s="23">
        <f>IFERROR(__xludf.DUMMYFUNCTION("""COMPUTED_VALUE"""),58.25)</f>
        <v>58.25</v>
      </c>
      <c r="C106" s="22">
        <f>IFERROR(__xludf.DUMMYFUNCTION("""COMPUTED_VALUE"""),43374.66666666667)</f>
        <v>43374.66667</v>
      </c>
      <c r="D106" s="23">
        <f>IFERROR(__xludf.DUMMYFUNCTION("""COMPUTED_VALUE"""),102.63)</f>
        <v>102.63</v>
      </c>
      <c r="E106" s="22">
        <f>IFERROR(__xludf.DUMMYFUNCTION("""COMPUTED_VALUE"""),42296.66666666667)</f>
        <v>42296.66667</v>
      </c>
      <c r="F106" s="23">
        <f>IFERROR(__xludf.DUMMYFUNCTION("""COMPUTED_VALUE"""),10.57)</f>
        <v>10.57</v>
      </c>
      <c r="G106" s="22">
        <f>IFERROR(__xludf.DUMMYFUNCTION("""COMPUTED_VALUE"""),41789.666666666664)</f>
        <v>41789.66667</v>
      </c>
      <c r="H106" s="23">
        <f>IFERROR(__xludf.DUMMYFUNCTION("""COMPUTED_VALUE"""),70.28)</f>
        <v>70.28</v>
      </c>
      <c r="I106" s="22">
        <f>IFERROR(__xludf.DUMMYFUNCTION("""COMPUTED_VALUE"""),41789.666666666664)</f>
        <v>41789.66667</v>
      </c>
      <c r="J106" s="23">
        <f>IFERROR(__xludf.DUMMYFUNCTION("""COMPUTED_VALUE"""),107.5)</f>
        <v>107.5</v>
      </c>
      <c r="K106" s="22">
        <f>IFERROR(__xludf.DUMMYFUNCTION("""COMPUTED_VALUE"""),41789.666666666664)</f>
        <v>41789.66667</v>
      </c>
      <c r="L106" s="23">
        <f>IFERROR(__xludf.DUMMYFUNCTION("""COMPUTED_VALUE"""),55.73)</f>
        <v>55.73</v>
      </c>
      <c r="M106" s="23">
        <v>0.0</v>
      </c>
      <c r="N106" s="23">
        <v>0.0</v>
      </c>
      <c r="O106" s="23">
        <v>0.0</v>
      </c>
      <c r="P106" s="23">
        <f t="shared" si="1"/>
        <v>0</v>
      </c>
      <c r="Q106" s="23">
        <f t="shared" si="2"/>
        <v>0</v>
      </c>
      <c r="R106" s="23">
        <f t="shared" si="3"/>
        <v>0</v>
      </c>
      <c r="S106" s="19"/>
      <c r="T106" s="19"/>
      <c r="U106" s="19"/>
      <c r="V106" s="19"/>
    </row>
    <row r="107">
      <c r="A107" s="22">
        <f>IFERROR(__xludf.DUMMYFUNCTION("""COMPUTED_VALUE"""),42117.66666666667)</f>
        <v>42117.66667</v>
      </c>
      <c r="B107" s="23">
        <f>IFERROR(__xludf.DUMMYFUNCTION("""COMPUTED_VALUE"""),58.65)</f>
        <v>58.65</v>
      </c>
      <c r="C107" s="22">
        <f>IFERROR(__xludf.DUMMYFUNCTION("""COMPUTED_VALUE"""),43375.66666666667)</f>
        <v>43375.66667</v>
      </c>
      <c r="D107" s="23">
        <f>IFERROR(__xludf.DUMMYFUNCTION("""COMPUTED_VALUE"""),102.02)</f>
        <v>102.02</v>
      </c>
      <c r="E107" s="22">
        <f>IFERROR(__xludf.DUMMYFUNCTION("""COMPUTED_VALUE"""),42297.66666666667)</f>
        <v>42297.66667</v>
      </c>
      <c r="F107" s="23">
        <f>IFERROR(__xludf.DUMMYFUNCTION("""COMPUTED_VALUE"""),10.67)</f>
        <v>10.67</v>
      </c>
      <c r="G107" s="22">
        <f>IFERROR(__xludf.DUMMYFUNCTION("""COMPUTED_VALUE"""),41796.666666666664)</f>
        <v>41796.66667</v>
      </c>
      <c r="H107" s="23">
        <f>IFERROR(__xludf.DUMMYFUNCTION("""COMPUTED_VALUE"""),69.58)</f>
        <v>69.58</v>
      </c>
      <c r="I107" s="22">
        <f>IFERROR(__xludf.DUMMYFUNCTION("""COMPUTED_VALUE"""),41796.666666666664)</f>
        <v>41796.66667</v>
      </c>
      <c r="J107" s="23">
        <f>IFERROR(__xludf.DUMMYFUNCTION("""COMPUTED_VALUE"""),108.0)</f>
        <v>108</v>
      </c>
      <c r="K107" s="22">
        <f>IFERROR(__xludf.DUMMYFUNCTION("""COMPUTED_VALUE"""),41796.666666666664)</f>
        <v>41796.66667</v>
      </c>
      <c r="L107" s="23">
        <f>IFERROR(__xludf.DUMMYFUNCTION("""COMPUTED_VALUE"""),56.34)</f>
        <v>56.34</v>
      </c>
      <c r="M107" s="23">
        <v>200.0</v>
      </c>
      <c r="N107" s="23">
        <v>200.0</v>
      </c>
      <c r="O107" s="23">
        <v>200.0</v>
      </c>
      <c r="P107" s="23">
        <f t="shared" si="1"/>
        <v>2.874389192</v>
      </c>
      <c r="Q107" s="23">
        <f t="shared" si="2"/>
        <v>1.851851852</v>
      </c>
      <c r="R107" s="23">
        <f t="shared" si="3"/>
        <v>3.549875754</v>
      </c>
      <c r="S107" s="19"/>
      <c r="T107" s="19"/>
      <c r="U107" s="19"/>
      <c r="V107" s="19"/>
    </row>
    <row r="108">
      <c r="A108" s="22">
        <f>IFERROR(__xludf.DUMMYFUNCTION("""COMPUTED_VALUE"""),42118.66666666667)</f>
        <v>42118.66667</v>
      </c>
      <c r="B108" s="23">
        <f>IFERROR(__xludf.DUMMYFUNCTION("""COMPUTED_VALUE"""),58.69)</f>
        <v>58.69</v>
      </c>
      <c r="C108" s="22">
        <f>IFERROR(__xludf.DUMMYFUNCTION("""COMPUTED_VALUE"""),43376.66666666667)</f>
        <v>43376.66667</v>
      </c>
      <c r="D108" s="23">
        <f>IFERROR(__xludf.DUMMYFUNCTION("""COMPUTED_VALUE"""),102.43)</f>
        <v>102.43</v>
      </c>
      <c r="E108" s="22">
        <f>IFERROR(__xludf.DUMMYFUNCTION("""COMPUTED_VALUE"""),42298.66666666667)</f>
        <v>42298.66667</v>
      </c>
      <c r="F108" s="23">
        <f>IFERROR(__xludf.DUMMYFUNCTION("""COMPUTED_VALUE"""),10.62)</f>
        <v>10.62</v>
      </c>
      <c r="G108" s="22">
        <f>IFERROR(__xludf.DUMMYFUNCTION("""COMPUTED_VALUE"""),41803.666666666664)</f>
        <v>41803.66667</v>
      </c>
      <c r="H108" s="23">
        <f>IFERROR(__xludf.DUMMYFUNCTION("""COMPUTED_VALUE"""),69.18)</f>
        <v>69.18</v>
      </c>
      <c r="I108" s="22">
        <f>IFERROR(__xludf.DUMMYFUNCTION("""COMPUTED_VALUE"""),41803.666666666664)</f>
        <v>41803.66667</v>
      </c>
      <c r="J108" s="23">
        <f>IFERROR(__xludf.DUMMYFUNCTION("""COMPUTED_VALUE"""),106.78)</f>
        <v>106.78</v>
      </c>
      <c r="K108" s="22">
        <f>IFERROR(__xludf.DUMMYFUNCTION("""COMPUTED_VALUE"""),41803.666666666664)</f>
        <v>41803.66667</v>
      </c>
      <c r="L108" s="23">
        <f>IFERROR(__xludf.DUMMYFUNCTION("""COMPUTED_VALUE"""),55.94)</f>
        <v>55.94</v>
      </c>
      <c r="M108" s="23">
        <v>0.0</v>
      </c>
      <c r="N108" s="23">
        <v>0.0</v>
      </c>
      <c r="O108" s="23">
        <v>0.0</v>
      </c>
      <c r="P108" s="23">
        <f t="shared" si="1"/>
        <v>0</v>
      </c>
      <c r="Q108" s="23">
        <f t="shared" si="2"/>
        <v>0</v>
      </c>
      <c r="R108" s="23">
        <f t="shared" si="3"/>
        <v>0</v>
      </c>
      <c r="S108" s="19"/>
      <c r="T108" s="19"/>
      <c r="U108" s="19"/>
      <c r="V108" s="19"/>
    </row>
    <row r="109">
      <c r="A109" s="22">
        <f>IFERROR(__xludf.DUMMYFUNCTION("""COMPUTED_VALUE"""),42121.66666666667)</f>
        <v>42121.66667</v>
      </c>
      <c r="B109" s="23">
        <f>IFERROR(__xludf.DUMMYFUNCTION("""COMPUTED_VALUE"""),58.28)</f>
        <v>58.28</v>
      </c>
      <c r="C109" s="22">
        <f>IFERROR(__xludf.DUMMYFUNCTION("""COMPUTED_VALUE"""),43377.66666666667)</f>
        <v>43377.66667</v>
      </c>
      <c r="D109" s="23">
        <f>IFERROR(__xludf.DUMMYFUNCTION("""COMPUTED_VALUE"""),102.8)</f>
        <v>102.8</v>
      </c>
      <c r="E109" s="22">
        <f>IFERROR(__xludf.DUMMYFUNCTION("""COMPUTED_VALUE"""),42299.66666666667)</f>
        <v>42299.66667</v>
      </c>
      <c r="F109" s="23">
        <f>IFERROR(__xludf.DUMMYFUNCTION("""COMPUTED_VALUE"""),10.62)</f>
        <v>10.62</v>
      </c>
      <c r="G109" s="22">
        <f>IFERROR(__xludf.DUMMYFUNCTION("""COMPUTED_VALUE"""),41810.666666666664)</f>
        <v>41810.66667</v>
      </c>
      <c r="H109" s="23">
        <f>IFERROR(__xludf.DUMMYFUNCTION("""COMPUTED_VALUE"""),69.21)</f>
        <v>69.21</v>
      </c>
      <c r="I109" s="22">
        <f>IFERROR(__xludf.DUMMYFUNCTION("""COMPUTED_VALUE"""),41810.666666666664)</f>
        <v>41810.66667</v>
      </c>
      <c r="J109" s="23">
        <f>IFERROR(__xludf.DUMMYFUNCTION("""COMPUTED_VALUE"""),108.15)</f>
        <v>108.15</v>
      </c>
      <c r="K109" s="22">
        <f>IFERROR(__xludf.DUMMYFUNCTION("""COMPUTED_VALUE"""),41810.666666666664)</f>
        <v>41810.66667</v>
      </c>
      <c r="L109" s="23">
        <f>IFERROR(__xludf.DUMMYFUNCTION("""COMPUTED_VALUE"""),56.56)</f>
        <v>56.56</v>
      </c>
      <c r="M109" s="23">
        <v>0.0</v>
      </c>
      <c r="N109" s="23">
        <v>0.0</v>
      </c>
      <c r="O109" s="23">
        <v>0.0</v>
      </c>
      <c r="P109" s="23">
        <f t="shared" si="1"/>
        <v>0</v>
      </c>
      <c r="Q109" s="23">
        <f t="shared" si="2"/>
        <v>0</v>
      </c>
      <c r="R109" s="23">
        <f t="shared" si="3"/>
        <v>0</v>
      </c>
      <c r="S109" s="19"/>
      <c r="T109" s="19"/>
      <c r="U109" s="19"/>
      <c r="V109" s="19"/>
    </row>
    <row r="110">
      <c r="A110" s="22">
        <f>IFERROR(__xludf.DUMMYFUNCTION("""COMPUTED_VALUE"""),42122.66666666667)</f>
        <v>42122.66667</v>
      </c>
      <c r="B110" s="23">
        <f>IFERROR(__xludf.DUMMYFUNCTION("""COMPUTED_VALUE"""),57.9)</f>
        <v>57.9</v>
      </c>
      <c r="C110" s="22">
        <f>IFERROR(__xludf.DUMMYFUNCTION("""COMPUTED_VALUE"""),43378.66666666667)</f>
        <v>43378.66667</v>
      </c>
      <c r="D110" s="23">
        <f>IFERROR(__xludf.DUMMYFUNCTION("""COMPUTED_VALUE"""),103.08)</f>
        <v>103.08</v>
      </c>
      <c r="E110" s="22">
        <f>IFERROR(__xludf.DUMMYFUNCTION("""COMPUTED_VALUE"""),42300.66666666667)</f>
        <v>42300.66667</v>
      </c>
      <c r="F110" s="23">
        <f>IFERROR(__xludf.DUMMYFUNCTION("""COMPUTED_VALUE"""),10.92)</f>
        <v>10.92</v>
      </c>
      <c r="G110" s="22">
        <f>IFERROR(__xludf.DUMMYFUNCTION("""COMPUTED_VALUE"""),41817.666666666664)</f>
        <v>41817.66667</v>
      </c>
      <c r="H110" s="23">
        <f>IFERROR(__xludf.DUMMYFUNCTION("""COMPUTED_VALUE"""),69.72)</f>
        <v>69.72</v>
      </c>
      <c r="I110" s="22">
        <f>IFERROR(__xludf.DUMMYFUNCTION("""COMPUTED_VALUE"""),41817.666666666664)</f>
        <v>41817.66667</v>
      </c>
      <c r="J110" s="23">
        <f>IFERROR(__xludf.DUMMYFUNCTION("""COMPUTED_VALUE"""),107.28)</f>
        <v>107.28</v>
      </c>
      <c r="K110" s="22">
        <f>IFERROR(__xludf.DUMMYFUNCTION("""COMPUTED_VALUE"""),41817.666666666664)</f>
        <v>41817.66667</v>
      </c>
      <c r="L110" s="23">
        <f>IFERROR(__xludf.DUMMYFUNCTION("""COMPUTED_VALUE"""),55.17)</f>
        <v>55.17</v>
      </c>
      <c r="M110" s="23">
        <v>0.0</v>
      </c>
      <c r="N110" s="23">
        <v>0.0</v>
      </c>
      <c r="O110" s="23">
        <v>0.0</v>
      </c>
      <c r="P110" s="23">
        <f t="shared" si="1"/>
        <v>0</v>
      </c>
      <c r="Q110" s="23">
        <f t="shared" si="2"/>
        <v>0</v>
      </c>
      <c r="R110" s="23">
        <f t="shared" si="3"/>
        <v>0</v>
      </c>
      <c r="S110" s="19"/>
      <c r="T110" s="19"/>
      <c r="U110" s="19"/>
      <c r="V110" s="19"/>
    </row>
    <row r="111">
      <c r="A111" s="22">
        <f>IFERROR(__xludf.DUMMYFUNCTION("""COMPUTED_VALUE"""),42123.66666666667)</f>
        <v>42123.66667</v>
      </c>
      <c r="B111" s="23">
        <f>IFERROR(__xludf.DUMMYFUNCTION("""COMPUTED_VALUE"""),57.1)</f>
        <v>57.1</v>
      </c>
      <c r="C111" s="22">
        <f>IFERROR(__xludf.DUMMYFUNCTION("""COMPUTED_VALUE"""),43381.66666666667)</f>
        <v>43381.66667</v>
      </c>
      <c r="D111" s="23">
        <f>IFERROR(__xludf.DUMMYFUNCTION("""COMPUTED_VALUE"""),101.62)</f>
        <v>101.62</v>
      </c>
      <c r="E111" s="22">
        <f>IFERROR(__xludf.DUMMYFUNCTION("""COMPUTED_VALUE"""),42303.66666666667)</f>
        <v>42303.66667</v>
      </c>
      <c r="F111" s="23">
        <f>IFERROR(__xludf.DUMMYFUNCTION("""COMPUTED_VALUE"""),11.04)</f>
        <v>11.04</v>
      </c>
      <c r="G111" s="22">
        <f>IFERROR(__xludf.DUMMYFUNCTION("""COMPUTED_VALUE"""),41824.666666666664)</f>
        <v>41824.66667</v>
      </c>
      <c r="H111" s="23">
        <f>IFERROR(__xludf.DUMMYFUNCTION("""COMPUTED_VALUE"""),70.26)</f>
        <v>70.26</v>
      </c>
      <c r="I111" s="22">
        <f>IFERROR(__xludf.DUMMYFUNCTION("""COMPUTED_VALUE"""),41824.666666666664)</f>
        <v>41824.66667</v>
      </c>
      <c r="J111" s="23">
        <f>IFERROR(__xludf.DUMMYFUNCTION("""COMPUTED_VALUE"""),109.93)</f>
        <v>109.93</v>
      </c>
      <c r="K111" s="22">
        <f>IFERROR(__xludf.DUMMYFUNCTION("""COMPUTED_VALUE"""),41824.666666666664)</f>
        <v>41824.66667</v>
      </c>
      <c r="L111" s="23">
        <f>IFERROR(__xludf.DUMMYFUNCTION("""COMPUTED_VALUE"""),56.8)</f>
        <v>56.8</v>
      </c>
      <c r="M111" s="23">
        <v>200.0</v>
      </c>
      <c r="N111" s="23">
        <v>200.0</v>
      </c>
      <c r="O111" s="23">
        <v>200.0</v>
      </c>
      <c r="P111" s="23">
        <f t="shared" si="1"/>
        <v>2.846569883</v>
      </c>
      <c r="Q111" s="23">
        <f t="shared" si="2"/>
        <v>1.81933958</v>
      </c>
      <c r="R111" s="23">
        <f t="shared" si="3"/>
        <v>3.521126761</v>
      </c>
      <c r="S111" s="19"/>
      <c r="T111" s="19"/>
      <c r="U111" s="19"/>
      <c r="V111" s="19"/>
    </row>
    <row r="112">
      <c r="A112" s="22">
        <f>IFERROR(__xludf.DUMMYFUNCTION("""COMPUTED_VALUE"""),42124.66666666667)</f>
        <v>42124.66667</v>
      </c>
      <c r="B112" s="23">
        <f>IFERROR(__xludf.DUMMYFUNCTION("""COMPUTED_VALUE"""),56.75)</f>
        <v>56.75</v>
      </c>
      <c r="C112" s="22">
        <f>IFERROR(__xludf.DUMMYFUNCTION("""COMPUTED_VALUE"""),43382.66666666667)</f>
        <v>43382.66667</v>
      </c>
      <c r="D112" s="23">
        <f>IFERROR(__xludf.DUMMYFUNCTION("""COMPUTED_VALUE"""),100.71)</f>
        <v>100.71</v>
      </c>
      <c r="E112" s="22">
        <f>IFERROR(__xludf.DUMMYFUNCTION("""COMPUTED_VALUE"""),42304.66666666667)</f>
        <v>42304.66667</v>
      </c>
      <c r="F112" s="23">
        <f>IFERROR(__xludf.DUMMYFUNCTION("""COMPUTED_VALUE"""),11.1)</f>
        <v>11.1</v>
      </c>
      <c r="G112" s="22">
        <f>IFERROR(__xludf.DUMMYFUNCTION("""COMPUTED_VALUE"""),41831.666666666664)</f>
        <v>41831.66667</v>
      </c>
      <c r="H112" s="23">
        <f>IFERROR(__xludf.DUMMYFUNCTION("""COMPUTED_VALUE"""),69.7)</f>
        <v>69.7</v>
      </c>
      <c r="I112" s="22">
        <f>IFERROR(__xludf.DUMMYFUNCTION("""COMPUTED_VALUE"""),41831.666666666664)</f>
        <v>41831.66667</v>
      </c>
      <c r="J112" s="23">
        <f>IFERROR(__xludf.DUMMYFUNCTION("""COMPUTED_VALUE"""),108.34)</f>
        <v>108.34</v>
      </c>
      <c r="K112" s="22">
        <f>IFERROR(__xludf.DUMMYFUNCTION("""COMPUTED_VALUE"""),41831.666666666664)</f>
        <v>41831.66667</v>
      </c>
      <c r="L112" s="23">
        <f>IFERROR(__xludf.DUMMYFUNCTION("""COMPUTED_VALUE"""),55.42)</f>
        <v>55.42</v>
      </c>
      <c r="M112" s="23">
        <v>0.0</v>
      </c>
      <c r="N112" s="23">
        <v>0.0</v>
      </c>
      <c r="O112" s="23">
        <v>0.0</v>
      </c>
      <c r="P112" s="23">
        <f t="shared" si="1"/>
        <v>0</v>
      </c>
      <c r="Q112" s="23">
        <f t="shared" si="2"/>
        <v>0</v>
      </c>
      <c r="R112" s="23">
        <f t="shared" si="3"/>
        <v>0</v>
      </c>
      <c r="S112" s="19"/>
      <c r="T112" s="19"/>
      <c r="U112" s="19"/>
      <c r="V112" s="19"/>
    </row>
    <row r="113">
      <c r="A113" s="22">
        <f>IFERROR(__xludf.DUMMYFUNCTION("""COMPUTED_VALUE"""),42125.66666666667)</f>
        <v>42125.66667</v>
      </c>
      <c r="B113" s="23">
        <f>IFERROR(__xludf.DUMMYFUNCTION("""COMPUTED_VALUE"""),57.19)</f>
        <v>57.19</v>
      </c>
      <c r="C113" s="22">
        <f>IFERROR(__xludf.DUMMYFUNCTION("""COMPUTED_VALUE"""),43383.66666666667)</f>
        <v>43383.66667</v>
      </c>
      <c r="D113" s="23">
        <f>IFERROR(__xludf.DUMMYFUNCTION("""COMPUTED_VALUE"""),100.76)</f>
        <v>100.76</v>
      </c>
      <c r="E113" s="22">
        <f>IFERROR(__xludf.DUMMYFUNCTION("""COMPUTED_VALUE"""),42305.66666666667)</f>
        <v>42305.66667</v>
      </c>
      <c r="F113" s="23">
        <f>IFERROR(__xludf.DUMMYFUNCTION("""COMPUTED_VALUE"""),11.36)</f>
        <v>11.36</v>
      </c>
      <c r="G113" s="22">
        <f>IFERROR(__xludf.DUMMYFUNCTION("""COMPUTED_VALUE"""),41838.666666666664)</f>
        <v>41838.66667</v>
      </c>
      <c r="H113" s="23">
        <f>IFERROR(__xludf.DUMMYFUNCTION("""COMPUTED_VALUE"""),70.18)</f>
        <v>70.18</v>
      </c>
      <c r="I113" s="22">
        <f>IFERROR(__xludf.DUMMYFUNCTION("""COMPUTED_VALUE"""),41838.666666666664)</f>
        <v>41838.66667</v>
      </c>
      <c r="J113" s="23">
        <f>IFERROR(__xludf.DUMMYFUNCTION("""COMPUTED_VALUE"""),107.98)</f>
        <v>107.98</v>
      </c>
      <c r="K113" s="22">
        <f>IFERROR(__xludf.DUMMYFUNCTION("""COMPUTED_VALUE"""),41838.666666666664)</f>
        <v>41838.66667</v>
      </c>
      <c r="L113" s="23">
        <f>IFERROR(__xludf.DUMMYFUNCTION("""COMPUTED_VALUE"""),55.39)</f>
        <v>55.39</v>
      </c>
      <c r="M113" s="23">
        <v>0.0</v>
      </c>
      <c r="N113" s="23">
        <v>0.0</v>
      </c>
      <c r="O113" s="23">
        <v>0.0</v>
      </c>
      <c r="P113" s="23">
        <f t="shared" si="1"/>
        <v>0</v>
      </c>
      <c r="Q113" s="23">
        <f t="shared" si="2"/>
        <v>0</v>
      </c>
      <c r="R113" s="23">
        <f t="shared" si="3"/>
        <v>0</v>
      </c>
      <c r="S113" s="19"/>
      <c r="T113" s="19"/>
      <c r="U113" s="19"/>
      <c r="V113" s="19"/>
    </row>
    <row r="114">
      <c r="A114" s="22">
        <f>IFERROR(__xludf.DUMMYFUNCTION("""COMPUTED_VALUE"""),42128.66666666667)</f>
        <v>42128.66667</v>
      </c>
      <c r="B114" s="23">
        <f>IFERROR(__xludf.DUMMYFUNCTION("""COMPUTED_VALUE"""),57.76)</f>
        <v>57.76</v>
      </c>
      <c r="C114" s="22">
        <f>IFERROR(__xludf.DUMMYFUNCTION("""COMPUTED_VALUE"""),43384.66666666667)</f>
        <v>43384.66667</v>
      </c>
      <c r="D114" s="23">
        <f>IFERROR(__xludf.DUMMYFUNCTION("""COMPUTED_VALUE"""),98.0)</f>
        <v>98</v>
      </c>
      <c r="E114" s="22">
        <f>IFERROR(__xludf.DUMMYFUNCTION("""COMPUTED_VALUE"""),42306.66666666667)</f>
        <v>42306.66667</v>
      </c>
      <c r="F114" s="23">
        <f>IFERROR(__xludf.DUMMYFUNCTION("""COMPUTED_VALUE"""),11.43)</f>
        <v>11.43</v>
      </c>
      <c r="G114" s="22">
        <f>IFERROR(__xludf.DUMMYFUNCTION("""COMPUTED_VALUE"""),41845.666666666664)</f>
        <v>41845.66667</v>
      </c>
      <c r="H114" s="23">
        <f>IFERROR(__xludf.DUMMYFUNCTION("""COMPUTED_VALUE"""),70.92)</f>
        <v>70.92</v>
      </c>
      <c r="I114" s="22">
        <f>IFERROR(__xludf.DUMMYFUNCTION("""COMPUTED_VALUE"""),41845.666666666664)</f>
        <v>41845.66667</v>
      </c>
      <c r="J114" s="23">
        <f>IFERROR(__xludf.DUMMYFUNCTION("""COMPUTED_VALUE"""),109.04)</f>
        <v>109.04</v>
      </c>
      <c r="K114" s="22">
        <f>IFERROR(__xludf.DUMMYFUNCTION("""COMPUTED_VALUE"""),41845.666666666664)</f>
        <v>41845.66667</v>
      </c>
      <c r="L114" s="23">
        <f>IFERROR(__xludf.DUMMYFUNCTION("""COMPUTED_VALUE"""),56.02)</f>
        <v>56.02</v>
      </c>
      <c r="M114" s="23">
        <v>0.0</v>
      </c>
      <c r="N114" s="23">
        <v>0.0</v>
      </c>
      <c r="O114" s="23">
        <v>0.0</v>
      </c>
      <c r="P114" s="23">
        <f t="shared" si="1"/>
        <v>0</v>
      </c>
      <c r="Q114" s="23">
        <f t="shared" si="2"/>
        <v>0</v>
      </c>
      <c r="R114" s="23">
        <f t="shared" si="3"/>
        <v>0</v>
      </c>
      <c r="S114" s="19"/>
      <c r="T114" s="19"/>
      <c r="U114" s="19"/>
      <c r="V114" s="19"/>
    </row>
    <row r="115">
      <c r="A115" s="22">
        <f>IFERROR(__xludf.DUMMYFUNCTION("""COMPUTED_VALUE"""),42130.66666666667)</f>
        <v>42130.66667</v>
      </c>
      <c r="B115" s="23">
        <f>IFERROR(__xludf.DUMMYFUNCTION("""COMPUTED_VALUE"""),56.69)</f>
        <v>56.69</v>
      </c>
      <c r="C115" s="22">
        <f>IFERROR(__xludf.DUMMYFUNCTION("""COMPUTED_VALUE"""),43385.66666666667)</f>
        <v>43385.66667</v>
      </c>
      <c r="D115" s="23">
        <f>IFERROR(__xludf.DUMMYFUNCTION("""COMPUTED_VALUE"""),98.15)</f>
        <v>98.15</v>
      </c>
      <c r="E115" s="22">
        <f>IFERROR(__xludf.DUMMYFUNCTION("""COMPUTED_VALUE"""),42307.66666666667)</f>
        <v>42307.66667</v>
      </c>
      <c r="F115" s="23">
        <f>IFERROR(__xludf.DUMMYFUNCTION("""COMPUTED_VALUE"""),11.48)</f>
        <v>11.48</v>
      </c>
      <c r="G115" s="22">
        <f>IFERROR(__xludf.DUMMYFUNCTION("""COMPUTED_VALUE"""),41852.666666666664)</f>
        <v>41852.66667</v>
      </c>
      <c r="H115" s="23">
        <f>IFERROR(__xludf.DUMMYFUNCTION("""COMPUTED_VALUE"""),70.57)</f>
        <v>70.57</v>
      </c>
      <c r="I115" s="22">
        <f>IFERROR(__xludf.DUMMYFUNCTION("""COMPUTED_VALUE"""),41852.666666666664)</f>
        <v>41852.66667</v>
      </c>
      <c r="J115" s="23">
        <f>IFERROR(__xludf.DUMMYFUNCTION("""COMPUTED_VALUE"""),107.5)</f>
        <v>107.5</v>
      </c>
      <c r="K115" s="22">
        <f>IFERROR(__xludf.DUMMYFUNCTION("""COMPUTED_VALUE"""),41852.666666666664)</f>
        <v>41852.66667</v>
      </c>
      <c r="L115" s="23">
        <f>IFERROR(__xludf.DUMMYFUNCTION("""COMPUTED_VALUE"""),55.6)</f>
        <v>55.6</v>
      </c>
      <c r="M115" s="23">
        <v>200.0</v>
      </c>
      <c r="N115" s="23">
        <v>200.0</v>
      </c>
      <c r="O115" s="23">
        <v>200.0</v>
      </c>
      <c r="P115" s="23">
        <f t="shared" si="1"/>
        <v>2.834065467</v>
      </c>
      <c r="Q115" s="23">
        <f t="shared" si="2"/>
        <v>1.860465116</v>
      </c>
      <c r="R115" s="23">
        <f t="shared" si="3"/>
        <v>3.597122302</v>
      </c>
      <c r="S115" s="19"/>
      <c r="T115" s="19"/>
      <c r="U115" s="19"/>
      <c r="V115" s="19"/>
    </row>
    <row r="116">
      <c r="A116" s="22">
        <f>IFERROR(__xludf.DUMMYFUNCTION("""COMPUTED_VALUE"""),42131.66666666667)</f>
        <v>42131.66667</v>
      </c>
      <c r="B116" s="23">
        <f>IFERROR(__xludf.DUMMYFUNCTION("""COMPUTED_VALUE"""),56.25)</f>
        <v>56.25</v>
      </c>
      <c r="C116" s="22">
        <f>IFERROR(__xludf.DUMMYFUNCTION("""COMPUTED_VALUE"""),43388.66666666667)</f>
        <v>43388.66667</v>
      </c>
      <c r="D116" s="23">
        <f>IFERROR(__xludf.DUMMYFUNCTION("""COMPUTED_VALUE"""),97.19)</f>
        <v>97.19</v>
      </c>
      <c r="E116" s="22">
        <f>IFERROR(__xludf.DUMMYFUNCTION("""COMPUTED_VALUE"""),42310.66666666667)</f>
        <v>42310.66667</v>
      </c>
      <c r="F116" s="23">
        <f>IFERROR(__xludf.DUMMYFUNCTION("""COMPUTED_VALUE"""),11.28)</f>
        <v>11.28</v>
      </c>
      <c r="G116" s="22">
        <f>IFERROR(__xludf.DUMMYFUNCTION("""COMPUTED_VALUE"""),41859.666666666664)</f>
        <v>41859.66667</v>
      </c>
      <c r="H116" s="23">
        <f>IFERROR(__xludf.DUMMYFUNCTION("""COMPUTED_VALUE"""),69.12)</f>
        <v>69.12</v>
      </c>
      <c r="I116" s="22">
        <f>IFERROR(__xludf.DUMMYFUNCTION("""COMPUTED_VALUE"""),41859.666666666664)</f>
        <v>41859.66667</v>
      </c>
      <c r="J116" s="23">
        <f>IFERROR(__xludf.DUMMYFUNCTION("""COMPUTED_VALUE"""),106.33)</f>
        <v>106.33</v>
      </c>
      <c r="K116" s="22">
        <f>IFERROR(__xludf.DUMMYFUNCTION("""COMPUTED_VALUE"""),41859.666666666664)</f>
        <v>41859.66667</v>
      </c>
      <c r="L116" s="23">
        <f>IFERROR(__xludf.DUMMYFUNCTION("""COMPUTED_VALUE"""),54.34)</f>
        <v>54.34</v>
      </c>
      <c r="M116" s="23">
        <v>0.0</v>
      </c>
      <c r="N116" s="23">
        <v>0.0</v>
      </c>
      <c r="O116" s="23">
        <v>0.0</v>
      </c>
      <c r="P116" s="23">
        <f t="shared" si="1"/>
        <v>0</v>
      </c>
      <c r="Q116" s="23">
        <f t="shared" si="2"/>
        <v>0</v>
      </c>
      <c r="R116" s="23">
        <f t="shared" si="3"/>
        <v>0</v>
      </c>
      <c r="S116" s="19"/>
      <c r="T116" s="19"/>
      <c r="U116" s="19"/>
      <c r="V116" s="19"/>
    </row>
    <row r="117">
      <c r="A117" s="22">
        <f>IFERROR(__xludf.DUMMYFUNCTION("""COMPUTED_VALUE"""),42132.66666666667)</f>
        <v>42132.66667</v>
      </c>
      <c r="B117" s="23">
        <f>IFERROR(__xludf.DUMMYFUNCTION("""COMPUTED_VALUE"""),57.0)</f>
        <v>57</v>
      </c>
      <c r="C117" s="22">
        <f>IFERROR(__xludf.DUMMYFUNCTION("""COMPUTED_VALUE"""),43389.66666666667)</f>
        <v>43389.66667</v>
      </c>
      <c r="D117" s="23">
        <f>IFERROR(__xludf.DUMMYFUNCTION("""COMPUTED_VALUE"""),97.74)</f>
        <v>97.74</v>
      </c>
      <c r="E117" s="22">
        <f>IFERROR(__xludf.DUMMYFUNCTION("""COMPUTED_VALUE"""),42311.66666666667)</f>
        <v>42311.66667</v>
      </c>
      <c r="F117" s="23">
        <f>IFERROR(__xludf.DUMMYFUNCTION("""COMPUTED_VALUE"""),11.31)</f>
        <v>11.31</v>
      </c>
      <c r="G117" s="22">
        <f>IFERROR(__xludf.DUMMYFUNCTION("""COMPUTED_VALUE"""),41866.666666666664)</f>
        <v>41866.66667</v>
      </c>
      <c r="H117" s="23">
        <f>IFERROR(__xludf.DUMMYFUNCTION("""COMPUTED_VALUE"""),70.77)</f>
        <v>70.77</v>
      </c>
      <c r="I117" s="22">
        <f>IFERROR(__xludf.DUMMYFUNCTION("""COMPUTED_VALUE"""),41866.666666666664)</f>
        <v>41866.66667</v>
      </c>
      <c r="J117" s="23">
        <f>IFERROR(__xludf.DUMMYFUNCTION("""COMPUTED_VALUE"""),108.48)</f>
        <v>108.48</v>
      </c>
      <c r="K117" s="22">
        <f>IFERROR(__xludf.DUMMYFUNCTION("""COMPUTED_VALUE"""),41866.666666666664)</f>
        <v>41866.66667</v>
      </c>
      <c r="L117" s="23">
        <f>IFERROR(__xludf.DUMMYFUNCTION("""COMPUTED_VALUE"""),55.25)</f>
        <v>55.25</v>
      </c>
      <c r="M117" s="23">
        <v>0.0</v>
      </c>
      <c r="N117" s="23">
        <v>0.0</v>
      </c>
      <c r="O117" s="23">
        <v>0.0</v>
      </c>
      <c r="P117" s="23">
        <f t="shared" si="1"/>
        <v>0</v>
      </c>
      <c r="Q117" s="23">
        <f t="shared" si="2"/>
        <v>0</v>
      </c>
      <c r="R117" s="23">
        <f t="shared" si="3"/>
        <v>0</v>
      </c>
      <c r="S117" s="19"/>
      <c r="T117" s="19"/>
      <c r="U117" s="19"/>
      <c r="V117" s="19"/>
    </row>
    <row r="118">
      <c r="A118" s="22">
        <f>IFERROR(__xludf.DUMMYFUNCTION("""COMPUTED_VALUE"""),42135.66666666667)</f>
        <v>42135.66667</v>
      </c>
      <c r="B118" s="23">
        <f>IFERROR(__xludf.DUMMYFUNCTION("""COMPUTED_VALUE"""),57.74)</f>
        <v>57.74</v>
      </c>
      <c r="C118" s="22">
        <f>IFERROR(__xludf.DUMMYFUNCTION("""COMPUTED_VALUE"""),43390.66666666667)</f>
        <v>43390.66667</v>
      </c>
      <c r="D118" s="23">
        <f>IFERROR(__xludf.DUMMYFUNCTION("""COMPUTED_VALUE"""),98.88)</f>
        <v>98.88</v>
      </c>
      <c r="E118" s="22">
        <f>IFERROR(__xludf.DUMMYFUNCTION("""COMPUTED_VALUE"""),42312.66666666667)</f>
        <v>42312.66667</v>
      </c>
      <c r="F118" s="23">
        <f>IFERROR(__xludf.DUMMYFUNCTION("""COMPUTED_VALUE"""),11.4)</f>
        <v>11.4</v>
      </c>
      <c r="G118" s="22">
        <f>IFERROR(__xludf.DUMMYFUNCTION("""COMPUTED_VALUE"""),41873.666666666664)</f>
        <v>41873.66667</v>
      </c>
      <c r="H118" s="23">
        <f>IFERROR(__xludf.DUMMYFUNCTION("""COMPUTED_VALUE"""),72.02)</f>
        <v>72.02</v>
      </c>
      <c r="I118" s="22">
        <f>IFERROR(__xludf.DUMMYFUNCTION("""COMPUTED_VALUE"""),41873.666666666664)</f>
        <v>41873.66667</v>
      </c>
      <c r="J118" s="23">
        <f>IFERROR(__xludf.DUMMYFUNCTION("""COMPUTED_VALUE"""),110.76)</f>
        <v>110.76</v>
      </c>
      <c r="K118" s="22">
        <f>IFERROR(__xludf.DUMMYFUNCTION("""COMPUTED_VALUE"""),41873.666666666664)</f>
        <v>41873.66667</v>
      </c>
      <c r="L118" s="23">
        <f>IFERROR(__xludf.DUMMYFUNCTION("""COMPUTED_VALUE"""),55.67)</f>
        <v>55.67</v>
      </c>
      <c r="M118" s="23">
        <v>0.0</v>
      </c>
      <c r="N118" s="23">
        <v>0.0</v>
      </c>
      <c r="O118" s="23">
        <v>0.0</v>
      </c>
      <c r="P118" s="23">
        <f t="shared" si="1"/>
        <v>0</v>
      </c>
      <c r="Q118" s="23">
        <f t="shared" si="2"/>
        <v>0</v>
      </c>
      <c r="R118" s="23">
        <f t="shared" si="3"/>
        <v>0</v>
      </c>
      <c r="S118" s="19"/>
      <c r="T118" s="19"/>
      <c r="U118" s="19"/>
      <c r="V118" s="19"/>
    </row>
    <row r="119">
      <c r="A119" s="22">
        <f>IFERROR(__xludf.DUMMYFUNCTION("""COMPUTED_VALUE"""),42136.66666666667)</f>
        <v>42136.66667</v>
      </c>
      <c r="B119" s="23">
        <f>IFERROR(__xludf.DUMMYFUNCTION("""COMPUTED_VALUE"""),57.6)</f>
        <v>57.6</v>
      </c>
      <c r="C119" s="22">
        <f>IFERROR(__xludf.DUMMYFUNCTION("""COMPUTED_VALUE"""),43391.66666666667)</f>
        <v>43391.66667</v>
      </c>
      <c r="D119" s="23">
        <f>IFERROR(__xludf.DUMMYFUNCTION("""COMPUTED_VALUE"""),98.82)</f>
        <v>98.82</v>
      </c>
      <c r="E119" s="22">
        <f>IFERROR(__xludf.DUMMYFUNCTION("""COMPUTED_VALUE"""),42313.66666666667)</f>
        <v>42313.66667</v>
      </c>
      <c r="F119" s="23">
        <f>IFERROR(__xludf.DUMMYFUNCTION("""COMPUTED_VALUE"""),11.46)</f>
        <v>11.46</v>
      </c>
      <c r="G119" s="22">
        <f>IFERROR(__xludf.DUMMYFUNCTION("""COMPUTED_VALUE"""),41880.666666666664)</f>
        <v>41880.66667</v>
      </c>
      <c r="H119" s="23">
        <f>IFERROR(__xludf.DUMMYFUNCTION("""COMPUTED_VALUE"""),71.89)</f>
        <v>71.89</v>
      </c>
      <c r="I119" s="22">
        <f>IFERROR(__xludf.DUMMYFUNCTION("""COMPUTED_VALUE"""),41880.666666666664)</f>
        <v>41880.66667</v>
      </c>
      <c r="J119" s="23">
        <f>IFERROR(__xludf.DUMMYFUNCTION("""COMPUTED_VALUE"""),111.05)</f>
        <v>111.05</v>
      </c>
      <c r="K119" s="22">
        <f>IFERROR(__xludf.DUMMYFUNCTION("""COMPUTED_VALUE"""),41880.666666666664)</f>
        <v>41880.66667</v>
      </c>
      <c r="L119" s="23">
        <f>IFERROR(__xludf.DUMMYFUNCTION("""COMPUTED_VALUE"""),55.78)</f>
        <v>55.78</v>
      </c>
      <c r="M119" s="23">
        <v>200.0</v>
      </c>
      <c r="N119" s="23">
        <v>200.0</v>
      </c>
      <c r="O119" s="23">
        <v>200.0</v>
      </c>
      <c r="P119" s="23">
        <f t="shared" si="1"/>
        <v>2.782028098</v>
      </c>
      <c r="Q119" s="23">
        <f t="shared" si="2"/>
        <v>1.800990545</v>
      </c>
      <c r="R119" s="23">
        <f t="shared" si="3"/>
        <v>3.585514521</v>
      </c>
      <c r="S119" s="19"/>
      <c r="T119" s="19"/>
      <c r="U119" s="19"/>
      <c r="V119" s="19"/>
    </row>
    <row r="120">
      <c r="A120" s="22">
        <f>IFERROR(__xludf.DUMMYFUNCTION("""COMPUTED_VALUE"""),42137.66666666667)</f>
        <v>42137.66667</v>
      </c>
      <c r="B120" s="23">
        <f>IFERROR(__xludf.DUMMYFUNCTION("""COMPUTED_VALUE"""),57.01)</f>
        <v>57.01</v>
      </c>
      <c r="C120" s="22">
        <f>IFERROR(__xludf.DUMMYFUNCTION("""COMPUTED_VALUE"""),43392.66666666667)</f>
        <v>43392.66667</v>
      </c>
      <c r="D120" s="23">
        <f>IFERROR(__xludf.DUMMYFUNCTION("""COMPUTED_VALUE"""),98.77)</f>
        <v>98.77</v>
      </c>
      <c r="E120" s="22">
        <f>IFERROR(__xludf.DUMMYFUNCTION("""COMPUTED_VALUE"""),42314.66666666667)</f>
        <v>42314.66667</v>
      </c>
      <c r="F120" s="23">
        <f>IFERROR(__xludf.DUMMYFUNCTION("""COMPUTED_VALUE"""),11.43)</f>
        <v>11.43</v>
      </c>
      <c r="G120" s="22">
        <f>IFERROR(__xludf.DUMMYFUNCTION("""COMPUTED_VALUE"""),41887.666666666664)</f>
        <v>41887.66667</v>
      </c>
      <c r="H120" s="23">
        <f>IFERROR(__xludf.DUMMYFUNCTION("""COMPUTED_VALUE"""),71.89)</f>
        <v>71.89</v>
      </c>
      <c r="I120" s="22">
        <f>IFERROR(__xludf.DUMMYFUNCTION("""COMPUTED_VALUE"""),41887.666666666664)</f>
        <v>41887.66667</v>
      </c>
      <c r="J120" s="23">
        <f>IFERROR(__xludf.DUMMYFUNCTION("""COMPUTED_VALUE"""),110.99)</f>
        <v>110.99</v>
      </c>
      <c r="K120" s="22">
        <f>IFERROR(__xludf.DUMMYFUNCTION("""COMPUTED_VALUE"""),41887.666666666664)</f>
        <v>41887.66667</v>
      </c>
      <c r="L120" s="23">
        <f>IFERROR(__xludf.DUMMYFUNCTION("""COMPUTED_VALUE"""),55.9)</f>
        <v>55.9</v>
      </c>
      <c r="M120" s="23">
        <v>0.0</v>
      </c>
      <c r="N120" s="23">
        <v>0.0</v>
      </c>
      <c r="O120" s="23">
        <v>0.0</v>
      </c>
      <c r="P120" s="23">
        <f t="shared" si="1"/>
        <v>0</v>
      </c>
      <c r="Q120" s="23">
        <f t="shared" si="2"/>
        <v>0</v>
      </c>
      <c r="R120" s="23">
        <f t="shared" si="3"/>
        <v>0</v>
      </c>
      <c r="S120" s="19"/>
      <c r="T120" s="19"/>
      <c r="U120" s="19"/>
      <c r="V120" s="19"/>
    </row>
    <row r="121">
      <c r="A121" s="22">
        <f>IFERROR(__xludf.DUMMYFUNCTION("""COMPUTED_VALUE"""),42138.66666666667)</f>
        <v>42138.66667</v>
      </c>
      <c r="B121" s="23">
        <f>IFERROR(__xludf.DUMMYFUNCTION("""COMPUTED_VALUE"""),56.22)</f>
        <v>56.22</v>
      </c>
      <c r="C121" s="22">
        <f>IFERROR(__xludf.DUMMYFUNCTION("""COMPUTED_VALUE"""),43395.66666666667)</f>
        <v>43395.66667</v>
      </c>
      <c r="D121" s="23">
        <f>IFERROR(__xludf.DUMMYFUNCTION("""COMPUTED_VALUE"""),98.38)</f>
        <v>98.38</v>
      </c>
      <c r="E121" s="22">
        <f>IFERROR(__xludf.DUMMYFUNCTION("""COMPUTED_VALUE"""),42317.66666666667)</f>
        <v>42317.66667</v>
      </c>
      <c r="F121" s="23">
        <f>IFERROR(__xludf.DUMMYFUNCTION("""COMPUTED_VALUE"""),11.63)</f>
        <v>11.63</v>
      </c>
      <c r="G121" s="22">
        <f>IFERROR(__xludf.DUMMYFUNCTION("""COMPUTED_VALUE"""),41894.666666666664)</f>
        <v>41894.66667</v>
      </c>
      <c r="H121" s="23">
        <f>IFERROR(__xludf.DUMMYFUNCTION("""COMPUTED_VALUE"""),71.09)</f>
        <v>71.09</v>
      </c>
      <c r="I121" s="22">
        <f>IFERROR(__xludf.DUMMYFUNCTION("""COMPUTED_VALUE"""),41894.666666666664)</f>
        <v>41894.66667</v>
      </c>
      <c r="J121" s="23">
        <f>IFERROR(__xludf.DUMMYFUNCTION("""COMPUTED_VALUE"""),114.63)</f>
        <v>114.63</v>
      </c>
      <c r="K121" s="22">
        <f>IFERROR(__xludf.DUMMYFUNCTION("""COMPUTED_VALUE"""),41894.666666666664)</f>
        <v>41894.66667</v>
      </c>
      <c r="L121" s="23">
        <f>IFERROR(__xludf.DUMMYFUNCTION("""COMPUTED_VALUE"""),56.96)</f>
        <v>56.96</v>
      </c>
      <c r="M121" s="23">
        <v>0.0</v>
      </c>
      <c r="N121" s="23">
        <v>0.0</v>
      </c>
      <c r="O121" s="23">
        <v>0.0</v>
      </c>
      <c r="P121" s="23">
        <f t="shared" si="1"/>
        <v>0</v>
      </c>
      <c r="Q121" s="23">
        <f t="shared" si="2"/>
        <v>0</v>
      </c>
      <c r="R121" s="23">
        <f t="shared" si="3"/>
        <v>0</v>
      </c>
      <c r="S121" s="19"/>
      <c r="T121" s="19"/>
      <c r="U121" s="19"/>
      <c r="V121" s="19"/>
    </row>
    <row r="122">
      <c r="A122" s="22">
        <f>IFERROR(__xludf.DUMMYFUNCTION("""COMPUTED_VALUE"""),42139.66666666667)</f>
        <v>42139.66667</v>
      </c>
      <c r="B122" s="23">
        <f>IFERROR(__xludf.DUMMYFUNCTION("""COMPUTED_VALUE"""),57.47)</f>
        <v>57.47</v>
      </c>
      <c r="C122" s="22">
        <f>IFERROR(__xludf.DUMMYFUNCTION("""COMPUTED_VALUE"""),43396.66666666667)</f>
        <v>43396.66667</v>
      </c>
      <c r="D122" s="23">
        <f>IFERROR(__xludf.DUMMYFUNCTION("""COMPUTED_VALUE"""),97.59)</f>
        <v>97.59</v>
      </c>
      <c r="E122" s="22">
        <f>IFERROR(__xludf.DUMMYFUNCTION("""COMPUTED_VALUE"""),42318.66666666667)</f>
        <v>42318.66667</v>
      </c>
      <c r="F122" s="23">
        <f>IFERROR(__xludf.DUMMYFUNCTION("""COMPUTED_VALUE"""),11.52)</f>
        <v>11.52</v>
      </c>
      <c r="G122" s="22">
        <f>IFERROR(__xludf.DUMMYFUNCTION("""COMPUTED_VALUE"""),41901.666666666664)</f>
        <v>41901.66667</v>
      </c>
      <c r="H122" s="23">
        <f>IFERROR(__xludf.DUMMYFUNCTION("""COMPUTED_VALUE"""),69.96)</f>
        <v>69.96</v>
      </c>
      <c r="I122" s="22">
        <f>IFERROR(__xludf.DUMMYFUNCTION("""COMPUTED_VALUE"""),41901.666666666664)</f>
        <v>41901.66667</v>
      </c>
      <c r="J122" s="23">
        <f>IFERROR(__xludf.DUMMYFUNCTION("""COMPUTED_VALUE"""),117.05)</f>
        <v>117.05</v>
      </c>
      <c r="K122" s="22">
        <f>IFERROR(__xludf.DUMMYFUNCTION("""COMPUTED_VALUE"""),41901.666666666664)</f>
        <v>41901.66667</v>
      </c>
      <c r="L122" s="23">
        <f>IFERROR(__xludf.DUMMYFUNCTION("""COMPUTED_VALUE"""),57.8)</f>
        <v>57.8</v>
      </c>
      <c r="M122" s="23">
        <v>0.0</v>
      </c>
      <c r="N122" s="23">
        <v>0.0</v>
      </c>
      <c r="O122" s="23">
        <v>0.0</v>
      </c>
      <c r="P122" s="23">
        <f t="shared" si="1"/>
        <v>0</v>
      </c>
      <c r="Q122" s="23">
        <f t="shared" si="2"/>
        <v>0</v>
      </c>
      <c r="R122" s="23">
        <f t="shared" si="3"/>
        <v>0</v>
      </c>
      <c r="S122" s="19"/>
      <c r="T122" s="19"/>
      <c r="U122" s="19"/>
      <c r="V122" s="19"/>
    </row>
    <row r="123">
      <c r="A123" s="22">
        <f>IFERROR(__xludf.DUMMYFUNCTION("""COMPUTED_VALUE"""),42142.66666666667)</f>
        <v>42142.66667</v>
      </c>
      <c r="B123" s="23">
        <f>IFERROR(__xludf.DUMMYFUNCTION("""COMPUTED_VALUE"""),57.5)</f>
        <v>57.5</v>
      </c>
      <c r="C123" s="22">
        <f>IFERROR(__xludf.DUMMYFUNCTION("""COMPUTED_VALUE"""),43397.66666666667)</f>
        <v>43397.66667</v>
      </c>
      <c r="D123" s="23">
        <f>IFERROR(__xludf.DUMMYFUNCTION("""COMPUTED_VALUE"""),97.08)</f>
        <v>97.08</v>
      </c>
      <c r="E123" s="22">
        <f>IFERROR(__xludf.DUMMYFUNCTION("""COMPUTED_VALUE"""),42319.66666666667)</f>
        <v>42319.66667</v>
      </c>
      <c r="F123" s="23">
        <f>IFERROR(__xludf.DUMMYFUNCTION("""COMPUTED_VALUE"""),11.46)</f>
        <v>11.46</v>
      </c>
      <c r="G123" s="22">
        <f>IFERROR(__xludf.DUMMYFUNCTION("""COMPUTED_VALUE"""),41908.666666666664)</f>
        <v>41908.66667</v>
      </c>
      <c r="H123" s="23">
        <f>IFERROR(__xludf.DUMMYFUNCTION("""COMPUTED_VALUE"""),68.41)</f>
        <v>68.41</v>
      </c>
      <c r="I123" s="22">
        <f>IFERROR(__xludf.DUMMYFUNCTION("""COMPUTED_VALUE"""),41908.666666666664)</f>
        <v>41908.66667</v>
      </c>
      <c r="J123" s="23">
        <f>IFERROR(__xludf.DUMMYFUNCTION("""COMPUTED_VALUE"""),115.81)</f>
        <v>115.81</v>
      </c>
      <c r="K123" s="22">
        <f>IFERROR(__xludf.DUMMYFUNCTION("""COMPUTED_VALUE"""),41908.666666666664)</f>
        <v>41908.66667</v>
      </c>
      <c r="L123" s="23">
        <f>IFERROR(__xludf.DUMMYFUNCTION("""COMPUTED_VALUE"""),56.86)</f>
        <v>56.86</v>
      </c>
      <c r="M123" s="23">
        <v>200.0</v>
      </c>
      <c r="N123" s="23">
        <v>200.0</v>
      </c>
      <c r="O123" s="23">
        <v>200.0</v>
      </c>
      <c r="P123" s="23">
        <f t="shared" si="1"/>
        <v>2.923549189</v>
      </c>
      <c r="Q123" s="23">
        <f t="shared" si="2"/>
        <v>1.726966583</v>
      </c>
      <c r="R123" s="23">
        <f t="shared" si="3"/>
        <v>3.517411185</v>
      </c>
      <c r="S123" s="19"/>
      <c r="T123" s="19"/>
      <c r="U123" s="19"/>
      <c r="V123" s="19"/>
    </row>
    <row r="124">
      <c r="A124" s="22">
        <f>IFERROR(__xludf.DUMMYFUNCTION("""COMPUTED_VALUE"""),42143.66666666667)</f>
        <v>42143.66667</v>
      </c>
      <c r="B124" s="23">
        <f>IFERROR(__xludf.DUMMYFUNCTION("""COMPUTED_VALUE"""),57.79)</f>
        <v>57.79</v>
      </c>
      <c r="C124" s="22">
        <f>IFERROR(__xludf.DUMMYFUNCTION("""COMPUTED_VALUE"""),43398.66666666667)</f>
        <v>43398.66667</v>
      </c>
      <c r="D124" s="23">
        <f>IFERROR(__xludf.DUMMYFUNCTION("""COMPUTED_VALUE"""),94.31)</f>
        <v>94.31</v>
      </c>
      <c r="E124" s="22">
        <f>IFERROR(__xludf.DUMMYFUNCTION("""COMPUTED_VALUE"""),42320.66666666667)</f>
        <v>42320.66667</v>
      </c>
      <c r="F124" s="23">
        <f>IFERROR(__xludf.DUMMYFUNCTION("""COMPUTED_VALUE"""),11.34)</f>
        <v>11.34</v>
      </c>
      <c r="G124" s="22">
        <f>IFERROR(__xludf.DUMMYFUNCTION("""COMPUTED_VALUE"""),41915.666666666664)</f>
        <v>41915.66667</v>
      </c>
      <c r="H124" s="23">
        <f>IFERROR(__xludf.DUMMYFUNCTION("""COMPUTED_VALUE"""),67.4)</f>
        <v>67.4</v>
      </c>
      <c r="I124" s="22">
        <f>IFERROR(__xludf.DUMMYFUNCTION("""COMPUTED_VALUE"""),41915.666666666664)</f>
        <v>41915.66667</v>
      </c>
      <c r="J124" s="23">
        <f>IFERROR(__xludf.DUMMYFUNCTION("""COMPUTED_VALUE"""),114.3)</f>
        <v>114.3</v>
      </c>
      <c r="K124" s="22">
        <f>IFERROR(__xludf.DUMMYFUNCTION("""COMPUTED_VALUE"""),41915.666666666664)</f>
        <v>41915.66667</v>
      </c>
      <c r="L124" s="23">
        <f>IFERROR(__xludf.DUMMYFUNCTION("""COMPUTED_VALUE"""),55.27)</f>
        <v>55.27</v>
      </c>
      <c r="M124" s="23">
        <v>0.0</v>
      </c>
      <c r="N124" s="23">
        <v>0.0</v>
      </c>
      <c r="O124" s="23">
        <v>0.0</v>
      </c>
      <c r="P124" s="23">
        <f t="shared" si="1"/>
        <v>0</v>
      </c>
      <c r="Q124" s="23">
        <f t="shared" si="2"/>
        <v>0</v>
      </c>
      <c r="R124" s="23">
        <f t="shared" si="3"/>
        <v>0</v>
      </c>
      <c r="S124" s="19"/>
      <c r="T124" s="19"/>
      <c r="U124" s="19"/>
      <c r="V124" s="19"/>
    </row>
    <row r="125">
      <c r="A125" s="22">
        <f>IFERROR(__xludf.DUMMYFUNCTION("""COMPUTED_VALUE"""),42144.66666666667)</f>
        <v>42144.66667</v>
      </c>
      <c r="B125" s="23">
        <f>IFERROR(__xludf.DUMMYFUNCTION("""COMPUTED_VALUE"""),58.09)</f>
        <v>58.09</v>
      </c>
      <c r="C125" s="22">
        <f>IFERROR(__xludf.DUMMYFUNCTION("""COMPUTED_VALUE"""),43399.66666666667)</f>
        <v>43399.66667</v>
      </c>
      <c r="D125" s="23">
        <f>IFERROR(__xludf.DUMMYFUNCTION("""COMPUTED_VALUE"""),94.0)</f>
        <v>94</v>
      </c>
      <c r="E125" s="22">
        <f>IFERROR(__xludf.DUMMYFUNCTION("""COMPUTED_VALUE"""),42321.66666666667)</f>
        <v>42321.66667</v>
      </c>
      <c r="F125" s="23">
        <f>IFERROR(__xludf.DUMMYFUNCTION("""COMPUTED_VALUE"""),11.19)</f>
        <v>11.19</v>
      </c>
      <c r="G125" s="22">
        <f>IFERROR(__xludf.DUMMYFUNCTION("""COMPUTED_VALUE"""),41922.666666666664)</f>
        <v>41922.66667</v>
      </c>
      <c r="H125" s="23">
        <f>IFERROR(__xludf.DUMMYFUNCTION("""COMPUTED_VALUE"""),66.0)</f>
        <v>66</v>
      </c>
      <c r="I125" s="22">
        <f>IFERROR(__xludf.DUMMYFUNCTION("""COMPUTED_VALUE"""),41922.666666666664)</f>
        <v>41922.66667</v>
      </c>
      <c r="J125" s="23">
        <f>IFERROR(__xludf.DUMMYFUNCTION("""COMPUTED_VALUE"""),112.74)</f>
        <v>112.74</v>
      </c>
      <c r="K125" s="22">
        <f>IFERROR(__xludf.DUMMYFUNCTION("""COMPUTED_VALUE"""),41922.666666666664)</f>
        <v>41922.66667</v>
      </c>
      <c r="L125" s="23">
        <f>IFERROR(__xludf.DUMMYFUNCTION("""COMPUTED_VALUE"""),54.29)</f>
        <v>54.29</v>
      </c>
      <c r="M125" s="23">
        <v>0.0</v>
      </c>
      <c r="N125" s="23">
        <v>0.0</v>
      </c>
      <c r="O125" s="23">
        <v>0.0</v>
      </c>
      <c r="P125" s="23">
        <f t="shared" si="1"/>
        <v>0</v>
      </c>
      <c r="Q125" s="23">
        <f t="shared" si="2"/>
        <v>0</v>
      </c>
      <c r="R125" s="23">
        <f t="shared" si="3"/>
        <v>0</v>
      </c>
      <c r="S125" s="19"/>
      <c r="T125" s="19"/>
      <c r="U125" s="19"/>
      <c r="V125" s="19"/>
    </row>
    <row r="126">
      <c r="A126" s="22">
        <f>IFERROR(__xludf.DUMMYFUNCTION("""COMPUTED_VALUE"""),42145.66666666667)</f>
        <v>42145.66667</v>
      </c>
      <c r="B126" s="23">
        <f>IFERROR(__xludf.DUMMYFUNCTION("""COMPUTED_VALUE"""),58.09)</f>
        <v>58.09</v>
      </c>
      <c r="C126" s="22">
        <f>IFERROR(__xludf.DUMMYFUNCTION("""COMPUTED_VALUE"""),43402.66666666667)</f>
        <v>43402.66667</v>
      </c>
      <c r="D126" s="23">
        <f>IFERROR(__xludf.DUMMYFUNCTION("""COMPUTED_VALUE"""),95.55)</f>
        <v>95.55</v>
      </c>
      <c r="E126" s="22">
        <f>IFERROR(__xludf.DUMMYFUNCTION("""COMPUTED_VALUE"""),42324.66666666667)</f>
        <v>42324.66667</v>
      </c>
      <c r="F126" s="23">
        <f>IFERROR(__xludf.DUMMYFUNCTION("""COMPUTED_VALUE"""),10.93)</f>
        <v>10.93</v>
      </c>
      <c r="G126" s="22">
        <f>IFERROR(__xludf.DUMMYFUNCTION("""COMPUTED_VALUE"""),41929.666666666664)</f>
        <v>41929.66667</v>
      </c>
      <c r="H126" s="23">
        <f>IFERROR(__xludf.DUMMYFUNCTION("""COMPUTED_VALUE"""),66.84)</f>
        <v>66.84</v>
      </c>
      <c r="I126" s="22">
        <f>IFERROR(__xludf.DUMMYFUNCTION("""COMPUTED_VALUE"""),41929.666666666664)</f>
        <v>41929.66667</v>
      </c>
      <c r="J126" s="23">
        <f>IFERROR(__xludf.DUMMYFUNCTION("""COMPUTED_VALUE"""),109.81)</f>
        <v>109.81</v>
      </c>
      <c r="K126" s="22">
        <f>IFERROR(__xludf.DUMMYFUNCTION("""COMPUTED_VALUE"""),41929.666666666664)</f>
        <v>41929.66667</v>
      </c>
      <c r="L126" s="23">
        <f>IFERROR(__xludf.DUMMYFUNCTION("""COMPUTED_VALUE"""),52.92)</f>
        <v>52.92</v>
      </c>
      <c r="M126" s="23">
        <v>0.0</v>
      </c>
      <c r="N126" s="23">
        <v>0.0</v>
      </c>
      <c r="O126" s="23">
        <v>0.0</v>
      </c>
      <c r="P126" s="23">
        <f t="shared" si="1"/>
        <v>0</v>
      </c>
      <c r="Q126" s="23">
        <f t="shared" si="2"/>
        <v>0</v>
      </c>
      <c r="R126" s="23">
        <f t="shared" si="3"/>
        <v>0</v>
      </c>
      <c r="S126" s="19"/>
      <c r="T126" s="19"/>
      <c r="U126" s="19"/>
      <c r="V126" s="19"/>
    </row>
    <row r="127">
      <c r="A127" s="22">
        <f>IFERROR(__xludf.DUMMYFUNCTION("""COMPUTED_VALUE"""),42146.66666666667)</f>
        <v>42146.66667</v>
      </c>
      <c r="B127" s="23">
        <f>IFERROR(__xludf.DUMMYFUNCTION("""COMPUTED_VALUE"""),58.55)</f>
        <v>58.55</v>
      </c>
      <c r="C127" s="22">
        <f>IFERROR(__xludf.DUMMYFUNCTION("""COMPUTED_VALUE"""),43403.66666666667)</f>
        <v>43403.66667</v>
      </c>
      <c r="D127" s="23">
        <f>IFERROR(__xludf.DUMMYFUNCTION("""COMPUTED_VALUE"""),96.72)</f>
        <v>96.72</v>
      </c>
      <c r="E127" s="22">
        <f>IFERROR(__xludf.DUMMYFUNCTION("""COMPUTED_VALUE"""),42325.66666666667)</f>
        <v>42325.66667</v>
      </c>
      <c r="F127" s="23">
        <f>IFERROR(__xludf.DUMMYFUNCTION("""COMPUTED_VALUE"""),11.22)</f>
        <v>11.22</v>
      </c>
      <c r="G127" s="22">
        <f>IFERROR(__xludf.DUMMYFUNCTION("""COMPUTED_VALUE"""),41936.666666666664)</f>
        <v>41936.66667</v>
      </c>
      <c r="H127" s="23">
        <f>IFERROR(__xludf.DUMMYFUNCTION("""COMPUTED_VALUE"""),68.66)</f>
        <v>68.66</v>
      </c>
      <c r="I127" s="22">
        <f>IFERROR(__xludf.DUMMYFUNCTION("""COMPUTED_VALUE"""),41936.666666666664)</f>
        <v>41936.66667</v>
      </c>
      <c r="J127" s="23">
        <f>IFERROR(__xludf.DUMMYFUNCTION("""COMPUTED_VALUE"""),114.35)</f>
        <v>114.35</v>
      </c>
      <c r="K127" s="22">
        <f>IFERROR(__xludf.DUMMYFUNCTION("""COMPUTED_VALUE"""),41936.666666666664)</f>
        <v>41936.66667</v>
      </c>
      <c r="L127" s="23">
        <f>IFERROR(__xludf.DUMMYFUNCTION("""COMPUTED_VALUE"""),54.42)</f>
        <v>54.42</v>
      </c>
      <c r="M127" s="23">
        <v>200.0</v>
      </c>
      <c r="N127" s="23">
        <v>200.0</v>
      </c>
      <c r="O127" s="23">
        <v>200.0</v>
      </c>
      <c r="P127" s="23">
        <f t="shared" si="1"/>
        <v>2.912904165</v>
      </c>
      <c r="Q127" s="23">
        <f t="shared" si="2"/>
        <v>1.749016178</v>
      </c>
      <c r="R127" s="23">
        <f t="shared" si="3"/>
        <v>3.675119441</v>
      </c>
      <c r="S127" s="19"/>
      <c r="T127" s="19"/>
      <c r="U127" s="19"/>
      <c r="V127" s="19"/>
    </row>
    <row r="128">
      <c r="A128" s="22">
        <f>IFERROR(__xludf.DUMMYFUNCTION("""COMPUTED_VALUE"""),42149.66666666667)</f>
        <v>42149.66667</v>
      </c>
      <c r="B128" s="23">
        <f>IFERROR(__xludf.DUMMYFUNCTION("""COMPUTED_VALUE"""),58.75)</f>
        <v>58.75</v>
      </c>
      <c r="C128" s="22">
        <f>IFERROR(__xludf.DUMMYFUNCTION("""COMPUTED_VALUE"""),43404.66666666667)</f>
        <v>43404.66667</v>
      </c>
      <c r="D128" s="23">
        <f>IFERROR(__xludf.DUMMYFUNCTION("""COMPUTED_VALUE"""),96.57)</f>
        <v>96.57</v>
      </c>
      <c r="E128" s="22">
        <f>IFERROR(__xludf.DUMMYFUNCTION("""COMPUTED_VALUE"""),42326.66666666667)</f>
        <v>42326.66667</v>
      </c>
      <c r="F128" s="23">
        <f>IFERROR(__xludf.DUMMYFUNCTION("""COMPUTED_VALUE"""),11.2)</f>
        <v>11.2</v>
      </c>
      <c r="G128" s="22">
        <f>IFERROR(__xludf.DUMMYFUNCTION("""COMPUTED_VALUE"""),41943.666666666664)</f>
        <v>41943.66667</v>
      </c>
      <c r="H128" s="23">
        <f>IFERROR(__xludf.DUMMYFUNCTION("""COMPUTED_VALUE"""),69.86)</f>
        <v>69.86</v>
      </c>
      <c r="I128" s="22">
        <f>IFERROR(__xludf.DUMMYFUNCTION("""COMPUTED_VALUE"""),41943.666666666664)</f>
        <v>41943.66667</v>
      </c>
      <c r="J128" s="23">
        <f>IFERROR(__xludf.DUMMYFUNCTION("""COMPUTED_VALUE"""),117.3)</f>
        <v>117.3</v>
      </c>
      <c r="K128" s="22">
        <f>IFERROR(__xludf.DUMMYFUNCTION("""COMPUTED_VALUE"""),41943.666666666664)</f>
        <v>41943.66667</v>
      </c>
      <c r="L128" s="23">
        <f>IFERROR(__xludf.DUMMYFUNCTION("""COMPUTED_VALUE"""),55.52)</f>
        <v>55.52</v>
      </c>
      <c r="M128" s="23">
        <v>0.0</v>
      </c>
      <c r="N128" s="23">
        <v>0.0</v>
      </c>
      <c r="O128" s="23">
        <v>0.0</v>
      </c>
      <c r="P128" s="23">
        <f t="shared" si="1"/>
        <v>0</v>
      </c>
      <c r="Q128" s="23">
        <f t="shared" si="2"/>
        <v>0</v>
      </c>
      <c r="R128" s="23">
        <f t="shared" si="3"/>
        <v>0</v>
      </c>
      <c r="S128" s="19"/>
      <c r="T128" s="19"/>
      <c r="U128" s="19"/>
      <c r="V128" s="19"/>
    </row>
    <row r="129">
      <c r="A129" s="22">
        <f>IFERROR(__xludf.DUMMYFUNCTION("""COMPUTED_VALUE"""),42150.66666666667)</f>
        <v>42150.66667</v>
      </c>
      <c r="B129" s="23">
        <f>IFERROR(__xludf.DUMMYFUNCTION("""COMPUTED_VALUE"""),58.63)</f>
        <v>58.63</v>
      </c>
      <c r="C129" s="22">
        <f>IFERROR(__xludf.DUMMYFUNCTION("""COMPUTED_VALUE"""),43405.66666666667)</f>
        <v>43405.66667</v>
      </c>
      <c r="D129" s="23">
        <f>IFERROR(__xludf.DUMMYFUNCTION("""COMPUTED_VALUE"""),97.1)</f>
        <v>97.1</v>
      </c>
      <c r="E129" s="22">
        <f>IFERROR(__xludf.DUMMYFUNCTION("""COMPUTED_VALUE"""),42327.66666666667)</f>
        <v>42327.66667</v>
      </c>
      <c r="F129" s="23">
        <f>IFERROR(__xludf.DUMMYFUNCTION("""COMPUTED_VALUE"""),11.32)</f>
        <v>11.32</v>
      </c>
      <c r="G129" s="22">
        <f>IFERROR(__xludf.DUMMYFUNCTION("""COMPUTED_VALUE"""),41950.666666666664)</f>
        <v>41950.66667</v>
      </c>
      <c r="H129" s="23">
        <f>IFERROR(__xludf.DUMMYFUNCTION("""COMPUTED_VALUE"""),70.36)</f>
        <v>70.36</v>
      </c>
      <c r="I129" s="22">
        <f>IFERROR(__xludf.DUMMYFUNCTION("""COMPUTED_VALUE"""),41950.666666666664)</f>
        <v>41950.66667</v>
      </c>
      <c r="J129" s="23">
        <f>IFERROR(__xludf.DUMMYFUNCTION("""COMPUTED_VALUE"""),122.8)</f>
        <v>122.8</v>
      </c>
      <c r="K129" s="22">
        <f>IFERROR(__xludf.DUMMYFUNCTION("""COMPUTED_VALUE"""),41950.666666666664)</f>
        <v>41950.66667</v>
      </c>
      <c r="L129" s="23">
        <f>IFERROR(__xludf.DUMMYFUNCTION("""COMPUTED_VALUE"""),56.6)</f>
        <v>56.6</v>
      </c>
      <c r="M129" s="23">
        <v>0.0</v>
      </c>
      <c r="N129" s="23">
        <v>0.0</v>
      </c>
      <c r="O129" s="23">
        <v>0.0</v>
      </c>
      <c r="P129" s="23">
        <f t="shared" si="1"/>
        <v>0</v>
      </c>
      <c r="Q129" s="23">
        <f t="shared" si="2"/>
        <v>0</v>
      </c>
      <c r="R129" s="23">
        <f t="shared" si="3"/>
        <v>0</v>
      </c>
      <c r="S129" s="19"/>
      <c r="T129" s="19"/>
      <c r="U129" s="19"/>
      <c r="V129" s="19"/>
    </row>
    <row r="130">
      <c r="A130" s="22">
        <f>IFERROR(__xludf.DUMMYFUNCTION("""COMPUTED_VALUE"""),42151.66666666667)</f>
        <v>42151.66667</v>
      </c>
      <c r="B130" s="23">
        <f>IFERROR(__xludf.DUMMYFUNCTION("""COMPUTED_VALUE"""),58.35)</f>
        <v>58.35</v>
      </c>
      <c r="C130" s="22">
        <f>IFERROR(__xludf.DUMMYFUNCTION("""COMPUTED_VALUE"""),43406.66666666667)</f>
        <v>43406.66667</v>
      </c>
      <c r="D130" s="23">
        <f>IFERROR(__xludf.DUMMYFUNCTION("""COMPUTED_VALUE"""),97.28)</f>
        <v>97.28</v>
      </c>
      <c r="E130" s="22">
        <f>IFERROR(__xludf.DUMMYFUNCTION("""COMPUTED_VALUE"""),42328.66666666667)</f>
        <v>42328.66667</v>
      </c>
      <c r="F130" s="23">
        <f>IFERROR(__xludf.DUMMYFUNCTION("""COMPUTED_VALUE"""),11.27)</f>
        <v>11.27</v>
      </c>
      <c r="G130" s="22">
        <f>IFERROR(__xludf.DUMMYFUNCTION("""COMPUTED_VALUE"""),41957.66666666667)</f>
        <v>41957.66667</v>
      </c>
      <c r="H130" s="23">
        <f>IFERROR(__xludf.DUMMYFUNCTION("""COMPUTED_VALUE"""),69.44)</f>
        <v>69.44</v>
      </c>
      <c r="I130" s="22">
        <f>IFERROR(__xludf.DUMMYFUNCTION("""COMPUTED_VALUE"""),41957.66666666667)</f>
        <v>41957.66667</v>
      </c>
      <c r="J130" s="23">
        <f>IFERROR(__xludf.DUMMYFUNCTION("""COMPUTED_VALUE"""),120.99)</f>
        <v>120.99</v>
      </c>
      <c r="K130" s="22">
        <f>IFERROR(__xludf.DUMMYFUNCTION("""COMPUTED_VALUE"""),41957.66666666667)</f>
        <v>41957.66667</v>
      </c>
      <c r="L130" s="23">
        <f>IFERROR(__xludf.DUMMYFUNCTION("""COMPUTED_VALUE"""),55.85)</f>
        <v>55.85</v>
      </c>
      <c r="M130" s="23">
        <v>0.0</v>
      </c>
      <c r="N130" s="23">
        <v>0.0</v>
      </c>
      <c r="O130" s="23">
        <v>0.0</v>
      </c>
      <c r="P130" s="23">
        <f t="shared" si="1"/>
        <v>0</v>
      </c>
      <c r="Q130" s="23">
        <f t="shared" si="2"/>
        <v>0</v>
      </c>
      <c r="R130" s="23">
        <f t="shared" si="3"/>
        <v>0</v>
      </c>
      <c r="S130" s="19"/>
      <c r="T130" s="19"/>
      <c r="U130" s="19"/>
      <c r="V130" s="19"/>
    </row>
    <row r="131">
      <c r="A131" s="22">
        <f>IFERROR(__xludf.DUMMYFUNCTION("""COMPUTED_VALUE"""),42152.66666666667)</f>
        <v>42152.66667</v>
      </c>
      <c r="B131" s="23">
        <f>IFERROR(__xludf.DUMMYFUNCTION("""COMPUTED_VALUE"""),59.2)</f>
        <v>59.2</v>
      </c>
      <c r="C131" s="22">
        <f>IFERROR(__xludf.DUMMYFUNCTION("""COMPUTED_VALUE"""),43409.66666666667)</f>
        <v>43409.66667</v>
      </c>
      <c r="D131" s="23">
        <f>IFERROR(__xludf.DUMMYFUNCTION("""COMPUTED_VALUE"""),96.91)</f>
        <v>96.91</v>
      </c>
      <c r="E131" s="22">
        <f>IFERROR(__xludf.DUMMYFUNCTION("""COMPUTED_VALUE"""),42331.66666666667)</f>
        <v>42331.66667</v>
      </c>
      <c r="F131" s="23">
        <f>IFERROR(__xludf.DUMMYFUNCTION("""COMPUTED_VALUE"""),11.38)</f>
        <v>11.38</v>
      </c>
      <c r="G131" s="22">
        <f>IFERROR(__xludf.DUMMYFUNCTION("""COMPUTED_VALUE"""),41964.66666666667)</f>
        <v>41964.66667</v>
      </c>
      <c r="H131" s="23">
        <f>IFERROR(__xludf.DUMMYFUNCTION("""COMPUTED_VALUE"""),67.67)</f>
        <v>67.67</v>
      </c>
      <c r="I131" s="22">
        <f>IFERROR(__xludf.DUMMYFUNCTION("""COMPUTED_VALUE"""),41964.66666666667)</f>
        <v>41964.66667</v>
      </c>
      <c r="J131" s="23">
        <f>IFERROR(__xludf.DUMMYFUNCTION("""COMPUTED_VALUE"""),122.75)</f>
        <v>122.75</v>
      </c>
      <c r="K131" s="22">
        <f>IFERROR(__xludf.DUMMYFUNCTION("""COMPUTED_VALUE"""),41964.66666666667)</f>
        <v>41964.66667</v>
      </c>
      <c r="L131" s="23">
        <f>IFERROR(__xludf.DUMMYFUNCTION("""COMPUTED_VALUE"""),56.54)</f>
        <v>56.54</v>
      </c>
      <c r="M131" s="23">
        <v>200.0</v>
      </c>
      <c r="N131" s="23">
        <v>200.0</v>
      </c>
      <c r="O131" s="23">
        <v>200.0</v>
      </c>
      <c r="P131" s="23">
        <f t="shared" si="1"/>
        <v>2.955519433</v>
      </c>
      <c r="Q131" s="23">
        <f t="shared" si="2"/>
        <v>1.629327902</v>
      </c>
      <c r="R131" s="23">
        <f t="shared" si="3"/>
        <v>3.537318712</v>
      </c>
      <c r="S131" s="19"/>
      <c r="T131" s="19"/>
      <c r="U131" s="19"/>
      <c r="V131" s="19"/>
    </row>
    <row r="132">
      <c r="A132" s="22">
        <f>IFERROR(__xludf.DUMMYFUNCTION("""COMPUTED_VALUE"""),42153.66666666667)</f>
        <v>42153.66667</v>
      </c>
      <c r="B132" s="23">
        <f>IFERROR(__xludf.DUMMYFUNCTION("""COMPUTED_VALUE"""),59.75)</f>
        <v>59.75</v>
      </c>
      <c r="C132" s="22">
        <f>IFERROR(__xludf.DUMMYFUNCTION("""COMPUTED_VALUE"""),43410.66666666667)</f>
        <v>43410.66667</v>
      </c>
      <c r="D132" s="23">
        <f>IFERROR(__xludf.DUMMYFUNCTION("""COMPUTED_VALUE"""),97.62)</f>
        <v>97.62</v>
      </c>
      <c r="E132" s="22">
        <f>IFERROR(__xludf.DUMMYFUNCTION("""COMPUTED_VALUE"""),42332.66666666667)</f>
        <v>42332.66667</v>
      </c>
      <c r="F132" s="23">
        <f>IFERROR(__xludf.DUMMYFUNCTION("""COMPUTED_VALUE"""),11.31)</f>
        <v>11.31</v>
      </c>
      <c r="G132" s="22">
        <f>IFERROR(__xludf.DUMMYFUNCTION("""COMPUTED_VALUE"""),41971.66666666667)</f>
        <v>41971.66667</v>
      </c>
      <c r="H132" s="23">
        <f>IFERROR(__xludf.DUMMYFUNCTION("""COMPUTED_VALUE"""),67.88)</f>
        <v>67.88</v>
      </c>
      <c r="I132" s="22">
        <f>IFERROR(__xludf.DUMMYFUNCTION("""COMPUTED_VALUE"""),41971.66666666667)</f>
        <v>41971.66667</v>
      </c>
      <c r="J132" s="23">
        <f>IFERROR(__xludf.DUMMYFUNCTION("""COMPUTED_VALUE"""),126.14)</f>
        <v>126.14</v>
      </c>
      <c r="K132" s="22">
        <f>IFERROR(__xludf.DUMMYFUNCTION("""COMPUTED_VALUE"""),41971.66666666667)</f>
        <v>41971.66667</v>
      </c>
      <c r="L132" s="23">
        <f>IFERROR(__xludf.DUMMYFUNCTION("""COMPUTED_VALUE"""),58.27)</f>
        <v>58.27</v>
      </c>
      <c r="M132" s="23">
        <v>0.0</v>
      </c>
      <c r="N132" s="23">
        <v>0.0</v>
      </c>
      <c r="O132" s="23">
        <v>0.0</v>
      </c>
      <c r="P132" s="23">
        <f t="shared" si="1"/>
        <v>0</v>
      </c>
      <c r="Q132" s="23">
        <f t="shared" si="2"/>
        <v>0</v>
      </c>
      <c r="R132" s="23">
        <f t="shared" si="3"/>
        <v>0</v>
      </c>
      <c r="S132" s="19"/>
      <c r="T132" s="19"/>
      <c r="U132" s="19"/>
      <c r="V132" s="19"/>
    </row>
    <row r="133">
      <c r="A133" s="22">
        <f>IFERROR(__xludf.DUMMYFUNCTION("""COMPUTED_VALUE"""),42156.66666666667)</f>
        <v>42156.66667</v>
      </c>
      <c r="B133" s="23">
        <f>IFERROR(__xludf.DUMMYFUNCTION("""COMPUTED_VALUE"""),59.38)</f>
        <v>59.38</v>
      </c>
      <c r="C133" s="22">
        <f>IFERROR(__xludf.DUMMYFUNCTION("""COMPUTED_VALUE"""),43411.66666666667)</f>
        <v>43411.66667</v>
      </c>
      <c r="D133" s="23">
        <f>IFERROR(__xludf.DUMMYFUNCTION("""COMPUTED_VALUE"""),97.95)</f>
        <v>97.95</v>
      </c>
      <c r="E133" s="22">
        <f>IFERROR(__xludf.DUMMYFUNCTION("""COMPUTED_VALUE"""),42333.66666666667)</f>
        <v>42333.66667</v>
      </c>
      <c r="F133" s="23">
        <f>IFERROR(__xludf.DUMMYFUNCTION("""COMPUTED_VALUE"""),11.19)</f>
        <v>11.19</v>
      </c>
      <c r="G133" s="22">
        <f>IFERROR(__xludf.DUMMYFUNCTION("""COMPUTED_VALUE"""),41978.66666666667)</f>
        <v>41978.66667</v>
      </c>
      <c r="H133" s="23">
        <f>IFERROR(__xludf.DUMMYFUNCTION("""COMPUTED_VALUE"""),68.0)</f>
        <v>68</v>
      </c>
      <c r="I133" s="22">
        <f>IFERROR(__xludf.DUMMYFUNCTION("""COMPUTED_VALUE"""),41978.66666666667)</f>
        <v>41978.66667</v>
      </c>
      <c r="J133" s="23">
        <f>IFERROR(__xludf.DUMMYFUNCTION("""COMPUTED_VALUE"""),127.7)</f>
        <v>127.7</v>
      </c>
      <c r="K133" s="22">
        <f>IFERROR(__xludf.DUMMYFUNCTION("""COMPUTED_VALUE"""),41978.66666666667)</f>
        <v>41978.66667</v>
      </c>
      <c r="L133" s="23">
        <f>IFERROR(__xludf.DUMMYFUNCTION("""COMPUTED_VALUE"""),58.5)</f>
        <v>58.5</v>
      </c>
      <c r="M133" s="23">
        <v>0.0</v>
      </c>
      <c r="N133" s="23">
        <v>0.0</v>
      </c>
      <c r="O133" s="23">
        <v>0.0</v>
      </c>
      <c r="P133" s="23">
        <f t="shared" si="1"/>
        <v>0</v>
      </c>
      <c r="Q133" s="23">
        <f t="shared" si="2"/>
        <v>0</v>
      </c>
      <c r="R133" s="23">
        <f t="shared" si="3"/>
        <v>0</v>
      </c>
      <c r="S133" s="19"/>
      <c r="T133" s="19"/>
      <c r="U133" s="19"/>
      <c r="V133" s="19"/>
    </row>
    <row r="134">
      <c r="A134" s="22">
        <f>IFERROR(__xludf.DUMMYFUNCTION("""COMPUTED_VALUE"""),42157.66666666667)</f>
        <v>42157.66667</v>
      </c>
      <c r="B134" s="23">
        <f>IFERROR(__xludf.DUMMYFUNCTION("""COMPUTED_VALUE"""),59.4)</f>
        <v>59.4</v>
      </c>
      <c r="C134" s="22">
        <f>IFERROR(__xludf.DUMMYFUNCTION("""COMPUTED_VALUE"""),43412.66666666667)</f>
        <v>43412.66667</v>
      </c>
      <c r="D134" s="23">
        <f>IFERROR(__xludf.DUMMYFUNCTION("""COMPUTED_VALUE"""),98.91)</f>
        <v>98.91</v>
      </c>
      <c r="E134" s="22">
        <f>IFERROR(__xludf.DUMMYFUNCTION("""COMPUTED_VALUE"""),42334.66666666667)</f>
        <v>42334.66667</v>
      </c>
      <c r="F134" s="23">
        <f>IFERROR(__xludf.DUMMYFUNCTION("""COMPUTED_VALUE"""),11.27)</f>
        <v>11.27</v>
      </c>
      <c r="G134" s="22">
        <f>IFERROR(__xludf.DUMMYFUNCTION("""COMPUTED_VALUE"""),41985.66666666667)</f>
        <v>41985.66667</v>
      </c>
      <c r="H134" s="23">
        <f>IFERROR(__xludf.DUMMYFUNCTION("""COMPUTED_VALUE"""),66.6)</f>
        <v>66.6</v>
      </c>
      <c r="I134" s="22">
        <f>IFERROR(__xludf.DUMMYFUNCTION("""COMPUTED_VALUE"""),41985.66666666667)</f>
        <v>41985.66667</v>
      </c>
      <c r="J134" s="23">
        <f>IFERROR(__xludf.DUMMYFUNCTION("""COMPUTED_VALUE"""),126.43)</f>
        <v>126.43</v>
      </c>
      <c r="K134" s="22">
        <f>IFERROR(__xludf.DUMMYFUNCTION("""COMPUTED_VALUE"""),41985.66666666667)</f>
        <v>41985.66667</v>
      </c>
      <c r="L134" s="23">
        <f>IFERROR(__xludf.DUMMYFUNCTION("""COMPUTED_VALUE"""),57.11)</f>
        <v>57.11</v>
      </c>
      <c r="M134" s="23">
        <v>0.0</v>
      </c>
      <c r="N134" s="23">
        <v>0.0</v>
      </c>
      <c r="O134" s="23">
        <v>0.0</v>
      </c>
      <c r="P134" s="23">
        <f t="shared" si="1"/>
        <v>0</v>
      </c>
      <c r="Q134" s="23">
        <f t="shared" si="2"/>
        <v>0</v>
      </c>
      <c r="R134" s="23">
        <f t="shared" si="3"/>
        <v>0</v>
      </c>
      <c r="S134" s="19"/>
      <c r="T134" s="19"/>
      <c r="U134" s="19"/>
      <c r="V134" s="19"/>
    </row>
    <row r="135">
      <c r="A135" s="22">
        <f>IFERROR(__xludf.DUMMYFUNCTION("""COMPUTED_VALUE"""),42158.66666666667)</f>
        <v>42158.66667</v>
      </c>
      <c r="B135" s="23">
        <f>IFERROR(__xludf.DUMMYFUNCTION("""COMPUTED_VALUE"""),58.25)</f>
        <v>58.25</v>
      </c>
      <c r="C135" s="22">
        <f>IFERROR(__xludf.DUMMYFUNCTION("""COMPUTED_VALUE"""),43413.66666666667)</f>
        <v>43413.66667</v>
      </c>
      <c r="D135" s="23">
        <f>IFERROR(__xludf.DUMMYFUNCTION("""COMPUTED_VALUE"""),98.86)</f>
        <v>98.86</v>
      </c>
      <c r="E135" s="22">
        <f>IFERROR(__xludf.DUMMYFUNCTION("""COMPUTED_VALUE"""),42335.66666666667)</f>
        <v>42335.66667</v>
      </c>
      <c r="F135" s="23">
        <f>IFERROR(__xludf.DUMMYFUNCTION("""COMPUTED_VALUE"""),11.29)</f>
        <v>11.29</v>
      </c>
      <c r="G135" s="22">
        <f>IFERROR(__xludf.DUMMYFUNCTION("""COMPUTED_VALUE"""),41992.66666666667)</f>
        <v>41992.66667</v>
      </c>
      <c r="H135" s="23">
        <f>IFERROR(__xludf.DUMMYFUNCTION("""COMPUTED_VALUE"""),67.82)</f>
        <v>67.82</v>
      </c>
      <c r="I135" s="22">
        <f>IFERROR(__xludf.DUMMYFUNCTION("""COMPUTED_VALUE"""),41992.66666666667)</f>
        <v>41992.66667</v>
      </c>
      <c r="J135" s="23">
        <f>IFERROR(__xludf.DUMMYFUNCTION("""COMPUTED_VALUE"""),130.48)</f>
        <v>130.48</v>
      </c>
      <c r="K135" s="22">
        <f>IFERROR(__xludf.DUMMYFUNCTION("""COMPUTED_VALUE"""),41992.66666666667)</f>
        <v>41992.66667</v>
      </c>
      <c r="L135" s="23">
        <f>IFERROR(__xludf.DUMMYFUNCTION("""COMPUTED_VALUE"""),58.22)</f>
        <v>58.22</v>
      </c>
      <c r="M135" s="23">
        <v>200.0</v>
      </c>
      <c r="N135" s="23">
        <v>200.0</v>
      </c>
      <c r="O135" s="23">
        <v>200.0</v>
      </c>
      <c r="P135" s="23">
        <f t="shared" si="1"/>
        <v>2.948982601</v>
      </c>
      <c r="Q135" s="23">
        <f t="shared" si="2"/>
        <v>1.532801962</v>
      </c>
      <c r="R135" s="23">
        <f t="shared" si="3"/>
        <v>3.43524562</v>
      </c>
      <c r="S135" s="19"/>
      <c r="T135" s="19"/>
      <c r="U135" s="19"/>
      <c r="V135" s="19"/>
    </row>
    <row r="136">
      <c r="A136" s="22">
        <f>IFERROR(__xludf.DUMMYFUNCTION("""COMPUTED_VALUE"""),42159.66666666667)</f>
        <v>42159.66667</v>
      </c>
      <c r="B136" s="23">
        <f>IFERROR(__xludf.DUMMYFUNCTION("""COMPUTED_VALUE"""),59.19)</f>
        <v>59.19</v>
      </c>
      <c r="C136" s="22">
        <f>IFERROR(__xludf.DUMMYFUNCTION("""COMPUTED_VALUE"""),43416.66666666667)</f>
        <v>43416.66667</v>
      </c>
      <c r="D136" s="23">
        <f>IFERROR(__xludf.DUMMYFUNCTION("""COMPUTED_VALUE"""),99.3)</f>
        <v>99.3</v>
      </c>
      <c r="E136" s="22">
        <f>IFERROR(__xludf.DUMMYFUNCTION("""COMPUTED_VALUE"""),42338.66666666667)</f>
        <v>42338.66667</v>
      </c>
      <c r="F136" s="23">
        <f>IFERROR(__xludf.DUMMYFUNCTION("""COMPUTED_VALUE"""),11.29)</f>
        <v>11.29</v>
      </c>
      <c r="G136" s="22">
        <f>IFERROR(__xludf.DUMMYFUNCTION("""COMPUTED_VALUE"""),41997.66666666667)</f>
        <v>41997.66667</v>
      </c>
      <c r="H136" s="23">
        <f>IFERROR(__xludf.DUMMYFUNCTION("""COMPUTED_VALUE"""),68.79)</f>
        <v>68.79</v>
      </c>
      <c r="I136" s="22">
        <f>IFERROR(__xludf.DUMMYFUNCTION("""COMPUTED_VALUE"""),41997.66666666667)</f>
        <v>41997.66667</v>
      </c>
      <c r="J136" s="23">
        <f>IFERROR(__xludf.DUMMYFUNCTION("""COMPUTED_VALUE"""),132.18)</f>
        <v>132.18</v>
      </c>
      <c r="K136" s="22">
        <f>IFERROR(__xludf.DUMMYFUNCTION("""COMPUTED_VALUE"""),41997.66666666667)</f>
        <v>41997.66667</v>
      </c>
      <c r="L136" s="23">
        <f>IFERROR(__xludf.DUMMYFUNCTION("""COMPUTED_VALUE"""),58.49)</f>
        <v>58.49</v>
      </c>
      <c r="M136" s="23">
        <v>0.0</v>
      </c>
      <c r="N136" s="23">
        <v>0.0</v>
      </c>
      <c r="O136" s="23">
        <v>0.0</v>
      </c>
      <c r="P136" s="23">
        <f t="shared" si="1"/>
        <v>0</v>
      </c>
      <c r="Q136" s="23">
        <f t="shared" si="2"/>
        <v>0</v>
      </c>
      <c r="R136" s="23">
        <f t="shared" si="3"/>
        <v>0</v>
      </c>
      <c r="S136" s="19"/>
      <c r="T136" s="19"/>
      <c r="U136" s="19"/>
      <c r="V136" s="19"/>
    </row>
    <row r="137">
      <c r="A137" s="22">
        <f>IFERROR(__xludf.DUMMYFUNCTION("""COMPUTED_VALUE"""),42160.66666666667)</f>
        <v>42160.66667</v>
      </c>
      <c r="B137" s="23">
        <f>IFERROR(__xludf.DUMMYFUNCTION("""COMPUTED_VALUE"""),58.7)</f>
        <v>58.7</v>
      </c>
      <c r="C137" s="22">
        <f>IFERROR(__xludf.DUMMYFUNCTION("""COMPUTED_VALUE"""),43417.66666666667)</f>
        <v>43417.66667</v>
      </c>
      <c r="D137" s="23">
        <f>IFERROR(__xludf.DUMMYFUNCTION("""COMPUTED_VALUE"""),97.84)</f>
        <v>97.84</v>
      </c>
      <c r="E137" s="22">
        <f>IFERROR(__xludf.DUMMYFUNCTION("""COMPUTED_VALUE"""),42339.66666666667)</f>
        <v>42339.66667</v>
      </c>
      <c r="F137" s="23">
        <f>IFERROR(__xludf.DUMMYFUNCTION("""COMPUTED_VALUE"""),11.24)</f>
        <v>11.24</v>
      </c>
      <c r="G137" s="22">
        <f>IFERROR(__xludf.DUMMYFUNCTION("""COMPUTED_VALUE"""),42006.66666666667)</f>
        <v>42006.66667</v>
      </c>
      <c r="H137" s="23">
        <f>IFERROR(__xludf.DUMMYFUNCTION("""COMPUTED_VALUE"""),68.65)</f>
        <v>68.65</v>
      </c>
      <c r="I137" s="22">
        <f>IFERROR(__xludf.DUMMYFUNCTION("""COMPUTED_VALUE"""),42006.66666666667)</f>
        <v>42006.66667</v>
      </c>
      <c r="J137" s="23">
        <f>IFERROR(__xludf.DUMMYFUNCTION("""COMPUTED_VALUE"""),131.07)</f>
        <v>131.07</v>
      </c>
      <c r="K137" s="22">
        <f>IFERROR(__xludf.DUMMYFUNCTION("""COMPUTED_VALUE"""),42006.66666666667)</f>
        <v>42006.66667</v>
      </c>
      <c r="L137" s="23">
        <f>IFERROR(__xludf.DUMMYFUNCTION("""COMPUTED_VALUE"""),57.9)</f>
        <v>57.9</v>
      </c>
      <c r="M137" s="23">
        <v>0.0</v>
      </c>
      <c r="N137" s="23">
        <v>0.0</v>
      </c>
      <c r="O137" s="23">
        <v>0.0</v>
      </c>
      <c r="P137" s="23">
        <f t="shared" si="1"/>
        <v>0</v>
      </c>
      <c r="Q137" s="23">
        <f t="shared" si="2"/>
        <v>0</v>
      </c>
      <c r="R137" s="23">
        <f t="shared" si="3"/>
        <v>0</v>
      </c>
      <c r="S137" s="19"/>
      <c r="T137" s="19"/>
      <c r="U137" s="19"/>
      <c r="V137" s="19"/>
    </row>
    <row r="138">
      <c r="A138" s="22">
        <f>IFERROR(__xludf.DUMMYFUNCTION("""COMPUTED_VALUE"""),42164.66666666667)</f>
        <v>42164.66667</v>
      </c>
      <c r="B138" s="23">
        <f>IFERROR(__xludf.DUMMYFUNCTION("""COMPUTED_VALUE"""),58.98)</f>
        <v>58.98</v>
      </c>
      <c r="C138" s="22">
        <f>IFERROR(__xludf.DUMMYFUNCTION("""COMPUTED_VALUE"""),43418.66666666667)</f>
        <v>43418.66667</v>
      </c>
      <c r="D138" s="23">
        <f>IFERROR(__xludf.DUMMYFUNCTION("""COMPUTED_VALUE"""),95.96)</f>
        <v>95.96</v>
      </c>
      <c r="E138" s="22">
        <f>IFERROR(__xludf.DUMMYFUNCTION("""COMPUTED_VALUE"""),42340.66666666667)</f>
        <v>42340.66667</v>
      </c>
      <c r="F138" s="23">
        <f>IFERROR(__xludf.DUMMYFUNCTION("""COMPUTED_VALUE"""),11.24)</f>
        <v>11.24</v>
      </c>
      <c r="G138" s="22">
        <f>IFERROR(__xludf.DUMMYFUNCTION("""COMPUTED_VALUE"""),42013.66666666667)</f>
        <v>42013.66667</v>
      </c>
      <c r="H138" s="23">
        <f>IFERROR(__xludf.DUMMYFUNCTION("""COMPUTED_VALUE"""),69.29)</f>
        <v>69.29</v>
      </c>
      <c r="I138" s="22">
        <f>IFERROR(__xludf.DUMMYFUNCTION("""COMPUTED_VALUE"""),42013.66666666667)</f>
        <v>42013.66667</v>
      </c>
      <c r="J138" s="23">
        <f>IFERROR(__xludf.DUMMYFUNCTION("""COMPUTED_VALUE"""),130.25)</f>
        <v>130.25</v>
      </c>
      <c r="K138" s="22">
        <f>IFERROR(__xludf.DUMMYFUNCTION("""COMPUTED_VALUE"""),42013.66666666667)</f>
        <v>42013.66667</v>
      </c>
      <c r="L138" s="23">
        <f>IFERROR(__xludf.DUMMYFUNCTION("""COMPUTED_VALUE"""),56.91)</f>
        <v>56.91</v>
      </c>
      <c r="M138" s="23">
        <v>0.0</v>
      </c>
      <c r="N138" s="23">
        <v>0.0</v>
      </c>
      <c r="O138" s="23">
        <v>0.0</v>
      </c>
      <c r="P138" s="23">
        <f t="shared" si="1"/>
        <v>0</v>
      </c>
      <c r="Q138" s="23">
        <f t="shared" si="2"/>
        <v>0</v>
      </c>
      <c r="R138" s="23">
        <f t="shared" si="3"/>
        <v>0</v>
      </c>
      <c r="S138" s="19"/>
      <c r="T138" s="19"/>
      <c r="U138" s="19"/>
      <c r="V138" s="19"/>
    </row>
    <row r="139">
      <c r="A139" s="22">
        <f>IFERROR(__xludf.DUMMYFUNCTION("""COMPUTED_VALUE"""),42165.66666666667)</f>
        <v>42165.66667</v>
      </c>
      <c r="B139" s="23">
        <f>IFERROR(__xludf.DUMMYFUNCTION("""COMPUTED_VALUE"""),58.11)</f>
        <v>58.11</v>
      </c>
      <c r="C139" s="22">
        <f>IFERROR(__xludf.DUMMYFUNCTION("""COMPUTED_VALUE"""),43419.66666666667)</f>
        <v>43419.66667</v>
      </c>
      <c r="D139" s="23">
        <f>IFERROR(__xludf.DUMMYFUNCTION("""COMPUTED_VALUE"""),96.11)</f>
        <v>96.11</v>
      </c>
      <c r="E139" s="22">
        <f>IFERROR(__xludf.DUMMYFUNCTION("""COMPUTED_VALUE"""),42341.66666666667)</f>
        <v>42341.66667</v>
      </c>
      <c r="F139" s="23">
        <f>IFERROR(__xludf.DUMMYFUNCTION("""COMPUTED_VALUE"""),11.17)</f>
        <v>11.17</v>
      </c>
      <c r="G139" s="22">
        <f>IFERROR(__xludf.DUMMYFUNCTION("""COMPUTED_VALUE"""),42020.66666666667)</f>
        <v>42020.66667</v>
      </c>
      <c r="H139" s="23">
        <f>IFERROR(__xludf.DUMMYFUNCTION("""COMPUTED_VALUE"""),66.79)</f>
        <v>66.79</v>
      </c>
      <c r="I139" s="22">
        <f>IFERROR(__xludf.DUMMYFUNCTION("""COMPUTED_VALUE"""),42020.66666666667)</f>
        <v>42020.66667</v>
      </c>
      <c r="J139" s="23">
        <f>IFERROR(__xludf.DUMMYFUNCTION("""COMPUTED_VALUE"""),124.21)</f>
        <v>124.21</v>
      </c>
      <c r="K139" s="22">
        <f>IFERROR(__xludf.DUMMYFUNCTION("""COMPUTED_VALUE"""),42020.66666666667)</f>
        <v>42020.66667</v>
      </c>
      <c r="L139" s="23">
        <f>IFERROR(__xludf.DUMMYFUNCTION("""COMPUTED_VALUE"""),56.0)</f>
        <v>56</v>
      </c>
      <c r="M139" s="23">
        <v>200.0</v>
      </c>
      <c r="N139" s="23">
        <v>200.0</v>
      </c>
      <c r="O139" s="23">
        <v>200.0</v>
      </c>
      <c r="P139" s="23">
        <f t="shared" si="1"/>
        <v>2.994460249</v>
      </c>
      <c r="Q139" s="23">
        <f t="shared" si="2"/>
        <v>1.610176314</v>
      </c>
      <c r="R139" s="23">
        <f t="shared" si="3"/>
        <v>3.571428571</v>
      </c>
      <c r="S139" s="19"/>
      <c r="T139" s="19"/>
      <c r="U139" s="19"/>
      <c r="V139" s="19"/>
    </row>
    <row r="140">
      <c r="A140" s="22">
        <f>IFERROR(__xludf.DUMMYFUNCTION("""COMPUTED_VALUE"""),42166.66666666667)</f>
        <v>42166.66667</v>
      </c>
      <c r="B140" s="23">
        <f>IFERROR(__xludf.DUMMYFUNCTION("""COMPUTED_VALUE"""),58.6)</f>
        <v>58.6</v>
      </c>
      <c r="C140" s="22">
        <f>IFERROR(__xludf.DUMMYFUNCTION("""COMPUTED_VALUE"""),43420.66666666667)</f>
        <v>43420.66667</v>
      </c>
      <c r="D140" s="23">
        <f>IFERROR(__xludf.DUMMYFUNCTION("""COMPUTED_VALUE"""),96.2)</f>
        <v>96.2</v>
      </c>
      <c r="E140" s="22">
        <f>IFERROR(__xludf.DUMMYFUNCTION("""COMPUTED_VALUE"""),42342.66666666667)</f>
        <v>42342.66667</v>
      </c>
      <c r="F140" s="23">
        <f>IFERROR(__xludf.DUMMYFUNCTION("""COMPUTED_VALUE"""),10.99)</f>
        <v>10.99</v>
      </c>
      <c r="G140" s="22">
        <f>IFERROR(__xludf.DUMMYFUNCTION("""COMPUTED_VALUE"""),42027.66666666667)</f>
        <v>42027.66667</v>
      </c>
      <c r="H140" s="23">
        <f>IFERROR(__xludf.DUMMYFUNCTION("""COMPUTED_VALUE"""),69.5)</f>
        <v>69.5</v>
      </c>
      <c r="I140" s="22">
        <f>IFERROR(__xludf.DUMMYFUNCTION("""COMPUTED_VALUE"""),42027.66666666667)</f>
        <v>42027.66667</v>
      </c>
      <c r="J140" s="23">
        <f>IFERROR(__xludf.DUMMYFUNCTION("""COMPUTED_VALUE"""),133.0)</f>
        <v>133</v>
      </c>
      <c r="K140" s="22">
        <f>IFERROR(__xludf.DUMMYFUNCTION("""COMPUTED_VALUE"""),42027.66666666667)</f>
        <v>42027.66667</v>
      </c>
      <c r="L140" s="23">
        <f>IFERROR(__xludf.DUMMYFUNCTION("""COMPUTED_VALUE"""),59.59)</f>
        <v>59.59</v>
      </c>
      <c r="M140" s="23">
        <v>0.0</v>
      </c>
      <c r="N140" s="23">
        <v>0.0</v>
      </c>
      <c r="O140" s="23">
        <v>0.0</v>
      </c>
      <c r="P140" s="23">
        <f t="shared" si="1"/>
        <v>0</v>
      </c>
      <c r="Q140" s="23">
        <f t="shared" si="2"/>
        <v>0</v>
      </c>
      <c r="R140" s="23">
        <f t="shared" si="3"/>
        <v>0</v>
      </c>
      <c r="S140" s="19"/>
      <c r="T140" s="19"/>
      <c r="U140" s="19"/>
      <c r="V140" s="19"/>
    </row>
    <row r="141">
      <c r="A141" s="22">
        <f>IFERROR(__xludf.DUMMYFUNCTION("""COMPUTED_VALUE"""),42167.66666666667)</f>
        <v>42167.66667</v>
      </c>
      <c r="B141" s="23">
        <f>IFERROR(__xludf.DUMMYFUNCTION("""COMPUTED_VALUE"""),58.59)</f>
        <v>58.59</v>
      </c>
      <c r="C141" s="22">
        <f>IFERROR(__xludf.DUMMYFUNCTION("""COMPUTED_VALUE"""),43423.66666666667)</f>
        <v>43423.66667</v>
      </c>
      <c r="D141" s="23">
        <f>IFERROR(__xludf.DUMMYFUNCTION("""COMPUTED_VALUE"""),95.38)</f>
        <v>95.38</v>
      </c>
      <c r="E141" s="22">
        <f>IFERROR(__xludf.DUMMYFUNCTION("""COMPUTED_VALUE"""),42345.66666666667)</f>
        <v>42345.66667</v>
      </c>
      <c r="F141" s="23">
        <f>IFERROR(__xludf.DUMMYFUNCTION("""COMPUTED_VALUE"""),11.18)</f>
        <v>11.18</v>
      </c>
      <c r="G141" s="22">
        <f>IFERROR(__xludf.DUMMYFUNCTION("""COMPUTED_VALUE"""),42034.66666666667)</f>
        <v>42034.66667</v>
      </c>
      <c r="H141" s="23">
        <f>IFERROR(__xludf.DUMMYFUNCTION("""COMPUTED_VALUE"""),70.67)</f>
        <v>70.67</v>
      </c>
      <c r="I141" s="22">
        <f>IFERROR(__xludf.DUMMYFUNCTION("""COMPUTED_VALUE"""),42034.66666666667)</f>
        <v>42034.66667</v>
      </c>
      <c r="J141" s="23">
        <f>IFERROR(__xludf.DUMMYFUNCTION("""COMPUTED_VALUE"""),134.17)</f>
        <v>134.17</v>
      </c>
      <c r="K141" s="22">
        <f>IFERROR(__xludf.DUMMYFUNCTION("""COMPUTED_VALUE"""),42034.66666666667)</f>
        <v>42034.66667</v>
      </c>
      <c r="L141" s="23">
        <f>IFERROR(__xludf.DUMMYFUNCTION("""COMPUTED_VALUE"""),61.18)</f>
        <v>61.18</v>
      </c>
      <c r="M141" s="23">
        <v>0.0</v>
      </c>
      <c r="N141" s="23">
        <v>0.0</v>
      </c>
      <c r="O141" s="23">
        <v>0.0</v>
      </c>
      <c r="P141" s="23">
        <f t="shared" si="1"/>
        <v>0</v>
      </c>
      <c r="Q141" s="23">
        <f t="shared" si="2"/>
        <v>0</v>
      </c>
      <c r="R141" s="23">
        <f t="shared" si="3"/>
        <v>0</v>
      </c>
      <c r="S141" s="19"/>
      <c r="T141" s="19"/>
      <c r="U141" s="19"/>
      <c r="V141" s="19"/>
    </row>
    <row r="142">
      <c r="A142" s="22">
        <f>IFERROR(__xludf.DUMMYFUNCTION("""COMPUTED_VALUE"""),42170.66666666667)</f>
        <v>42170.66667</v>
      </c>
      <c r="B142" s="23">
        <f>IFERROR(__xludf.DUMMYFUNCTION("""COMPUTED_VALUE"""),58.51)</f>
        <v>58.51</v>
      </c>
      <c r="C142" s="22">
        <f>IFERROR(__xludf.DUMMYFUNCTION("""COMPUTED_VALUE"""),43424.66666666667)</f>
        <v>43424.66667</v>
      </c>
      <c r="D142" s="23">
        <f>IFERROR(__xludf.DUMMYFUNCTION("""COMPUTED_VALUE"""),95.0)</f>
        <v>95</v>
      </c>
      <c r="E142" s="22">
        <f>IFERROR(__xludf.DUMMYFUNCTION("""COMPUTED_VALUE"""),42346.66666666667)</f>
        <v>42346.66667</v>
      </c>
      <c r="F142" s="23">
        <f>IFERROR(__xludf.DUMMYFUNCTION("""COMPUTED_VALUE"""),11.29)</f>
        <v>11.29</v>
      </c>
      <c r="G142" s="22">
        <f>IFERROR(__xludf.DUMMYFUNCTION("""COMPUTED_VALUE"""),42041.66666666667)</f>
        <v>42041.66667</v>
      </c>
      <c r="H142" s="23">
        <f>IFERROR(__xludf.DUMMYFUNCTION("""COMPUTED_VALUE"""),73.5)</f>
        <v>73.5</v>
      </c>
      <c r="I142" s="22">
        <f>IFERROR(__xludf.DUMMYFUNCTION("""COMPUTED_VALUE"""),42041.66666666667)</f>
        <v>42041.66667</v>
      </c>
      <c r="J142" s="23">
        <f>IFERROR(__xludf.DUMMYFUNCTION("""COMPUTED_VALUE"""),136.17)</f>
        <v>136.17</v>
      </c>
      <c r="K142" s="22">
        <f>IFERROR(__xludf.DUMMYFUNCTION("""COMPUTED_VALUE"""),42041.66666666667)</f>
        <v>42041.66667</v>
      </c>
      <c r="L142" s="23">
        <f>IFERROR(__xludf.DUMMYFUNCTION("""COMPUTED_VALUE"""),61.71)</f>
        <v>61.71</v>
      </c>
      <c r="M142" s="23">
        <v>0.0</v>
      </c>
      <c r="N142" s="23">
        <v>0.0</v>
      </c>
      <c r="O142" s="23">
        <v>0.0</v>
      </c>
      <c r="P142" s="23">
        <f t="shared" si="1"/>
        <v>0</v>
      </c>
      <c r="Q142" s="23">
        <f t="shared" si="2"/>
        <v>0</v>
      </c>
      <c r="R142" s="23">
        <f t="shared" si="3"/>
        <v>0</v>
      </c>
      <c r="S142" s="19"/>
      <c r="T142" s="19"/>
      <c r="U142" s="19"/>
      <c r="V142" s="19"/>
    </row>
    <row r="143">
      <c r="A143" s="22">
        <f>IFERROR(__xludf.DUMMYFUNCTION("""COMPUTED_VALUE"""),42171.66666666667)</f>
        <v>42171.66667</v>
      </c>
      <c r="B143" s="23">
        <f>IFERROR(__xludf.DUMMYFUNCTION("""COMPUTED_VALUE"""),58.08)</f>
        <v>58.08</v>
      </c>
      <c r="C143" s="22">
        <f>IFERROR(__xludf.DUMMYFUNCTION("""COMPUTED_VALUE"""),43425.66666666667)</f>
        <v>43425.66667</v>
      </c>
      <c r="D143" s="23">
        <f>IFERROR(__xludf.DUMMYFUNCTION("""COMPUTED_VALUE"""),94.56)</f>
        <v>94.56</v>
      </c>
      <c r="E143" s="22">
        <f>IFERROR(__xludf.DUMMYFUNCTION("""COMPUTED_VALUE"""),42347.66666666667)</f>
        <v>42347.66667</v>
      </c>
      <c r="F143" s="23">
        <f>IFERROR(__xludf.DUMMYFUNCTION("""COMPUTED_VALUE"""),11.34)</f>
        <v>11.34</v>
      </c>
      <c r="G143" s="22">
        <f>IFERROR(__xludf.DUMMYFUNCTION("""COMPUTED_VALUE"""),42048.66666666667)</f>
        <v>42048.66667</v>
      </c>
      <c r="H143" s="23">
        <f>IFERROR(__xludf.DUMMYFUNCTION("""COMPUTED_VALUE"""),74.24)</f>
        <v>74.24</v>
      </c>
      <c r="I143" s="22">
        <f>IFERROR(__xludf.DUMMYFUNCTION("""COMPUTED_VALUE"""),42048.66666666667)</f>
        <v>42048.66667</v>
      </c>
      <c r="J143" s="23">
        <f>IFERROR(__xludf.DUMMYFUNCTION("""COMPUTED_VALUE"""),138.82)</f>
        <v>138.82</v>
      </c>
      <c r="K143" s="22">
        <f>IFERROR(__xludf.DUMMYFUNCTION("""COMPUTED_VALUE"""),42048.66666666667)</f>
        <v>42048.66667</v>
      </c>
      <c r="L143" s="23">
        <f>IFERROR(__xludf.DUMMYFUNCTION("""COMPUTED_VALUE"""),62.54)</f>
        <v>62.54</v>
      </c>
      <c r="M143" s="23">
        <v>200.0</v>
      </c>
      <c r="N143" s="23">
        <v>200.0</v>
      </c>
      <c r="O143" s="23">
        <v>200.0</v>
      </c>
      <c r="P143" s="23">
        <f t="shared" si="1"/>
        <v>2.693965517</v>
      </c>
      <c r="Q143" s="23">
        <f t="shared" si="2"/>
        <v>1.440714594</v>
      </c>
      <c r="R143" s="23">
        <f t="shared" si="3"/>
        <v>3.19795331</v>
      </c>
      <c r="S143" s="19"/>
      <c r="T143" s="19"/>
      <c r="U143" s="19"/>
      <c r="V143" s="19"/>
    </row>
    <row r="144">
      <c r="A144" s="22">
        <f>IFERROR(__xludf.DUMMYFUNCTION("""COMPUTED_VALUE"""),42172.66666666667)</f>
        <v>42172.66667</v>
      </c>
      <c r="B144" s="23">
        <f>IFERROR(__xludf.DUMMYFUNCTION("""COMPUTED_VALUE"""),58.51)</f>
        <v>58.51</v>
      </c>
      <c r="C144" s="22">
        <f>IFERROR(__xludf.DUMMYFUNCTION("""COMPUTED_VALUE"""),43426.66666666667)</f>
        <v>43426.66667</v>
      </c>
      <c r="D144" s="23">
        <f>IFERROR(__xludf.DUMMYFUNCTION("""COMPUTED_VALUE"""),95.25)</f>
        <v>95.25</v>
      </c>
      <c r="E144" s="22">
        <f>IFERROR(__xludf.DUMMYFUNCTION("""COMPUTED_VALUE"""),42348.66666666667)</f>
        <v>42348.66667</v>
      </c>
      <c r="F144" s="23">
        <f>IFERROR(__xludf.DUMMYFUNCTION("""COMPUTED_VALUE"""),11.06)</f>
        <v>11.06</v>
      </c>
      <c r="G144" s="22">
        <f>IFERROR(__xludf.DUMMYFUNCTION("""COMPUTED_VALUE"""),42055.66666666667)</f>
        <v>42055.66667</v>
      </c>
      <c r="H144" s="23">
        <f>IFERROR(__xludf.DUMMYFUNCTION("""COMPUTED_VALUE"""),74.2)</f>
        <v>74.2</v>
      </c>
      <c r="I144" s="22">
        <f>IFERROR(__xludf.DUMMYFUNCTION("""COMPUTED_VALUE"""),42055.66666666667)</f>
        <v>42055.66667</v>
      </c>
      <c r="J144" s="23">
        <f>IFERROR(__xludf.DUMMYFUNCTION("""COMPUTED_VALUE"""),139.55)</f>
        <v>139.55</v>
      </c>
      <c r="K144" s="22">
        <f>IFERROR(__xludf.DUMMYFUNCTION("""COMPUTED_VALUE"""),42055.66666666667)</f>
        <v>42055.66667</v>
      </c>
      <c r="L144" s="23">
        <f>IFERROR(__xludf.DUMMYFUNCTION("""COMPUTED_VALUE"""),62.75)</f>
        <v>62.75</v>
      </c>
      <c r="M144" s="23">
        <v>0.0</v>
      </c>
      <c r="N144" s="23">
        <v>0.0</v>
      </c>
      <c r="O144" s="23">
        <v>0.0</v>
      </c>
      <c r="P144" s="23">
        <f t="shared" si="1"/>
        <v>0</v>
      </c>
      <c r="Q144" s="23">
        <f t="shared" si="2"/>
        <v>0</v>
      </c>
      <c r="R144" s="23">
        <f t="shared" si="3"/>
        <v>0</v>
      </c>
      <c r="S144" s="19"/>
      <c r="T144" s="19"/>
      <c r="U144" s="19"/>
      <c r="V144" s="19"/>
    </row>
    <row r="145">
      <c r="A145" s="22">
        <f>IFERROR(__xludf.DUMMYFUNCTION("""COMPUTED_VALUE"""),42173.66666666667)</f>
        <v>42173.66667</v>
      </c>
      <c r="B145" s="23">
        <f>IFERROR(__xludf.DUMMYFUNCTION("""COMPUTED_VALUE"""),58.4)</f>
        <v>58.4</v>
      </c>
      <c r="C145" s="22">
        <f>IFERROR(__xludf.DUMMYFUNCTION("""COMPUTED_VALUE"""),43427.66666666667)</f>
        <v>43427.66667</v>
      </c>
      <c r="D145" s="23">
        <f>IFERROR(__xludf.DUMMYFUNCTION("""COMPUTED_VALUE"""),95.78)</f>
        <v>95.78</v>
      </c>
      <c r="E145" s="22">
        <f>IFERROR(__xludf.DUMMYFUNCTION("""COMPUTED_VALUE"""),42349.66666666667)</f>
        <v>42349.66667</v>
      </c>
      <c r="F145" s="23">
        <f>IFERROR(__xludf.DUMMYFUNCTION("""COMPUTED_VALUE"""),11.16)</f>
        <v>11.16</v>
      </c>
      <c r="G145" s="22">
        <f>IFERROR(__xludf.DUMMYFUNCTION("""COMPUTED_VALUE"""),42062.66666666667)</f>
        <v>42062.66667</v>
      </c>
      <c r="H145" s="23">
        <f>IFERROR(__xludf.DUMMYFUNCTION("""COMPUTED_VALUE"""),75.55)</f>
        <v>75.55</v>
      </c>
      <c r="I145" s="22">
        <f>IFERROR(__xludf.DUMMYFUNCTION("""COMPUTED_VALUE"""),42062.66666666667)</f>
        <v>42062.66667</v>
      </c>
      <c r="J145" s="23">
        <f>IFERROR(__xludf.DUMMYFUNCTION("""COMPUTED_VALUE"""),140.35)</f>
        <v>140.35</v>
      </c>
      <c r="K145" s="22">
        <f>IFERROR(__xludf.DUMMYFUNCTION("""COMPUTED_VALUE"""),42062.66666666667)</f>
        <v>42062.66667</v>
      </c>
      <c r="L145" s="23">
        <f>IFERROR(__xludf.DUMMYFUNCTION("""COMPUTED_VALUE"""),63.7)</f>
        <v>63.7</v>
      </c>
      <c r="M145" s="23">
        <v>0.0</v>
      </c>
      <c r="N145" s="23">
        <v>0.0</v>
      </c>
      <c r="O145" s="23">
        <v>0.0</v>
      </c>
      <c r="P145" s="23">
        <f t="shared" si="1"/>
        <v>0</v>
      </c>
      <c r="Q145" s="23">
        <f t="shared" si="2"/>
        <v>0</v>
      </c>
      <c r="R145" s="23">
        <f t="shared" si="3"/>
        <v>0</v>
      </c>
      <c r="S145" s="19"/>
      <c r="T145" s="19"/>
      <c r="U145" s="19"/>
      <c r="V145" s="19"/>
    </row>
    <row r="146">
      <c r="A146" s="22">
        <f>IFERROR(__xludf.DUMMYFUNCTION("""COMPUTED_VALUE"""),42174.66666666667)</f>
        <v>42174.66667</v>
      </c>
      <c r="B146" s="23">
        <f>IFERROR(__xludf.DUMMYFUNCTION("""COMPUTED_VALUE"""),58.7)</f>
        <v>58.7</v>
      </c>
      <c r="C146" s="22">
        <f>IFERROR(__xludf.DUMMYFUNCTION("""COMPUTED_VALUE"""),43430.66666666667)</f>
        <v>43430.66667</v>
      </c>
      <c r="D146" s="23">
        <f>IFERROR(__xludf.DUMMYFUNCTION("""COMPUTED_VALUE"""),95.01)</f>
        <v>95.01</v>
      </c>
      <c r="E146" s="22">
        <f>IFERROR(__xludf.DUMMYFUNCTION("""COMPUTED_VALUE"""),42352.66666666667)</f>
        <v>42352.66667</v>
      </c>
      <c r="F146" s="23">
        <f>IFERROR(__xludf.DUMMYFUNCTION("""COMPUTED_VALUE"""),11.01)</f>
        <v>11.01</v>
      </c>
      <c r="G146" s="22">
        <f>IFERROR(__xludf.DUMMYFUNCTION("""COMPUTED_VALUE"""),42069.66666666667)</f>
        <v>42069.66667</v>
      </c>
      <c r="H146" s="23">
        <f>IFERROR(__xludf.DUMMYFUNCTION("""COMPUTED_VALUE"""),75.47)</f>
        <v>75.47</v>
      </c>
      <c r="I146" s="22">
        <f>IFERROR(__xludf.DUMMYFUNCTION("""COMPUTED_VALUE"""),42069.66666666667)</f>
        <v>42069.66667</v>
      </c>
      <c r="J146" s="23">
        <f>IFERROR(__xludf.DUMMYFUNCTION("""COMPUTED_VALUE"""),139.71)</f>
        <v>139.71</v>
      </c>
      <c r="K146" s="22">
        <f>IFERROR(__xludf.DUMMYFUNCTION("""COMPUTED_VALUE"""),42069.66666666667)</f>
        <v>42069.66667</v>
      </c>
      <c r="L146" s="23">
        <f>IFERROR(__xludf.DUMMYFUNCTION("""COMPUTED_VALUE"""),63.13)</f>
        <v>63.13</v>
      </c>
      <c r="M146" s="23">
        <v>0.0</v>
      </c>
      <c r="N146" s="23">
        <v>0.0</v>
      </c>
      <c r="O146" s="23">
        <v>0.0</v>
      </c>
      <c r="P146" s="23">
        <f t="shared" si="1"/>
        <v>0</v>
      </c>
      <c r="Q146" s="23">
        <f t="shared" si="2"/>
        <v>0</v>
      </c>
      <c r="R146" s="23">
        <f t="shared" si="3"/>
        <v>0</v>
      </c>
      <c r="S146" s="19"/>
      <c r="T146" s="19"/>
      <c r="U146" s="19"/>
      <c r="V146" s="19"/>
    </row>
    <row r="147">
      <c r="A147" s="22">
        <f>IFERROR(__xludf.DUMMYFUNCTION("""COMPUTED_VALUE"""),42177.66666666667)</f>
        <v>42177.66667</v>
      </c>
      <c r="B147" s="23">
        <f>IFERROR(__xludf.DUMMYFUNCTION("""COMPUTED_VALUE"""),58.25)</f>
        <v>58.25</v>
      </c>
      <c r="C147" s="22">
        <f>IFERROR(__xludf.DUMMYFUNCTION("""COMPUTED_VALUE"""),43431.66666666667)</f>
        <v>43431.66667</v>
      </c>
      <c r="D147" s="23">
        <f>IFERROR(__xludf.DUMMYFUNCTION("""COMPUTED_VALUE"""),95.95)</f>
        <v>95.95</v>
      </c>
      <c r="E147" s="22">
        <f>IFERROR(__xludf.DUMMYFUNCTION("""COMPUTED_VALUE"""),42353.66666666667)</f>
        <v>42353.66667</v>
      </c>
      <c r="F147" s="23">
        <f>IFERROR(__xludf.DUMMYFUNCTION("""COMPUTED_VALUE"""),10.99)</f>
        <v>10.99</v>
      </c>
      <c r="G147" s="22">
        <f>IFERROR(__xludf.DUMMYFUNCTION("""COMPUTED_VALUE"""),42076.66666666667)</f>
        <v>42076.66667</v>
      </c>
      <c r="H147" s="23">
        <f>IFERROR(__xludf.DUMMYFUNCTION("""COMPUTED_VALUE"""),74.19)</f>
        <v>74.19</v>
      </c>
      <c r="I147" s="22">
        <f>IFERROR(__xludf.DUMMYFUNCTION("""COMPUTED_VALUE"""),42076.66666666667)</f>
        <v>42076.66667</v>
      </c>
      <c r="J147" s="23">
        <f>IFERROR(__xludf.DUMMYFUNCTION("""COMPUTED_VALUE"""),140.21)</f>
        <v>140.21</v>
      </c>
      <c r="K147" s="22">
        <f>IFERROR(__xludf.DUMMYFUNCTION("""COMPUTED_VALUE"""),42076.66666666667)</f>
        <v>42076.66667</v>
      </c>
      <c r="L147" s="23">
        <f>IFERROR(__xludf.DUMMYFUNCTION("""COMPUTED_VALUE"""),62.76)</f>
        <v>62.76</v>
      </c>
      <c r="M147" s="23">
        <v>200.0</v>
      </c>
      <c r="N147" s="23">
        <v>200.0</v>
      </c>
      <c r="O147" s="23">
        <v>200.0</v>
      </c>
      <c r="P147" s="23">
        <f t="shared" si="1"/>
        <v>2.695781103</v>
      </c>
      <c r="Q147" s="23">
        <f t="shared" si="2"/>
        <v>1.426431781</v>
      </c>
      <c r="R147" s="23">
        <f t="shared" si="3"/>
        <v>3.186743149</v>
      </c>
      <c r="S147" s="19"/>
      <c r="T147" s="19"/>
      <c r="U147" s="19"/>
      <c r="V147" s="19"/>
    </row>
    <row r="148">
      <c r="A148" s="22">
        <f>IFERROR(__xludf.DUMMYFUNCTION("""COMPUTED_VALUE"""),42178.66666666667)</f>
        <v>42178.66667</v>
      </c>
      <c r="B148" s="23">
        <f>IFERROR(__xludf.DUMMYFUNCTION("""COMPUTED_VALUE"""),59.4)</f>
        <v>59.4</v>
      </c>
      <c r="C148" s="22">
        <f>IFERROR(__xludf.DUMMYFUNCTION("""COMPUTED_VALUE"""),43432.66666666667)</f>
        <v>43432.66667</v>
      </c>
      <c r="D148" s="23">
        <f>IFERROR(__xludf.DUMMYFUNCTION("""COMPUTED_VALUE"""),95.82)</f>
        <v>95.82</v>
      </c>
      <c r="E148" s="22">
        <f>IFERROR(__xludf.DUMMYFUNCTION("""COMPUTED_VALUE"""),42354.66666666667)</f>
        <v>42354.66667</v>
      </c>
      <c r="F148" s="23">
        <f>IFERROR(__xludf.DUMMYFUNCTION("""COMPUTED_VALUE"""),11.14)</f>
        <v>11.14</v>
      </c>
      <c r="G148" s="22">
        <f>IFERROR(__xludf.DUMMYFUNCTION("""COMPUTED_VALUE"""),42083.66666666667)</f>
        <v>42083.66667</v>
      </c>
      <c r="H148" s="23">
        <f>IFERROR(__xludf.DUMMYFUNCTION("""COMPUTED_VALUE"""),76.5)</f>
        <v>76.5</v>
      </c>
      <c r="I148" s="22">
        <f>IFERROR(__xludf.DUMMYFUNCTION("""COMPUTED_VALUE"""),42083.66666666667)</f>
        <v>42083.66667</v>
      </c>
      <c r="J148" s="23">
        <f>IFERROR(__xludf.DUMMYFUNCTION("""COMPUTED_VALUE"""),142.02)</f>
        <v>142.02</v>
      </c>
      <c r="K148" s="22">
        <f>IFERROR(__xludf.DUMMYFUNCTION("""COMPUTED_VALUE"""),42083.66666666667)</f>
        <v>42083.66667</v>
      </c>
      <c r="L148" s="23">
        <f>IFERROR(__xludf.DUMMYFUNCTION("""COMPUTED_VALUE"""),63.74)</f>
        <v>63.74</v>
      </c>
      <c r="M148" s="23">
        <v>0.0</v>
      </c>
      <c r="N148" s="23">
        <v>0.0</v>
      </c>
      <c r="O148" s="23">
        <v>0.0</v>
      </c>
      <c r="P148" s="23">
        <f t="shared" si="1"/>
        <v>0</v>
      </c>
      <c r="Q148" s="23">
        <f t="shared" si="2"/>
        <v>0</v>
      </c>
      <c r="R148" s="23">
        <f t="shared" si="3"/>
        <v>0</v>
      </c>
      <c r="S148" s="19"/>
      <c r="T148" s="19"/>
      <c r="U148" s="19"/>
      <c r="V148" s="19"/>
    </row>
    <row r="149">
      <c r="A149" s="22">
        <f>IFERROR(__xludf.DUMMYFUNCTION("""COMPUTED_VALUE"""),42179.66666666667)</f>
        <v>42179.66667</v>
      </c>
      <c r="B149" s="23">
        <f>IFERROR(__xludf.DUMMYFUNCTION("""COMPUTED_VALUE"""),59.49)</f>
        <v>59.49</v>
      </c>
      <c r="C149" s="22">
        <f>IFERROR(__xludf.DUMMYFUNCTION("""COMPUTED_VALUE"""),43433.66666666667)</f>
        <v>43433.66667</v>
      </c>
      <c r="D149" s="23">
        <f>IFERROR(__xludf.DUMMYFUNCTION("""COMPUTED_VALUE"""),96.46)</f>
        <v>96.46</v>
      </c>
      <c r="E149" s="22">
        <f>IFERROR(__xludf.DUMMYFUNCTION("""COMPUTED_VALUE"""),42355.66666666667)</f>
        <v>42355.66667</v>
      </c>
      <c r="F149" s="23">
        <f>IFERROR(__xludf.DUMMYFUNCTION("""COMPUTED_VALUE"""),11.27)</f>
        <v>11.27</v>
      </c>
      <c r="G149" s="22">
        <f>IFERROR(__xludf.DUMMYFUNCTION("""COMPUTED_VALUE"""),42090.66666666667)</f>
        <v>42090.66667</v>
      </c>
      <c r="H149" s="23">
        <f>IFERROR(__xludf.DUMMYFUNCTION("""COMPUTED_VALUE"""),75.66)</f>
        <v>75.66</v>
      </c>
      <c r="I149" s="22">
        <f>IFERROR(__xludf.DUMMYFUNCTION("""COMPUTED_VALUE"""),42090.66666666667)</f>
        <v>42090.66667</v>
      </c>
      <c r="J149" s="23">
        <f>IFERROR(__xludf.DUMMYFUNCTION("""COMPUTED_VALUE"""),137.0)</f>
        <v>137</v>
      </c>
      <c r="K149" s="22">
        <f>IFERROR(__xludf.DUMMYFUNCTION("""COMPUTED_VALUE"""),42090.66666666667)</f>
        <v>42090.66667</v>
      </c>
      <c r="L149" s="23">
        <f>IFERROR(__xludf.DUMMYFUNCTION("""COMPUTED_VALUE"""),62.9)</f>
        <v>62.9</v>
      </c>
      <c r="M149" s="23">
        <v>0.0</v>
      </c>
      <c r="N149" s="23">
        <v>0.0</v>
      </c>
      <c r="O149" s="23">
        <v>0.0</v>
      </c>
      <c r="P149" s="23">
        <f t="shared" si="1"/>
        <v>0</v>
      </c>
      <c r="Q149" s="23">
        <f t="shared" si="2"/>
        <v>0</v>
      </c>
      <c r="R149" s="23">
        <f t="shared" si="3"/>
        <v>0</v>
      </c>
      <c r="S149" s="19"/>
      <c r="T149" s="19"/>
      <c r="U149" s="19"/>
      <c r="V149" s="19"/>
    </row>
    <row r="150">
      <c r="A150" s="22">
        <f>IFERROR(__xludf.DUMMYFUNCTION("""COMPUTED_VALUE"""),42180.66666666667)</f>
        <v>42180.66667</v>
      </c>
      <c r="B150" s="23">
        <f>IFERROR(__xludf.DUMMYFUNCTION("""COMPUTED_VALUE"""),59.02)</f>
        <v>59.02</v>
      </c>
      <c r="C150" s="22">
        <f>IFERROR(__xludf.DUMMYFUNCTION("""COMPUTED_VALUE"""),43434.66666666667)</f>
        <v>43434.66667</v>
      </c>
      <c r="D150" s="23">
        <f>IFERROR(__xludf.DUMMYFUNCTION("""COMPUTED_VALUE"""),94.95)</f>
        <v>94.95</v>
      </c>
      <c r="E150" s="22">
        <f>IFERROR(__xludf.DUMMYFUNCTION("""COMPUTED_VALUE"""),42356.66666666667)</f>
        <v>42356.66667</v>
      </c>
      <c r="F150" s="23">
        <f>IFERROR(__xludf.DUMMYFUNCTION("""COMPUTED_VALUE"""),11.15)</f>
        <v>11.15</v>
      </c>
      <c r="G150" s="22">
        <f>IFERROR(__xludf.DUMMYFUNCTION("""COMPUTED_VALUE"""),42096.66666666667)</f>
        <v>42096.66667</v>
      </c>
      <c r="H150" s="23">
        <f>IFERROR(__xludf.DUMMYFUNCTION("""COMPUTED_VALUE"""),74.9)</f>
        <v>74.9</v>
      </c>
      <c r="I150" s="22">
        <f>IFERROR(__xludf.DUMMYFUNCTION("""COMPUTED_VALUE"""),42096.66666666667)</f>
        <v>42096.66667</v>
      </c>
      <c r="J150" s="23">
        <f>IFERROR(__xludf.DUMMYFUNCTION("""COMPUTED_VALUE"""),141.14)</f>
        <v>141.14</v>
      </c>
      <c r="K150" s="22">
        <f>IFERROR(__xludf.DUMMYFUNCTION("""COMPUTED_VALUE"""),42096.66666666667)</f>
        <v>42096.66667</v>
      </c>
      <c r="L150" s="23">
        <f>IFERROR(__xludf.DUMMYFUNCTION("""COMPUTED_VALUE"""),64.9)</f>
        <v>64.9</v>
      </c>
      <c r="M150" s="23">
        <v>0.0</v>
      </c>
      <c r="N150" s="23">
        <v>0.0</v>
      </c>
      <c r="O150" s="23">
        <v>0.0</v>
      </c>
      <c r="P150" s="23">
        <f t="shared" si="1"/>
        <v>0</v>
      </c>
      <c r="Q150" s="23">
        <f t="shared" si="2"/>
        <v>0</v>
      </c>
      <c r="R150" s="23">
        <f t="shared" si="3"/>
        <v>0</v>
      </c>
      <c r="S150" s="19"/>
      <c r="T150" s="19"/>
      <c r="U150" s="19"/>
      <c r="V150" s="19"/>
    </row>
    <row r="151">
      <c r="A151" s="22">
        <f>IFERROR(__xludf.DUMMYFUNCTION("""COMPUTED_VALUE"""),42181.66666666667)</f>
        <v>42181.66667</v>
      </c>
      <c r="B151" s="23">
        <f>IFERROR(__xludf.DUMMYFUNCTION("""COMPUTED_VALUE"""),59.08)</f>
        <v>59.08</v>
      </c>
      <c r="C151" s="22">
        <f>IFERROR(__xludf.DUMMYFUNCTION("""COMPUTED_VALUE"""),43437.66666666667)</f>
        <v>43437.66667</v>
      </c>
      <c r="D151" s="23">
        <f>IFERROR(__xludf.DUMMYFUNCTION("""COMPUTED_VALUE"""),96.68)</f>
        <v>96.68</v>
      </c>
      <c r="E151" s="22">
        <f>IFERROR(__xludf.DUMMYFUNCTION("""COMPUTED_VALUE"""),42359.66666666667)</f>
        <v>42359.66667</v>
      </c>
      <c r="F151" s="23">
        <f>IFERROR(__xludf.DUMMYFUNCTION("""COMPUTED_VALUE"""),11.0)</f>
        <v>11</v>
      </c>
      <c r="G151" s="22">
        <f>IFERROR(__xludf.DUMMYFUNCTION("""COMPUTED_VALUE"""),42104.66666666667)</f>
        <v>42104.66667</v>
      </c>
      <c r="H151" s="23">
        <f>IFERROR(__xludf.DUMMYFUNCTION("""COMPUTED_VALUE"""),75.58)</f>
        <v>75.58</v>
      </c>
      <c r="I151" s="22">
        <f>IFERROR(__xludf.DUMMYFUNCTION("""COMPUTED_VALUE"""),42104.66666666667)</f>
        <v>42104.66667</v>
      </c>
      <c r="J151" s="23">
        <f>IFERROR(__xludf.DUMMYFUNCTION("""COMPUTED_VALUE"""),141.4)</f>
        <v>141.4</v>
      </c>
      <c r="K151" s="22">
        <f>IFERROR(__xludf.DUMMYFUNCTION("""COMPUTED_VALUE"""),42104.66666666667)</f>
        <v>42104.66667</v>
      </c>
      <c r="L151" s="23">
        <f>IFERROR(__xludf.DUMMYFUNCTION("""COMPUTED_VALUE"""),65.78)</f>
        <v>65.78</v>
      </c>
      <c r="M151" s="23">
        <v>200.0</v>
      </c>
      <c r="N151" s="23">
        <v>200.0</v>
      </c>
      <c r="O151" s="23">
        <v>200.0</v>
      </c>
      <c r="P151" s="23">
        <f t="shared" si="1"/>
        <v>2.646202699</v>
      </c>
      <c r="Q151" s="23">
        <f t="shared" si="2"/>
        <v>1.414427157</v>
      </c>
      <c r="R151" s="23">
        <f t="shared" si="3"/>
        <v>3.040437823</v>
      </c>
      <c r="S151" s="19"/>
      <c r="T151" s="19"/>
      <c r="U151" s="19"/>
      <c r="V151" s="19"/>
    </row>
    <row r="152">
      <c r="A152" s="22">
        <f>IFERROR(__xludf.DUMMYFUNCTION("""COMPUTED_VALUE"""),42184.66666666667)</f>
        <v>42184.66667</v>
      </c>
      <c r="B152" s="23">
        <f>IFERROR(__xludf.DUMMYFUNCTION("""COMPUTED_VALUE"""),58.78)</f>
        <v>58.78</v>
      </c>
      <c r="C152" s="22">
        <f>IFERROR(__xludf.DUMMYFUNCTION("""COMPUTED_VALUE"""),43438.66666666667)</f>
        <v>43438.66667</v>
      </c>
      <c r="D152" s="23">
        <f>IFERROR(__xludf.DUMMYFUNCTION("""COMPUTED_VALUE"""),95.78)</f>
        <v>95.78</v>
      </c>
      <c r="E152" s="22">
        <f>IFERROR(__xludf.DUMMYFUNCTION("""COMPUTED_VALUE"""),42360.66666666667)</f>
        <v>42360.66667</v>
      </c>
      <c r="F152" s="23">
        <f>IFERROR(__xludf.DUMMYFUNCTION("""COMPUTED_VALUE"""),11.03)</f>
        <v>11.03</v>
      </c>
      <c r="G152" s="22">
        <f>IFERROR(__xludf.DUMMYFUNCTION("""COMPUTED_VALUE"""),42111.66666666667)</f>
        <v>42111.66667</v>
      </c>
      <c r="H152" s="23">
        <f>IFERROR(__xludf.DUMMYFUNCTION("""COMPUTED_VALUE"""),74.5)</f>
        <v>74.5</v>
      </c>
      <c r="I152" s="22">
        <f>IFERROR(__xludf.DUMMYFUNCTION("""COMPUTED_VALUE"""),42111.66666666667)</f>
        <v>42111.66667</v>
      </c>
      <c r="J152" s="23">
        <f>IFERROR(__xludf.DUMMYFUNCTION("""COMPUTED_VALUE"""),140.44)</f>
        <v>140.44</v>
      </c>
      <c r="K152" s="22">
        <f>IFERROR(__xludf.DUMMYFUNCTION("""COMPUTED_VALUE"""),42111.66666666667)</f>
        <v>42111.66667</v>
      </c>
      <c r="L152" s="23">
        <f>IFERROR(__xludf.DUMMYFUNCTION("""COMPUTED_VALUE"""),65.75)</f>
        <v>65.75</v>
      </c>
      <c r="M152" s="23">
        <v>0.0</v>
      </c>
      <c r="N152" s="23">
        <v>0.0</v>
      </c>
      <c r="O152" s="23">
        <v>0.0</v>
      </c>
      <c r="P152" s="23">
        <f t="shared" si="1"/>
        <v>0</v>
      </c>
      <c r="Q152" s="23">
        <f t="shared" si="2"/>
        <v>0</v>
      </c>
      <c r="R152" s="23">
        <f t="shared" si="3"/>
        <v>0</v>
      </c>
      <c r="S152" s="19"/>
      <c r="T152" s="19"/>
      <c r="U152" s="19"/>
      <c r="V152" s="19"/>
    </row>
    <row r="153">
      <c r="A153" s="22">
        <f>IFERROR(__xludf.DUMMYFUNCTION("""COMPUTED_VALUE"""),42185.66666666667)</f>
        <v>42185.66667</v>
      </c>
      <c r="B153" s="23">
        <f>IFERROR(__xludf.DUMMYFUNCTION("""COMPUTED_VALUE"""),58.44)</f>
        <v>58.44</v>
      </c>
      <c r="C153" s="22">
        <f>IFERROR(__xludf.DUMMYFUNCTION("""COMPUTED_VALUE"""),43439.66666666667)</f>
        <v>43439.66667</v>
      </c>
      <c r="D153" s="23">
        <f>IFERROR(__xludf.DUMMYFUNCTION("""COMPUTED_VALUE"""),94.84)</f>
        <v>94.84</v>
      </c>
      <c r="E153" s="22">
        <f>IFERROR(__xludf.DUMMYFUNCTION("""COMPUTED_VALUE"""),42361.66666666667)</f>
        <v>42361.66667</v>
      </c>
      <c r="F153" s="23">
        <f>IFERROR(__xludf.DUMMYFUNCTION("""COMPUTED_VALUE"""),11.07)</f>
        <v>11.07</v>
      </c>
      <c r="G153" s="22">
        <f>IFERROR(__xludf.DUMMYFUNCTION("""COMPUTED_VALUE"""),42118.66666666667)</f>
        <v>42118.66667</v>
      </c>
      <c r="H153" s="23">
        <f>IFERROR(__xludf.DUMMYFUNCTION("""COMPUTED_VALUE"""),75.08)</f>
        <v>75.08</v>
      </c>
      <c r="I153" s="22">
        <f>IFERROR(__xludf.DUMMYFUNCTION("""COMPUTED_VALUE"""),42118.66666666667)</f>
        <v>42118.66667</v>
      </c>
      <c r="J153" s="23">
        <f>IFERROR(__xludf.DUMMYFUNCTION("""COMPUTED_VALUE"""),140.79)</f>
        <v>140.79</v>
      </c>
      <c r="K153" s="22">
        <f>IFERROR(__xludf.DUMMYFUNCTION("""COMPUTED_VALUE"""),42118.66666666667)</f>
        <v>42118.66667</v>
      </c>
      <c r="L153" s="23">
        <f>IFERROR(__xludf.DUMMYFUNCTION("""COMPUTED_VALUE"""),66.05)</f>
        <v>66.05</v>
      </c>
      <c r="M153" s="23">
        <v>0.0</v>
      </c>
      <c r="N153" s="23">
        <v>0.0</v>
      </c>
      <c r="O153" s="23">
        <v>0.0</v>
      </c>
      <c r="P153" s="23">
        <f t="shared" si="1"/>
        <v>0</v>
      </c>
      <c r="Q153" s="23">
        <f t="shared" si="2"/>
        <v>0</v>
      </c>
      <c r="R153" s="23">
        <f t="shared" si="3"/>
        <v>0</v>
      </c>
      <c r="S153" s="19"/>
      <c r="T153" s="19"/>
      <c r="U153" s="19"/>
      <c r="V153" s="19"/>
    </row>
    <row r="154">
      <c r="A154" s="22">
        <f>IFERROR(__xludf.DUMMYFUNCTION("""COMPUTED_VALUE"""),42186.66666666667)</f>
        <v>42186.66667</v>
      </c>
      <c r="B154" s="23">
        <f>IFERROR(__xludf.DUMMYFUNCTION("""COMPUTED_VALUE"""),57.16)</f>
        <v>57.16</v>
      </c>
      <c r="C154" s="22">
        <f>IFERROR(__xludf.DUMMYFUNCTION("""COMPUTED_VALUE"""),43440.66666666667)</f>
        <v>43440.66667</v>
      </c>
      <c r="D154" s="23">
        <f>IFERROR(__xludf.DUMMYFUNCTION("""COMPUTED_VALUE"""),94.85)</f>
        <v>94.85</v>
      </c>
      <c r="E154" s="22">
        <f>IFERROR(__xludf.DUMMYFUNCTION("""COMPUTED_VALUE"""),42362.66666666667)</f>
        <v>42362.66667</v>
      </c>
      <c r="F154" s="23">
        <f>IFERROR(__xludf.DUMMYFUNCTION("""COMPUTED_VALUE"""),11.08)</f>
        <v>11.08</v>
      </c>
      <c r="G154" s="22">
        <f>IFERROR(__xludf.DUMMYFUNCTION("""COMPUTED_VALUE"""),42125.66666666667)</f>
        <v>42125.66667</v>
      </c>
      <c r="H154" s="23">
        <f>IFERROR(__xludf.DUMMYFUNCTION("""COMPUTED_VALUE"""),73.79)</f>
        <v>73.79</v>
      </c>
      <c r="I154" s="22">
        <f>IFERROR(__xludf.DUMMYFUNCTION("""COMPUTED_VALUE"""),42125.66666666667)</f>
        <v>42125.66667</v>
      </c>
      <c r="J154" s="23">
        <f>IFERROR(__xludf.DUMMYFUNCTION("""COMPUTED_VALUE"""),136.91)</f>
        <v>136.91</v>
      </c>
      <c r="K154" s="22">
        <f>IFERROR(__xludf.DUMMYFUNCTION("""COMPUTED_VALUE"""),42125.66666666667)</f>
        <v>42125.66667</v>
      </c>
      <c r="L154" s="23">
        <f>IFERROR(__xludf.DUMMYFUNCTION("""COMPUTED_VALUE"""),64.98)</f>
        <v>64.98</v>
      </c>
      <c r="M154" s="23">
        <v>0.0</v>
      </c>
      <c r="N154" s="23">
        <v>0.0</v>
      </c>
      <c r="O154" s="23">
        <v>0.0</v>
      </c>
      <c r="P154" s="23">
        <f t="shared" si="1"/>
        <v>0</v>
      </c>
      <c r="Q154" s="23">
        <f t="shared" si="2"/>
        <v>0</v>
      </c>
      <c r="R154" s="23">
        <f t="shared" si="3"/>
        <v>0</v>
      </c>
      <c r="S154" s="19"/>
      <c r="T154" s="19"/>
      <c r="U154" s="19"/>
      <c r="V154" s="19"/>
    </row>
    <row r="155">
      <c r="A155" s="22">
        <f>IFERROR(__xludf.DUMMYFUNCTION("""COMPUTED_VALUE"""),42187.66666666667)</f>
        <v>42187.66667</v>
      </c>
      <c r="B155" s="23">
        <f>IFERROR(__xludf.DUMMYFUNCTION("""COMPUTED_VALUE"""),57.9)</f>
        <v>57.9</v>
      </c>
      <c r="C155" s="22">
        <f>IFERROR(__xludf.DUMMYFUNCTION("""COMPUTED_VALUE"""),43441.66666666667)</f>
        <v>43441.66667</v>
      </c>
      <c r="D155" s="23">
        <f>IFERROR(__xludf.DUMMYFUNCTION("""COMPUTED_VALUE"""),95.24)</f>
        <v>95.24</v>
      </c>
      <c r="E155" s="22">
        <f>IFERROR(__xludf.DUMMYFUNCTION("""COMPUTED_VALUE"""),42367.66666666667)</f>
        <v>42367.66667</v>
      </c>
      <c r="F155" s="23">
        <f>IFERROR(__xludf.DUMMYFUNCTION("""COMPUTED_VALUE"""),11.1)</f>
        <v>11.1</v>
      </c>
      <c r="G155" s="22">
        <f>IFERROR(__xludf.DUMMYFUNCTION("""COMPUTED_VALUE"""),42132.66666666667)</f>
        <v>42132.66667</v>
      </c>
      <c r="H155" s="23">
        <f>IFERROR(__xludf.DUMMYFUNCTION("""COMPUTED_VALUE"""),72.19)</f>
        <v>72.19</v>
      </c>
      <c r="I155" s="22">
        <f>IFERROR(__xludf.DUMMYFUNCTION("""COMPUTED_VALUE"""),42132.66666666667)</f>
        <v>42132.66667</v>
      </c>
      <c r="J155" s="23">
        <f>IFERROR(__xludf.DUMMYFUNCTION("""COMPUTED_VALUE"""),137.06)</f>
        <v>137.06</v>
      </c>
      <c r="K155" s="22">
        <f>IFERROR(__xludf.DUMMYFUNCTION("""COMPUTED_VALUE"""),42132.66666666667)</f>
        <v>42132.66667</v>
      </c>
      <c r="L155" s="23">
        <f>IFERROR(__xludf.DUMMYFUNCTION("""COMPUTED_VALUE"""),64.17)</f>
        <v>64.17</v>
      </c>
      <c r="M155" s="23">
        <v>200.0</v>
      </c>
      <c r="N155" s="23">
        <v>200.0</v>
      </c>
      <c r="O155" s="23">
        <v>200.0</v>
      </c>
      <c r="P155" s="23">
        <f t="shared" si="1"/>
        <v>2.770466824</v>
      </c>
      <c r="Q155" s="23">
        <f t="shared" si="2"/>
        <v>1.459214942</v>
      </c>
      <c r="R155" s="23">
        <f t="shared" si="3"/>
        <v>3.116721209</v>
      </c>
      <c r="S155" s="19"/>
      <c r="T155" s="19"/>
      <c r="U155" s="19"/>
      <c r="V155" s="19"/>
    </row>
    <row r="156">
      <c r="A156" s="22">
        <f>IFERROR(__xludf.DUMMYFUNCTION("""COMPUTED_VALUE"""),42188.66666666667)</f>
        <v>42188.66667</v>
      </c>
      <c r="B156" s="23">
        <f>IFERROR(__xludf.DUMMYFUNCTION("""COMPUTED_VALUE"""),58.14)</f>
        <v>58.14</v>
      </c>
      <c r="C156" s="22">
        <f>IFERROR(__xludf.DUMMYFUNCTION("""COMPUTED_VALUE"""),43444.66666666667)</f>
        <v>43444.66667</v>
      </c>
      <c r="D156" s="23">
        <f>IFERROR(__xludf.DUMMYFUNCTION("""COMPUTED_VALUE"""),93.0)</f>
        <v>93</v>
      </c>
      <c r="E156" s="22">
        <f>IFERROR(__xludf.DUMMYFUNCTION("""COMPUTED_VALUE"""),42368.66666666667)</f>
        <v>42368.66667</v>
      </c>
      <c r="F156" s="23">
        <f>IFERROR(__xludf.DUMMYFUNCTION("""COMPUTED_VALUE"""),11.2)</f>
        <v>11.2</v>
      </c>
      <c r="G156" s="22">
        <f>IFERROR(__xludf.DUMMYFUNCTION("""COMPUTED_VALUE"""),42139.66666666667)</f>
        <v>42139.66667</v>
      </c>
      <c r="H156" s="23">
        <f>IFERROR(__xludf.DUMMYFUNCTION("""COMPUTED_VALUE"""),73.02)</f>
        <v>73.02</v>
      </c>
      <c r="I156" s="22">
        <f>IFERROR(__xludf.DUMMYFUNCTION("""COMPUTED_VALUE"""),42139.66666666667)</f>
        <v>42139.66667</v>
      </c>
      <c r="J156" s="23">
        <f>IFERROR(__xludf.DUMMYFUNCTION("""COMPUTED_VALUE"""),136.66)</f>
        <v>136.66</v>
      </c>
      <c r="K156" s="22">
        <f>IFERROR(__xludf.DUMMYFUNCTION("""COMPUTED_VALUE"""),42139.66666666667)</f>
        <v>42139.66667</v>
      </c>
      <c r="L156" s="23">
        <f>IFERROR(__xludf.DUMMYFUNCTION("""COMPUTED_VALUE"""),64.55)</f>
        <v>64.55</v>
      </c>
      <c r="M156" s="23">
        <v>0.0</v>
      </c>
      <c r="N156" s="23">
        <v>0.0</v>
      </c>
      <c r="O156" s="23">
        <v>0.0</v>
      </c>
      <c r="P156" s="23">
        <f t="shared" si="1"/>
        <v>0</v>
      </c>
      <c r="Q156" s="23">
        <f t="shared" si="2"/>
        <v>0</v>
      </c>
      <c r="R156" s="23">
        <f t="shared" si="3"/>
        <v>0</v>
      </c>
      <c r="S156" s="19"/>
      <c r="T156" s="19"/>
      <c r="U156" s="19"/>
      <c r="V156" s="19"/>
    </row>
    <row r="157">
      <c r="A157" s="22">
        <f>IFERROR(__xludf.DUMMYFUNCTION("""COMPUTED_VALUE"""),42191.66666666667)</f>
        <v>42191.66667</v>
      </c>
      <c r="B157" s="23">
        <f>IFERROR(__xludf.DUMMYFUNCTION("""COMPUTED_VALUE"""),58.03)</f>
        <v>58.03</v>
      </c>
      <c r="C157" s="22">
        <f>IFERROR(__xludf.DUMMYFUNCTION("""COMPUTED_VALUE"""),43445.66666666667)</f>
        <v>43445.66667</v>
      </c>
      <c r="D157" s="23">
        <f>IFERROR(__xludf.DUMMYFUNCTION("""COMPUTED_VALUE"""),93.34)</f>
        <v>93.34</v>
      </c>
      <c r="E157" s="22">
        <f>IFERROR(__xludf.DUMMYFUNCTION("""COMPUTED_VALUE"""),42369.66666666667)</f>
        <v>42369.66667</v>
      </c>
      <c r="F157" s="23">
        <f>IFERROR(__xludf.DUMMYFUNCTION("""COMPUTED_VALUE"""),11.08)</f>
        <v>11.08</v>
      </c>
      <c r="G157" s="22">
        <f>IFERROR(__xludf.DUMMYFUNCTION("""COMPUTED_VALUE"""),42146.66666666667)</f>
        <v>42146.66667</v>
      </c>
      <c r="H157" s="23">
        <f>IFERROR(__xludf.DUMMYFUNCTION("""COMPUTED_VALUE"""),72.26)</f>
        <v>72.26</v>
      </c>
      <c r="I157" s="22">
        <f>IFERROR(__xludf.DUMMYFUNCTION("""COMPUTED_VALUE"""),42146.66666666667)</f>
        <v>42146.66667</v>
      </c>
      <c r="J157" s="23">
        <f>IFERROR(__xludf.DUMMYFUNCTION("""COMPUTED_VALUE"""),139.58)</f>
        <v>139.58</v>
      </c>
      <c r="K157" s="22">
        <f>IFERROR(__xludf.DUMMYFUNCTION("""COMPUTED_VALUE"""),42146.66666666667)</f>
        <v>42146.66667</v>
      </c>
      <c r="L157" s="23">
        <f>IFERROR(__xludf.DUMMYFUNCTION("""COMPUTED_VALUE"""),65.84)</f>
        <v>65.84</v>
      </c>
      <c r="M157" s="23">
        <v>0.0</v>
      </c>
      <c r="N157" s="23">
        <v>0.0</v>
      </c>
      <c r="O157" s="23">
        <v>0.0</v>
      </c>
      <c r="P157" s="23">
        <f t="shared" si="1"/>
        <v>0</v>
      </c>
      <c r="Q157" s="23">
        <f t="shared" si="2"/>
        <v>0</v>
      </c>
      <c r="R157" s="23">
        <f t="shared" si="3"/>
        <v>0</v>
      </c>
      <c r="S157" s="19"/>
      <c r="T157" s="19"/>
      <c r="U157" s="19"/>
      <c r="V157" s="19"/>
    </row>
    <row r="158">
      <c r="A158" s="22">
        <f>IFERROR(__xludf.DUMMYFUNCTION("""COMPUTED_VALUE"""),42192.66666666667)</f>
        <v>42192.66667</v>
      </c>
      <c r="B158" s="23">
        <f>IFERROR(__xludf.DUMMYFUNCTION("""COMPUTED_VALUE"""),58.53)</f>
        <v>58.53</v>
      </c>
      <c r="C158" s="22">
        <f>IFERROR(__xludf.DUMMYFUNCTION("""COMPUTED_VALUE"""),43446.66666666667)</f>
        <v>43446.66667</v>
      </c>
      <c r="D158" s="23">
        <f>IFERROR(__xludf.DUMMYFUNCTION("""COMPUTED_VALUE"""),94.86)</f>
        <v>94.86</v>
      </c>
      <c r="E158" s="22">
        <f>IFERROR(__xludf.DUMMYFUNCTION("""COMPUTED_VALUE"""),42373.66666666667)</f>
        <v>42373.66667</v>
      </c>
      <c r="F158" s="23">
        <f>IFERROR(__xludf.DUMMYFUNCTION("""COMPUTED_VALUE"""),10.97)</f>
        <v>10.97</v>
      </c>
      <c r="G158" s="22">
        <f>IFERROR(__xludf.DUMMYFUNCTION("""COMPUTED_VALUE"""),42153.66666666667)</f>
        <v>42153.66667</v>
      </c>
      <c r="H158" s="23">
        <f>IFERROR(__xludf.DUMMYFUNCTION("""COMPUTED_VALUE"""),73.7)</f>
        <v>73.7</v>
      </c>
      <c r="I158" s="22">
        <f>IFERROR(__xludf.DUMMYFUNCTION("""COMPUTED_VALUE"""),42153.66666666667)</f>
        <v>42153.66667</v>
      </c>
      <c r="J158" s="23">
        <f>IFERROR(__xludf.DUMMYFUNCTION("""COMPUTED_VALUE"""),143.81)</f>
        <v>143.81</v>
      </c>
      <c r="K158" s="22">
        <f>IFERROR(__xludf.DUMMYFUNCTION("""COMPUTED_VALUE"""),42153.66666666667)</f>
        <v>42153.66667</v>
      </c>
      <c r="L158" s="23">
        <f>IFERROR(__xludf.DUMMYFUNCTION("""COMPUTED_VALUE"""),66.81)</f>
        <v>66.81</v>
      </c>
      <c r="M158" s="23">
        <v>0.0</v>
      </c>
      <c r="N158" s="23">
        <v>0.0</v>
      </c>
      <c r="O158" s="23">
        <v>0.0</v>
      </c>
      <c r="P158" s="23">
        <f t="shared" si="1"/>
        <v>0</v>
      </c>
      <c r="Q158" s="23">
        <f t="shared" si="2"/>
        <v>0</v>
      </c>
      <c r="R158" s="23">
        <f t="shared" si="3"/>
        <v>0</v>
      </c>
      <c r="S158" s="19"/>
      <c r="T158" s="19"/>
      <c r="U158" s="19"/>
      <c r="V158" s="19"/>
    </row>
    <row r="159">
      <c r="A159" s="22">
        <f>IFERROR(__xludf.DUMMYFUNCTION("""COMPUTED_VALUE"""),42193.66666666667)</f>
        <v>42193.66667</v>
      </c>
      <c r="B159" s="23">
        <f>IFERROR(__xludf.DUMMYFUNCTION("""COMPUTED_VALUE"""),58.3)</f>
        <v>58.3</v>
      </c>
      <c r="C159" s="22">
        <f>IFERROR(__xludf.DUMMYFUNCTION("""COMPUTED_VALUE"""),43447.66666666667)</f>
        <v>43447.66667</v>
      </c>
      <c r="D159" s="23">
        <f>IFERROR(__xludf.DUMMYFUNCTION("""COMPUTED_VALUE"""),94.89)</f>
        <v>94.89</v>
      </c>
      <c r="E159" s="22">
        <f>IFERROR(__xludf.DUMMYFUNCTION("""COMPUTED_VALUE"""),42374.66666666667)</f>
        <v>42374.66667</v>
      </c>
      <c r="F159" s="23">
        <f>IFERROR(__xludf.DUMMYFUNCTION("""COMPUTED_VALUE"""),10.9)</f>
        <v>10.9</v>
      </c>
      <c r="G159" s="22">
        <f>IFERROR(__xludf.DUMMYFUNCTION("""COMPUTED_VALUE"""),42160.66666666667)</f>
        <v>42160.66667</v>
      </c>
      <c r="H159" s="23">
        <f>IFERROR(__xludf.DUMMYFUNCTION("""COMPUTED_VALUE"""),70.46)</f>
        <v>70.46</v>
      </c>
      <c r="I159" s="22">
        <f>IFERROR(__xludf.DUMMYFUNCTION("""COMPUTED_VALUE"""),42160.66666666667)</f>
        <v>42160.66667</v>
      </c>
      <c r="J159" s="23">
        <f>IFERROR(__xludf.DUMMYFUNCTION("""COMPUTED_VALUE"""),141.83)</f>
        <v>141.83</v>
      </c>
      <c r="K159" s="22">
        <f>IFERROR(__xludf.DUMMYFUNCTION("""COMPUTED_VALUE"""),42160.66666666667)</f>
        <v>42160.66667</v>
      </c>
      <c r="L159" s="23">
        <f>IFERROR(__xludf.DUMMYFUNCTION("""COMPUTED_VALUE"""),65.23)</f>
        <v>65.23</v>
      </c>
      <c r="M159" s="23">
        <v>200.0</v>
      </c>
      <c r="N159" s="23">
        <v>200.0</v>
      </c>
      <c r="O159" s="23">
        <v>200.0</v>
      </c>
      <c r="P159" s="23">
        <f t="shared" si="1"/>
        <v>2.838489923</v>
      </c>
      <c r="Q159" s="23">
        <f t="shared" si="2"/>
        <v>1.410138899</v>
      </c>
      <c r="R159" s="23">
        <f t="shared" si="3"/>
        <v>3.066073892</v>
      </c>
      <c r="S159" s="19"/>
      <c r="T159" s="19"/>
      <c r="U159" s="19"/>
      <c r="V159" s="19"/>
    </row>
    <row r="160">
      <c r="A160" s="22">
        <f>IFERROR(__xludf.DUMMYFUNCTION("""COMPUTED_VALUE"""),42194.66666666667)</f>
        <v>42194.66667</v>
      </c>
      <c r="B160" s="23">
        <f>IFERROR(__xludf.DUMMYFUNCTION("""COMPUTED_VALUE"""),58.19)</f>
        <v>58.19</v>
      </c>
      <c r="C160" s="22">
        <f>IFERROR(__xludf.DUMMYFUNCTION("""COMPUTED_VALUE"""),43448.66666666667)</f>
        <v>43448.66667</v>
      </c>
      <c r="D160" s="23">
        <f>IFERROR(__xludf.DUMMYFUNCTION("""COMPUTED_VALUE"""),93.86)</f>
        <v>93.86</v>
      </c>
      <c r="E160" s="22">
        <f>IFERROR(__xludf.DUMMYFUNCTION("""COMPUTED_VALUE"""),42375.66666666667)</f>
        <v>42375.66667</v>
      </c>
      <c r="F160" s="23">
        <f>IFERROR(__xludf.DUMMYFUNCTION("""COMPUTED_VALUE"""),10.88)</f>
        <v>10.88</v>
      </c>
      <c r="G160" s="22">
        <f>IFERROR(__xludf.DUMMYFUNCTION("""COMPUTED_VALUE"""),42167.66666666667)</f>
        <v>42167.66667</v>
      </c>
      <c r="H160" s="23">
        <f>IFERROR(__xludf.DUMMYFUNCTION("""COMPUTED_VALUE"""),70.82)</f>
        <v>70.82</v>
      </c>
      <c r="I160" s="22">
        <f>IFERROR(__xludf.DUMMYFUNCTION("""COMPUTED_VALUE"""),42167.66666666667)</f>
        <v>42167.66667</v>
      </c>
      <c r="J160" s="23">
        <f>IFERROR(__xludf.DUMMYFUNCTION("""COMPUTED_VALUE"""),141.74)</f>
        <v>141.74</v>
      </c>
      <c r="K160" s="22">
        <f>IFERROR(__xludf.DUMMYFUNCTION("""COMPUTED_VALUE"""),42167.66666666667)</f>
        <v>42167.66667</v>
      </c>
      <c r="L160" s="23">
        <f>IFERROR(__xludf.DUMMYFUNCTION("""COMPUTED_VALUE"""),65.0)</f>
        <v>65</v>
      </c>
      <c r="M160" s="23">
        <v>0.0</v>
      </c>
      <c r="N160" s="23">
        <v>0.0</v>
      </c>
      <c r="O160" s="23">
        <v>0.0</v>
      </c>
      <c r="P160" s="23">
        <f t="shared" si="1"/>
        <v>0</v>
      </c>
      <c r="Q160" s="23">
        <f t="shared" si="2"/>
        <v>0</v>
      </c>
      <c r="R160" s="23">
        <f t="shared" si="3"/>
        <v>0</v>
      </c>
      <c r="S160" s="19"/>
      <c r="T160" s="19"/>
      <c r="U160" s="19"/>
      <c r="V160" s="19"/>
    </row>
    <row r="161">
      <c r="A161" s="22">
        <f>IFERROR(__xludf.DUMMYFUNCTION("""COMPUTED_VALUE"""),42195.66666666667)</f>
        <v>42195.66667</v>
      </c>
      <c r="B161" s="23">
        <f>IFERROR(__xludf.DUMMYFUNCTION("""COMPUTED_VALUE"""),58.34)</f>
        <v>58.34</v>
      </c>
      <c r="C161" s="22">
        <f>IFERROR(__xludf.DUMMYFUNCTION("""COMPUTED_VALUE"""),43451.66666666667)</f>
        <v>43451.66667</v>
      </c>
      <c r="D161" s="23">
        <f>IFERROR(__xludf.DUMMYFUNCTION("""COMPUTED_VALUE"""),95.0)</f>
        <v>95</v>
      </c>
      <c r="E161" s="22">
        <f>IFERROR(__xludf.DUMMYFUNCTION("""COMPUTED_VALUE"""),42376.66666666667)</f>
        <v>42376.66667</v>
      </c>
      <c r="F161" s="23">
        <f>IFERROR(__xludf.DUMMYFUNCTION("""COMPUTED_VALUE"""),10.85)</f>
        <v>10.85</v>
      </c>
      <c r="G161" s="22">
        <f>IFERROR(__xludf.DUMMYFUNCTION("""COMPUTED_VALUE"""),42174.66666666667)</f>
        <v>42174.66667</v>
      </c>
      <c r="H161" s="23">
        <f>IFERROR(__xludf.DUMMYFUNCTION("""COMPUTED_VALUE"""),71.6)</f>
        <v>71.6</v>
      </c>
      <c r="I161" s="22">
        <f>IFERROR(__xludf.DUMMYFUNCTION("""COMPUTED_VALUE"""),42174.66666666667)</f>
        <v>42174.66667</v>
      </c>
      <c r="J161" s="23">
        <f>IFERROR(__xludf.DUMMYFUNCTION("""COMPUTED_VALUE"""),142.2)</f>
        <v>142.2</v>
      </c>
      <c r="K161" s="22">
        <f>IFERROR(__xludf.DUMMYFUNCTION("""COMPUTED_VALUE"""),42174.66666666667)</f>
        <v>42174.66667</v>
      </c>
      <c r="L161" s="23">
        <f>IFERROR(__xludf.DUMMYFUNCTION("""COMPUTED_VALUE"""),64.39)</f>
        <v>64.39</v>
      </c>
      <c r="M161" s="23">
        <v>0.0</v>
      </c>
      <c r="N161" s="23">
        <v>0.0</v>
      </c>
      <c r="O161" s="23">
        <v>0.0</v>
      </c>
      <c r="P161" s="23">
        <f t="shared" si="1"/>
        <v>0</v>
      </c>
      <c r="Q161" s="23">
        <f t="shared" si="2"/>
        <v>0</v>
      </c>
      <c r="R161" s="23">
        <f t="shared" si="3"/>
        <v>0</v>
      </c>
      <c r="S161" s="19"/>
      <c r="T161" s="19"/>
      <c r="U161" s="19"/>
      <c r="V161" s="19"/>
    </row>
    <row r="162">
      <c r="A162" s="22">
        <f>IFERROR(__xludf.DUMMYFUNCTION("""COMPUTED_VALUE"""),42198.66666666667)</f>
        <v>42198.66667</v>
      </c>
      <c r="B162" s="23">
        <f>IFERROR(__xludf.DUMMYFUNCTION("""COMPUTED_VALUE"""),59.25)</f>
        <v>59.25</v>
      </c>
      <c r="C162" s="22">
        <f>IFERROR(__xludf.DUMMYFUNCTION("""COMPUTED_VALUE"""),43452.66666666667)</f>
        <v>43452.66667</v>
      </c>
      <c r="D162" s="23">
        <f>IFERROR(__xludf.DUMMYFUNCTION("""COMPUTED_VALUE"""),93.66)</f>
        <v>93.66</v>
      </c>
      <c r="E162" s="22">
        <f>IFERROR(__xludf.DUMMYFUNCTION("""COMPUTED_VALUE"""),42377.66666666667)</f>
        <v>42377.66667</v>
      </c>
      <c r="F162" s="23">
        <f>IFERROR(__xludf.DUMMYFUNCTION("""COMPUTED_VALUE"""),10.66)</f>
        <v>10.66</v>
      </c>
      <c r="G162" s="22">
        <f>IFERROR(__xludf.DUMMYFUNCTION("""COMPUTED_VALUE"""),42181.66666666667)</f>
        <v>42181.66667</v>
      </c>
      <c r="H162" s="23">
        <f>IFERROR(__xludf.DUMMYFUNCTION("""COMPUTED_VALUE"""),70.95)</f>
        <v>70.95</v>
      </c>
      <c r="I162" s="22">
        <f>IFERROR(__xludf.DUMMYFUNCTION("""COMPUTED_VALUE"""),42181.66666666667)</f>
        <v>42181.66667</v>
      </c>
      <c r="J162" s="23">
        <f>IFERROR(__xludf.DUMMYFUNCTION("""COMPUTED_VALUE"""),142.0)</f>
        <v>142</v>
      </c>
      <c r="K162" s="22">
        <f>IFERROR(__xludf.DUMMYFUNCTION("""COMPUTED_VALUE"""),42181.66666666667)</f>
        <v>42181.66667</v>
      </c>
      <c r="L162" s="23">
        <f>IFERROR(__xludf.DUMMYFUNCTION("""COMPUTED_VALUE"""),65.15)</f>
        <v>65.15</v>
      </c>
      <c r="M162" s="23">
        <v>0.0</v>
      </c>
      <c r="N162" s="23">
        <v>0.0</v>
      </c>
      <c r="O162" s="23">
        <v>0.0</v>
      </c>
      <c r="P162" s="23">
        <f t="shared" si="1"/>
        <v>0</v>
      </c>
      <c r="Q162" s="23">
        <f t="shared" si="2"/>
        <v>0</v>
      </c>
      <c r="R162" s="23">
        <f t="shared" si="3"/>
        <v>0</v>
      </c>
      <c r="S162" s="19"/>
      <c r="T162" s="19"/>
      <c r="U162" s="19"/>
      <c r="V162" s="19"/>
    </row>
    <row r="163">
      <c r="A163" s="22">
        <f>IFERROR(__xludf.DUMMYFUNCTION("""COMPUTED_VALUE"""),42199.66666666667)</f>
        <v>42199.66667</v>
      </c>
      <c r="B163" s="23">
        <f>IFERROR(__xludf.DUMMYFUNCTION("""COMPUTED_VALUE"""),59.77)</f>
        <v>59.77</v>
      </c>
      <c r="C163" s="22">
        <f>IFERROR(__xludf.DUMMYFUNCTION("""COMPUTED_VALUE"""),43453.66666666667)</f>
        <v>43453.66667</v>
      </c>
      <c r="D163" s="23">
        <f>IFERROR(__xludf.DUMMYFUNCTION("""COMPUTED_VALUE"""),93.6)</f>
        <v>93.6</v>
      </c>
      <c r="E163" s="22">
        <f>IFERROR(__xludf.DUMMYFUNCTION("""COMPUTED_VALUE"""),42380.66666666667)</f>
        <v>42380.66667</v>
      </c>
      <c r="F163" s="23">
        <f>IFERROR(__xludf.DUMMYFUNCTION("""COMPUTED_VALUE"""),10.62)</f>
        <v>10.62</v>
      </c>
      <c r="G163" s="22">
        <f>IFERROR(__xludf.DUMMYFUNCTION("""COMPUTED_VALUE"""),42188.66666666667)</f>
        <v>42188.66667</v>
      </c>
      <c r="H163" s="23">
        <f>IFERROR(__xludf.DUMMYFUNCTION("""COMPUTED_VALUE"""),70.22)</f>
        <v>70.22</v>
      </c>
      <c r="I163" s="22">
        <f>IFERROR(__xludf.DUMMYFUNCTION("""COMPUTED_VALUE"""),42188.66666666667)</f>
        <v>42188.66667</v>
      </c>
      <c r="J163" s="23">
        <f>IFERROR(__xludf.DUMMYFUNCTION("""COMPUTED_VALUE"""),142.07)</f>
        <v>142.07</v>
      </c>
      <c r="K163" s="22">
        <f>IFERROR(__xludf.DUMMYFUNCTION("""COMPUTED_VALUE"""),42188.66666666667)</f>
        <v>42188.66667</v>
      </c>
      <c r="L163" s="23">
        <f>IFERROR(__xludf.DUMMYFUNCTION("""COMPUTED_VALUE"""),64.61)</f>
        <v>64.61</v>
      </c>
      <c r="M163" s="23">
        <v>200.0</v>
      </c>
      <c r="N163" s="23">
        <v>200.0</v>
      </c>
      <c r="O163" s="23">
        <v>200.0</v>
      </c>
      <c r="P163" s="23">
        <f t="shared" si="1"/>
        <v>2.848191398</v>
      </c>
      <c r="Q163" s="23">
        <f t="shared" si="2"/>
        <v>1.40775674</v>
      </c>
      <c r="R163" s="23">
        <f t="shared" si="3"/>
        <v>3.095496053</v>
      </c>
      <c r="S163" s="19"/>
      <c r="T163" s="19"/>
      <c r="U163" s="19"/>
      <c r="V163" s="19"/>
    </row>
    <row r="164">
      <c r="A164" s="22">
        <f>IFERROR(__xludf.DUMMYFUNCTION("""COMPUTED_VALUE"""),42200.66666666667)</f>
        <v>42200.66667</v>
      </c>
      <c r="B164" s="23">
        <f>IFERROR(__xludf.DUMMYFUNCTION("""COMPUTED_VALUE"""),59.78)</f>
        <v>59.78</v>
      </c>
      <c r="C164" s="22">
        <f>IFERROR(__xludf.DUMMYFUNCTION("""COMPUTED_VALUE"""),43454.66666666667)</f>
        <v>43454.66667</v>
      </c>
      <c r="D164" s="23">
        <f>IFERROR(__xludf.DUMMYFUNCTION("""COMPUTED_VALUE"""),92.29)</f>
        <v>92.29</v>
      </c>
      <c r="E164" s="22">
        <f>IFERROR(__xludf.DUMMYFUNCTION("""COMPUTED_VALUE"""),42381.66666666667)</f>
        <v>42381.66667</v>
      </c>
      <c r="F164" s="23">
        <f>IFERROR(__xludf.DUMMYFUNCTION("""COMPUTED_VALUE"""),10.62)</f>
        <v>10.62</v>
      </c>
      <c r="G164" s="22">
        <f>IFERROR(__xludf.DUMMYFUNCTION("""COMPUTED_VALUE"""),42195.66666666667)</f>
        <v>42195.66667</v>
      </c>
      <c r="H164" s="23">
        <f>IFERROR(__xludf.DUMMYFUNCTION("""COMPUTED_VALUE"""),69.78)</f>
        <v>69.78</v>
      </c>
      <c r="I164" s="22">
        <f>IFERROR(__xludf.DUMMYFUNCTION("""COMPUTED_VALUE"""),42195.66666666667)</f>
        <v>42195.66667</v>
      </c>
      <c r="J164" s="23">
        <f>IFERROR(__xludf.DUMMYFUNCTION("""COMPUTED_VALUE"""),143.44)</f>
        <v>143.44</v>
      </c>
      <c r="K164" s="22">
        <f>IFERROR(__xludf.DUMMYFUNCTION("""COMPUTED_VALUE"""),42195.66666666667)</f>
        <v>42195.66667</v>
      </c>
      <c r="L164" s="23">
        <f>IFERROR(__xludf.DUMMYFUNCTION("""COMPUTED_VALUE"""),64.2)</f>
        <v>64.2</v>
      </c>
      <c r="M164" s="23">
        <v>0.0</v>
      </c>
      <c r="N164" s="23">
        <v>0.0</v>
      </c>
      <c r="O164" s="23">
        <v>0.0</v>
      </c>
      <c r="P164" s="23">
        <f t="shared" si="1"/>
        <v>0</v>
      </c>
      <c r="Q164" s="23">
        <f t="shared" si="2"/>
        <v>0</v>
      </c>
      <c r="R164" s="23">
        <f t="shared" si="3"/>
        <v>0</v>
      </c>
      <c r="S164" s="19"/>
      <c r="T164" s="19"/>
      <c r="U164" s="19"/>
      <c r="V164" s="19"/>
    </row>
    <row r="165">
      <c r="A165" s="22">
        <f>IFERROR(__xludf.DUMMYFUNCTION("""COMPUTED_VALUE"""),42201.66666666667)</f>
        <v>42201.66667</v>
      </c>
      <c r="B165" s="23">
        <f>IFERROR(__xludf.DUMMYFUNCTION("""COMPUTED_VALUE"""),60.74)</f>
        <v>60.74</v>
      </c>
      <c r="C165" s="22">
        <f>IFERROR(__xludf.DUMMYFUNCTION("""COMPUTED_VALUE"""),43455.66666666667)</f>
        <v>43455.66667</v>
      </c>
      <c r="D165" s="23">
        <f>IFERROR(__xludf.DUMMYFUNCTION("""COMPUTED_VALUE"""),91.57)</f>
        <v>91.57</v>
      </c>
      <c r="E165" s="22">
        <f>IFERROR(__xludf.DUMMYFUNCTION("""COMPUTED_VALUE"""),42382.66666666667)</f>
        <v>42382.66667</v>
      </c>
      <c r="F165" s="23">
        <f>IFERROR(__xludf.DUMMYFUNCTION("""COMPUTED_VALUE"""),10.77)</f>
        <v>10.77</v>
      </c>
      <c r="G165" s="22">
        <f>IFERROR(__xludf.DUMMYFUNCTION("""COMPUTED_VALUE"""),42202.66666666667)</f>
        <v>42202.66667</v>
      </c>
      <c r="H165" s="23">
        <f>IFERROR(__xludf.DUMMYFUNCTION("""COMPUTED_VALUE"""),71.94)</f>
        <v>71.94</v>
      </c>
      <c r="I165" s="22">
        <f>IFERROR(__xludf.DUMMYFUNCTION("""COMPUTED_VALUE"""),42202.66666666667)</f>
        <v>42202.66667</v>
      </c>
      <c r="J165" s="23">
        <f>IFERROR(__xludf.DUMMYFUNCTION("""COMPUTED_VALUE"""),148.3)</f>
        <v>148.3</v>
      </c>
      <c r="K165" s="22">
        <f>IFERROR(__xludf.DUMMYFUNCTION("""COMPUTED_VALUE"""),42202.66666666667)</f>
        <v>42202.66667</v>
      </c>
      <c r="L165" s="23">
        <f>IFERROR(__xludf.DUMMYFUNCTION("""COMPUTED_VALUE"""),66.58)</f>
        <v>66.58</v>
      </c>
      <c r="M165" s="23">
        <v>0.0</v>
      </c>
      <c r="N165" s="23">
        <v>0.0</v>
      </c>
      <c r="O165" s="23">
        <v>0.0</v>
      </c>
      <c r="P165" s="23">
        <f t="shared" si="1"/>
        <v>0</v>
      </c>
      <c r="Q165" s="23">
        <f t="shared" si="2"/>
        <v>0</v>
      </c>
      <c r="R165" s="23">
        <f t="shared" si="3"/>
        <v>0</v>
      </c>
      <c r="S165" s="19"/>
      <c r="T165" s="19"/>
      <c r="U165" s="19"/>
      <c r="V165" s="19"/>
    </row>
    <row r="166">
      <c r="A166" s="22">
        <f>IFERROR(__xludf.DUMMYFUNCTION("""COMPUTED_VALUE"""),42202.66666666667)</f>
        <v>42202.66667</v>
      </c>
      <c r="B166" s="23">
        <f>IFERROR(__xludf.DUMMYFUNCTION("""COMPUTED_VALUE"""),60.54)</f>
        <v>60.54</v>
      </c>
      <c r="C166" s="22">
        <f>IFERROR(__xludf.DUMMYFUNCTION("""COMPUTED_VALUE"""),43458.59027777778)</f>
        <v>43458.59028</v>
      </c>
      <c r="D166" s="23">
        <f>IFERROR(__xludf.DUMMYFUNCTION("""COMPUTED_VALUE"""),91.91)</f>
        <v>91.91</v>
      </c>
      <c r="E166" s="22">
        <f>IFERROR(__xludf.DUMMYFUNCTION("""COMPUTED_VALUE"""),42383.66666666667)</f>
        <v>42383.66667</v>
      </c>
      <c r="F166" s="23">
        <f>IFERROR(__xludf.DUMMYFUNCTION("""COMPUTED_VALUE"""),10.48)</f>
        <v>10.48</v>
      </c>
      <c r="G166" s="22">
        <f>IFERROR(__xludf.DUMMYFUNCTION("""COMPUTED_VALUE"""),42209.66666666667)</f>
        <v>42209.66667</v>
      </c>
      <c r="H166" s="23">
        <f>IFERROR(__xludf.DUMMYFUNCTION("""COMPUTED_VALUE"""),70.75)</f>
        <v>70.75</v>
      </c>
      <c r="I166" s="22">
        <f>IFERROR(__xludf.DUMMYFUNCTION("""COMPUTED_VALUE"""),42209.66666666667)</f>
        <v>42209.66667</v>
      </c>
      <c r="J166" s="23">
        <f>IFERROR(__xludf.DUMMYFUNCTION("""COMPUTED_VALUE"""),149.13)</f>
        <v>149.13</v>
      </c>
      <c r="K166" s="22">
        <f>IFERROR(__xludf.DUMMYFUNCTION("""COMPUTED_VALUE"""),42209.66666666667)</f>
        <v>42209.66667</v>
      </c>
      <c r="L166" s="23">
        <f>IFERROR(__xludf.DUMMYFUNCTION("""COMPUTED_VALUE"""),66.49)</f>
        <v>66.49</v>
      </c>
      <c r="M166" s="23">
        <v>0.0</v>
      </c>
      <c r="N166" s="23">
        <v>0.0</v>
      </c>
      <c r="O166" s="23">
        <v>0.0</v>
      </c>
      <c r="P166" s="23">
        <f t="shared" si="1"/>
        <v>0</v>
      </c>
      <c r="Q166" s="23">
        <f t="shared" si="2"/>
        <v>0</v>
      </c>
      <c r="R166" s="23">
        <f t="shared" si="3"/>
        <v>0</v>
      </c>
      <c r="S166" s="19"/>
      <c r="T166" s="19"/>
      <c r="U166" s="19"/>
      <c r="V166" s="19"/>
    </row>
    <row r="167">
      <c r="A167" s="22">
        <f>IFERROR(__xludf.DUMMYFUNCTION("""COMPUTED_VALUE"""),42205.66666666667)</f>
        <v>42205.66667</v>
      </c>
      <c r="B167" s="23">
        <f>IFERROR(__xludf.DUMMYFUNCTION("""COMPUTED_VALUE"""),60.91)</f>
        <v>60.91</v>
      </c>
      <c r="C167" s="22">
        <f>IFERROR(__xludf.DUMMYFUNCTION("""COMPUTED_VALUE"""),43461.66666666667)</f>
        <v>43461.66667</v>
      </c>
      <c r="D167" s="23">
        <f>IFERROR(__xludf.DUMMYFUNCTION("""COMPUTED_VALUE"""),93.71)</f>
        <v>93.71</v>
      </c>
      <c r="E167" s="22">
        <f>IFERROR(__xludf.DUMMYFUNCTION("""COMPUTED_VALUE"""),42384.66666666667)</f>
        <v>42384.66667</v>
      </c>
      <c r="F167" s="23">
        <f>IFERROR(__xludf.DUMMYFUNCTION("""COMPUTED_VALUE"""),10.61)</f>
        <v>10.61</v>
      </c>
      <c r="G167" s="22">
        <f>IFERROR(__xludf.DUMMYFUNCTION("""COMPUTED_VALUE"""),42216.66666666667)</f>
        <v>42216.66667</v>
      </c>
      <c r="H167" s="23">
        <f>IFERROR(__xludf.DUMMYFUNCTION("""COMPUTED_VALUE"""),72.1)</f>
        <v>72.1</v>
      </c>
      <c r="I167" s="22">
        <f>IFERROR(__xludf.DUMMYFUNCTION("""COMPUTED_VALUE"""),42216.66666666667)</f>
        <v>42216.66667</v>
      </c>
      <c r="J167" s="23">
        <f>IFERROR(__xludf.DUMMYFUNCTION("""COMPUTED_VALUE"""),149.49)</f>
        <v>149.49</v>
      </c>
      <c r="K167" s="22">
        <f>IFERROR(__xludf.DUMMYFUNCTION("""COMPUTED_VALUE"""),42216.66666666667)</f>
        <v>42216.66667</v>
      </c>
      <c r="L167" s="23">
        <f>IFERROR(__xludf.DUMMYFUNCTION("""COMPUTED_VALUE"""),66.0)</f>
        <v>66</v>
      </c>
      <c r="M167" s="23">
        <v>200.0</v>
      </c>
      <c r="N167" s="23">
        <v>200.0</v>
      </c>
      <c r="O167" s="23">
        <v>200.0</v>
      </c>
      <c r="P167" s="23">
        <f t="shared" si="1"/>
        <v>2.773925104</v>
      </c>
      <c r="Q167" s="23">
        <f t="shared" si="2"/>
        <v>1.337882133</v>
      </c>
      <c r="R167" s="23">
        <f t="shared" si="3"/>
        <v>3.03030303</v>
      </c>
      <c r="S167" s="19"/>
      <c r="T167" s="19"/>
      <c r="U167" s="19"/>
      <c r="V167" s="19"/>
    </row>
    <row r="168">
      <c r="A168" s="22">
        <f>IFERROR(__xludf.DUMMYFUNCTION("""COMPUTED_VALUE"""),42206.66666666667)</f>
        <v>42206.66667</v>
      </c>
      <c r="B168" s="23">
        <f>IFERROR(__xludf.DUMMYFUNCTION("""COMPUTED_VALUE"""),61.04)</f>
        <v>61.04</v>
      </c>
      <c r="C168" s="22">
        <f>IFERROR(__xludf.DUMMYFUNCTION("""COMPUTED_VALUE"""),43462.66666666667)</f>
        <v>43462.66667</v>
      </c>
      <c r="D168" s="23">
        <f>IFERROR(__xludf.DUMMYFUNCTION("""COMPUTED_VALUE"""),94.53)</f>
        <v>94.53</v>
      </c>
      <c r="E168" s="22">
        <f>IFERROR(__xludf.DUMMYFUNCTION("""COMPUTED_VALUE"""),42387.66666666667)</f>
        <v>42387.66667</v>
      </c>
      <c r="F168" s="23">
        <f>IFERROR(__xludf.DUMMYFUNCTION("""COMPUTED_VALUE"""),10.41)</f>
        <v>10.41</v>
      </c>
      <c r="G168" s="22">
        <f>IFERROR(__xludf.DUMMYFUNCTION("""COMPUTED_VALUE"""),42223.66666666667)</f>
        <v>42223.66667</v>
      </c>
      <c r="H168" s="23">
        <f>IFERROR(__xludf.DUMMYFUNCTION("""COMPUTED_VALUE"""),69.58)</f>
        <v>69.58</v>
      </c>
      <c r="I168" s="22">
        <f>IFERROR(__xludf.DUMMYFUNCTION("""COMPUTED_VALUE"""),42223.66666666667)</f>
        <v>42223.66667</v>
      </c>
      <c r="J168" s="23">
        <f>IFERROR(__xludf.DUMMYFUNCTION("""COMPUTED_VALUE"""),146.44)</f>
        <v>146.44</v>
      </c>
      <c r="K168" s="22">
        <f>IFERROR(__xludf.DUMMYFUNCTION("""COMPUTED_VALUE"""),42223.66666666667)</f>
        <v>42223.66667</v>
      </c>
      <c r="L168" s="23">
        <f>IFERROR(__xludf.DUMMYFUNCTION("""COMPUTED_VALUE"""),65.53)</f>
        <v>65.53</v>
      </c>
      <c r="M168" s="23">
        <v>0.0</v>
      </c>
      <c r="N168" s="23">
        <v>0.0</v>
      </c>
      <c r="O168" s="23">
        <v>0.0</v>
      </c>
      <c r="P168" s="23">
        <f t="shared" si="1"/>
        <v>0</v>
      </c>
      <c r="Q168" s="23">
        <f t="shared" si="2"/>
        <v>0</v>
      </c>
      <c r="R168" s="23">
        <f t="shared" si="3"/>
        <v>0</v>
      </c>
      <c r="S168" s="19"/>
      <c r="T168" s="19"/>
      <c r="U168" s="19"/>
      <c r="V168" s="19"/>
    </row>
    <row r="169">
      <c r="A169" s="22">
        <f>IFERROR(__xludf.DUMMYFUNCTION("""COMPUTED_VALUE"""),42207.66666666667)</f>
        <v>42207.66667</v>
      </c>
      <c r="B169" s="23">
        <f>IFERROR(__xludf.DUMMYFUNCTION("""COMPUTED_VALUE"""),60.45)</f>
        <v>60.45</v>
      </c>
      <c r="C169" s="22">
        <f>IFERROR(__xludf.DUMMYFUNCTION("""COMPUTED_VALUE"""),43465.59027777778)</f>
        <v>43465.59028</v>
      </c>
      <c r="D169" s="23">
        <f>IFERROR(__xludf.DUMMYFUNCTION("""COMPUTED_VALUE"""),95.28)</f>
        <v>95.28</v>
      </c>
      <c r="E169" s="22">
        <f>IFERROR(__xludf.DUMMYFUNCTION("""COMPUTED_VALUE"""),42388.66666666667)</f>
        <v>42388.66667</v>
      </c>
      <c r="F169" s="23">
        <f>IFERROR(__xludf.DUMMYFUNCTION("""COMPUTED_VALUE"""),10.55)</f>
        <v>10.55</v>
      </c>
      <c r="G169" s="22">
        <f>IFERROR(__xludf.DUMMYFUNCTION("""COMPUTED_VALUE"""),42230.66666666667)</f>
        <v>42230.66667</v>
      </c>
      <c r="H169" s="23">
        <f>IFERROR(__xludf.DUMMYFUNCTION("""COMPUTED_VALUE"""),68.41)</f>
        <v>68.41</v>
      </c>
      <c r="I169" s="22">
        <f>IFERROR(__xludf.DUMMYFUNCTION("""COMPUTED_VALUE"""),42230.66666666667)</f>
        <v>42230.66667</v>
      </c>
      <c r="J169" s="23">
        <f>IFERROR(__xludf.DUMMYFUNCTION("""COMPUTED_VALUE"""),146.1)</f>
        <v>146.1</v>
      </c>
      <c r="K169" s="22">
        <f>IFERROR(__xludf.DUMMYFUNCTION("""COMPUTED_VALUE"""),42230.66666666667)</f>
        <v>42230.66667</v>
      </c>
      <c r="L169" s="23">
        <f>IFERROR(__xludf.DUMMYFUNCTION("""COMPUTED_VALUE"""),64.47)</f>
        <v>64.47</v>
      </c>
      <c r="M169" s="23">
        <v>0.0</v>
      </c>
      <c r="N169" s="23">
        <v>0.0</v>
      </c>
      <c r="O169" s="23">
        <v>0.0</v>
      </c>
      <c r="P169" s="23">
        <f t="shared" si="1"/>
        <v>0</v>
      </c>
      <c r="Q169" s="23">
        <f t="shared" si="2"/>
        <v>0</v>
      </c>
      <c r="R169" s="23">
        <f t="shared" si="3"/>
        <v>0</v>
      </c>
      <c r="S169" s="19"/>
      <c r="T169" s="19"/>
      <c r="U169" s="19"/>
      <c r="V169" s="19"/>
    </row>
    <row r="170">
      <c r="A170" s="22">
        <f>IFERROR(__xludf.DUMMYFUNCTION("""COMPUTED_VALUE"""),42208.66666666667)</f>
        <v>42208.66667</v>
      </c>
      <c r="B170" s="23">
        <f>IFERROR(__xludf.DUMMYFUNCTION("""COMPUTED_VALUE"""),60.76)</f>
        <v>60.76</v>
      </c>
      <c r="C170" s="22">
        <f>IFERROR(__xludf.DUMMYFUNCTION("""COMPUTED_VALUE"""),43467.66666666667)</f>
        <v>43467.66667</v>
      </c>
      <c r="D170" s="23">
        <f>IFERROR(__xludf.DUMMYFUNCTION("""COMPUTED_VALUE"""),92.79)</f>
        <v>92.79</v>
      </c>
      <c r="E170" s="22">
        <f>IFERROR(__xludf.DUMMYFUNCTION("""COMPUTED_VALUE"""),42389.66666666667)</f>
        <v>42389.66667</v>
      </c>
      <c r="F170" s="23">
        <f>IFERROR(__xludf.DUMMYFUNCTION("""COMPUTED_VALUE"""),10.34)</f>
        <v>10.34</v>
      </c>
      <c r="G170" s="22">
        <f>IFERROR(__xludf.DUMMYFUNCTION("""COMPUTED_VALUE"""),42237.66666666667)</f>
        <v>42237.66667</v>
      </c>
      <c r="H170" s="23">
        <f>IFERROR(__xludf.DUMMYFUNCTION("""COMPUTED_VALUE"""),66.55)</f>
        <v>66.55</v>
      </c>
      <c r="I170" s="22">
        <f>IFERROR(__xludf.DUMMYFUNCTION("""COMPUTED_VALUE"""),42237.66666666667)</f>
        <v>42237.66667</v>
      </c>
      <c r="J170" s="23">
        <f>IFERROR(__xludf.DUMMYFUNCTION("""COMPUTED_VALUE"""),142.96)</f>
        <v>142.96</v>
      </c>
      <c r="K170" s="22">
        <f>IFERROR(__xludf.DUMMYFUNCTION("""COMPUTED_VALUE"""),42237.66666666667)</f>
        <v>42237.66667</v>
      </c>
      <c r="L170" s="23">
        <f>IFERROR(__xludf.DUMMYFUNCTION("""COMPUTED_VALUE"""),62.18)</f>
        <v>62.18</v>
      </c>
      <c r="M170" s="23">
        <v>0.0</v>
      </c>
      <c r="N170" s="23">
        <v>0.0</v>
      </c>
      <c r="O170" s="23">
        <v>0.0</v>
      </c>
      <c r="P170" s="23">
        <f t="shared" si="1"/>
        <v>0</v>
      </c>
      <c r="Q170" s="23">
        <f t="shared" si="2"/>
        <v>0</v>
      </c>
      <c r="R170" s="23">
        <f t="shared" si="3"/>
        <v>0</v>
      </c>
      <c r="S170" s="19"/>
      <c r="T170" s="19"/>
      <c r="U170" s="19"/>
      <c r="V170" s="19"/>
    </row>
    <row r="171">
      <c r="A171" s="22">
        <f>IFERROR(__xludf.DUMMYFUNCTION("""COMPUTED_VALUE"""),42209.66666666667)</f>
        <v>42209.66667</v>
      </c>
      <c r="B171" s="23">
        <f>IFERROR(__xludf.DUMMYFUNCTION("""COMPUTED_VALUE"""),61.02)</f>
        <v>61.02</v>
      </c>
      <c r="C171" s="22">
        <f>IFERROR(__xludf.DUMMYFUNCTION("""COMPUTED_VALUE"""),43468.66666666667)</f>
        <v>43468.66667</v>
      </c>
      <c r="D171" s="23">
        <f>IFERROR(__xludf.DUMMYFUNCTION("""COMPUTED_VALUE"""),94.0)</f>
        <v>94</v>
      </c>
      <c r="E171" s="22">
        <f>IFERROR(__xludf.DUMMYFUNCTION("""COMPUTED_VALUE"""),42390.66666666667)</f>
        <v>42390.66667</v>
      </c>
      <c r="F171" s="23">
        <f>IFERROR(__xludf.DUMMYFUNCTION("""COMPUTED_VALUE"""),10.45)</f>
        <v>10.45</v>
      </c>
      <c r="G171" s="22">
        <f>IFERROR(__xludf.DUMMYFUNCTION("""COMPUTED_VALUE"""),42244.66666666667)</f>
        <v>42244.66667</v>
      </c>
      <c r="H171" s="23">
        <f>IFERROR(__xludf.DUMMYFUNCTION("""COMPUTED_VALUE"""),67.4)</f>
        <v>67.4</v>
      </c>
      <c r="I171" s="22">
        <f>IFERROR(__xludf.DUMMYFUNCTION("""COMPUTED_VALUE"""),42244.66666666667)</f>
        <v>42244.66667</v>
      </c>
      <c r="J171" s="23">
        <f>IFERROR(__xludf.DUMMYFUNCTION("""COMPUTED_VALUE"""),143.48)</f>
        <v>143.48</v>
      </c>
      <c r="K171" s="22">
        <f>IFERROR(__xludf.DUMMYFUNCTION("""COMPUTED_VALUE"""),42244.66666666667)</f>
        <v>42244.66667</v>
      </c>
      <c r="L171" s="23">
        <f>IFERROR(__xludf.DUMMYFUNCTION("""COMPUTED_VALUE"""),62.78)</f>
        <v>62.78</v>
      </c>
      <c r="M171" s="23">
        <v>200.0</v>
      </c>
      <c r="N171" s="23">
        <v>200.0</v>
      </c>
      <c r="O171" s="23">
        <v>200.0</v>
      </c>
      <c r="P171" s="23">
        <f t="shared" si="1"/>
        <v>2.96735905</v>
      </c>
      <c r="Q171" s="23">
        <f t="shared" si="2"/>
        <v>1.393922498</v>
      </c>
      <c r="R171" s="23">
        <f t="shared" si="3"/>
        <v>3.185727939</v>
      </c>
      <c r="S171" s="19"/>
      <c r="T171" s="19"/>
      <c r="U171" s="19"/>
      <c r="V171" s="19"/>
    </row>
    <row r="172">
      <c r="A172" s="22">
        <f>IFERROR(__xludf.DUMMYFUNCTION("""COMPUTED_VALUE"""),42212.66666666667)</f>
        <v>42212.66667</v>
      </c>
      <c r="B172" s="23">
        <f>IFERROR(__xludf.DUMMYFUNCTION("""COMPUTED_VALUE"""),60.5)</f>
        <v>60.5</v>
      </c>
      <c r="C172" s="22">
        <f>IFERROR(__xludf.DUMMYFUNCTION("""COMPUTED_VALUE"""),43469.66666666667)</f>
        <v>43469.66667</v>
      </c>
      <c r="D172" s="23">
        <f>IFERROR(__xludf.DUMMYFUNCTION("""COMPUTED_VALUE"""),93.61)</f>
        <v>93.61</v>
      </c>
      <c r="E172" s="22">
        <f>IFERROR(__xludf.DUMMYFUNCTION("""COMPUTED_VALUE"""),42391.66666666667)</f>
        <v>42391.66667</v>
      </c>
      <c r="F172" s="23">
        <f>IFERROR(__xludf.DUMMYFUNCTION("""COMPUTED_VALUE"""),10.32)</f>
        <v>10.32</v>
      </c>
      <c r="G172" s="22">
        <f>IFERROR(__xludf.DUMMYFUNCTION("""COMPUTED_VALUE"""),42251.66666666667)</f>
        <v>42251.66667</v>
      </c>
      <c r="H172" s="23">
        <f>IFERROR(__xludf.DUMMYFUNCTION("""COMPUTED_VALUE"""),64.62)</f>
        <v>64.62</v>
      </c>
      <c r="I172" s="22">
        <f>IFERROR(__xludf.DUMMYFUNCTION("""COMPUTED_VALUE"""),42251.66666666667)</f>
        <v>42251.66667</v>
      </c>
      <c r="J172" s="23">
        <f>IFERROR(__xludf.DUMMYFUNCTION("""COMPUTED_VALUE"""),143.99)</f>
        <v>143.99</v>
      </c>
      <c r="K172" s="22">
        <f>IFERROR(__xludf.DUMMYFUNCTION("""COMPUTED_VALUE"""),42251.66666666667)</f>
        <v>42251.66667</v>
      </c>
      <c r="L172" s="23">
        <f>IFERROR(__xludf.DUMMYFUNCTION("""COMPUTED_VALUE"""),62.49)</f>
        <v>62.49</v>
      </c>
      <c r="M172" s="23">
        <v>0.0</v>
      </c>
      <c r="N172" s="23">
        <v>0.0</v>
      </c>
      <c r="O172" s="23">
        <v>0.0</v>
      </c>
      <c r="P172" s="23">
        <f t="shared" si="1"/>
        <v>0</v>
      </c>
      <c r="Q172" s="23">
        <f t="shared" si="2"/>
        <v>0</v>
      </c>
      <c r="R172" s="23">
        <f t="shared" si="3"/>
        <v>0</v>
      </c>
      <c r="S172" s="19"/>
      <c r="T172" s="19"/>
      <c r="U172" s="19"/>
      <c r="V172" s="19"/>
    </row>
    <row r="173">
      <c r="A173" s="22">
        <f>IFERROR(__xludf.DUMMYFUNCTION("""COMPUTED_VALUE"""),42213.66666666667)</f>
        <v>42213.66667</v>
      </c>
      <c r="B173" s="23">
        <f>IFERROR(__xludf.DUMMYFUNCTION("""COMPUTED_VALUE"""),60.35)</f>
        <v>60.35</v>
      </c>
      <c r="C173" s="22">
        <f>IFERROR(__xludf.DUMMYFUNCTION("""COMPUTED_VALUE"""),43472.66666666667)</f>
        <v>43472.66667</v>
      </c>
      <c r="D173" s="23">
        <f>IFERROR(__xludf.DUMMYFUNCTION("""COMPUTED_VALUE"""),94.93)</f>
        <v>94.93</v>
      </c>
      <c r="E173" s="22">
        <f>IFERROR(__xludf.DUMMYFUNCTION("""COMPUTED_VALUE"""),42394.66666666667)</f>
        <v>42394.66667</v>
      </c>
      <c r="F173" s="23">
        <f>IFERROR(__xludf.DUMMYFUNCTION("""COMPUTED_VALUE"""),10.55)</f>
        <v>10.55</v>
      </c>
      <c r="G173" s="22">
        <f>IFERROR(__xludf.DUMMYFUNCTION("""COMPUTED_VALUE"""),42258.66666666667)</f>
        <v>42258.66667</v>
      </c>
      <c r="H173" s="23">
        <f>IFERROR(__xludf.DUMMYFUNCTION("""COMPUTED_VALUE"""),65.46)</f>
        <v>65.46</v>
      </c>
      <c r="I173" s="22">
        <f>IFERROR(__xludf.DUMMYFUNCTION("""COMPUTED_VALUE"""),42258.66666666667)</f>
        <v>42258.66667</v>
      </c>
      <c r="J173" s="23">
        <f>IFERROR(__xludf.DUMMYFUNCTION("""COMPUTED_VALUE"""),143.8)</f>
        <v>143.8</v>
      </c>
      <c r="K173" s="22">
        <f>IFERROR(__xludf.DUMMYFUNCTION("""COMPUTED_VALUE"""),42258.66666666667)</f>
        <v>42258.66667</v>
      </c>
      <c r="L173" s="23">
        <f>IFERROR(__xludf.DUMMYFUNCTION("""COMPUTED_VALUE"""),62.8)</f>
        <v>62.8</v>
      </c>
      <c r="M173" s="23">
        <v>0.0</v>
      </c>
      <c r="N173" s="23">
        <v>0.0</v>
      </c>
      <c r="O173" s="23">
        <v>0.0</v>
      </c>
      <c r="P173" s="23">
        <f t="shared" si="1"/>
        <v>0</v>
      </c>
      <c r="Q173" s="23">
        <f t="shared" si="2"/>
        <v>0</v>
      </c>
      <c r="R173" s="23">
        <f t="shared" si="3"/>
        <v>0</v>
      </c>
      <c r="S173" s="19"/>
      <c r="T173" s="19"/>
      <c r="U173" s="19"/>
      <c r="V173" s="19"/>
    </row>
    <row r="174">
      <c r="A174" s="22">
        <f>IFERROR(__xludf.DUMMYFUNCTION("""COMPUTED_VALUE"""),42214.66666666667)</f>
        <v>42214.66667</v>
      </c>
      <c r="B174" s="23">
        <f>IFERROR(__xludf.DUMMYFUNCTION("""COMPUTED_VALUE"""),60.43)</f>
        <v>60.43</v>
      </c>
      <c r="C174" s="22">
        <f>IFERROR(__xludf.DUMMYFUNCTION("""COMPUTED_VALUE"""),43473.66666666667)</f>
        <v>43473.66667</v>
      </c>
      <c r="D174" s="23">
        <f>IFERROR(__xludf.DUMMYFUNCTION("""COMPUTED_VALUE"""),95.55)</f>
        <v>95.55</v>
      </c>
      <c r="E174" s="22">
        <f>IFERROR(__xludf.DUMMYFUNCTION("""COMPUTED_VALUE"""),42396.66666666667)</f>
        <v>42396.66667</v>
      </c>
      <c r="F174" s="23">
        <f>IFERROR(__xludf.DUMMYFUNCTION("""COMPUTED_VALUE"""),10.4)</f>
        <v>10.4</v>
      </c>
      <c r="G174" s="22">
        <f>IFERROR(__xludf.DUMMYFUNCTION("""COMPUTED_VALUE"""),42265.66666666667)</f>
        <v>42265.66667</v>
      </c>
      <c r="H174" s="23">
        <f>IFERROR(__xludf.DUMMYFUNCTION("""COMPUTED_VALUE"""),66.71)</f>
        <v>66.71</v>
      </c>
      <c r="I174" s="22">
        <f>IFERROR(__xludf.DUMMYFUNCTION("""COMPUTED_VALUE"""),42265.66666666667)</f>
        <v>42265.66667</v>
      </c>
      <c r="J174" s="23">
        <f>IFERROR(__xludf.DUMMYFUNCTION("""COMPUTED_VALUE"""),143.41)</f>
        <v>143.41</v>
      </c>
      <c r="K174" s="22">
        <f>IFERROR(__xludf.DUMMYFUNCTION("""COMPUTED_VALUE"""),42265.66666666667)</f>
        <v>42265.66667</v>
      </c>
      <c r="L174" s="23">
        <f>IFERROR(__xludf.DUMMYFUNCTION("""COMPUTED_VALUE"""),62.4)</f>
        <v>62.4</v>
      </c>
      <c r="M174" s="23">
        <v>0.0</v>
      </c>
      <c r="N174" s="23">
        <v>0.0</v>
      </c>
      <c r="O174" s="23">
        <v>0.0</v>
      </c>
      <c r="P174" s="23">
        <f t="shared" si="1"/>
        <v>0</v>
      </c>
      <c r="Q174" s="23">
        <f t="shared" si="2"/>
        <v>0</v>
      </c>
      <c r="R174" s="23">
        <f t="shared" si="3"/>
        <v>0</v>
      </c>
      <c r="S174" s="19"/>
      <c r="T174" s="19"/>
      <c r="U174" s="19"/>
      <c r="V174" s="19"/>
    </row>
    <row r="175">
      <c r="A175" s="22">
        <f>IFERROR(__xludf.DUMMYFUNCTION("""COMPUTED_VALUE"""),42215.66666666667)</f>
        <v>42215.66667</v>
      </c>
      <c r="B175" s="23">
        <f>IFERROR(__xludf.DUMMYFUNCTION("""COMPUTED_VALUE"""),60.62)</f>
        <v>60.62</v>
      </c>
      <c r="C175" s="22">
        <f>IFERROR(__xludf.DUMMYFUNCTION("""COMPUTED_VALUE"""),43474.66666666667)</f>
        <v>43474.66667</v>
      </c>
      <c r="D175" s="23">
        <f>IFERROR(__xludf.DUMMYFUNCTION("""COMPUTED_VALUE"""),96.5)</f>
        <v>96.5</v>
      </c>
      <c r="E175" s="22">
        <f>IFERROR(__xludf.DUMMYFUNCTION("""COMPUTED_VALUE"""),42397.66666666667)</f>
        <v>42397.66667</v>
      </c>
      <c r="F175" s="23">
        <f>IFERROR(__xludf.DUMMYFUNCTION("""COMPUTED_VALUE"""),10.2)</f>
        <v>10.2</v>
      </c>
      <c r="G175" s="22">
        <f>IFERROR(__xludf.DUMMYFUNCTION("""COMPUTED_VALUE"""),42272.66666666667)</f>
        <v>42272.66667</v>
      </c>
      <c r="H175" s="23">
        <f>IFERROR(__xludf.DUMMYFUNCTION("""COMPUTED_VALUE"""),65.18)</f>
        <v>65.18</v>
      </c>
      <c r="I175" s="22">
        <f>IFERROR(__xludf.DUMMYFUNCTION("""COMPUTED_VALUE"""),42272.66666666667)</f>
        <v>42272.66667</v>
      </c>
      <c r="J175" s="23">
        <f>IFERROR(__xludf.DUMMYFUNCTION("""COMPUTED_VALUE"""),143.64)</f>
        <v>143.64</v>
      </c>
      <c r="K175" s="22">
        <f>IFERROR(__xludf.DUMMYFUNCTION("""COMPUTED_VALUE"""),42272.66666666667)</f>
        <v>42272.66667</v>
      </c>
      <c r="L175" s="23">
        <f>IFERROR(__xludf.DUMMYFUNCTION("""COMPUTED_VALUE"""),60.81)</f>
        <v>60.81</v>
      </c>
      <c r="M175" s="23">
        <v>200.0</v>
      </c>
      <c r="N175" s="23">
        <v>200.0</v>
      </c>
      <c r="O175" s="23">
        <v>200.0</v>
      </c>
      <c r="P175" s="23">
        <f t="shared" si="1"/>
        <v>3.068425898</v>
      </c>
      <c r="Q175" s="23">
        <f t="shared" si="2"/>
        <v>1.392369813</v>
      </c>
      <c r="R175" s="23">
        <f t="shared" si="3"/>
        <v>3.288932741</v>
      </c>
      <c r="S175" s="19"/>
      <c r="T175" s="19"/>
      <c r="U175" s="19"/>
      <c r="V175" s="19"/>
    </row>
    <row r="176">
      <c r="A176" s="22">
        <f>IFERROR(__xludf.DUMMYFUNCTION("""COMPUTED_VALUE"""),42216.66666666667)</f>
        <v>42216.66667</v>
      </c>
      <c r="B176" s="23">
        <f>IFERROR(__xludf.DUMMYFUNCTION("""COMPUTED_VALUE"""),61.0)</f>
        <v>61</v>
      </c>
      <c r="C176" s="22">
        <f>IFERROR(__xludf.DUMMYFUNCTION("""COMPUTED_VALUE"""),43475.66666666667)</f>
        <v>43475.66667</v>
      </c>
      <c r="D176" s="23">
        <f>IFERROR(__xludf.DUMMYFUNCTION("""COMPUTED_VALUE"""),96.3)</f>
        <v>96.3</v>
      </c>
      <c r="E176" s="22">
        <f>IFERROR(__xludf.DUMMYFUNCTION("""COMPUTED_VALUE"""),42398.66666666667)</f>
        <v>42398.66667</v>
      </c>
      <c r="F176" s="23">
        <f>IFERROR(__xludf.DUMMYFUNCTION("""COMPUTED_VALUE"""),10.25)</f>
        <v>10.25</v>
      </c>
      <c r="G176" s="22">
        <f>IFERROR(__xludf.DUMMYFUNCTION("""COMPUTED_VALUE"""),42279.66666666667)</f>
        <v>42279.66667</v>
      </c>
      <c r="H176" s="23">
        <f>IFERROR(__xludf.DUMMYFUNCTION("""COMPUTED_VALUE"""),64.23)</f>
        <v>64.23</v>
      </c>
      <c r="I176" s="22">
        <f>IFERROR(__xludf.DUMMYFUNCTION("""COMPUTED_VALUE"""),42279.66666666667)</f>
        <v>42279.66667</v>
      </c>
      <c r="J176" s="23">
        <f>IFERROR(__xludf.DUMMYFUNCTION("""COMPUTED_VALUE"""),140.9)</f>
        <v>140.9</v>
      </c>
      <c r="K176" s="22">
        <f>IFERROR(__xludf.DUMMYFUNCTION("""COMPUTED_VALUE"""),42279.66666666667)</f>
        <v>42279.66667</v>
      </c>
      <c r="L176" s="23">
        <f>IFERROR(__xludf.DUMMYFUNCTION("""COMPUTED_VALUE"""),60.94)</f>
        <v>60.94</v>
      </c>
      <c r="M176" s="23">
        <v>0.0</v>
      </c>
      <c r="N176" s="23">
        <v>0.0</v>
      </c>
      <c r="O176" s="23">
        <v>0.0</v>
      </c>
      <c r="P176" s="23">
        <f t="shared" si="1"/>
        <v>0</v>
      </c>
      <c r="Q176" s="23">
        <f t="shared" si="2"/>
        <v>0</v>
      </c>
      <c r="R176" s="23">
        <f t="shared" si="3"/>
        <v>0</v>
      </c>
      <c r="S176" s="19"/>
      <c r="T176" s="19"/>
      <c r="U176" s="19"/>
      <c r="V176" s="19"/>
    </row>
    <row r="177">
      <c r="A177" s="22">
        <f>IFERROR(__xludf.DUMMYFUNCTION("""COMPUTED_VALUE"""),42219.66666666667)</f>
        <v>42219.66667</v>
      </c>
      <c r="B177" s="23">
        <f>IFERROR(__xludf.DUMMYFUNCTION("""COMPUTED_VALUE"""),60.9)</f>
        <v>60.9</v>
      </c>
      <c r="C177" s="22">
        <f>IFERROR(__xludf.DUMMYFUNCTION("""COMPUTED_VALUE"""),43476.66666666667)</f>
        <v>43476.66667</v>
      </c>
      <c r="D177" s="23">
        <f>IFERROR(__xludf.DUMMYFUNCTION("""COMPUTED_VALUE"""),96.36)</f>
        <v>96.36</v>
      </c>
      <c r="E177" s="22">
        <f>IFERROR(__xludf.DUMMYFUNCTION("""COMPUTED_VALUE"""),42401.66666666667)</f>
        <v>42401.66667</v>
      </c>
      <c r="F177" s="23">
        <f>IFERROR(__xludf.DUMMYFUNCTION("""COMPUTED_VALUE"""),10.45)</f>
        <v>10.45</v>
      </c>
      <c r="G177" s="22">
        <f>IFERROR(__xludf.DUMMYFUNCTION("""COMPUTED_VALUE"""),42286.66666666667)</f>
        <v>42286.66667</v>
      </c>
      <c r="H177" s="23">
        <f>IFERROR(__xludf.DUMMYFUNCTION("""COMPUTED_VALUE"""),67.0)</f>
        <v>67</v>
      </c>
      <c r="I177" s="22">
        <f>IFERROR(__xludf.DUMMYFUNCTION("""COMPUTED_VALUE"""),42286.66666666667)</f>
        <v>42286.66667</v>
      </c>
      <c r="J177" s="23">
        <f>IFERROR(__xludf.DUMMYFUNCTION("""COMPUTED_VALUE"""),142.58)</f>
        <v>142.58</v>
      </c>
      <c r="K177" s="22">
        <f>IFERROR(__xludf.DUMMYFUNCTION("""COMPUTED_VALUE"""),42286.66666666667)</f>
        <v>42286.66667</v>
      </c>
      <c r="L177" s="23">
        <f>IFERROR(__xludf.DUMMYFUNCTION("""COMPUTED_VALUE"""),62.65)</f>
        <v>62.65</v>
      </c>
      <c r="M177" s="23">
        <v>0.0</v>
      </c>
      <c r="N177" s="23">
        <v>0.0</v>
      </c>
      <c r="O177" s="23">
        <v>0.0</v>
      </c>
      <c r="P177" s="23">
        <f t="shared" si="1"/>
        <v>0</v>
      </c>
      <c r="Q177" s="23">
        <f t="shared" si="2"/>
        <v>0</v>
      </c>
      <c r="R177" s="23">
        <f t="shared" si="3"/>
        <v>0</v>
      </c>
      <c r="S177" s="19"/>
      <c r="T177" s="19"/>
      <c r="U177" s="19"/>
      <c r="V177" s="19"/>
    </row>
    <row r="178">
      <c r="A178" s="22">
        <f>IFERROR(__xludf.DUMMYFUNCTION("""COMPUTED_VALUE"""),42220.66666666667)</f>
        <v>42220.66667</v>
      </c>
      <c r="B178" s="23">
        <f>IFERROR(__xludf.DUMMYFUNCTION("""COMPUTED_VALUE"""),60.3)</f>
        <v>60.3</v>
      </c>
      <c r="C178" s="22">
        <f>IFERROR(__xludf.DUMMYFUNCTION("""COMPUTED_VALUE"""),43479.66666666667)</f>
        <v>43479.66667</v>
      </c>
      <c r="D178" s="23">
        <f>IFERROR(__xludf.DUMMYFUNCTION("""COMPUTED_VALUE"""),96.27)</f>
        <v>96.27</v>
      </c>
      <c r="E178" s="22">
        <f>IFERROR(__xludf.DUMMYFUNCTION("""COMPUTED_VALUE"""),42402.66666666667)</f>
        <v>42402.66667</v>
      </c>
      <c r="F178" s="23">
        <f>IFERROR(__xludf.DUMMYFUNCTION("""COMPUTED_VALUE"""),10.47)</f>
        <v>10.47</v>
      </c>
      <c r="G178" s="22">
        <f>IFERROR(__xludf.DUMMYFUNCTION("""COMPUTED_VALUE"""),42293.66666666667)</f>
        <v>42293.66667</v>
      </c>
      <c r="H178" s="23">
        <f>IFERROR(__xludf.DUMMYFUNCTION("""COMPUTED_VALUE"""),67.37)</f>
        <v>67.37</v>
      </c>
      <c r="I178" s="22">
        <f>IFERROR(__xludf.DUMMYFUNCTION("""COMPUTED_VALUE"""),42293.66666666667)</f>
        <v>42293.66667</v>
      </c>
      <c r="J178" s="23">
        <f>IFERROR(__xludf.DUMMYFUNCTION("""COMPUTED_VALUE"""),143.14)</f>
        <v>143.14</v>
      </c>
      <c r="K178" s="22">
        <f>IFERROR(__xludf.DUMMYFUNCTION("""COMPUTED_VALUE"""),42293.66666666667)</f>
        <v>42293.66667</v>
      </c>
      <c r="L178" s="23">
        <f>IFERROR(__xludf.DUMMYFUNCTION("""COMPUTED_VALUE"""),63.01)</f>
        <v>63.01</v>
      </c>
      <c r="M178" s="23">
        <v>0.0</v>
      </c>
      <c r="N178" s="23">
        <v>0.0</v>
      </c>
      <c r="O178" s="23">
        <v>0.0</v>
      </c>
      <c r="P178" s="23">
        <f t="shared" si="1"/>
        <v>0</v>
      </c>
      <c r="Q178" s="23">
        <f t="shared" si="2"/>
        <v>0</v>
      </c>
      <c r="R178" s="23">
        <f t="shared" si="3"/>
        <v>0</v>
      </c>
      <c r="S178" s="19"/>
      <c r="T178" s="19"/>
      <c r="U178" s="19"/>
      <c r="V178" s="19"/>
    </row>
    <row r="179">
      <c r="A179" s="22">
        <f>IFERROR(__xludf.DUMMYFUNCTION("""COMPUTED_VALUE"""),42221.66666666667)</f>
        <v>42221.66667</v>
      </c>
      <c r="B179" s="23">
        <f>IFERROR(__xludf.DUMMYFUNCTION("""COMPUTED_VALUE"""),60.05)</f>
        <v>60.05</v>
      </c>
      <c r="C179" s="22">
        <f>IFERROR(__xludf.DUMMYFUNCTION("""COMPUTED_VALUE"""),43480.66666666667)</f>
        <v>43480.66667</v>
      </c>
      <c r="D179" s="23">
        <f>IFERROR(__xludf.DUMMYFUNCTION("""COMPUTED_VALUE"""),96.95)</f>
        <v>96.95</v>
      </c>
      <c r="E179" s="22">
        <f>IFERROR(__xludf.DUMMYFUNCTION("""COMPUTED_VALUE"""),42403.66666666667)</f>
        <v>42403.66667</v>
      </c>
      <c r="F179" s="23">
        <f>IFERROR(__xludf.DUMMYFUNCTION("""COMPUTED_VALUE"""),10.32)</f>
        <v>10.32</v>
      </c>
      <c r="G179" s="22">
        <f>IFERROR(__xludf.DUMMYFUNCTION("""COMPUTED_VALUE"""),42300.66666666667)</f>
        <v>42300.66667</v>
      </c>
      <c r="H179" s="23">
        <f>IFERROR(__xludf.DUMMYFUNCTION("""COMPUTED_VALUE"""),67.95)</f>
        <v>67.95</v>
      </c>
      <c r="I179" s="22">
        <f>IFERROR(__xludf.DUMMYFUNCTION("""COMPUTED_VALUE"""),42300.66666666667)</f>
        <v>42300.66667</v>
      </c>
      <c r="J179" s="23">
        <f>IFERROR(__xludf.DUMMYFUNCTION("""COMPUTED_VALUE"""),145.78)</f>
        <v>145.78</v>
      </c>
      <c r="K179" s="22">
        <f>IFERROR(__xludf.DUMMYFUNCTION("""COMPUTED_VALUE"""),42300.66666666667)</f>
        <v>42300.66667</v>
      </c>
      <c r="L179" s="23">
        <f>IFERROR(__xludf.DUMMYFUNCTION("""COMPUTED_VALUE"""),64.02)</f>
        <v>64.02</v>
      </c>
      <c r="M179" s="23">
        <v>200.0</v>
      </c>
      <c r="N179" s="23">
        <v>200.0</v>
      </c>
      <c r="O179" s="23">
        <v>200.0</v>
      </c>
      <c r="P179" s="23">
        <f t="shared" si="1"/>
        <v>2.943340692</v>
      </c>
      <c r="Q179" s="23">
        <f t="shared" si="2"/>
        <v>1.371930306</v>
      </c>
      <c r="R179" s="23">
        <f t="shared" si="3"/>
        <v>3.124023743</v>
      </c>
      <c r="S179" s="19"/>
      <c r="T179" s="19"/>
      <c r="U179" s="19"/>
      <c r="V179" s="19"/>
    </row>
    <row r="180">
      <c r="A180" s="22">
        <f>IFERROR(__xludf.DUMMYFUNCTION("""COMPUTED_VALUE"""),42222.66666666667)</f>
        <v>42222.66667</v>
      </c>
      <c r="B180" s="23">
        <f>IFERROR(__xludf.DUMMYFUNCTION("""COMPUTED_VALUE"""),60.75)</f>
        <v>60.75</v>
      </c>
      <c r="C180" s="22">
        <f>IFERROR(__xludf.DUMMYFUNCTION("""COMPUTED_VALUE"""),43481.66666666667)</f>
        <v>43481.66667</v>
      </c>
      <c r="D180" s="23">
        <f>IFERROR(__xludf.DUMMYFUNCTION("""COMPUTED_VALUE"""),97.23)</f>
        <v>97.23</v>
      </c>
      <c r="E180" s="22">
        <f>IFERROR(__xludf.DUMMYFUNCTION("""COMPUTED_VALUE"""),42404.66666666667)</f>
        <v>42404.66667</v>
      </c>
      <c r="F180" s="23">
        <f>IFERROR(__xludf.DUMMYFUNCTION("""COMPUTED_VALUE"""),10.19)</f>
        <v>10.19</v>
      </c>
      <c r="G180" s="22">
        <f>IFERROR(__xludf.DUMMYFUNCTION("""COMPUTED_VALUE"""),42307.66666666667)</f>
        <v>42307.66667</v>
      </c>
      <c r="H180" s="23">
        <f>IFERROR(__xludf.DUMMYFUNCTION("""COMPUTED_VALUE"""),66.8)</f>
        <v>66.8</v>
      </c>
      <c r="I180" s="22">
        <f>IFERROR(__xludf.DUMMYFUNCTION("""COMPUTED_VALUE"""),42307.66666666667)</f>
        <v>42307.66667</v>
      </c>
      <c r="J180" s="23">
        <f>IFERROR(__xludf.DUMMYFUNCTION("""COMPUTED_VALUE"""),151.65)</f>
        <v>151.65</v>
      </c>
      <c r="K180" s="22">
        <f>IFERROR(__xludf.DUMMYFUNCTION("""COMPUTED_VALUE"""),42307.66666666667)</f>
        <v>42307.66667</v>
      </c>
      <c r="L180" s="23">
        <f>IFERROR(__xludf.DUMMYFUNCTION("""COMPUTED_VALUE"""),64.6)</f>
        <v>64.6</v>
      </c>
      <c r="M180" s="23">
        <v>0.0</v>
      </c>
      <c r="N180" s="23">
        <v>0.0</v>
      </c>
      <c r="O180" s="23">
        <v>0.0</v>
      </c>
      <c r="P180" s="23">
        <f t="shared" si="1"/>
        <v>0</v>
      </c>
      <c r="Q180" s="23">
        <f t="shared" si="2"/>
        <v>0</v>
      </c>
      <c r="R180" s="23">
        <f t="shared" si="3"/>
        <v>0</v>
      </c>
      <c r="S180" s="19"/>
      <c r="T180" s="19"/>
      <c r="U180" s="19"/>
      <c r="V180" s="19"/>
    </row>
    <row r="181">
      <c r="A181" s="22">
        <f>IFERROR(__xludf.DUMMYFUNCTION("""COMPUTED_VALUE"""),42223.66666666667)</f>
        <v>42223.66667</v>
      </c>
      <c r="B181" s="23">
        <f>IFERROR(__xludf.DUMMYFUNCTION("""COMPUTED_VALUE"""),60.34)</f>
        <v>60.34</v>
      </c>
      <c r="C181" s="22">
        <f>IFERROR(__xludf.DUMMYFUNCTION("""COMPUTED_VALUE"""),43482.66666666667)</f>
        <v>43482.66667</v>
      </c>
      <c r="D181" s="23">
        <f>IFERROR(__xludf.DUMMYFUNCTION("""COMPUTED_VALUE"""),97.61)</f>
        <v>97.61</v>
      </c>
      <c r="E181" s="22">
        <f>IFERROR(__xludf.DUMMYFUNCTION("""COMPUTED_VALUE"""),42405.66666666667)</f>
        <v>42405.66667</v>
      </c>
      <c r="F181" s="23">
        <f>IFERROR(__xludf.DUMMYFUNCTION("""COMPUTED_VALUE"""),10.05)</f>
        <v>10.05</v>
      </c>
      <c r="G181" s="22">
        <f>IFERROR(__xludf.DUMMYFUNCTION("""COMPUTED_VALUE"""),42314.66666666667)</f>
        <v>42314.66667</v>
      </c>
      <c r="H181" s="23">
        <f>IFERROR(__xludf.DUMMYFUNCTION("""COMPUTED_VALUE"""),66.6)</f>
        <v>66.6</v>
      </c>
      <c r="I181" s="22">
        <f>IFERROR(__xludf.DUMMYFUNCTION("""COMPUTED_VALUE"""),42314.66666666667)</f>
        <v>42314.66667</v>
      </c>
      <c r="J181" s="23">
        <f>IFERROR(__xludf.DUMMYFUNCTION("""COMPUTED_VALUE"""),150.89)</f>
        <v>150.89</v>
      </c>
      <c r="K181" s="22">
        <f>IFERROR(__xludf.DUMMYFUNCTION("""COMPUTED_VALUE"""),42314.66666666667)</f>
        <v>42314.66667</v>
      </c>
      <c r="L181" s="23">
        <f>IFERROR(__xludf.DUMMYFUNCTION("""COMPUTED_VALUE"""),63.96)</f>
        <v>63.96</v>
      </c>
      <c r="M181" s="23">
        <v>0.0</v>
      </c>
      <c r="N181" s="23">
        <v>0.0</v>
      </c>
      <c r="O181" s="23">
        <v>0.0</v>
      </c>
      <c r="P181" s="23">
        <f t="shared" si="1"/>
        <v>0</v>
      </c>
      <c r="Q181" s="23">
        <f t="shared" si="2"/>
        <v>0</v>
      </c>
      <c r="R181" s="23">
        <f t="shared" si="3"/>
        <v>0</v>
      </c>
      <c r="S181" s="19"/>
      <c r="T181" s="19"/>
      <c r="U181" s="19"/>
      <c r="V181" s="19"/>
    </row>
    <row r="182">
      <c r="A182" s="22">
        <f>IFERROR(__xludf.DUMMYFUNCTION("""COMPUTED_VALUE"""),42226.66666666667)</f>
        <v>42226.66667</v>
      </c>
      <c r="B182" s="23">
        <f>IFERROR(__xludf.DUMMYFUNCTION("""COMPUTED_VALUE"""),59.96)</f>
        <v>59.96</v>
      </c>
      <c r="C182" s="22">
        <f>IFERROR(__xludf.DUMMYFUNCTION("""COMPUTED_VALUE"""),43483.66666666667)</f>
        <v>43483.66667</v>
      </c>
      <c r="D182" s="23">
        <f>IFERROR(__xludf.DUMMYFUNCTION("""COMPUTED_VALUE"""),98.07)</f>
        <v>98.07</v>
      </c>
      <c r="E182" s="22">
        <f>IFERROR(__xludf.DUMMYFUNCTION("""COMPUTED_VALUE"""),42408.66666666667)</f>
        <v>42408.66667</v>
      </c>
      <c r="F182" s="23">
        <f>IFERROR(__xludf.DUMMYFUNCTION("""COMPUTED_VALUE"""),9.93)</f>
        <v>9.93</v>
      </c>
      <c r="G182" s="22">
        <f>IFERROR(__xludf.DUMMYFUNCTION("""COMPUTED_VALUE"""),42321.66666666667)</f>
        <v>42321.66667</v>
      </c>
      <c r="H182" s="23">
        <f>IFERROR(__xludf.DUMMYFUNCTION("""COMPUTED_VALUE"""),64.96)</f>
        <v>64.96</v>
      </c>
      <c r="I182" s="22">
        <f>IFERROR(__xludf.DUMMYFUNCTION("""COMPUTED_VALUE"""),42321.66666666667)</f>
        <v>42321.66667</v>
      </c>
      <c r="J182" s="23">
        <f>IFERROR(__xludf.DUMMYFUNCTION("""COMPUTED_VALUE"""),147.18)</f>
        <v>147.18</v>
      </c>
      <c r="K182" s="22">
        <f>IFERROR(__xludf.DUMMYFUNCTION("""COMPUTED_VALUE"""),42321.66666666667)</f>
        <v>42321.66667</v>
      </c>
      <c r="L182" s="23">
        <f>IFERROR(__xludf.DUMMYFUNCTION("""COMPUTED_VALUE"""),62.33)</f>
        <v>62.33</v>
      </c>
      <c r="M182" s="23">
        <v>0.0</v>
      </c>
      <c r="N182" s="23">
        <v>0.0</v>
      </c>
      <c r="O182" s="23">
        <v>0.0</v>
      </c>
      <c r="P182" s="23">
        <f t="shared" si="1"/>
        <v>0</v>
      </c>
      <c r="Q182" s="23">
        <f t="shared" si="2"/>
        <v>0</v>
      </c>
      <c r="R182" s="23">
        <f t="shared" si="3"/>
        <v>0</v>
      </c>
      <c r="S182" s="19"/>
      <c r="T182" s="19"/>
      <c r="U182" s="19"/>
      <c r="V182" s="19"/>
    </row>
    <row r="183">
      <c r="A183" s="22">
        <f>IFERROR(__xludf.DUMMYFUNCTION("""COMPUTED_VALUE"""),42227.66666666667)</f>
        <v>42227.66667</v>
      </c>
      <c r="B183" s="23">
        <f>IFERROR(__xludf.DUMMYFUNCTION("""COMPUTED_VALUE"""),60.87)</f>
        <v>60.87</v>
      </c>
      <c r="C183" s="22">
        <f>IFERROR(__xludf.DUMMYFUNCTION("""COMPUTED_VALUE"""),43486.66666666667)</f>
        <v>43486.66667</v>
      </c>
      <c r="D183" s="23">
        <f>IFERROR(__xludf.DUMMYFUNCTION("""COMPUTED_VALUE"""),98.22)</f>
        <v>98.22</v>
      </c>
      <c r="E183" s="22">
        <f>IFERROR(__xludf.DUMMYFUNCTION("""COMPUTED_VALUE"""),42409.66666666667)</f>
        <v>42409.66667</v>
      </c>
      <c r="F183" s="23">
        <f>IFERROR(__xludf.DUMMYFUNCTION("""COMPUTED_VALUE"""),9.74)</f>
        <v>9.74</v>
      </c>
      <c r="G183" s="22">
        <f>IFERROR(__xludf.DUMMYFUNCTION("""COMPUTED_VALUE"""),42328.66666666667)</f>
        <v>42328.66667</v>
      </c>
      <c r="H183" s="23">
        <f>IFERROR(__xludf.DUMMYFUNCTION("""COMPUTED_VALUE"""),67.12)</f>
        <v>67.12</v>
      </c>
      <c r="I183" s="22">
        <f>IFERROR(__xludf.DUMMYFUNCTION("""COMPUTED_VALUE"""),42328.66666666667)</f>
        <v>42328.66667</v>
      </c>
      <c r="J183" s="23">
        <f>IFERROR(__xludf.DUMMYFUNCTION("""COMPUTED_VALUE"""),148.62)</f>
        <v>148.62</v>
      </c>
      <c r="K183" s="22">
        <f>IFERROR(__xludf.DUMMYFUNCTION("""COMPUTED_VALUE"""),42328.66666666667)</f>
        <v>42328.66667</v>
      </c>
      <c r="L183" s="23">
        <f>IFERROR(__xludf.DUMMYFUNCTION("""COMPUTED_VALUE"""),63.25)</f>
        <v>63.25</v>
      </c>
      <c r="M183" s="23">
        <v>200.0</v>
      </c>
      <c r="N183" s="23">
        <v>200.0</v>
      </c>
      <c r="O183" s="23">
        <v>200.0</v>
      </c>
      <c r="P183" s="23">
        <f t="shared" si="1"/>
        <v>2.979737783</v>
      </c>
      <c r="Q183" s="23">
        <f t="shared" si="2"/>
        <v>1.345713901</v>
      </c>
      <c r="R183" s="23">
        <f t="shared" si="3"/>
        <v>3.162055336</v>
      </c>
      <c r="S183" s="19"/>
      <c r="T183" s="19"/>
      <c r="U183" s="19"/>
      <c r="V183" s="19"/>
    </row>
    <row r="184">
      <c r="A184" s="22">
        <f>IFERROR(__xludf.DUMMYFUNCTION("""COMPUTED_VALUE"""),42228.66666666667)</f>
        <v>42228.66667</v>
      </c>
      <c r="B184" s="23">
        <f>IFERROR(__xludf.DUMMYFUNCTION("""COMPUTED_VALUE"""),61.25)</f>
        <v>61.25</v>
      </c>
      <c r="C184" s="22">
        <f>IFERROR(__xludf.DUMMYFUNCTION("""COMPUTED_VALUE"""),43487.66666666667)</f>
        <v>43487.66667</v>
      </c>
      <c r="D184" s="23">
        <f>IFERROR(__xludf.DUMMYFUNCTION("""COMPUTED_VALUE"""),97.75)</f>
        <v>97.75</v>
      </c>
      <c r="E184" s="22">
        <f>IFERROR(__xludf.DUMMYFUNCTION("""COMPUTED_VALUE"""),42410.66666666667)</f>
        <v>42410.66667</v>
      </c>
      <c r="F184" s="23">
        <f>IFERROR(__xludf.DUMMYFUNCTION("""COMPUTED_VALUE"""),9.71)</f>
        <v>9.71</v>
      </c>
      <c r="G184" s="22">
        <f>IFERROR(__xludf.DUMMYFUNCTION("""COMPUTED_VALUE"""),42335.66666666667)</f>
        <v>42335.66667</v>
      </c>
      <c r="H184" s="23">
        <f>IFERROR(__xludf.DUMMYFUNCTION("""COMPUTED_VALUE"""),66.65)</f>
        <v>66.65</v>
      </c>
      <c r="I184" s="22">
        <f>IFERROR(__xludf.DUMMYFUNCTION("""COMPUTED_VALUE"""),42335.66666666667)</f>
        <v>42335.66667</v>
      </c>
      <c r="J184" s="23">
        <f>IFERROR(__xludf.DUMMYFUNCTION("""COMPUTED_VALUE"""),149.26)</f>
        <v>149.26</v>
      </c>
      <c r="K184" s="22">
        <f>IFERROR(__xludf.DUMMYFUNCTION("""COMPUTED_VALUE"""),42335.66666666667)</f>
        <v>42335.66667</v>
      </c>
      <c r="L184" s="23">
        <f>IFERROR(__xludf.DUMMYFUNCTION("""COMPUTED_VALUE"""),62.54)</f>
        <v>62.54</v>
      </c>
      <c r="M184" s="23">
        <v>0.0</v>
      </c>
      <c r="N184" s="23">
        <v>0.0</v>
      </c>
      <c r="O184" s="23">
        <v>0.0</v>
      </c>
      <c r="P184" s="23">
        <f t="shared" si="1"/>
        <v>0</v>
      </c>
      <c r="Q184" s="23">
        <f t="shared" si="2"/>
        <v>0</v>
      </c>
      <c r="R184" s="23">
        <f t="shared" si="3"/>
        <v>0</v>
      </c>
      <c r="S184" s="19"/>
      <c r="T184" s="19"/>
      <c r="U184" s="19"/>
      <c r="V184" s="19"/>
    </row>
    <row r="185">
      <c r="A185" s="22">
        <f>IFERROR(__xludf.DUMMYFUNCTION("""COMPUTED_VALUE"""),42229.66666666667)</f>
        <v>42229.66667</v>
      </c>
      <c r="B185" s="23">
        <f>IFERROR(__xludf.DUMMYFUNCTION("""COMPUTED_VALUE"""),59.94)</f>
        <v>59.94</v>
      </c>
      <c r="C185" s="22">
        <f>IFERROR(__xludf.DUMMYFUNCTION("""COMPUTED_VALUE"""),43488.66666666667)</f>
        <v>43488.66667</v>
      </c>
      <c r="D185" s="23">
        <f>IFERROR(__xludf.DUMMYFUNCTION("""COMPUTED_VALUE"""),97.67)</f>
        <v>97.67</v>
      </c>
      <c r="E185" s="22">
        <f>IFERROR(__xludf.DUMMYFUNCTION("""COMPUTED_VALUE"""),42411.66666666667)</f>
        <v>42411.66667</v>
      </c>
      <c r="F185" s="23">
        <f>IFERROR(__xludf.DUMMYFUNCTION("""COMPUTED_VALUE"""),9.68)</f>
        <v>9.68</v>
      </c>
      <c r="G185" s="22">
        <f>IFERROR(__xludf.DUMMYFUNCTION("""COMPUTED_VALUE"""),42342.66666666667)</f>
        <v>42342.66667</v>
      </c>
      <c r="H185" s="23">
        <f>IFERROR(__xludf.DUMMYFUNCTION("""COMPUTED_VALUE"""),66.0)</f>
        <v>66</v>
      </c>
      <c r="I185" s="22">
        <f>IFERROR(__xludf.DUMMYFUNCTION("""COMPUTED_VALUE"""),42342.66666666667)</f>
        <v>42342.66667</v>
      </c>
      <c r="J185" s="23">
        <f>IFERROR(__xludf.DUMMYFUNCTION("""COMPUTED_VALUE"""),144.59)</f>
        <v>144.59</v>
      </c>
      <c r="K185" s="22">
        <f>IFERROR(__xludf.DUMMYFUNCTION("""COMPUTED_VALUE"""),42342.66666666667)</f>
        <v>42342.66667</v>
      </c>
      <c r="L185" s="23">
        <f>IFERROR(__xludf.DUMMYFUNCTION("""COMPUTED_VALUE"""),61.14)</f>
        <v>61.14</v>
      </c>
      <c r="M185" s="23">
        <v>0.0</v>
      </c>
      <c r="N185" s="23">
        <v>0.0</v>
      </c>
      <c r="O185" s="23">
        <v>0.0</v>
      </c>
      <c r="P185" s="23">
        <f t="shared" si="1"/>
        <v>0</v>
      </c>
      <c r="Q185" s="23">
        <f t="shared" si="2"/>
        <v>0</v>
      </c>
      <c r="R185" s="23">
        <f t="shared" si="3"/>
        <v>0</v>
      </c>
      <c r="S185" s="19"/>
      <c r="T185" s="19"/>
      <c r="U185" s="19"/>
      <c r="V185" s="19"/>
    </row>
    <row r="186">
      <c r="A186" s="22">
        <f>IFERROR(__xludf.DUMMYFUNCTION("""COMPUTED_VALUE"""),42230.66666666667)</f>
        <v>42230.66667</v>
      </c>
      <c r="B186" s="23">
        <f>IFERROR(__xludf.DUMMYFUNCTION("""COMPUTED_VALUE"""),59.82)</f>
        <v>59.82</v>
      </c>
      <c r="C186" s="22">
        <f>IFERROR(__xludf.DUMMYFUNCTION("""COMPUTED_VALUE"""),43489.66666666667)</f>
        <v>43489.66667</v>
      </c>
      <c r="D186" s="23">
        <f>IFERROR(__xludf.DUMMYFUNCTION("""COMPUTED_VALUE"""),97.81)</f>
        <v>97.81</v>
      </c>
      <c r="E186" s="22">
        <f>IFERROR(__xludf.DUMMYFUNCTION("""COMPUTED_VALUE"""),42412.66666666667)</f>
        <v>42412.66667</v>
      </c>
      <c r="F186" s="23">
        <f>IFERROR(__xludf.DUMMYFUNCTION("""COMPUTED_VALUE"""),9.73)</f>
        <v>9.73</v>
      </c>
      <c r="G186" s="22">
        <f>IFERROR(__xludf.DUMMYFUNCTION("""COMPUTED_VALUE"""),42349.66666666667)</f>
        <v>42349.66667</v>
      </c>
      <c r="H186" s="23">
        <f>IFERROR(__xludf.DUMMYFUNCTION("""COMPUTED_VALUE"""),64.3)</f>
        <v>64.3</v>
      </c>
      <c r="I186" s="22">
        <f>IFERROR(__xludf.DUMMYFUNCTION("""COMPUTED_VALUE"""),42349.66666666667)</f>
        <v>42349.66667</v>
      </c>
      <c r="J186" s="23">
        <f>IFERROR(__xludf.DUMMYFUNCTION("""COMPUTED_VALUE"""),145.49)</f>
        <v>145.49</v>
      </c>
      <c r="K186" s="22">
        <f>IFERROR(__xludf.DUMMYFUNCTION("""COMPUTED_VALUE"""),42349.66666666667)</f>
        <v>42349.66667</v>
      </c>
      <c r="L186" s="23">
        <f>IFERROR(__xludf.DUMMYFUNCTION("""COMPUTED_VALUE"""),60.27)</f>
        <v>60.27</v>
      </c>
      <c r="M186" s="23">
        <v>0.0</v>
      </c>
      <c r="N186" s="23">
        <v>0.0</v>
      </c>
      <c r="O186" s="23">
        <v>0.0</v>
      </c>
      <c r="P186" s="23">
        <f t="shared" si="1"/>
        <v>0</v>
      </c>
      <c r="Q186" s="23">
        <f t="shared" si="2"/>
        <v>0</v>
      </c>
      <c r="R186" s="23">
        <f t="shared" si="3"/>
        <v>0</v>
      </c>
      <c r="S186" s="19"/>
      <c r="T186" s="19"/>
      <c r="U186" s="19"/>
      <c r="V186" s="19"/>
    </row>
    <row r="187">
      <c r="A187" s="22">
        <f>IFERROR(__xludf.DUMMYFUNCTION("""COMPUTED_VALUE"""),42233.66666666667)</f>
        <v>42233.66667</v>
      </c>
      <c r="B187" s="23">
        <f>IFERROR(__xludf.DUMMYFUNCTION("""COMPUTED_VALUE"""),59.85)</f>
        <v>59.85</v>
      </c>
      <c r="C187" s="22">
        <f>IFERROR(__xludf.DUMMYFUNCTION("""COMPUTED_VALUE"""),43490.66666666667)</f>
        <v>43490.66667</v>
      </c>
      <c r="D187" s="23">
        <f>IFERROR(__xludf.DUMMYFUNCTION("""COMPUTED_VALUE"""),98.64)</f>
        <v>98.64</v>
      </c>
      <c r="E187" s="22">
        <f>IFERROR(__xludf.DUMMYFUNCTION("""COMPUTED_VALUE"""),42415.66666666667)</f>
        <v>42415.66667</v>
      </c>
      <c r="F187" s="23">
        <f>IFERROR(__xludf.DUMMYFUNCTION("""COMPUTED_VALUE"""),9.86)</f>
        <v>9.86</v>
      </c>
      <c r="G187" s="22">
        <f>IFERROR(__xludf.DUMMYFUNCTION("""COMPUTED_VALUE"""),42356.66666666667)</f>
        <v>42356.66667</v>
      </c>
      <c r="H187" s="23">
        <f>IFERROR(__xludf.DUMMYFUNCTION("""COMPUTED_VALUE"""),65.31)</f>
        <v>65.31</v>
      </c>
      <c r="I187" s="22">
        <f>IFERROR(__xludf.DUMMYFUNCTION("""COMPUTED_VALUE"""),42356.66666666667)</f>
        <v>42356.66667</v>
      </c>
      <c r="J187" s="23">
        <f>IFERROR(__xludf.DUMMYFUNCTION("""COMPUTED_VALUE"""),145.6)</f>
        <v>145.6</v>
      </c>
      <c r="K187" s="22">
        <f>IFERROR(__xludf.DUMMYFUNCTION("""COMPUTED_VALUE"""),42356.66666666667)</f>
        <v>42356.66667</v>
      </c>
      <c r="L187" s="23">
        <f>IFERROR(__xludf.DUMMYFUNCTION("""COMPUTED_VALUE"""),61.03)</f>
        <v>61.03</v>
      </c>
      <c r="M187" s="23">
        <v>200.0</v>
      </c>
      <c r="N187" s="23">
        <v>200.0</v>
      </c>
      <c r="O187" s="23">
        <v>200.0</v>
      </c>
      <c r="P187" s="23">
        <f t="shared" si="1"/>
        <v>3.062318175</v>
      </c>
      <c r="Q187" s="23">
        <f t="shared" si="2"/>
        <v>1.373626374</v>
      </c>
      <c r="R187" s="23">
        <f t="shared" si="3"/>
        <v>3.277076847</v>
      </c>
      <c r="S187" s="19"/>
      <c r="T187" s="19"/>
      <c r="U187" s="19"/>
      <c r="V187" s="19"/>
    </row>
    <row r="188">
      <c r="A188" s="22">
        <f>IFERROR(__xludf.DUMMYFUNCTION("""COMPUTED_VALUE"""),42234.66666666667)</f>
        <v>42234.66667</v>
      </c>
      <c r="B188" s="23">
        <f>IFERROR(__xludf.DUMMYFUNCTION("""COMPUTED_VALUE"""),60.03)</f>
        <v>60.03</v>
      </c>
      <c r="C188" s="22">
        <f>IFERROR(__xludf.DUMMYFUNCTION("""COMPUTED_VALUE"""),43494.66666666667)</f>
        <v>43494.66667</v>
      </c>
      <c r="D188" s="23">
        <f>IFERROR(__xludf.DUMMYFUNCTION("""COMPUTED_VALUE"""),97.96)</f>
        <v>97.96</v>
      </c>
      <c r="E188" s="22">
        <f>IFERROR(__xludf.DUMMYFUNCTION("""COMPUTED_VALUE"""),42416.66666666667)</f>
        <v>42416.66667</v>
      </c>
      <c r="F188" s="23">
        <f>IFERROR(__xludf.DUMMYFUNCTION("""COMPUTED_VALUE"""),9.95)</f>
        <v>9.95</v>
      </c>
      <c r="G188" s="22">
        <f>IFERROR(__xludf.DUMMYFUNCTION("""COMPUTED_VALUE"""),42362.66666666667)</f>
        <v>42362.66667</v>
      </c>
      <c r="H188" s="23">
        <f>IFERROR(__xludf.DUMMYFUNCTION("""COMPUTED_VALUE"""),66.78)</f>
        <v>66.78</v>
      </c>
      <c r="I188" s="22">
        <f>IFERROR(__xludf.DUMMYFUNCTION("""COMPUTED_VALUE"""),42362.66666666667)</f>
        <v>42362.66667</v>
      </c>
      <c r="J188" s="23">
        <f>IFERROR(__xludf.DUMMYFUNCTION("""COMPUTED_VALUE"""),145.0)</f>
        <v>145</v>
      </c>
      <c r="K188" s="22">
        <f>IFERROR(__xludf.DUMMYFUNCTION("""COMPUTED_VALUE"""),42362.66666666667)</f>
        <v>42362.66667</v>
      </c>
      <c r="L188" s="23">
        <f>IFERROR(__xludf.DUMMYFUNCTION("""COMPUTED_VALUE"""),60.64)</f>
        <v>60.64</v>
      </c>
      <c r="M188" s="23">
        <v>0.0</v>
      </c>
      <c r="N188" s="23">
        <v>0.0</v>
      </c>
      <c r="O188" s="23">
        <v>0.0</v>
      </c>
      <c r="P188" s="23">
        <f t="shared" si="1"/>
        <v>0</v>
      </c>
      <c r="Q188" s="23">
        <f t="shared" si="2"/>
        <v>0</v>
      </c>
      <c r="R188" s="23">
        <f t="shared" si="3"/>
        <v>0</v>
      </c>
      <c r="S188" s="19"/>
      <c r="T188" s="19"/>
      <c r="U188" s="19"/>
      <c r="V188" s="19"/>
    </row>
    <row r="189">
      <c r="A189" s="22">
        <f>IFERROR(__xludf.DUMMYFUNCTION("""COMPUTED_VALUE"""),42235.66666666667)</f>
        <v>42235.66667</v>
      </c>
      <c r="B189" s="23">
        <f>IFERROR(__xludf.DUMMYFUNCTION("""COMPUTED_VALUE"""),60.15)</f>
        <v>60.15</v>
      </c>
      <c r="C189" s="22">
        <f>IFERROR(__xludf.DUMMYFUNCTION("""COMPUTED_VALUE"""),43495.66666666667)</f>
        <v>43495.66667</v>
      </c>
      <c r="D189" s="23">
        <f>IFERROR(__xludf.DUMMYFUNCTION("""COMPUTED_VALUE"""),98.07)</f>
        <v>98.07</v>
      </c>
      <c r="E189" s="22">
        <f>IFERROR(__xludf.DUMMYFUNCTION("""COMPUTED_VALUE"""),42417.66666666667)</f>
        <v>42417.66667</v>
      </c>
      <c r="F189" s="23">
        <f>IFERROR(__xludf.DUMMYFUNCTION("""COMPUTED_VALUE"""),10.05)</f>
        <v>10.05</v>
      </c>
      <c r="G189" s="22">
        <f>IFERROR(__xludf.DUMMYFUNCTION("""COMPUTED_VALUE"""),42369.66666666667)</f>
        <v>42369.66667</v>
      </c>
      <c r="H189" s="23">
        <f>IFERROR(__xludf.DUMMYFUNCTION("""COMPUTED_VALUE"""),68.12)</f>
        <v>68.12</v>
      </c>
      <c r="I189" s="22">
        <f>IFERROR(__xludf.DUMMYFUNCTION("""COMPUTED_VALUE"""),42369.66666666667)</f>
        <v>42369.66667</v>
      </c>
      <c r="J189" s="23">
        <f>IFERROR(__xludf.DUMMYFUNCTION("""COMPUTED_VALUE"""),144.48)</f>
        <v>144.48</v>
      </c>
      <c r="K189" s="22">
        <f>IFERROR(__xludf.DUMMYFUNCTION("""COMPUTED_VALUE"""),42369.66666666667)</f>
        <v>42369.66667</v>
      </c>
      <c r="L189" s="23">
        <f>IFERROR(__xludf.DUMMYFUNCTION("""COMPUTED_VALUE"""),60.1)</f>
        <v>60.1</v>
      </c>
      <c r="M189" s="23">
        <v>0.0</v>
      </c>
      <c r="N189" s="23">
        <v>0.0</v>
      </c>
      <c r="O189" s="23">
        <v>0.0</v>
      </c>
      <c r="P189" s="23">
        <f t="shared" si="1"/>
        <v>0</v>
      </c>
      <c r="Q189" s="23">
        <f t="shared" si="2"/>
        <v>0</v>
      </c>
      <c r="R189" s="23">
        <f t="shared" si="3"/>
        <v>0</v>
      </c>
      <c r="S189" s="19"/>
      <c r="T189" s="19"/>
      <c r="U189" s="19"/>
      <c r="V189" s="19"/>
    </row>
    <row r="190">
      <c r="A190" s="22">
        <f>IFERROR(__xludf.DUMMYFUNCTION("""COMPUTED_VALUE"""),42236.66666666667)</f>
        <v>42236.66667</v>
      </c>
      <c r="B190" s="23">
        <f>IFERROR(__xludf.DUMMYFUNCTION("""COMPUTED_VALUE"""),59.6)</f>
        <v>59.6</v>
      </c>
      <c r="C190" s="22">
        <f>IFERROR(__xludf.DUMMYFUNCTION("""COMPUTED_VALUE"""),43496.66666666667)</f>
        <v>43496.66667</v>
      </c>
      <c r="D190" s="23">
        <f>IFERROR(__xludf.DUMMYFUNCTION("""COMPUTED_VALUE"""),97.87)</f>
        <v>97.87</v>
      </c>
      <c r="E190" s="22">
        <f>IFERROR(__xludf.DUMMYFUNCTION("""COMPUTED_VALUE"""),42418.66666666667)</f>
        <v>42418.66667</v>
      </c>
      <c r="F190" s="23">
        <f>IFERROR(__xludf.DUMMYFUNCTION("""COMPUTED_VALUE"""),10.24)</f>
        <v>10.24</v>
      </c>
      <c r="G190" s="22">
        <f>IFERROR(__xludf.DUMMYFUNCTION("""COMPUTED_VALUE"""),42377.66666666667)</f>
        <v>42377.66667</v>
      </c>
      <c r="H190" s="23">
        <f>IFERROR(__xludf.DUMMYFUNCTION("""COMPUTED_VALUE"""),63.43)</f>
        <v>63.43</v>
      </c>
      <c r="I190" s="22">
        <f>IFERROR(__xludf.DUMMYFUNCTION("""COMPUTED_VALUE"""),42377.66666666667)</f>
        <v>42377.66667</v>
      </c>
      <c r="J190" s="23">
        <f>IFERROR(__xludf.DUMMYFUNCTION("""COMPUTED_VALUE"""),141.5)</f>
        <v>141.5</v>
      </c>
      <c r="K190" s="22">
        <f>IFERROR(__xludf.DUMMYFUNCTION("""COMPUTED_VALUE"""),42377.66666666667)</f>
        <v>42377.66667</v>
      </c>
      <c r="L190" s="23">
        <f>IFERROR(__xludf.DUMMYFUNCTION("""COMPUTED_VALUE"""),58.33)</f>
        <v>58.33</v>
      </c>
      <c r="M190" s="23">
        <v>0.0</v>
      </c>
      <c r="N190" s="23">
        <v>0.0</v>
      </c>
      <c r="O190" s="23">
        <v>0.0</v>
      </c>
      <c r="P190" s="23">
        <f t="shared" si="1"/>
        <v>0</v>
      </c>
      <c r="Q190" s="23">
        <f t="shared" si="2"/>
        <v>0</v>
      </c>
      <c r="R190" s="23">
        <f t="shared" si="3"/>
        <v>0</v>
      </c>
      <c r="S190" s="19"/>
      <c r="T190" s="19"/>
      <c r="U190" s="19"/>
      <c r="V190" s="19"/>
    </row>
    <row r="191">
      <c r="A191" s="22">
        <f>IFERROR(__xludf.DUMMYFUNCTION("""COMPUTED_VALUE"""),42237.66666666667)</f>
        <v>42237.66667</v>
      </c>
      <c r="B191" s="23">
        <f>IFERROR(__xludf.DUMMYFUNCTION("""COMPUTED_VALUE"""),58.25)</f>
        <v>58.25</v>
      </c>
      <c r="C191" s="22">
        <f>IFERROR(__xludf.DUMMYFUNCTION("""COMPUTED_VALUE"""),43497.66666666667)</f>
        <v>43497.66667</v>
      </c>
      <c r="D191" s="23">
        <f>IFERROR(__xludf.DUMMYFUNCTION("""COMPUTED_VALUE"""),97.8)</f>
        <v>97.8</v>
      </c>
      <c r="E191" s="22">
        <f>IFERROR(__xludf.DUMMYFUNCTION("""COMPUTED_VALUE"""),42419.66666666667)</f>
        <v>42419.66667</v>
      </c>
      <c r="F191" s="23">
        <f>IFERROR(__xludf.DUMMYFUNCTION("""COMPUTED_VALUE"""),10.16)</f>
        <v>10.16</v>
      </c>
      <c r="G191" s="22">
        <f>IFERROR(__xludf.DUMMYFUNCTION("""COMPUTED_VALUE"""),42384.66666666667)</f>
        <v>42384.66667</v>
      </c>
      <c r="H191" s="23">
        <f>IFERROR(__xludf.DUMMYFUNCTION("""COMPUTED_VALUE"""),61.87)</f>
        <v>61.87</v>
      </c>
      <c r="I191" s="22">
        <f>IFERROR(__xludf.DUMMYFUNCTION("""COMPUTED_VALUE"""),42384.66666666667)</f>
        <v>42384.66667</v>
      </c>
      <c r="J191" s="23">
        <f>IFERROR(__xludf.DUMMYFUNCTION("""COMPUTED_VALUE"""),139.25)</f>
        <v>139.25</v>
      </c>
      <c r="K191" s="22">
        <f>IFERROR(__xludf.DUMMYFUNCTION("""COMPUTED_VALUE"""),42384.66666666667)</f>
        <v>42384.66667</v>
      </c>
      <c r="L191" s="23">
        <f>IFERROR(__xludf.DUMMYFUNCTION("""COMPUTED_VALUE"""),57.83)</f>
        <v>57.83</v>
      </c>
      <c r="M191" s="23">
        <v>200.0</v>
      </c>
      <c r="N191" s="23">
        <v>200.0</v>
      </c>
      <c r="O191" s="23">
        <v>200.0</v>
      </c>
      <c r="P191" s="23">
        <f t="shared" si="1"/>
        <v>3.232584451</v>
      </c>
      <c r="Q191" s="23">
        <f t="shared" si="2"/>
        <v>1.436265709</v>
      </c>
      <c r="R191" s="23">
        <f t="shared" si="3"/>
        <v>3.458412589</v>
      </c>
      <c r="S191" s="19"/>
      <c r="T191" s="19"/>
      <c r="U191" s="19"/>
      <c r="V191" s="19"/>
    </row>
    <row r="192">
      <c r="A192" s="22">
        <f>IFERROR(__xludf.DUMMYFUNCTION("""COMPUTED_VALUE"""),42240.66666666667)</f>
        <v>42240.66667</v>
      </c>
      <c r="B192" s="23">
        <f>IFERROR(__xludf.DUMMYFUNCTION("""COMPUTED_VALUE"""),57.0)</f>
        <v>57</v>
      </c>
      <c r="C192" s="22">
        <f>IFERROR(__xludf.DUMMYFUNCTION("""COMPUTED_VALUE"""),43500.66666666667)</f>
        <v>43500.66667</v>
      </c>
      <c r="D192" s="23">
        <f>IFERROR(__xludf.DUMMYFUNCTION("""COMPUTED_VALUE"""),98.35)</f>
        <v>98.35</v>
      </c>
      <c r="E192" s="22">
        <f>IFERROR(__xludf.DUMMYFUNCTION("""COMPUTED_VALUE"""),42422.66666666667)</f>
        <v>42422.66667</v>
      </c>
      <c r="F192" s="23">
        <f>IFERROR(__xludf.DUMMYFUNCTION("""COMPUTED_VALUE"""),10.18)</f>
        <v>10.18</v>
      </c>
      <c r="G192" s="22">
        <f>IFERROR(__xludf.DUMMYFUNCTION("""COMPUTED_VALUE"""),42391.66666666667)</f>
        <v>42391.66667</v>
      </c>
      <c r="H192" s="23">
        <f>IFERROR(__xludf.DUMMYFUNCTION("""COMPUTED_VALUE"""),62.25)</f>
        <v>62.25</v>
      </c>
      <c r="I192" s="22">
        <f>IFERROR(__xludf.DUMMYFUNCTION("""COMPUTED_VALUE"""),42391.66666666667)</f>
        <v>42391.66667</v>
      </c>
      <c r="J192" s="23">
        <f>IFERROR(__xludf.DUMMYFUNCTION("""COMPUTED_VALUE"""),136.03)</f>
        <v>136.03</v>
      </c>
      <c r="K192" s="22">
        <f>IFERROR(__xludf.DUMMYFUNCTION("""COMPUTED_VALUE"""),42391.66666666667)</f>
        <v>42391.66667</v>
      </c>
      <c r="L192" s="23">
        <f>IFERROR(__xludf.DUMMYFUNCTION("""COMPUTED_VALUE"""),55.81)</f>
        <v>55.81</v>
      </c>
      <c r="M192" s="23">
        <v>0.0</v>
      </c>
      <c r="N192" s="23">
        <v>0.0</v>
      </c>
      <c r="O192" s="23">
        <v>0.0</v>
      </c>
      <c r="P192" s="23">
        <f t="shared" si="1"/>
        <v>0</v>
      </c>
      <c r="Q192" s="23">
        <f t="shared" si="2"/>
        <v>0</v>
      </c>
      <c r="R192" s="23">
        <f t="shared" si="3"/>
        <v>0</v>
      </c>
      <c r="S192" s="19"/>
      <c r="T192" s="19"/>
      <c r="U192" s="19"/>
      <c r="V192" s="19"/>
    </row>
    <row r="193">
      <c r="A193" s="22">
        <f>IFERROR(__xludf.DUMMYFUNCTION("""COMPUTED_VALUE"""),42241.66666666667)</f>
        <v>42241.66667</v>
      </c>
      <c r="B193" s="23">
        <f>IFERROR(__xludf.DUMMYFUNCTION("""COMPUTED_VALUE"""),56.39)</f>
        <v>56.39</v>
      </c>
      <c r="C193" s="22">
        <f>IFERROR(__xludf.DUMMYFUNCTION("""COMPUTED_VALUE"""),43501.66666666667)</f>
        <v>43501.66667</v>
      </c>
      <c r="D193" s="23">
        <f>IFERROR(__xludf.DUMMYFUNCTION("""COMPUTED_VALUE"""),100.39)</f>
        <v>100.39</v>
      </c>
      <c r="E193" s="22">
        <f>IFERROR(__xludf.DUMMYFUNCTION("""COMPUTED_VALUE"""),42423.66666666667)</f>
        <v>42423.66667</v>
      </c>
      <c r="F193" s="23">
        <f>IFERROR(__xludf.DUMMYFUNCTION("""COMPUTED_VALUE"""),10.12)</f>
        <v>10.12</v>
      </c>
      <c r="G193" s="22">
        <f>IFERROR(__xludf.DUMMYFUNCTION("""COMPUTED_VALUE"""),42398.66666666667)</f>
        <v>42398.66667</v>
      </c>
      <c r="H193" s="23">
        <f>IFERROR(__xludf.DUMMYFUNCTION("""COMPUTED_VALUE"""),63.5)</f>
        <v>63.5</v>
      </c>
      <c r="I193" s="22">
        <f>IFERROR(__xludf.DUMMYFUNCTION("""COMPUTED_VALUE"""),42398.66666666667)</f>
        <v>42398.66667</v>
      </c>
      <c r="J193" s="23">
        <f>IFERROR(__xludf.DUMMYFUNCTION("""COMPUTED_VALUE"""),135.69)</f>
        <v>135.69</v>
      </c>
      <c r="K193" s="22">
        <f>IFERROR(__xludf.DUMMYFUNCTION("""COMPUTED_VALUE"""),42398.66666666667)</f>
        <v>42398.66667</v>
      </c>
      <c r="L193" s="23">
        <f>IFERROR(__xludf.DUMMYFUNCTION("""COMPUTED_VALUE"""),56.74)</f>
        <v>56.74</v>
      </c>
      <c r="M193" s="23">
        <v>0.0</v>
      </c>
      <c r="N193" s="23">
        <v>0.0</v>
      </c>
      <c r="O193" s="23">
        <v>0.0</v>
      </c>
      <c r="P193" s="23">
        <f t="shared" si="1"/>
        <v>0</v>
      </c>
      <c r="Q193" s="23">
        <f t="shared" si="2"/>
        <v>0</v>
      </c>
      <c r="R193" s="23">
        <f t="shared" si="3"/>
        <v>0</v>
      </c>
      <c r="S193" s="19"/>
      <c r="T193" s="19"/>
      <c r="U193" s="19"/>
      <c r="V193" s="19"/>
    </row>
    <row r="194">
      <c r="A194" s="22">
        <f>IFERROR(__xludf.DUMMYFUNCTION("""COMPUTED_VALUE"""),42242.66666666667)</f>
        <v>42242.66667</v>
      </c>
      <c r="B194" s="23">
        <f>IFERROR(__xludf.DUMMYFUNCTION("""COMPUTED_VALUE"""),57.25)</f>
        <v>57.25</v>
      </c>
      <c r="C194" s="22">
        <f>IFERROR(__xludf.DUMMYFUNCTION("""COMPUTED_VALUE"""),43502.66666666667)</f>
        <v>43502.66667</v>
      </c>
      <c r="D194" s="23">
        <f>IFERROR(__xludf.DUMMYFUNCTION("""COMPUTED_VALUE"""),100.71)</f>
        <v>100.71</v>
      </c>
      <c r="E194" s="22">
        <f>IFERROR(__xludf.DUMMYFUNCTION("""COMPUTED_VALUE"""),42424.66666666667)</f>
        <v>42424.66667</v>
      </c>
      <c r="F194" s="23">
        <f>IFERROR(__xludf.DUMMYFUNCTION("""COMPUTED_VALUE"""),10.05)</f>
        <v>10.05</v>
      </c>
      <c r="G194" s="22">
        <f>IFERROR(__xludf.DUMMYFUNCTION("""COMPUTED_VALUE"""),42405.66666666667)</f>
        <v>42405.66667</v>
      </c>
      <c r="H194" s="23">
        <f>IFERROR(__xludf.DUMMYFUNCTION("""COMPUTED_VALUE"""),62.89)</f>
        <v>62.89</v>
      </c>
      <c r="I194" s="22">
        <f>IFERROR(__xludf.DUMMYFUNCTION("""COMPUTED_VALUE"""),42405.66666666667)</f>
        <v>42405.66667</v>
      </c>
      <c r="J194" s="23">
        <f>IFERROR(__xludf.DUMMYFUNCTION("""COMPUTED_VALUE"""),134.97)</f>
        <v>134.97</v>
      </c>
      <c r="K194" s="22">
        <f>IFERROR(__xludf.DUMMYFUNCTION("""COMPUTED_VALUE"""),42405.66666666667)</f>
        <v>42405.66667</v>
      </c>
      <c r="L194" s="23">
        <f>IFERROR(__xludf.DUMMYFUNCTION("""COMPUTED_VALUE"""),56.2)</f>
        <v>56.2</v>
      </c>
      <c r="M194" s="23">
        <v>0.0</v>
      </c>
      <c r="N194" s="23">
        <v>0.0</v>
      </c>
      <c r="O194" s="23">
        <v>0.0</v>
      </c>
      <c r="P194" s="23">
        <f t="shared" si="1"/>
        <v>0</v>
      </c>
      <c r="Q194" s="23">
        <f t="shared" si="2"/>
        <v>0</v>
      </c>
      <c r="R194" s="23">
        <f t="shared" si="3"/>
        <v>0</v>
      </c>
      <c r="S194" s="19"/>
      <c r="T194" s="19"/>
      <c r="U194" s="19"/>
      <c r="V194" s="19"/>
    </row>
    <row r="195">
      <c r="A195" s="22">
        <f>IFERROR(__xludf.DUMMYFUNCTION("""COMPUTED_VALUE"""),42243.66666666667)</f>
        <v>42243.66667</v>
      </c>
      <c r="B195" s="23">
        <f>IFERROR(__xludf.DUMMYFUNCTION("""COMPUTED_VALUE"""),57.89)</f>
        <v>57.89</v>
      </c>
      <c r="C195" s="22">
        <f>IFERROR(__xludf.DUMMYFUNCTION("""COMPUTED_VALUE"""),43503.66666666667)</f>
        <v>43503.66667</v>
      </c>
      <c r="D195" s="23">
        <f>IFERROR(__xludf.DUMMYFUNCTION("""COMPUTED_VALUE"""),101.77)</f>
        <v>101.77</v>
      </c>
      <c r="E195" s="22">
        <f>IFERROR(__xludf.DUMMYFUNCTION("""COMPUTED_VALUE"""),42425.66666666667)</f>
        <v>42425.66667</v>
      </c>
      <c r="F195" s="23">
        <f>IFERROR(__xludf.DUMMYFUNCTION("""COMPUTED_VALUE"""),10.23)</f>
        <v>10.23</v>
      </c>
      <c r="G195" s="22">
        <f>IFERROR(__xludf.DUMMYFUNCTION("""COMPUTED_VALUE"""),42412.66666666667)</f>
        <v>42412.66667</v>
      </c>
      <c r="H195" s="23">
        <f>IFERROR(__xludf.DUMMYFUNCTION("""COMPUTED_VALUE"""),60.4)</f>
        <v>60.4</v>
      </c>
      <c r="I195" s="22">
        <f>IFERROR(__xludf.DUMMYFUNCTION("""COMPUTED_VALUE"""),42412.66666666667)</f>
        <v>42412.66667</v>
      </c>
      <c r="J195" s="23">
        <f>IFERROR(__xludf.DUMMYFUNCTION("""COMPUTED_VALUE"""),130.94)</f>
        <v>130.94</v>
      </c>
      <c r="K195" s="22">
        <f>IFERROR(__xludf.DUMMYFUNCTION("""COMPUTED_VALUE"""),42412.66666666667)</f>
        <v>42412.66667</v>
      </c>
      <c r="L195" s="23">
        <f>IFERROR(__xludf.DUMMYFUNCTION("""COMPUTED_VALUE"""),53.89)</f>
        <v>53.89</v>
      </c>
      <c r="M195" s="23">
        <v>200.0</v>
      </c>
      <c r="N195" s="23">
        <v>200.0</v>
      </c>
      <c r="O195" s="23">
        <v>200.0</v>
      </c>
      <c r="P195" s="23">
        <f t="shared" si="1"/>
        <v>3.311258278</v>
      </c>
      <c r="Q195" s="23">
        <f t="shared" si="2"/>
        <v>1.527417138</v>
      </c>
      <c r="R195" s="23">
        <f t="shared" si="3"/>
        <v>3.711263685</v>
      </c>
      <c r="S195" s="19"/>
      <c r="T195" s="19"/>
      <c r="U195" s="19"/>
      <c r="V195" s="19"/>
    </row>
    <row r="196">
      <c r="A196" s="22">
        <f>IFERROR(__xludf.DUMMYFUNCTION("""COMPUTED_VALUE"""),42244.66666666667)</f>
        <v>42244.66667</v>
      </c>
      <c r="B196" s="23">
        <f>IFERROR(__xludf.DUMMYFUNCTION("""COMPUTED_VALUE"""),58.67)</f>
        <v>58.67</v>
      </c>
      <c r="C196" s="22">
        <f>IFERROR(__xludf.DUMMYFUNCTION("""COMPUTED_VALUE"""),43504.66666666667)</f>
        <v>43504.66667</v>
      </c>
      <c r="D196" s="23">
        <f>IFERROR(__xludf.DUMMYFUNCTION("""COMPUTED_VALUE"""),101.27)</f>
        <v>101.27</v>
      </c>
      <c r="E196" s="22">
        <f>IFERROR(__xludf.DUMMYFUNCTION("""COMPUTED_VALUE"""),42426.66666666667)</f>
        <v>42426.66667</v>
      </c>
      <c r="F196" s="23">
        <f>IFERROR(__xludf.DUMMYFUNCTION("""COMPUTED_VALUE"""),10.22)</f>
        <v>10.22</v>
      </c>
      <c r="G196" s="22">
        <f>IFERROR(__xludf.DUMMYFUNCTION("""COMPUTED_VALUE"""),42419.66666666667)</f>
        <v>42419.66667</v>
      </c>
      <c r="H196" s="23">
        <f>IFERROR(__xludf.DUMMYFUNCTION("""COMPUTED_VALUE"""),62.88)</f>
        <v>62.88</v>
      </c>
      <c r="I196" s="22">
        <f>IFERROR(__xludf.DUMMYFUNCTION("""COMPUTED_VALUE"""),42419.66666666667)</f>
        <v>42419.66667</v>
      </c>
      <c r="J196" s="23">
        <f>IFERROR(__xludf.DUMMYFUNCTION("""COMPUTED_VALUE"""),136.82)</f>
        <v>136.82</v>
      </c>
      <c r="K196" s="22">
        <f>IFERROR(__xludf.DUMMYFUNCTION("""COMPUTED_VALUE"""),42419.66666666667)</f>
        <v>42419.66667</v>
      </c>
      <c r="L196" s="23">
        <f>IFERROR(__xludf.DUMMYFUNCTION("""COMPUTED_VALUE"""),56.6)</f>
        <v>56.6</v>
      </c>
      <c r="M196" s="23">
        <v>0.0</v>
      </c>
      <c r="N196" s="23">
        <v>0.0</v>
      </c>
      <c r="O196" s="23">
        <v>0.0</v>
      </c>
      <c r="P196" s="23">
        <f t="shared" si="1"/>
        <v>0</v>
      </c>
      <c r="Q196" s="23">
        <f t="shared" si="2"/>
        <v>0</v>
      </c>
      <c r="R196" s="23">
        <f t="shared" si="3"/>
        <v>0</v>
      </c>
      <c r="S196" s="19"/>
      <c r="T196" s="19"/>
      <c r="U196" s="19"/>
      <c r="V196" s="19"/>
    </row>
    <row r="197">
      <c r="A197" s="22">
        <f>IFERROR(__xludf.DUMMYFUNCTION("""COMPUTED_VALUE"""),42247.66666666667)</f>
        <v>42247.66667</v>
      </c>
      <c r="B197" s="23">
        <f>IFERROR(__xludf.DUMMYFUNCTION("""COMPUTED_VALUE"""),58.25)</f>
        <v>58.25</v>
      </c>
      <c r="C197" s="22">
        <f>IFERROR(__xludf.DUMMYFUNCTION("""COMPUTED_VALUE"""),43507.66666666667)</f>
        <v>43507.66667</v>
      </c>
      <c r="D197" s="23">
        <f>IFERROR(__xludf.DUMMYFUNCTION("""COMPUTED_VALUE"""),101.09)</f>
        <v>101.09</v>
      </c>
      <c r="E197" s="22">
        <f>IFERROR(__xludf.DUMMYFUNCTION("""COMPUTED_VALUE"""),42429.66666666667)</f>
        <v>42429.66667</v>
      </c>
      <c r="F197" s="23">
        <f>IFERROR(__xludf.DUMMYFUNCTION("""COMPUTED_VALUE"""),10.25)</f>
        <v>10.25</v>
      </c>
      <c r="G197" s="22">
        <f>IFERROR(__xludf.DUMMYFUNCTION("""COMPUTED_VALUE"""),42426.66666666667)</f>
        <v>42426.66667</v>
      </c>
      <c r="H197" s="23">
        <f>IFERROR(__xludf.DUMMYFUNCTION("""COMPUTED_VALUE"""),62.17)</f>
        <v>62.17</v>
      </c>
      <c r="I197" s="22">
        <f>IFERROR(__xludf.DUMMYFUNCTION("""COMPUTED_VALUE"""),42426.66666666667)</f>
        <v>42426.66667</v>
      </c>
      <c r="J197" s="23">
        <f>IFERROR(__xludf.DUMMYFUNCTION("""COMPUTED_VALUE"""),137.07)</f>
        <v>137.07</v>
      </c>
      <c r="K197" s="22">
        <f>IFERROR(__xludf.DUMMYFUNCTION("""COMPUTED_VALUE"""),42426.66666666667)</f>
        <v>42426.66667</v>
      </c>
      <c r="L197" s="23">
        <f>IFERROR(__xludf.DUMMYFUNCTION("""COMPUTED_VALUE"""),55.82)</f>
        <v>55.82</v>
      </c>
      <c r="M197" s="23">
        <v>0.0</v>
      </c>
      <c r="N197" s="23">
        <v>0.0</v>
      </c>
      <c r="O197" s="23">
        <v>0.0</v>
      </c>
      <c r="P197" s="23">
        <f t="shared" si="1"/>
        <v>0</v>
      </c>
      <c r="Q197" s="23">
        <f t="shared" si="2"/>
        <v>0</v>
      </c>
      <c r="R197" s="23">
        <f t="shared" si="3"/>
        <v>0</v>
      </c>
      <c r="S197" s="19"/>
      <c r="T197" s="19"/>
      <c r="U197" s="19"/>
      <c r="V197" s="19"/>
    </row>
    <row r="198">
      <c r="A198" s="22">
        <f>IFERROR(__xludf.DUMMYFUNCTION("""COMPUTED_VALUE"""),42248.66666666667)</f>
        <v>42248.66667</v>
      </c>
      <c r="B198" s="23">
        <f>IFERROR(__xludf.DUMMYFUNCTION("""COMPUTED_VALUE"""),57.8)</f>
        <v>57.8</v>
      </c>
      <c r="C198" s="22">
        <f>IFERROR(__xludf.DUMMYFUNCTION("""COMPUTED_VALUE"""),43508.66666666667)</f>
        <v>43508.66667</v>
      </c>
      <c r="D198" s="23">
        <f>IFERROR(__xludf.DUMMYFUNCTION("""COMPUTED_VALUE"""),101.52)</f>
        <v>101.52</v>
      </c>
      <c r="E198" s="22">
        <f>IFERROR(__xludf.DUMMYFUNCTION("""COMPUTED_VALUE"""),42430.66666666667)</f>
        <v>42430.66667</v>
      </c>
      <c r="F198" s="23">
        <f>IFERROR(__xludf.DUMMYFUNCTION("""COMPUTED_VALUE"""),10.23)</f>
        <v>10.23</v>
      </c>
      <c r="G198" s="22">
        <f>IFERROR(__xludf.DUMMYFUNCTION("""COMPUTED_VALUE"""),42433.66666666667)</f>
        <v>42433.66667</v>
      </c>
      <c r="H198" s="23">
        <f>IFERROR(__xludf.DUMMYFUNCTION("""COMPUTED_VALUE"""),65.26)</f>
        <v>65.26</v>
      </c>
      <c r="I198" s="22">
        <f>IFERROR(__xludf.DUMMYFUNCTION("""COMPUTED_VALUE"""),42433.66666666667)</f>
        <v>42433.66667</v>
      </c>
      <c r="J198" s="23">
        <f>IFERROR(__xludf.DUMMYFUNCTION("""COMPUTED_VALUE"""),138.19)</f>
        <v>138.19</v>
      </c>
      <c r="K198" s="22">
        <f>IFERROR(__xludf.DUMMYFUNCTION("""COMPUTED_VALUE"""),42433.66666666667)</f>
        <v>42433.66667</v>
      </c>
      <c r="L198" s="23">
        <f>IFERROR(__xludf.DUMMYFUNCTION("""COMPUTED_VALUE"""),56.98)</f>
        <v>56.98</v>
      </c>
      <c r="M198" s="23">
        <v>0.0</v>
      </c>
      <c r="N198" s="23">
        <v>0.0</v>
      </c>
      <c r="O198" s="23">
        <v>0.0</v>
      </c>
      <c r="P198" s="23">
        <f t="shared" si="1"/>
        <v>0</v>
      </c>
      <c r="Q198" s="23">
        <f t="shared" si="2"/>
        <v>0</v>
      </c>
      <c r="R198" s="23">
        <f t="shared" si="3"/>
        <v>0</v>
      </c>
      <c r="S198" s="19"/>
      <c r="T198" s="19"/>
      <c r="U198" s="19"/>
      <c r="V198" s="19"/>
    </row>
    <row r="199">
      <c r="A199" s="22">
        <f>IFERROR(__xludf.DUMMYFUNCTION("""COMPUTED_VALUE"""),42249.66666666667)</f>
        <v>42249.66667</v>
      </c>
      <c r="B199" s="23">
        <f>IFERROR(__xludf.DUMMYFUNCTION("""COMPUTED_VALUE"""),58.4)</f>
        <v>58.4</v>
      </c>
      <c r="C199" s="22">
        <f>IFERROR(__xludf.DUMMYFUNCTION("""COMPUTED_VALUE"""),43509.66666666667)</f>
        <v>43509.66667</v>
      </c>
      <c r="D199" s="23">
        <f>IFERROR(__xludf.DUMMYFUNCTION("""COMPUTED_VALUE"""),101.34)</f>
        <v>101.34</v>
      </c>
      <c r="E199" s="22">
        <f>IFERROR(__xludf.DUMMYFUNCTION("""COMPUTED_VALUE"""),42431.66666666667)</f>
        <v>42431.66667</v>
      </c>
      <c r="F199" s="23">
        <f>IFERROR(__xludf.DUMMYFUNCTION("""COMPUTED_VALUE"""),10.47)</f>
        <v>10.47</v>
      </c>
      <c r="G199" s="22">
        <f>IFERROR(__xludf.DUMMYFUNCTION("""COMPUTED_VALUE"""),42440.66666666667)</f>
        <v>42440.66667</v>
      </c>
      <c r="H199" s="23">
        <f>IFERROR(__xludf.DUMMYFUNCTION("""COMPUTED_VALUE"""),66.3)</f>
        <v>66.3</v>
      </c>
      <c r="I199" s="22">
        <f>IFERROR(__xludf.DUMMYFUNCTION("""COMPUTED_VALUE"""),42440.66666666667)</f>
        <v>42440.66667</v>
      </c>
      <c r="J199" s="23">
        <f>IFERROR(__xludf.DUMMYFUNCTION("""COMPUTED_VALUE"""),136.36)</f>
        <v>136.36</v>
      </c>
      <c r="K199" s="22">
        <f>IFERROR(__xludf.DUMMYFUNCTION("""COMPUTED_VALUE"""),42440.66666666667)</f>
        <v>42440.66667</v>
      </c>
      <c r="L199" s="23">
        <f>IFERROR(__xludf.DUMMYFUNCTION("""COMPUTED_VALUE"""),56.45)</f>
        <v>56.45</v>
      </c>
      <c r="M199" s="23">
        <v>200.0</v>
      </c>
      <c r="N199" s="23">
        <v>200.0</v>
      </c>
      <c r="O199" s="23">
        <v>200.0</v>
      </c>
      <c r="P199" s="23">
        <f t="shared" si="1"/>
        <v>3.016591252</v>
      </c>
      <c r="Q199" s="23">
        <f t="shared" si="2"/>
        <v>1.466705779</v>
      </c>
      <c r="R199" s="23">
        <f t="shared" si="3"/>
        <v>3.54295837</v>
      </c>
      <c r="S199" s="19"/>
      <c r="T199" s="19"/>
      <c r="U199" s="19"/>
      <c r="V199" s="19"/>
    </row>
    <row r="200">
      <c r="A200" s="22">
        <f>IFERROR(__xludf.DUMMYFUNCTION("""COMPUTED_VALUE"""),42250.66666666667)</f>
        <v>42250.66667</v>
      </c>
      <c r="B200" s="23">
        <f>IFERROR(__xludf.DUMMYFUNCTION("""COMPUTED_VALUE"""),58.85)</f>
        <v>58.85</v>
      </c>
      <c r="C200" s="22">
        <f>IFERROR(__xludf.DUMMYFUNCTION("""COMPUTED_VALUE"""),43510.66666666667)</f>
        <v>43510.66667</v>
      </c>
      <c r="D200" s="23">
        <f>IFERROR(__xludf.DUMMYFUNCTION("""COMPUTED_VALUE"""),101.4)</f>
        <v>101.4</v>
      </c>
      <c r="E200" s="22">
        <f>IFERROR(__xludf.DUMMYFUNCTION("""COMPUTED_VALUE"""),42432.66666666667)</f>
        <v>42432.66667</v>
      </c>
      <c r="F200" s="23">
        <f>IFERROR(__xludf.DUMMYFUNCTION("""COMPUTED_VALUE"""),10.34)</f>
        <v>10.34</v>
      </c>
      <c r="G200" s="22">
        <f>IFERROR(__xludf.DUMMYFUNCTION("""COMPUTED_VALUE"""),42447.66666666667)</f>
        <v>42447.66667</v>
      </c>
      <c r="H200" s="23">
        <f>IFERROR(__xludf.DUMMYFUNCTION("""COMPUTED_VALUE"""),66.41)</f>
        <v>66.41</v>
      </c>
      <c r="I200" s="22">
        <f>IFERROR(__xludf.DUMMYFUNCTION("""COMPUTED_VALUE"""),42447.66666666667)</f>
        <v>42447.66667</v>
      </c>
      <c r="J200" s="23">
        <f>IFERROR(__xludf.DUMMYFUNCTION("""COMPUTED_VALUE"""),135.7)</f>
        <v>135.7</v>
      </c>
      <c r="K200" s="22">
        <f>IFERROR(__xludf.DUMMYFUNCTION("""COMPUTED_VALUE"""),42447.66666666667)</f>
        <v>42447.66667</v>
      </c>
      <c r="L200" s="23">
        <f>IFERROR(__xludf.DUMMYFUNCTION("""COMPUTED_VALUE"""),56.59)</f>
        <v>56.59</v>
      </c>
      <c r="M200" s="23">
        <v>0.0</v>
      </c>
      <c r="N200" s="23">
        <v>0.0</v>
      </c>
      <c r="O200" s="23">
        <v>0.0</v>
      </c>
      <c r="P200" s="23">
        <f t="shared" si="1"/>
        <v>0</v>
      </c>
      <c r="Q200" s="23">
        <f t="shared" si="2"/>
        <v>0</v>
      </c>
      <c r="R200" s="23">
        <f t="shared" si="3"/>
        <v>0</v>
      </c>
      <c r="S200" s="19"/>
      <c r="T200" s="19"/>
      <c r="U200" s="19"/>
      <c r="V200" s="19"/>
    </row>
    <row r="201">
      <c r="A201" s="22">
        <f>IFERROR(__xludf.DUMMYFUNCTION("""COMPUTED_VALUE"""),42251.66666666667)</f>
        <v>42251.66667</v>
      </c>
      <c r="B201" s="23">
        <f>IFERROR(__xludf.DUMMYFUNCTION("""COMPUTED_VALUE"""),58.27)</f>
        <v>58.27</v>
      </c>
      <c r="C201" s="22">
        <f>IFERROR(__xludf.DUMMYFUNCTION("""COMPUTED_VALUE"""),43511.66666666667)</f>
        <v>43511.66667</v>
      </c>
      <c r="D201" s="23">
        <f>IFERROR(__xludf.DUMMYFUNCTION("""COMPUTED_VALUE"""),101.68)</f>
        <v>101.68</v>
      </c>
      <c r="E201" s="22">
        <f>IFERROR(__xludf.DUMMYFUNCTION("""COMPUTED_VALUE"""),42433.66666666667)</f>
        <v>42433.66667</v>
      </c>
      <c r="F201" s="23">
        <f>IFERROR(__xludf.DUMMYFUNCTION("""COMPUTED_VALUE"""),10.23)</f>
        <v>10.23</v>
      </c>
      <c r="G201" s="22">
        <f>IFERROR(__xludf.DUMMYFUNCTION("""COMPUTED_VALUE"""),42453.66666666667)</f>
        <v>42453.66667</v>
      </c>
      <c r="H201" s="23">
        <f>IFERROR(__xludf.DUMMYFUNCTION("""COMPUTED_VALUE"""),65.16)</f>
        <v>65.16</v>
      </c>
      <c r="I201" s="22">
        <f>IFERROR(__xludf.DUMMYFUNCTION("""COMPUTED_VALUE"""),42453.66666666667)</f>
        <v>42453.66667</v>
      </c>
      <c r="J201" s="23">
        <f>IFERROR(__xludf.DUMMYFUNCTION("""COMPUTED_VALUE"""),137.73)</f>
        <v>137.73</v>
      </c>
      <c r="K201" s="22">
        <f>IFERROR(__xludf.DUMMYFUNCTION("""COMPUTED_VALUE"""),42453.66666666667)</f>
        <v>42453.66667</v>
      </c>
      <c r="L201" s="23">
        <f>IFERROR(__xludf.DUMMYFUNCTION("""COMPUTED_VALUE"""),56.84)</f>
        <v>56.84</v>
      </c>
      <c r="M201" s="23">
        <v>0.0</v>
      </c>
      <c r="N201" s="23">
        <v>0.0</v>
      </c>
      <c r="O201" s="23">
        <v>0.0</v>
      </c>
      <c r="P201" s="23">
        <f t="shared" si="1"/>
        <v>0</v>
      </c>
      <c r="Q201" s="23">
        <f t="shared" si="2"/>
        <v>0</v>
      </c>
      <c r="R201" s="23">
        <f t="shared" si="3"/>
        <v>0</v>
      </c>
      <c r="S201" s="19"/>
      <c r="T201" s="19"/>
      <c r="U201" s="19"/>
      <c r="V201" s="19"/>
    </row>
    <row r="202">
      <c r="A202" s="22">
        <f>IFERROR(__xludf.DUMMYFUNCTION("""COMPUTED_VALUE"""),42254.66666666667)</f>
        <v>42254.66667</v>
      </c>
      <c r="B202" s="23">
        <f>IFERROR(__xludf.DUMMYFUNCTION("""COMPUTED_VALUE"""),59.0)</f>
        <v>59</v>
      </c>
      <c r="C202" s="22">
        <f>IFERROR(__xludf.DUMMYFUNCTION("""COMPUTED_VALUE"""),43514.66666666667)</f>
        <v>43514.66667</v>
      </c>
      <c r="D202" s="23">
        <f>IFERROR(__xludf.DUMMYFUNCTION("""COMPUTED_VALUE"""),101.94)</f>
        <v>101.94</v>
      </c>
      <c r="E202" s="22">
        <f>IFERROR(__xludf.DUMMYFUNCTION("""COMPUTED_VALUE"""),42436.66666666667)</f>
        <v>42436.66667</v>
      </c>
      <c r="F202" s="23">
        <f>IFERROR(__xludf.DUMMYFUNCTION("""COMPUTED_VALUE"""),10.14)</f>
        <v>10.14</v>
      </c>
      <c r="G202" s="22">
        <f>IFERROR(__xludf.DUMMYFUNCTION("""COMPUTED_VALUE"""),42461.66666666667)</f>
        <v>42461.66667</v>
      </c>
      <c r="H202" s="23">
        <f>IFERROR(__xludf.DUMMYFUNCTION("""COMPUTED_VALUE"""),63.4)</f>
        <v>63.4</v>
      </c>
      <c r="I202" s="22">
        <f>IFERROR(__xludf.DUMMYFUNCTION("""COMPUTED_VALUE"""),42461.66666666667)</f>
        <v>42461.66667</v>
      </c>
      <c r="J202" s="23">
        <f>IFERROR(__xludf.DUMMYFUNCTION("""COMPUTED_VALUE"""),136.75)</f>
        <v>136.75</v>
      </c>
      <c r="K202" s="22">
        <f>IFERROR(__xludf.DUMMYFUNCTION("""COMPUTED_VALUE"""),42461.66666666667)</f>
        <v>42461.66667</v>
      </c>
      <c r="L202" s="23">
        <f>IFERROR(__xludf.DUMMYFUNCTION("""COMPUTED_VALUE"""),55.88)</f>
        <v>55.88</v>
      </c>
      <c r="M202" s="23">
        <v>0.0</v>
      </c>
      <c r="N202" s="23">
        <v>0.0</v>
      </c>
      <c r="O202" s="23">
        <v>0.0</v>
      </c>
      <c r="P202" s="23">
        <f t="shared" si="1"/>
        <v>0</v>
      </c>
      <c r="Q202" s="23">
        <f t="shared" si="2"/>
        <v>0</v>
      </c>
      <c r="R202" s="23">
        <f t="shared" si="3"/>
        <v>0</v>
      </c>
      <c r="S202" s="19"/>
      <c r="T202" s="19"/>
      <c r="U202" s="19"/>
      <c r="V202" s="19"/>
    </row>
    <row r="203">
      <c r="A203" s="22">
        <f>IFERROR(__xludf.DUMMYFUNCTION("""COMPUTED_VALUE"""),42255.66666666667)</f>
        <v>42255.66667</v>
      </c>
      <c r="B203" s="23">
        <f>IFERROR(__xludf.DUMMYFUNCTION("""COMPUTED_VALUE"""),59.07)</f>
        <v>59.07</v>
      </c>
      <c r="C203" s="22">
        <f>IFERROR(__xludf.DUMMYFUNCTION("""COMPUTED_VALUE"""),43515.66666666667)</f>
        <v>43515.66667</v>
      </c>
      <c r="D203" s="23">
        <f>IFERROR(__xludf.DUMMYFUNCTION("""COMPUTED_VALUE"""),102.29)</f>
        <v>102.29</v>
      </c>
      <c r="E203" s="22">
        <f>IFERROR(__xludf.DUMMYFUNCTION("""COMPUTED_VALUE"""),42437.66666666667)</f>
        <v>42437.66667</v>
      </c>
      <c r="F203" s="23">
        <f>IFERROR(__xludf.DUMMYFUNCTION("""COMPUTED_VALUE"""),10.06)</f>
        <v>10.06</v>
      </c>
      <c r="G203" s="22">
        <f>IFERROR(__xludf.DUMMYFUNCTION("""COMPUTED_VALUE"""),42468.66666666667)</f>
        <v>42468.66667</v>
      </c>
      <c r="H203" s="23">
        <f>IFERROR(__xludf.DUMMYFUNCTION("""COMPUTED_VALUE"""),62.81)</f>
        <v>62.81</v>
      </c>
      <c r="I203" s="22">
        <f>IFERROR(__xludf.DUMMYFUNCTION("""COMPUTED_VALUE"""),42468.66666666667)</f>
        <v>42468.66667</v>
      </c>
      <c r="J203" s="23">
        <f>IFERROR(__xludf.DUMMYFUNCTION("""COMPUTED_VALUE"""),138.45)</f>
        <v>138.45</v>
      </c>
      <c r="K203" s="22">
        <f>IFERROR(__xludf.DUMMYFUNCTION("""COMPUTED_VALUE"""),42468.66666666667)</f>
        <v>42468.66667</v>
      </c>
      <c r="L203" s="23">
        <f>IFERROR(__xludf.DUMMYFUNCTION("""COMPUTED_VALUE"""),55.98)</f>
        <v>55.98</v>
      </c>
      <c r="M203" s="23">
        <v>200.0</v>
      </c>
      <c r="N203" s="23">
        <v>200.0</v>
      </c>
      <c r="O203" s="23">
        <v>200.0</v>
      </c>
      <c r="P203" s="23">
        <f t="shared" si="1"/>
        <v>3.184206337</v>
      </c>
      <c r="Q203" s="23">
        <f t="shared" si="2"/>
        <v>1.444564825</v>
      </c>
      <c r="R203" s="23">
        <f t="shared" si="3"/>
        <v>3.572704537</v>
      </c>
      <c r="S203" s="19"/>
      <c r="T203" s="19"/>
      <c r="U203" s="19"/>
      <c r="V203" s="19"/>
    </row>
    <row r="204">
      <c r="A204" s="22">
        <f>IFERROR(__xludf.DUMMYFUNCTION("""COMPUTED_VALUE"""),42256.66666666667)</f>
        <v>42256.66667</v>
      </c>
      <c r="B204" s="23">
        <f>IFERROR(__xludf.DUMMYFUNCTION("""COMPUTED_VALUE"""),59.1)</f>
        <v>59.1</v>
      </c>
      <c r="C204" s="22">
        <f>IFERROR(__xludf.DUMMYFUNCTION("""COMPUTED_VALUE"""),43516.66666666667)</f>
        <v>43516.66667</v>
      </c>
      <c r="D204" s="23">
        <f>IFERROR(__xludf.DUMMYFUNCTION("""COMPUTED_VALUE"""),101.98)</f>
        <v>101.98</v>
      </c>
      <c r="E204" s="22">
        <f>IFERROR(__xludf.DUMMYFUNCTION("""COMPUTED_VALUE"""),42438.66666666667)</f>
        <v>42438.66667</v>
      </c>
      <c r="F204" s="23">
        <f>IFERROR(__xludf.DUMMYFUNCTION("""COMPUTED_VALUE"""),10.03)</f>
        <v>10.03</v>
      </c>
      <c r="G204" s="22">
        <f>IFERROR(__xludf.DUMMYFUNCTION("""COMPUTED_VALUE"""),42475.66666666667)</f>
        <v>42475.66667</v>
      </c>
      <c r="H204" s="23">
        <f>IFERROR(__xludf.DUMMYFUNCTION("""COMPUTED_VALUE"""),65.24)</f>
        <v>65.24</v>
      </c>
      <c r="I204" s="22">
        <f>IFERROR(__xludf.DUMMYFUNCTION("""COMPUTED_VALUE"""),42475.66666666667)</f>
        <v>42475.66667</v>
      </c>
      <c r="J204" s="23">
        <f>IFERROR(__xludf.DUMMYFUNCTION("""COMPUTED_VALUE"""),137.61)</f>
        <v>137.61</v>
      </c>
      <c r="K204" s="22">
        <f>IFERROR(__xludf.DUMMYFUNCTION("""COMPUTED_VALUE"""),42475.66666666667)</f>
        <v>42475.66667</v>
      </c>
      <c r="L204" s="23">
        <f>IFERROR(__xludf.DUMMYFUNCTION("""COMPUTED_VALUE"""),57.24)</f>
        <v>57.24</v>
      </c>
      <c r="M204" s="23">
        <v>0.0</v>
      </c>
      <c r="N204" s="23">
        <v>0.0</v>
      </c>
      <c r="O204" s="23">
        <v>0.0</v>
      </c>
      <c r="P204" s="23">
        <f t="shared" si="1"/>
        <v>0</v>
      </c>
      <c r="Q204" s="23">
        <f t="shared" si="2"/>
        <v>0</v>
      </c>
      <c r="R204" s="23">
        <f t="shared" si="3"/>
        <v>0</v>
      </c>
      <c r="S204" s="19"/>
      <c r="T204" s="19"/>
      <c r="U204" s="19"/>
      <c r="V204" s="19"/>
    </row>
    <row r="205">
      <c r="A205" s="22">
        <f>IFERROR(__xludf.DUMMYFUNCTION("""COMPUTED_VALUE"""),42257.66666666667)</f>
        <v>42257.66667</v>
      </c>
      <c r="B205" s="23">
        <f>IFERROR(__xludf.DUMMYFUNCTION("""COMPUTED_VALUE"""),59.12)</f>
        <v>59.12</v>
      </c>
      <c r="C205" s="22">
        <f>IFERROR(__xludf.DUMMYFUNCTION("""COMPUTED_VALUE"""),43517.66666666667)</f>
        <v>43517.66667</v>
      </c>
      <c r="D205" s="23">
        <f>IFERROR(__xludf.DUMMYFUNCTION("""COMPUTED_VALUE"""),102.94)</f>
        <v>102.94</v>
      </c>
      <c r="E205" s="22">
        <f>IFERROR(__xludf.DUMMYFUNCTION("""COMPUTED_VALUE"""),42439.66666666667)</f>
        <v>42439.66667</v>
      </c>
      <c r="F205" s="23">
        <f>IFERROR(__xludf.DUMMYFUNCTION("""COMPUTED_VALUE"""),10.02)</f>
        <v>10.02</v>
      </c>
      <c r="G205" s="22">
        <f>IFERROR(__xludf.DUMMYFUNCTION("""COMPUTED_VALUE"""),42482.66666666667)</f>
        <v>42482.66667</v>
      </c>
      <c r="H205" s="23">
        <f>IFERROR(__xludf.DUMMYFUNCTION("""COMPUTED_VALUE"""),66.31)</f>
        <v>66.31</v>
      </c>
      <c r="I205" s="22">
        <f>IFERROR(__xludf.DUMMYFUNCTION("""COMPUTED_VALUE"""),42482.66666666667)</f>
        <v>42482.66667</v>
      </c>
      <c r="J205" s="23">
        <f>IFERROR(__xludf.DUMMYFUNCTION("""COMPUTED_VALUE"""),137.65)</f>
        <v>137.65</v>
      </c>
      <c r="K205" s="22">
        <f>IFERROR(__xludf.DUMMYFUNCTION("""COMPUTED_VALUE"""),42482.66666666667)</f>
        <v>42482.66667</v>
      </c>
      <c r="L205" s="23">
        <f>IFERROR(__xludf.DUMMYFUNCTION("""COMPUTED_VALUE"""),57.67)</f>
        <v>57.67</v>
      </c>
      <c r="M205" s="23">
        <v>0.0</v>
      </c>
      <c r="N205" s="23">
        <v>0.0</v>
      </c>
      <c r="O205" s="23">
        <v>0.0</v>
      </c>
      <c r="P205" s="23">
        <f t="shared" si="1"/>
        <v>0</v>
      </c>
      <c r="Q205" s="23">
        <f t="shared" si="2"/>
        <v>0</v>
      </c>
      <c r="R205" s="23">
        <f t="shared" si="3"/>
        <v>0</v>
      </c>
      <c r="S205" s="19"/>
      <c r="T205" s="19"/>
      <c r="U205" s="19"/>
      <c r="V205" s="19"/>
    </row>
    <row r="206">
      <c r="A206" s="22">
        <f>IFERROR(__xludf.DUMMYFUNCTION("""COMPUTED_VALUE"""),42258.66666666667)</f>
        <v>42258.66667</v>
      </c>
      <c r="B206" s="23">
        <f>IFERROR(__xludf.DUMMYFUNCTION("""COMPUTED_VALUE"""),58.77)</f>
        <v>58.77</v>
      </c>
      <c r="C206" s="22">
        <f>IFERROR(__xludf.DUMMYFUNCTION("""COMPUTED_VALUE"""),43518.66666666667)</f>
        <v>43518.66667</v>
      </c>
      <c r="D206" s="23">
        <f>IFERROR(__xludf.DUMMYFUNCTION("""COMPUTED_VALUE"""),103.4)</f>
        <v>103.4</v>
      </c>
      <c r="E206" s="22">
        <f>IFERROR(__xludf.DUMMYFUNCTION("""COMPUTED_VALUE"""),42440.66666666667)</f>
        <v>42440.66667</v>
      </c>
      <c r="F206" s="23">
        <f>IFERROR(__xludf.DUMMYFUNCTION("""COMPUTED_VALUE"""),10.03)</f>
        <v>10.03</v>
      </c>
      <c r="G206" s="22">
        <f>IFERROR(__xludf.DUMMYFUNCTION("""COMPUTED_VALUE"""),42489.66666666667)</f>
        <v>42489.66667</v>
      </c>
      <c r="H206" s="23">
        <f>IFERROR(__xludf.DUMMYFUNCTION("""COMPUTED_VALUE"""),66.53)</f>
        <v>66.53</v>
      </c>
      <c r="I206" s="22">
        <f>IFERROR(__xludf.DUMMYFUNCTION("""COMPUTED_VALUE"""),42489.66666666667)</f>
        <v>42489.66667</v>
      </c>
      <c r="J206" s="23">
        <f>IFERROR(__xludf.DUMMYFUNCTION("""COMPUTED_VALUE"""),138.67)</f>
        <v>138.67</v>
      </c>
      <c r="K206" s="22">
        <f>IFERROR(__xludf.DUMMYFUNCTION("""COMPUTED_VALUE"""),42489.66666666667)</f>
        <v>42489.66667</v>
      </c>
      <c r="L206" s="23">
        <f>IFERROR(__xludf.DUMMYFUNCTION("""COMPUTED_VALUE"""),57.77)</f>
        <v>57.77</v>
      </c>
      <c r="M206" s="23">
        <v>0.0</v>
      </c>
      <c r="N206" s="23">
        <v>0.0</v>
      </c>
      <c r="O206" s="23">
        <v>0.0</v>
      </c>
      <c r="P206" s="23">
        <f t="shared" si="1"/>
        <v>0</v>
      </c>
      <c r="Q206" s="23">
        <f t="shared" si="2"/>
        <v>0</v>
      </c>
      <c r="R206" s="23">
        <f t="shared" si="3"/>
        <v>0</v>
      </c>
      <c r="S206" s="19"/>
      <c r="T206" s="19"/>
      <c r="U206" s="19"/>
      <c r="V206" s="19"/>
    </row>
    <row r="207">
      <c r="A207" s="22">
        <f>IFERROR(__xludf.DUMMYFUNCTION("""COMPUTED_VALUE"""),42261.66666666667)</f>
        <v>42261.66667</v>
      </c>
      <c r="B207" s="23">
        <f>IFERROR(__xludf.DUMMYFUNCTION("""COMPUTED_VALUE"""),58.57)</f>
        <v>58.57</v>
      </c>
      <c r="C207" s="22">
        <f>IFERROR(__xludf.DUMMYFUNCTION("""COMPUTED_VALUE"""),43521.66666666667)</f>
        <v>43521.66667</v>
      </c>
      <c r="D207" s="23">
        <f>IFERROR(__xludf.DUMMYFUNCTION("""COMPUTED_VALUE"""),103.32)</f>
        <v>103.32</v>
      </c>
      <c r="E207" s="22">
        <f>IFERROR(__xludf.DUMMYFUNCTION("""COMPUTED_VALUE"""),42443.66666666667)</f>
        <v>42443.66667</v>
      </c>
      <c r="F207" s="23">
        <f>IFERROR(__xludf.DUMMYFUNCTION("""COMPUTED_VALUE"""),9.99)</f>
        <v>9.99</v>
      </c>
      <c r="G207" s="22">
        <f>IFERROR(__xludf.DUMMYFUNCTION("""COMPUTED_VALUE"""),42496.66666666667)</f>
        <v>42496.66667</v>
      </c>
      <c r="H207" s="23">
        <f>IFERROR(__xludf.DUMMYFUNCTION("""COMPUTED_VALUE"""),66.94)</f>
        <v>66.94</v>
      </c>
      <c r="I207" s="22">
        <f>IFERROR(__xludf.DUMMYFUNCTION("""COMPUTED_VALUE"""),42496.66666666667)</f>
        <v>42496.66667</v>
      </c>
      <c r="J207" s="23">
        <f>IFERROR(__xludf.DUMMYFUNCTION("""COMPUTED_VALUE"""),141.19)</f>
        <v>141.19</v>
      </c>
      <c r="K207" s="22">
        <f>IFERROR(__xludf.DUMMYFUNCTION("""COMPUTED_VALUE"""),42496.66666666667)</f>
        <v>42496.66667</v>
      </c>
      <c r="L207" s="23">
        <f>IFERROR(__xludf.DUMMYFUNCTION("""COMPUTED_VALUE"""),58.16)</f>
        <v>58.16</v>
      </c>
      <c r="M207" s="23">
        <v>200.0</v>
      </c>
      <c r="N207" s="23">
        <v>200.0</v>
      </c>
      <c r="O207" s="23">
        <v>200.0</v>
      </c>
      <c r="P207" s="23">
        <f t="shared" si="1"/>
        <v>2.987750224</v>
      </c>
      <c r="Q207" s="23">
        <f t="shared" si="2"/>
        <v>1.416530916</v>
      </c>
      <c r="R207" s="23">
        <f t="shared" si="3"/>
        <v>3.438789546</v>
      </c>
      <c r="S207" s="19"/>
      <c r="T207" s="19"/>
      <c r="U207" s="19"/>
      <c r="V207" s="19"/>
    </row>
    <row r="208">
      <c r="A208" s="22">
        <f>IFERROR(__xludf.DUMMYFUNCTION("""COMPUTED_VALUE"""),42262.66666666667)</f>
        <v>42262.66667</v>
      </c>
      <c r="B208" s="23">
        <f>IFERROR(__xludf.DUMMYFUNCTION("""COMPUTED_VALUE"""),57.97)</f>
        <v>57.97</v>
      </c>
      <c r="C208" s="22">
        <f>IFERROR(__xludf.DUMMYFUNCTION("""COMPUTED_VALUE"""),43522.66666666667)</f>
        <v>43522.66667</v>
      </c>
      <c r="D208" s="23">
        <f>IFERROR(__xludf.DUMMYFUNCTION("""COMPUTED_VALUE"""),102.55)</f>
        <v>102.55</v>
      </c>
      <c r="E208" s="22">
        <f>IFERROR(__xludf.DUMMYFUNCTION("""COMPUTED_VALUE"""),42444.66666666667)</f>
        <v>42444.66667</v>
      </c>
      <c r="F208" s="23">
        <f>IFERROR(__xludf.DUMMYFUNCTION("""COMPUTED_VALUE"""),10.13)</f>
        <v>10.13</v>
      </c>
      <c r="G208" s="22">
        <f>IFERROR(__xludf.DUMMYFUNCTION("""COMPUTED_VALUE"""),42503.66666666667)</f>
        <v>42503.66667</v>
      </c>
      <c r="H208" s="23">
        <f>IFERROR(__xludf.DUMMYFUNCTION("""COMPUTED_VALUE"""),67.69)</f>
        <v>67.69</v>
      </c>
      <c r="I208" s="22">
        <f>IFERROR(__xludf.DUMMYFUNCTION("""COMPUTED_VALUE"""),42503.66666666667)</f>
        <v>42503.66667</v>
      </c>
      <c r="J208" s="23">
        <f>IFERROR(__xludf.DUMMYFUNCTION("""COMPUTED_VALUE"""),143.86)</f>
        <v>143.86</v>
      </c>
      <c r="K208" s="22">
        <f>IFERROR(__xludf.DUMMYFUNCTION("""COMPUTED_VALUE"""),42503.66666666667)</f>
        <v>42503.66667</v>
      </c>
      <c r="L208" s="23">
        <f>IFERROR(__xludf.DUMMYFUNCTION("""COMPUTED_VALUE"""),58.86)</f>
        <v>58.86</v>
      </c>
      <c r="M208" s="23">
        <v>0.0</v>
      </c>
      <c r="N208" s="23">
        <v>0.0</v>
      </c>
      <c r="O208" s="23">
        <v>0.0</v>
      </c>
      <c r="P208" s="23">
        <f t="shared" si="1"/>
        <v>0</v>
      </c>
      <c r="Q208" s="23">
        <f t="shared" si="2"/>
        <v>0</v>
      </c>
      <c r="R208" s="23">
        <f t="shared" si="3"/>
        <v>0</v>
      </c>
      <c r="S208" s="19"/>
      <c r="T208" s="19"/>
      <c r="U208" s="19"/>
      <c r="V208" s="19"/>
    </row>
    <row r="209">
      <c r="A209" s="22">
        <f>IFERROR(__xludf.DUMMYFUNCTION("""COMPUTED_VALUE"""),42263.66666666667)</f>
        <v>42263.66667</v>
      </c>
      <c r="B209" s="23">
        <f>IFERROR(__xludf.DUMMYFUNCTION("""COMPUTED_VALUE"""),57.86)</f>
        <v>57.86</v>
      </c>
      <c r="C209" s="22">
        <f>IFERROR(__xludf.DUMMYFUNCTION("""COMPUTED_VALUE"""),43523.66666666667)</f>
        <v>43523.66667</v>
      </c>
      <c r="D209" s="23">
        <f>IFERROR(__xludf.DUMMYFUNCTION("""COMPUTED_VALUE"""),103.11)</f>
        <v>103.11</v>
      </c>
      <c r="E209" s="22">
        <f>IFERROR(__xludf.DUMMYFUNCTION("""COMPUTED_VALUE"""),42445.66666666667)</f>
        <v>42445.66667</v>
      </c>
      <c r="F209" s="23">
        <f>IFERROR(__xludf.DUMMYFUNCTION("""COMPUTED_VALUE"""),10.21)</f>
        <v>10.21</v>
      </c>
      <c r="G209" s="22">
        <f>IFERROR(__xludf.DUMMYFUNCTION("""COMPUTED_VALUE"""),42510.66666666667)</f>
        <v>42510.66667</v>
      </c>
      <c r="H209" s="23">
        <f>IFERROR(__xludf.DUMMYFUNCTION("""COMPUTED_VALUE"""),68.2)</f>
        <v>68.2</v>
      </c>
      <c r="I209" s="22">
        <f>IFERROR(__xludf.DUMMYFUNCTION("""COMPUTED_VALUE"""),42510.66666666667)</f>
        <v>42510.66667</v>
      </c>
      <c r="J209" s="23">
        <f>IFERROR(__xludf.DUMMYFUNCTION("""COMPUTED_VALUE"""),144.45)</f>
        <v>144.45</v>
      </c>
      <c r="K209" s="22">
        <f>IFERROR(__xludf.DUMMYFUNCTION("""COMPUTED_VALUE"""),42510.66666666667)</f>
        <v>42510.66667</v>
      </c>
      <c r="L209" s="23">
        <f>IFERROR(__xludf.DUMMYFUNCTION("""COMPUTED_VALUE"""),59.34)</f>
        <v>59.34</v>
      </c>
      <c r="M209" s="23">
        <v>0.0</v>
      </c>
      <c r="N209" s="23">
        <v>0.0</v>
      </c>
      <c r="O209" s="23">
        <v>0.0</v>
      </c>
      <c r="P209" s="23">
        <f t="shared" si="1"/>
        <v>0</v>
      </c>
      <c r="Q209" s="23">
        <f t="shared" si="2"/>
        <v>0</v>
      </c>
      <c r="R209" s="23">
        <f t="shared" si="3"/>
        <v>0</v>
      </c>
      <c r="S209" s="19"/>
      <c r="T209" s="19"/>
      <c r="U209" s="19"/>
      <c r="V209" s="19"/>
    </row>
    <row r="210">
      <c r="A210" s="22">
        <f>IFERROR(__xludf.DUMMYFUNCTION("""COMPUTED_VALUE"""),42264.66666666667)</f>
        <v>42264.66667</v>
      </c>
      <c r="B210" s="23">
        <f>IFERROR(__xludf.DUMMYFUNCTION("""COMPUTED_VALUE"""),58.15)</f>
        <v>58.15</v>
      </c>
      <c r="C210" s="22">
        <f>IFERROR(__xludf.DUMMYFUNCTION("""COMPUTED_VALUE"""),43524.66666666667)</f>
        <v>43524.66667</v>
      </c>
      <c r="D210" s="23">
        <f>IFERROR(__xludf.DUMMYFUNCTION("""COMPUTED_VALUE"""),103.45)</f>
        <v>103.45</v>
      </c>
      <c r="E210" s="22">
        <f>IFERROR(__xludf.DUMMYFUNCTION("""COMPUTED_VALUE"""),42446.66666666667)</f>
        <v>42446.66667</v>
      </c>
      <c r="F210" s="23">
        <f>IFERROR(__xludf.DUMMYFUNCTION("""COMPUTED_VALUE"""),10.13)</f>
        <v>10.13</v>
      </c>
      <c r="G210" s="22">
        <f>IFERROR(__xludf.DUMMYFUNCTION("""COMPUTED_VALUE"""),42517.66666666667)</f>
        <v>42517.66667</v>
      </c>
      <c r="H210" s="23">
        <f>IFERROR(__xludf.DUMMYFUNCTION("""COMPUTED_VALUE"""),68.96)</f>
        <v>68.96</v>
      </c>
      <c r="I210" s="22">
        <f>IFERROR(__xludf.DUMMYFUNCTION("""COMPUTED_VALUE"""),42517.66666666667)</f>
        <v>42517.66667</v>
      </c>
      <c r="J210" s="23">
        <f>IFERROR(__xludf.DUMMYFUNCTION("""COMPUTED_VALUE"""),148.2)</f>
        <v>148.2</v>
      </c>
      <c r="K210" s="22">
        <f>IFERROR(__xludf.DUMMYFUNCTION("""COMPUTED_VALUE"""),42517.66666666667)</f>
        <v>42517.66667</v>
      </c>
      <c r="L210" s="23">
        <f>IFERROR(__xludf.DUMMYFUNCTION("""COMPUTED_VALUE"""),60.73)</f>
        <v>60.73</v>
      </c>
      <c r="M210" s="23">
        <v>0.0</v>
      </c>
      <c r="N210" s="23">
        <v>0.0</v>
      </c>
      <c r="O210" s="23">
        <v>0.0</v>
      </c>
      <c r="P210" s="23">
        <f t="shared" si="1"/>
        <v>0</v>
      </c>
      <c r="Q210" s="23">
        <f t="shared" si="2"/>
        <v>0</v>
      </c>
      <c r="R210" s="23">
        <f t="shared" si="3"/>
        <v>0</v>
      </c>
      <c r="S210" s="19"/>
      <c r="T210" s="19"/>
      <c r="U210" s="19"/>
      <c r="V210" s="19"/>
    </row>
    <row r="211">
      <c r="A211" s="22">
        <f>IFERROR(__xludf.DUMMYFUNCTION("""COMPUTED_VALUE"""),42265.66666666667)</f>
        <v>42265.66667</v>
      </c>
      <c r="B211" s="23">
        <f>IFERROR(__xludf.DUMMYFUNCTION("""COMPUTED_VALUE"""),58.2)</f>
        <v>58.2</v>
      </c>
      <c r="C211" s="22">
        <f>IFERROR(__xludf.DUMMYFUNCTION("""COMPUTED_VALUE"""),43525.66666666667)</f>
        <v>43525.66667</v>
      </c>
      <c r="D211" s="23">
        <f>IFERROR(__xludf.DUMMYFUNCTION("""COMPUTED_VALUE"""),104.33)</f>
        <v>104.33</v>
      </c>
      <c r="E211" s="22">
        <f>IFERROR(__xludf.DUMMYFUNCTION("""COMPUTED_VALUE"""),42447.66666666667)</f>
        <v>42447.66667</v>
      </c>
      <c r="F211" s="23">
        <f>IFERROR(__xludf.DUMMYFUNCTION("""COMPUTED_VALUE"""),10.04)</f>
        <v>10.04</v>
      </c>
      <c r="G211" s="22">
        <f>IFERROR(__xludf.DUMMYFUNCTION("""COMPUTED_VALUE"""),42524.66666666667)</f>
        <v>42524.66667</v>
      </c>
      <c r="H211" s="23">
        <f>IFERROR(__xludf.DUMMYFUNCTION("""COMPUTED_VALUE"""),67.85)</f>
        <v>67.85</v>
      </c>
      <c r="I211" s="22">
        <f>IFERROR(__xludf.DUMMYFUNCTION("""COMPUTED_VALUE"""),42524.66666666667)</f>
        <v>42524.66667</v>
      </c>
      <c r="J211" s="23">
        <f>IFERROR(__xludf.DUMMYFUNCTION("""COMPUTED_VALUE"""),149.09)</f>
        <v>149.09</v>
      </c>
      <c r="K211" s="22">
        <f>IFERROR(__xludf.DUMMYFUNCTION("""COMPUTED_VALUE"""),42524.66666666667)</f>
        <v>42524.66667</v>
      </c>
      <c r="L211" s="23">
        <f>IFERROR(__xludf.DUMMYFUNCTION("""COMPUTED_VALUE"""),60.23)</f>
        <v>60.23</v>
      </c>
      <c r="M211" s="23">
        <v>200.0</v>
      </c>
      <c r="N211" s="23">
        <v>200.0</v>
      </c>
      <c r="O211" s="23">
        <v>200.0</v>
      </c>
      <c r="P211" s="23">
        <f t="shared" si="1"/>
        <v>2.947678703</v>
      </c>
      <c r="Q211" s="23">
        <f t="shared" si="2"/>
        <v>1.341471594</v>
      </c>
      <c r="R211" s="23">
        <f t="shared" si="3"/>
        <v>3.32060435</v>
      </c>
      <c r="S211" s="19"/>
      <c r="T211" s="19"/>
      <c r="U211" s="19"/>
      <c r="V211" s="19"/>
    </row>
    <row r="212">
      <c r="A212" s="22">
        <f>IFERROR(__xludf.DUMMYFUNCTION("""COMPUTED_VALUE"""),42268.66666666667)</f>
        <v>42268.66667</v>
      </c>
      <c r="B212" s="23">
        <f>IFERROR(__xludf.DUMMYFUNCTION("""COMPUTED_VALUE"""),57.44)</f>
        <v>57.44</v>
      </c>
      <c r="C212" s="22">
        <f>IFERROR(__xludf.DUMMYFUNCTION("""COMPUTED_VALUE"""),43528.66666666667)</f>
        <v>43528.66667</v>
      </c>
      <c r="D212" s="23">
        <f>IFERROR(__xludf.DUMMYFUNCTION("""COMPUTED_VALUE"""),104.63)</f>
        <v>104.63</v>
      </c>
      <c r="E212" s="22">
        <f>IFERROR(__xludf.DUMMYFUNCTION("""COMPUTED_VALUE"""),42450.66666666667)</f>
        <v>42450.66667</v>
      </c>
      <c r="F212" s="23">
        <f>IFERROR(__xludf.DUMMYFUNCTION("""COMPUTED_VALUE"""),10.1)</f>
        <v>10.1</v>
      </c>
      <c r="G212" s="22">
        <f>IFERROR(__xludf.DUMMYFUNCTION("""COMPUTED_VALUE"""),42531.66666666667)</f>
        <v>42531.66667</v>
      </c>
      <c r="H212" s="23">
        <f>IFERROR(__xludf.DUMMYFUNCTION("""COMPUTED_VALUE"""),67.73)</f>
        <v>67.73</v>
      </c>
      <c r="I212" s="22">
        <f>IFERROR(__xludf.DUMMYFUNCTION("""COMPUTED_VALUE"""),42531.66666666667)</f>
        <v>42531.66667</v>
      </c>
      <c r="J212" s="23">
        <f>IFERROR(__xludf.DUMMYFUNCTION("""COMPUTED_VALUE"""),146.35)</f>
        <v>146.35</v>
      </c>
      <c r="K212" s="22">
        <f>IFERROR(__xludf.DUMMYFUNCTION("""COMPUTED_VALUE"""),42531.66666666667)</f>
        <v>42531.66667</v>
      </c>
      <c r="L212" s="23">
        <f>IFERROR(__xludf.DUMMYFUNCTION("""COMPUTED_VALUE"""),59.75)</f>
        <v>59.75</v>
      </c>
      <c r="M212" s="23">
        <v>0.0</v>
      </c>
      <c r="N212" s="23">
        <v>0.0</v>
      </c>
      <c r="O212" s="23">
        <v>0.0</v>
      </c>
      <c r="P212" s="23">
        <f t="shared" si="1"/>
        <v>0</v>
      </c>
      <c r="Q212" s="23">
        <f t="shared" si="2"/>
        <v>0</v>
      </c>
      <c r="R212" s="23">
        <f t="shared" si="3"/>
        <v>0</v>
      </c>
      <c r="S212" s="19"/>
      <c r="T212" s="19"/>
      <c r="U212" s="19"/>
      <c r="V212" s="19"/>
    </row>
    <row r="213">
      <c r="A213" s="22">
        <f>IFERROR(__xludf.DUMMYFUNCTION("""COMPUTED_VALUE"""),42269.66666666667)</f>
        <v>42269.66667</v>
      </c>
      <c r="B213" s="23">
        <f>IFERROR(__xludf.DUMMYFUNCTION("""COMPUTED_VALUE"""),58.14)</f>
        <v>58.14</v>
      </c>
      <c r="C213" s="22">
        <f>IFERROR(__xludf.DUMMYFUNCTION("""COMPUTED_VALUE"""),43529.66666666667)</f>
        <v>43529.66667</v>
      </c>
      <c r="D213" s="23">
        <f>IFERROR(__xludf.DUMMYFUNCTION("""COMPUTED_VALUE"""),104.28)</f>
        <v>104.28</v>
      </c>
      <c r="E213" s="22">
        <f>IFERROR(__xludf.DUMMYFUNCTION("""COMPUTED_VALUE"""),42451.66666666667)</f>
        <v>42451.66667</v>
      </c>
      <c r="F213" s="23">
        <f>IFERROR(__xludf.DUMMYFUNCTION("""COMPUTED_VALUE"""),10.15)</f>
        <v>10.15</v>
      </c>
      <c r="G213" s="22">
        <f>IFERROR(__xludf.DUMMYFUNCTION("""COMPUTED_VALUE"""),42538.66666666667)</f>
        <v>42538.66667</v>
      </c>
      <c r="H213" s="23">
        <f>IFERROR(__xludf.DUMMYFUNCTION("""COMPUTED_VALUE"""),65.93)</f>
        <v>65.93</v>
      </c>
      <c r="I213" s="22">
        <f>IFERROR(__xludf.DUMMYFUNCTION("""COMPUTED_VALUE"""),42538.66666666667)</f>
        <v>42538.66667</v>
      </c>
      <c r="J213" s="23">
        <f>IFERROR(__xludf.DUMMYFUNCTION("""COMPUTED_VALUE"""),143.81)</f>
        <v>143.81</v>
      </c>
      <c r="K213" s="22">
        <f>IFERROR(__xludf.DUMMYFUNCTION("""COMPUTED_VALUE"""),42538.66666666667)</f>
        <v>42538.66667</v>
      </c>
      <c r="L213" s="23">
        <f>IFERROR(__xludf.DUMMYFUNCTION("""COMPUTED_VALUE"""),56.8)</f>
        <v>56.8</v>
      </c>
      <c r="M213" s="23">
        <v>0.0</v>
      </c>
      <c r="N213" s="23">
        <v>0.0</v>
      </c>
      <c r="O213" s="23">
        <v>0.0</v>
      </c>
      <c r="P213" s="23">
        <f t="shared" si="1"/>
        <v>0</v>
      </c>
      <c r="Q213" s="23">
        <f t="shared" si="2"/>
        <v>0</v>
      </c>
      <c r="R213" s="23">
        <f t="shared" si="3"/>
        <v>0</v>
      </c>
      <c r="S213" s="19"/>
      <c r="T213" s="19"/>
      <c r="U213" s="19"/>
      <c r="V213" s="19"/>
    </row>
    <row r="214">
      <c r="A214" s="22">
        <f>IFERROR(__xludf.DUMMYFUNCTION("""COMPUTED_VALUE"""),42270.66666666667)</f>
        <v>42270.66667</v>
      </c>
      <c r="B214" s="23">
        <f>IFERROR(__xludf.DUMMYFUNCTION("""COMPUTED_VALUE"""),57.1)</f>
        <v>57.1</v>
      </c>
      <c r="C214" s="22">
        <f>IFERROR(__xludf.DUMMYFUNCTION("""COMPUTED_VALUE"""),43530.66666666667)</f>
        <v>43530.66667</v>
      </c>
      <c r="D214" s="23">
        <f>IFERROR(__xludf.DUMMYFUNCTION("""COMPUTED_VALUE"""),105.01)</f>
        <v>105.01</v>
      </c>
      <c r="E214" s="22">
        <f>IFERROR(__xludf.DUMMYFUNCTION("""COMPUTED_VALUE"""),42452.66666666667)</f>
        <v>42452.66667</v>
      </c>
      <c r="F214" s="23">
        <f>IFERROR(__xludf.DUMMYFUNCTION("""COMPUTED_VALUE"""),10.14)</f>
        <v>10.14</v>
      </c>
      <c r="G214" s="22">
        <f>IFERROR(__xludf.DUMMYFUNCTION("""COMPUTED_VALUE"""),42545.66666666667)</f>
        <v>42545.66667</v>
      </c>
      <c r="H214" s="23">
        <f>IFERROR(__xludf.DUMMYFUNCTION("""COMPUTED_VALUE"""),65.2)</f>
        <v>65.2</v>
      </c>
      <c r="I214" s="22">
        <f>IFERROR(__xludf.DUMMYFUNCTION("""COMPUTED_VALUE"""),42545.66666666667)</f>
        <v>42545.66667</v>
      </c>
      <c r="J214" s="23">
        <f>IFERROR(__xludf.DUMMYFUNCTION("""COMPUTED_VALUE"""),139.5)</f>
        <v>139.5</v>
      </c>
      <c r="K214" s="22">
        <f>IFERROR(__xludf.DUMMYFUNCTION("""COMPUTED_VALUE"""),42545.66666666667)</f>
        <v>42545.66667</v>
      </c>
      <c r="L214" s="23">
        <f>IFERROR(__xludf.DUMMYFUNCTION("""COMPUTED_VALUE"""),55.0)</f>
        <v>55</v>
      </c>
      <c r="M214" s="23">
        <v>0.0</v>
      </c>
      <c r="N214" s="23">
        <v>0.0</v>
      </c>
      <c r="O214" s="23">
        <v>0.0</v>
      </c>
      <c r="P214" s="23">
        <f t="shared" si="1"/>
        <v>0</v>
      </c>
      <c r="Q214" s="23">
        <f t="shared" si="2"/>
        <v>0</v>
      </c>
      <c r="R214" s="23">
        <f t="shared" si="3"/>
        <v>0</v>
      </c>
      <c r="S214" s="19"/>
      <c r="T214" s="19"/>
      <c r="U214" s="19"/>
      <c r="V214" s="19"/>
    </row>
    <row r="215">
      <c r="A215" s="22">
        <f>IFERROR(__xludf.DUMMYFUNCTION("""COMPUTED_VALUE"""),42271.66666666667)</f>
        <v>42271.66667</v>
      </c>
      <c r="B215" s="23">
        <f>IFERROR(__xludf.DUMMYFUNCTION("""COMPUTED_VALUE"""),57.8)</f>
        <v>57.8</v>
      </c>
      <c r="C215" s="22">
        <f>IFERROR(__xludf.DUMMYFUNCTION("""COMPUTED_VALUE"""),43531.66666666667)</f>
        <v>43531.66667</v>
      </c>
      <c r="D215" s="23">
        <f>IFERROR(__xludf.DUMMYFUNCTION("""COMPUTED_VALUE"""),105.67)</f>
        <v>105.67</v>
      </c>
      <c r="E215" s="22">
        <f>IFERROR(__xludf.DUMMYFUNCTION("""COMPUTED_VALUE"""),42453.66666666667)</f>
        <v>42453.66667</v>
      </c>
      <c r="F215" s="23">
        <f>IFERROR(__xludf.DUMMYFUNCTION("""COMPUTED_VALUE"""),10.21)</f>
        <v>10.21</v>
      </c>
      <c r="G215" s="22">
        <f>IFERROR(__xludf.DUMMYFUNCTION("""COMPUTED_VALUE"""),42552.66666666667)</f>
        <v>42552.66667</v>
      </c>
      <c r="H215" s="23">
        <f>IFERROR(__xludf.DUMMYFUNCTION("""COMPUTED_VALUE"""),67.04)</f>
        <v>67.04</v>
      </c>
      <c r="I215" s="22">
        <f>IFERROR(__xludf.DUMMYFUNCTION("""COMPUTED_VALUE"""),42552.66666666667)</f>
        <v>42552.66667</v>
      </c>
      <c r="J215" s="23">
        <f>IFERROR(__xludf.DUMMYFUNCTION("""COMPUTED_VALUE"""),143.49)</f>
        <v>143.49</v>
      </c>
      <c r="K215" s="22">
        <f>IFERROR(__xludf.DUMMYFUNCTION("""COMPUTED_VALUE"""),42552.66666666667)</f>
        <v>42552.66667</v>
      </c>
      <c r="L215" s="23">
        <f>IFERROR(__xludf.DUMMYFUNCTION("""COMPUTED_VALUE"""),57.19)</f>
        <v>57.19</v>
      </c>
      <c r="M215" s="23">
        <v>200.0</v>
      </c>
      <c r="N215" s="23">
        <v>200.0</v>
      </c>
      <c r="O215" s="23">
        <v>200.0</v>
      </c>
      <c r="P215" s="23">
        <f t="shared" si="1"/>
        <v>2.983293556</v>
      </c>
      <c r="Q215" s="23">
        <f t="shared" si="2"/>
        <v>1.393825354</v>
      </c>
      <c r="R215" s="23">
        <f t="shared" si="3"/>
        <v>3.49711488</v>
      </c>
      <c r="S215" s="19"/>
      <c r="T215" s="19"/>
      <c r="U215" s="19"/>
      <c r="V215" s="19"/>
    </row>
    <row r="216">
      <c r="A216" s="22">
        <f>IFERROR(__xludf.DUMMYFUNCTION("""COMPUTED_VALUE"""),42272.66666666667)</f>
        <v>42272.66667</v>
      </c>
      <c r="B216" s="23">
        <f>IFERROR(__xludf.DUMMYFUNCTION("""COMPUTED_VALUE"""),57.66)</f>
        <v>57.66</v>
      </c>
      <c r="C216" s="22">
        <f>IFERROR(__xludf.DUMMYFUNCTION("""COMPUTED_VALUE"""),43532.66666666667)</f>
        <v>43532.66667</v>
      </c>
      <c r="D216" s="23">
        <f>IFERROR(__xludf.DUMMYFUNCTION("""COMPUTED_VALUE"""),104.77)</f>
        <v>104.77</v>
      </c>
      <c r="E216" s="22">
        <f>IFERROR(__xludf.DUMMYFUNCTION("""COMPUTED_VALUE"""),42458.66666666667)</f>
        <v>42458.66667</v>
      </c>
      <c r="F216" s="23">
        <f>IFERROR(__xludf.DUMMYFUNCTION("""COMPUTED_VALUE"""),10.16)</f>
        <v>10.16</v>
      </c>
      <c r="G216" s="22">
        <f>IFERROR(__xludf.DUMMYFUNCTION("""COMPUTED_VALUE"""),42559.66666666667)</f>
        <v>42559.66667</v>
      </c>
      <c r="H216" s="23">
        <f>IFERROR(__xludf.DUMMYFUNCTION("""COMPUTED_VALUE"""),66.74)</f>
        <v>66.74</v>
      </c>
      <c r="I216" s="22">
        <f>IFERROR(__xludf.DUMMYFUNCTION("""COMPUTED_VALUE"""),42559.66666666667)</f>
        <v>42559.66667</v>
      </c>
      <c r="J216" s="23">
        <f>IFERROR(__xludf.DUMMYFUNCTION("""COMPUTED_VALUE"""),142.99)</f>
        <v>142.99</v>
      </c>
      <c r="K216" s="22">
        <f>IFERROR(__xludf.DUMMYFUNCTION("""COMPUTED_VALUE"""),42559.66666666667)</f>
        <v>42559.66667</v>
      </c>
      <c r="L216" s="23">
        <f>IFERROR(__xludf.DUMMYFUNCTION("""COMPUTED_VALUE"""),56.12)</f>
        <v>56.12</v>
      </c>
      <c r="M216" s="23">
        <v>0.0</v>
      </c>
      <c r="N216" s="23">
        <v>0.0</v>
      </c>
      <c r="O216" s="23">
        <v>0.0</v>
      </c>
      <c r="P216" s="23">
        <f t="shared" si="1"/>
        <v>0</v>
      </c>
      <c r="Q216" s="23">
        <f t="shared" si="2"/>
        <v>0</v>
      </c>
      <c r="R216" s="23">
        <f t="shared" si="3"/>
        <v>0</v>
      </c>
      <c r="S216" s="19"/>
      <c r="T216" s="19"/>
      <c r="U216" s="19"/>
      <c r="V216" s="19"/>
    </row>
    <row r="217">
      <c r="A217" s="22">
        <f>IFERROR(__xludf.DUMMYFUNCTION("""COMPUTED_VALUE"""),42275.66666666667)</f>
        <v>42275.66667</v>
      </c>
      <c r="B217" s="23">
        <f>IFERROR(__xludf.DUMMYFUNCTION("""COMPUTED_VALUE"""),57.69)</f>
        <v>57.69</v>
      </c>
      <c r="C217" s="22">
        <f>IFERROR(__xludf.DUMMYFUNCTION("""COMPUTED_VALUE"""),43535.66666666667)</f>
        <v>43535.66667</v>
      </c>
      <c r="D217" s="23">
        <f>IFERROR(__xludf.DUMMYFUNCTION("""COMPUTED_VALUE"""),104.23)</f>
        <v>104.23</v>
      </c>
      <c r="E217" s="22">
        <f>IFERROR(__xludf.DUMMYFUNCTION("""COMPUTED_VALUE"""),42459.66666666667)</f>
        <v>42459.66667</v>
      </c>
      <c r="F217" s="23">
        <f>IFERROR(__xludf.DUMMYFUNCTION("""COMPUTED_VALUE"""),10.22)</f>
        <v>10.22</v>
      </c>
      <c r="G217" s="22">
        <f>IFERROR(__xludf.DUMMYFUNCTION("""COMPUTED_VALUE"""),42566.66666666667)</f>
        <v>42566.66667</v>
      </c>
      <c r="H217" s="23">
        <f>IFERROR(__xludf.DUMMYFUNCTION("""COMPUTED_VALUE"""),69.22)</f>
        <v>69.22</v>
      </c>
      <c r="I217" s="22">
        <f>IFERROR(__xludf.DUMMYFUNCTION("""COMPUTED_VALUE"""),42566.66666666667)</f>
        <v>42566.66667</v>
      </c>
      <c r="J217" s="23">
        <f>IFERROR(__xludf.DUMMYFUNCTION("""COMPUTED_VALUE"""),144.68)</f>
        <v>144.68</v>
      </c>
      <c r="K217" s="22">
        <f>IFERROR(__xludf.DUMMYFUNCTION("""COMPUTED_VALUE"""),42566.66666666667)</f>
        <v>42566.66667</v>
      </c>
      <c r="L217" s="23">
        <f>IFERROR(__xludf.DUMMYFUNCTION("""COMPUTED_VALUE"""),57.63)</f>
        <v>57.63</v>
      </c>
      <c r="M217" s="23">
        <v>0.0</v>
      </c>
      <c r="N217" s="23">
        <v>0.0</v>
      </c>
      <c r="O217" s="23">
        <v>0.0</v>
      </c>
      <c r="P217" s="23">
        <f t="shared" si="1"/>
        <v>0</v>
      </c>
      <c r="Q217" s="23">
        <f t="shared" si="2"/>
        <v>0</v>
      </c>
      <c r="R217" s="23">
        <f t="shared" si="3"/>
        <v>0</v>
      </c>
      <c r="S217" s="19"/>
      <c r="T217" s="19"/>
      <c r="U217" s="19"/>
      <c r="V217" s="19"/>
    </row>
    <row r="218">
      <c r="A218" s="22">
        <f>IFERROR(__xludf.DUMMYFUNCTION("""COMPUTED_VALUE"""),42276.66666666667)</f>
        <v>42276.66667</v>
      </c>
      <c r="B218" s="23">
        <f>IFERROR(__xludf.DUMMYFUNCTION("""COMPUTED_VALUE"""),56.68)</f>
        <v>56.68</v>
      </c>
      <c r="C218" s="22">
        <f>IFERROR(__xludf.DUMMYFUNCTION("""COMPUTED_VALUE"""),43536.66666666667)</f>
        <v>43536.66667</v>
      </c>
      <c r="D218" s="23">
        <f>IFERROR(__xludf.DUMMYFUNCTION("""COMPUTED_VALUE"""),104.78)</f>
        <v>104.78</v>
      </c>
      <c r="E218" s="22">
        <f>IFERROR(__xludf.DUMMYFUNCTION("""COMPUTED_VALUE"""),42460.66666666667)</f>
        <v>42460.66667</v>
      </c>
      <c r="F218" s="23">
        <f>IFERROR(__xludf.DUMMYFUNCTION("""COMPUTED_VALUE"""),10.2)</f>
        <v>10.2</v>
      </c>
      <c r="G218" s="22">
        <f>IFERROR(__xludf.DUMMYFUNCTION("""COMPUTED_VALUE"""),42573.66666666667)</f>
        <v>42573.66667</v>
      </c>
      <c r="H218" s="23">
        <f>IFERROR(__xludf.DUMMYFUNCTION("""COMPUTED_VALUE"""),70.04)</f>
        <v>70.04</v>
      </c>
      <c r="I218" s="22">
        <f>IFERROR(__xludf.DUMMYFUNCTION("""COMPUTED_VALUE"""),42573.66666666667)</f>
        <v>42573.66667</v>
      </c>
      <c r="J218" s="23">
        <f>IFERROR(__xludf.DUMMYFUNCTION("""COMPUTED_VALUE"""),148.1)</f>
        <v>148.1</v>
      </c>
      <c r="K218" s="22">
        <f>IFERROR(__xludf.DUMMYFUNCTION("""COMPUTED_VALUE"""),42573.66666666667)</f>
        <v>42573.66667</v>
      </c>
      <c r="L218" s="23">
        <f>IFERROR(__xludf.DUMMYFUNCTION("""COMPUTED_VALUE"""),58.8)</f>
        <v>58.8</v>
      </c>
      <c r="M218" s="23">
        <v>0.0</v>
      </c>
      <c r="N218" s="23">
        <v>0.0</v>
      </c>
      <c r="O218" s="23">
        <v>0.0</v>
      </c>
      <c r="P218" s="23">
        <f t="shared" si="1"/>
        <v>0</v>
      </c>
      <c r="Q218" s="23">
        <f t="shared" si="2"/>
        <v>0</v>
      </c>
      <c r="R218" s="23">
        <f t="shared" si="3"/>
        <v>0</v>
      </c>
      <c r="S218" s="19"/>
      <c r="T218" s="19"/>
      <c r="U218" s="19"/>
      <c r="V218" s="19"/>
    </row>
    <row r="219">
      <c r="A219" s="22">
        <f>IFERROR(__xludf.DUMMYFUNCTION("""COMPUTED_VALUE"""),42277.66666666667)</f>
        <v>42277.66667</v>
      </c>
      <c r="B219" s="23">
        <f>IFERROR(__xludf.DUMMYFUNCTION("""COMPUTED_VALUE"""),56.78)</f>
        <v>56.78</v>
      </c>
      <c r="C219" s="22">
        <f>IFERROR(__xludf.DUMMYFUNCTION("""COMPUTED_VALUE"""),43537.66666666667)</f>
        <v>43537.66667</v>
      </c>
      <c r="D219" s="23">
        <f>IFERROR(__xludf.DUMMYFUNCTION("""COMPUTED_VALUE"""),103.75)</f>
        <v>103.75</v>
      </c>
      <c r="E219" s="22">
        <f>IFERROR(__xludf.DUMMYFUNCTION("""COMPUTED_VALUE"""),42461.66666666667)</f>
        <v>42461.66667</v>
      </c>
      <c r="F219" s="23">
        <f>IFERROR(__xludf.DUMMYFUNCTION("""COMPUTED_VALUE"""),10.17)</f>
        <v>10.17</v>
      </c>
      <c r="G219" s="22">
        <f>IFERROR(__xludf.DUMMYFUNCTION("""COMPUTED_VALUE"""),42580.66666666667)</f>
        <v>42580.66667</v>
      </c>
      <c r="H219" s="23">
        <f>IFERROR(__xludf.DUMMYFUNCTION("""COMPUTED_VALUE"""),70.9)</f>
        <v>70.9</v>
      </c>
      <c r="I219" s="22">
        <f>IFERROR(__xludf.DUMMYFUNCTION("""COMPUTED_VALUE"""),42580.66666666667)</f>
        <v>42580.66667</v>
      </c>
      <c r="J219" s="23">
        <f>IFERROR(__xludf.DUMMYFUNCTION("""COMPUTED_VALUE"""),148.0)</f>
        <v>148</v>
      </c>
      <c r="K219" s="22">
        <f>IFERROR(__xludf.DUMMYFUNCTION("""COMPUTED_VALUE"""),42580.66666666667)</f>
        <v>42580.66667</v>
      </c>
      <c r="L219" s="23">
        <f>IFERROR(__xludf.DUMMYFUNCTION("""COMPUTED_VALUE"""),58.82)</f>
        <v>58.82</v>
      </c>
      <c r="M219" s="23">
        <v>200.0</v>
      </c>
      <c r="N219" s="23">
        <v>200.0</v>
      </c>
      <c r="O219" s="23">
        <v>200.0</v>
      </c>
      <c r="P219" s="23">
        <f t="shared" si="1"/>
        <v>2.820874471</v>
      </c>
      <c r="Q219" s="23">
        <f t="shared" si="2"/>
        <v>1.351351351</v>
      </c>
      <c r="R219" s="23">
        <f t="shared" si="3"/>
        <v>3.400204012</v>
      </c>
      <c r="S219" s="19"/>
      <c r="T219" s="19"/>
      <c r="U219" s="19"/>
      <c r="V219" s="19"/>
    </row>
    <row r="220">
      <c r="A220" s="22">
        <f>IFERROR(__xludf.DUMMYFUNCTION("""COMPUTED_VALUE"""),42278.66666666667)</f>
        <v>42278.66667</v>
      </c>
      <c r="B220" s="23">
        <f>IFERROR(__xludf.DUMMYFUNCTION("""COMPUTED_VALUE"""),57.15)</f>
        <v>57.15</v>
      </c>
      <c r="C220" s="22">
        <f>IFERROR(__xludf.DUMMYFUNCTION("""COMPUTED_VALUE"""),43538.66666666667)</f>
        <v>43538.66667</v>
      </c>
      <c r="D220" s="23">
        <f>IFERROR(__xludf.DUMMYFUNCTION("""COMPUTED_VALUE"""),104.06)</f>
        <v>104.06</v>
      </c>
      <c r="E220" s="22">
        <f>IFERROR(__xludf.DUMMYFUNCTION("""COMPUTED_VALUE"""),42464.66666666667)</f>
        <v>42464.66667</v>
      </c>
      <c r="F220" s="23">
        <f>IFERROR(__xludf.DUMMYFUNCTION("""COMPUTED_VALUE"""),10.33)</f>
        <v>10.33</v>
      </c>
      <c r="G220" s="22">
        <f>IFERROR(__xludf.DUMMYFUNCTION("""COMPUTED_VALUE"""),42587.66666666667)</f>
        <v>42587.66667</v>
      </c>
      <c r="H220" s="23">
        <f>IFERROR(__xludf.DUMMYFUNCTION("""COMPUTED_VALUE"""),70.19)</f>
        <v>70.19</v>
      </c>
      <c r="I220" s="22">
        <f>IFERROR(__xludf.DUMMYFUNCTION("""COMPUTED_VALUE"""),42587.66666666667)</f>
        <v>42587.66667</v>
      </c>
      <c r="J220" s="23">
        <f>IFERROR(__xludf.DUMMYFUNCTION("""COMPUTED_VALUE"""),145.04)</f>
        <v>145.04</v>
      </c>
      <c r="K220" s="22">
        <f>IFERROR(__xludf.DUMMYFUNCTION("""COMPUTED_VALUE"""),42587.66666666667)</f>
        <v>42587.66667</v>
      </c>
      <c r="L220" s="23">
        <f>IFERROR(__xludf.DUMMYFUNCTION("""COMPUTED_VALUE"""),58.11)</f>
        <v>58.11</v>
      </c>
      <c r="M220" s="23">
        <v>0.0</v>
      </c>
      <c r="N220" s="23">
        <v>0.0</v>
      </c>
      <c r="O220" s="23">
        <v>0.0</v>
      </c>
      <c r="P220" s="23">
        <f t="shared" si="1"/>
        <v>0</v>
      </c>
      <c r="Q220" s="23">
        <f t="shared" si="2"/>
        <v>0</v>
      </c>
      <c r="R220" s="23">
        <f t="shared" si="3"/>
        <v>0</v>
      </c>
      <c r="S220" s="19"/>
      <c r="T220" s="19"/>
      <c r="U220" s="19"/>
      <c r="V220" s="19"/>
    </row>
    <row r="221">
      <c r="A221" s="22">
        <f>IFERROR(__xludf.DUMMYFUNCTION("""COMPUTED_VALUE"""),42279.66666666667)</f>
        <v>42279.66667</v>
      </c>
      <c r="B221" s="23">
        <f>IFERROR(__xludf.DUMMYFUNCTION("""COMPUTED_VALUE"""),57.11)</f>
        <v>57.11</v>
      </c>
      <c r="C221" s="22">
        <f>IFERROR(__xludf.DUMMYFUNCTION("""COMPUTED_VALUE"""),43539.66666666667)</f>
        <v>43539.66667</v>
      </c>
      <c r="D221" s="23">
        <f>IFERROR(__xludf.DUMMYFUNCTION("""COMPUTED_VALUE"""),104.4)</f>
        <v>104.4</v>
      </c>
      <c r="E221" s="22">
        <f>IFERROR(__xludf.DUMMYFUNCTION("""COMPUTED_VALUE"""),42465.66666666667)</f>
        <v>42465.66667</v>
      </c>
      <c r="F221" s="23">
        <f>IFERROR(__xludf.DUMMYFUNCTION("""COMPUTED_VALUE"""),10.3)</f>
        <v>10.3</v>
      </c>
      <c r="G221" s="22">
        <f>IFERROR(__xludf.DUMMYFUNCTION("""COMPUTED_VALUE"""),42594.66666666667)</f>
        <v>42594.66667</v>
      </c>
      <c r="H221" s="23">
        <f>IFERROR(__xludf.DUMMYFUNCTION("""COMPUTED_VALUE"""),70.63)</f>
        <v>70.63</v>
      </c>
      <c r="I221" s="22">
        <f>IFERROR(__xludf.DUMMYFUNCTION("""COMPUTED_VALUE"""),42594.66666666667)</f>
        <v>42594.66667</v>
      </c>
      <c r="J221" s="23">
        <f>IFERROR(__xludf.DUMMYFUNCTION("""COMPUTED_VALUE"""),145.56)</f>
        <v>145.56</v>
      </c>
      <c r="K221" s="22">
        <f>IFERROR(__xludf.DUMMYFUNCTION("""COMPUTED_VALUE"""),42594.66666666667)</f>
        <v>42594.66667</v>
      </c>
      <c r="L221" s="23">
        <f>IFERROR(__xludf.DUMMYFUNCTION("""COMPUTED_VALUE"""),59.16)</f>
        <v>59.16</v>
      </c>
      <c r="M221" s="23">
        <v>0.0</v>
      </c>
      <c r="N221" s="23">
        <v>0.0</v>
      </c>
      <c r="O221" s="23">
        <v>0.0</v>
      </c>
      <c r="P221" s="23">
        <f t="shared" si="1"/>
        <v>0</v>
      </c>
      <c r="Q221" s="23">
        <f t="shared" si="2"/>
        <v>0</v>
      </c>
      <c r="R221" s="23">
        <f t="shared" si="3"/>
        <v>0</v>
      </c>
      <c r="S221" s="19"/>
      <c r="T221" s="19"/>
      <c r="U221" s="19"/>
      <c r="V221" s="19"/>
    </row>
    <row r="222">
      <c r="A222" s="22">
        <f>IFERROR(__xludf.DUMMYFUNCTION("""COMPUTED_VALUE"""),42282.66666666667)</f>
        <v>42282.66667</v>
      </c>
      <c r="B222" s="23">
        <f>IFERROR(__xludf.DUMMYFUNCTION("""COMPUTED_VALUE"""),57.75)</f>
        <v>57.75</v>
      </c>
      <c r="C222" s="22">
        <f>IFERROR(__xludf.DUMMYFUNCTION("""COMPUTED_VALUE"""),43542.66666666667)</f>
        <v>43542.66667</v>
      </c>
      <c r="D222" s="23">
        <f>IFERROR(__xludf.DUMMYFUNCTION("""COMPUTED_VALUE"""),104.41)</f>
        <v>104.41</v>
      </c>
      <c r="E222" s="22">
        <f>IFERROR(__xludf.DUMMYFUNCTION("""COMPUTED_VALUE"""),42466.66666666667)</f>
        <v>42466.66667</v>
      </c>
      <c r="F222" s="23">
        <f>IFERROR(__xludf.DUMMYFUNCTION("""COMPUTED_VALUE"""),10.34)</f>
        <v>10.34</v>
      </c>
      <c r="G222" s="22">
        <f>IFERROR(__xludf.DUMMYFUNCTION("""COMPUTED_VALUE"""),42601.66666666667)</f>
        <v>42601.66667</v>
      </c>
      <c r="H222" s="23">
        <f>IFERROR(__xludf.DUMMYFUNCTION("""COMPUTED_VALUE"""),70.72)</f>
        <v>70.72</v>
      </c>
      <c r="I222" s="22">
        <f>IFERROR(__xludf.DUMMYFUNCTION("""COMPUTED_VALUE"""),42601.66666666667)</f>
        <v>42601.66667</v>
      </c>
      <c r="J222" s="23">
        <f>IFERROR(__xludf.DUMMYFUNCTION("""COMPUTED_VALUE"""),146.97)</f>
        <v>146.97</v>
      </c>
      <c r="K222" s="22">
        <f>IFERROR(__xludf.DUMMYFUNCTION("""COMPUTED_VALUE"""),42601.66666666667)</f>
        <v>42601.66667</v>
      </c>
      <c r="L222" s="23">
        <f>IFERROR(__xludf.DUMMYFUNCTION("""COMPUTED_VALUE"""),59.91)</f>
        <v>59.91</v>
      </c>
      <c r="M222" s="23">
        <v>0.0</v>
      </c>
      <c r="N222" s="23">
        <v>0.0</v>
      </c>
      <c r="O222" s="23">
        <v>0.0</v>
      </c>
      <c r="P222" s="23">
        <f t="shared" si="1"/>
        <v>0</v>
      </c>
      <c r="Q222" s="23">
        <f t="shared" si="2"/>
        <v>0</v>
      </c>
      <c r="R222" s="23">
        <f t="shared" si="3"/>
        <v>0</v>
      </c>
      <c r="S222" s="19"/>
      <c r="T222" s="19"/>
      <c r="U222" s="19"/>
      <c r="V222" s="19"/>
    </row>
    <row r="223">
      <c r="A223" s="22">
        <f>IFERROR(__xludf.DUMMYFUNCTION("""COMPUTED_VALUE"""),42283.66666666667)</f>
        <v>42283.66667</v>
      </c>
      <c r="B223" s="23">
        <f>IFERROR(__xludf.DUMMYFUNCTION("""COMPUTED_VALUE"""),58.0)</f>
        <v>58</v>
      </c>
      <c r="C223" s="22">
        <f>IFERROR(__xludf.DUMMYFUNCTION("""COMPUTED_VALUE"""),43543.66666666667)</f>
        <v>43543.66667</v>
      </c>
      <c r="D223" s="23">
        <f>IFERROR(__xludf.DUMMYFUNCTION("""COMPUTED_VALUE"""),104.5)</f>
        <v>104.5</v>
      </c>
      <c r="E223" s="22">
        <f>IFERROR(__xludf.DUMMYFUNCTION("""COMPUTED_VALUE"""),42467.66666666667)</f>
        <v>42467.66667</v>
      </c>
      <c r="F223" s="23">
        <f>IFERROR(__xludf.DUMMYFUNCTION("""COMPUTED_VALUE"""),10.37)</f>
        <v>10.37</v>
      </c>
      <c r="G223" s="22">
        <f>IFERROR(__xludf.DUMMYFUNCTION("""COMPUTED_VALUE"""),42608.66666666667)</f>
        <v>42608.66667</v>
      </c>
      <c r="H223" s="23">
        <f>IFERROR(__xludf.DUMMYFUNCTION("""COMPUTED_VALUE"""),70.8)</f>
        <v>70.8</v>
      </c>
      <c r="I223" s="22">
        <f>IFERROR(__xludf.DUMMYFUNCTION("""COMPUTED_VALUE"""),42608.66666666667)</f>
        <v>42608.66667</v>
      </c>
      <c r="J223" s="23">
        <f>IFERROR(__xludf.DUMMYFUNCTION("""COMPUTED_VALUE"""),146.38)</f>
        <v>146.38</v>
      </c>
      <c r="K223" s="22">
        <f>IFERROR(__xludf.DUMMYFUNCTION("""COMPUTED_VALUE"""),42608.66666666667)</f>
        <v>42608.66667</v>
      </c>
      <c r="L223" s="23">
        <f>IFERROR(__xludf.DUMMYFUNCTION("""COMPUTED_VALUE"""),59.36)</f>
        <v>59.36</v>
      </c>
      <c r="M223" s="23">
        <v>200.0</v>
      </c>
      <c r="N223" s="23">
        <v>200.0</v>
      </c>
      <c r="O223" s="23">
        <v>200.0</v>
      </c>
      <c r="P223" s="23">
        <f t="shared" si="1"/>
        <v>2.824858757</v>
      </c>
      <c r="Q223" s="23">
        <f t="shared" si="2"/>
        <v>1.366306873</v>
      </c>
      <c r="R223" s="23">
        <f t="shared" si="3"/>
        <v>3.369272237</v>
      </c>
      <c r="S223" s="19"/>
      <c r="T223" s="19"/>
      <c r="U223" s="19"/>
      <c r="V223" s="19"/>
    </row>
    <row r="224">
      <c r="A224" s="22">
        <f>IFERROR(__xludf.DUMMYFUNCTION("""COMPUTED_VALUE"""),42284.66666666667)</f>
        <v>42284.66667</v>
      </c>
      <c r="B224" s="23">
        <f>IFERROR(__xludf.DUMMYFUNCTION("""COMPUTED_VALUE"""),57.62)</f>
        <v>57.62</v>
      </c>
      <c r="C224" s="22">
        <f>IFERROR(__xludf.DUMMYFUNCTION("""COMPUTED_VALUE"""),43544.66666666667)</f>
        <v>43544.66667</v>
      </c>
      <c r="D224" s="23">
        <f>IFERROR(__xludf.DUMMYFUNCTION("""COMPUTED_VALUE"""),104.1)</f>
        <v>104.1</v>
      </c>
      <c r="E224" s="22">
        <f>IFERROR(__xludf.DUMMYFUNCTION("""COMPUTED_VALUE"""),42468.66666666667)</f>
        <v>42468.66667</v>
      </c>
      <c r="F224" s="23">
        <f>IFERROR(__xludf.DUMMYFUNCTION("""COMPUTED_VALUE"""),10.38)</f>
        <v>10.38</v>
      </c>
      <c r="G224" s="22">
        <f>IFERROR(__xludf.DUMMYFUNCTION("""COMPUTED_VALUE"""),42615.66666666667)</f>
        <v>42615.66667</v>
      </c>
      <c r="H224" s="23">
        <f>IFERROR(__xludf.DUMMYFUNCTION("""COMPUTED_VALUE"""),69.04)</f>
        <v>69.04</v>
      </c>
      <c r="I224" s="22">
        <f>IFERROR(__xludf.DUMMYFUNCTION("""COMPUTED_VALUE"""),42615.66666666667)</f>
        <v>42615.66667</v>
      </c>
      <c r="J224" s="23">
        <f>IFERROR(__xludf.DUMMYFUNCTION("""COMPUTED_VALUE"""),147.66)</f>
        <v>147.66</v>
      </c>
      <c r="K224" s="22">
        <f>IFERROR(__xludf.DUMMYFUNCTION("""COMPUTED_VALUE"""),42615.66666666667)</f>
        <v>42615.66667</v>
      </c>
      <c r="L224" s="23">
        <f>IFERROR(__xludf.DUMMYFUNCTION("""COMPUTED_VALUE"""),59.93)</f>
        <v>59.93</v>
      </c>
      <c r="M224" s="23">
        <v>0.0</v>
      </c>
      <c r="N224" s="23">
        <v>0.0</v>
      </c>
      <c r="O224" s="23">
        <v>0.0</v>
      </c>
      <c r="P224" s="23">
        <f t="shared" si="1"/>
        <v>0</v>
      </c>
      <c r="Q224" s="23">
        <f t="shared" si="2"/>
        <v>0</v>
      </c>
      <c r="R224" s="23">
        <f t="shared" si="3"/>
        <v>0</v>
      </c>
      <c r="S224" s="19"/>
      <c r="T224" s="19"/>
      <c r="U224" s="19"/>
      <c r="V224" s="19"/>
    </row>
    <row r="225">
      <c r="A225" s="22">
        <f>IFERROR(__xludf.DUMMYFUNCTION("""COMPUTED_VALUE"""),42285.66666666667)</f>
        <v>42285.66667</v>
      </c>
      <c r="B225" s="23">
        <f>IFERROR(__xludf.DUMMYFUNCTION("""COMPUTED_VALUE"""),57.82)</f>
        <v>57.82</v>
      </c>
      <c r="C225" s="22">
        <f>IFERROR(__xludf.DUMMYFUNCTION("""COMPUTED_VALUE"""),43545.66666666667)</f>
        <v>43545.66667</v>
      </c>
      <c r="D225" s="23">
        <f>IFERROR(__xludf.DUMMYFUNCTION("""COMPUTED_VALUE"""),104.15)</f>
        <v>104.15</v>
      </c>
      <c r="E225" s="22">
        <f>IFERROR(__xludf.DUMMYFUNCTION("""COMPUTED_VALUE"""),42471.66666666667)</f>
        <v>42471.66667</v>
      </c>
      <c r="F225" s="23">
        <f>IFERROR(__xludf.DUMMYFUNCTION("""COMPUTED_VALUE"""),10.27)</f>
        <v>10.27</v>
      </c>
      <c r="G225" s="22">
        <f>IFERROR(__xludf.DUMMYFUNCTION("""COMPUTED_VALUE"""),42622.66666666667)</f>
        <v>42622.66667</v>
      </c>
      <c r="H225" s="23">
        <f>IFERROR(__xludf.DUMMYFUNCTION("""COMPUTED_VALUE"""),68.85)</f>
        <v>68.85</v>
      </c>
      <c r="I225" s="22">
        <f>IFERROR(__xludf.DUMMYFUNCTION("""COMPUTED_VALUE"""),42622.66666666667)</f>
        <v>42622.66667</v>
      </c>
      <c r="J225" s="23">
        <f>IFERROR(__xludf.DUMMYFUNCTION("""COMPUTED_VALUE"""),146.83)</f>
        <v>146.83</v>
      </c>
      <c r="K225" s="22">
        <f>IFERROR(__xludf.DUMMYFUNCTION("""COMPUTED_VALUE"""),42622.66666666667)</f>
        <v>42622.66667</v>
      </c>
      <c r="L225" s="23">
        <f>IFERROR(__xludf.DUMMYFUNCTION("""COMPUTED_VALUE"""),60.5)</f>
        <v>60.5</v>
      </c>
      <c r="M225" s="23">
        <v>0.0</v>
      </c>
      <c r="N225" s="23">
        <v>0.0</v>
      </c>
      <c r="O225" s="23">
        <v>0.0</v>
      </c>
      <c r="P225" s="23">
        <f t="shared" si="1"/>
        <v>0</v>
      </c>
      <c r="Q225" s="23">
        <f t="shared" si="2"/>
        <v>0</v>
      </c>
      <c r="R225" s="23">
        <f t="shared" si="3"/>
        <v>0</v>
      </c>
      <c r="S225" s="19"/>
      <c r="T225" s="19"/>
      <c r="U225" s="19"/>
      <c r="V225" s="19"/>
    </row>
    <row r="226">
      <c r="A226" s="22">
        <f>IFERROR(__xludf.DUMMYFUNCTION("""COMPUTED_VALUE"""),42286.66666666667)</f>
        <v>42286.66667</v>
      </c>
      <c r="B226" s="23">
        <f>IFERROR(__xludf.DUMMYFUNCTION("""COMPUTED_VALUE"""),58.06)</f>
        <v>58.06</v>
      </c>
      <c r="C226" s="22">
        <f>IFERROR(__xludf.DUMMYFUNCTION("""COMPUTED_VALUE"""),43546.66666666667)</f>
        <v>43546.66667</v>
      </c>
      <c r="D226" s="23">
        <f>IFERROR(__xludf.DUMMYFUNCTION("""COMPUTED_VALUE"""),104.6)</f>
        <v>104.6</v>
      </c>
      <c r="E226" s="22">
        <f>IFERROR(__xludf.DUMMYFUNCTION("""COMPUTED_VALUE"""),42472.66666666667)</f>
        <v>42472.66667</v>
      </c>
      <c r="F226" s="23">
        <f>IFERROR(__xludf.DUMMYFUNCTION("""COMPUTED_VALUE"""),10.17)</f>
        <v>10.17</v>
      </c>
      <c r="G226" s="22">
        <f>IFERROR(__xludf.DUMMYFUNCTION("""COMPUTED_VALUE"""),42629.66666666667)</f>
        <v>42629.66667</v>
      </c>
      <c r="H226" s="23">
        <f>IFERROR(__xludf.DUMMYFUNCTION("""COMPUTED_VALUE"""),68.31)</f>
        <v>68.31</v>
      </c>
      <c r="I226" s="22">
        <f>IFERROR(__xludf.DUMMYFUNCTION("""COMPUTED_VALUE"""),42629.66666666667)</f>
        <v>42629.66667</v>
      </c>
      <c r="J226" s="23">
        <f>IFERROR(__xludf.DUMMYFUNCTION("""COMPUTED_VALUE"""),146.03)</f>
        <v>146.03</v>
      </c>
      <c r="K226" s="22">
        <f>IFERROR(__xludf.DUMMYFUNCTION("""COMPUTED_VALUE"""),42629.66666666667)</f>
        <v>42629.66667</v>
      </c>
      <c r="L226" s="23">
        <f>IFERROR(__xludf.DUMMYFUNCTION("""COMPUTED_VALUE"""),59.3)</f>
        <v>59.3</v>
      </c>
      <c r="M226" s="23">
        <v>0.0</v>
      </c>
      <c r="N226" s="23">
        <v>0.0</v>
      </c>
      <c r="O226" s="23">
        <v>0.0</v>
      </c>
      <c r="P226" s="23">
        <f t="shared" si="1"/>
        <v>0</v>
      </c>
      <c r="Q226" s="23">
        <f t="shared" si="2"/>
        <v>0</v>
      </c>
      <c r="R226" s="23">
        <f t="shared" si="3"/>
        <v>0</v>
      </c>
      <c r="S226" s="19"/>
      <c r="T226" s="19"/>
      <c r="U226" s="19"/>
      <c r="V226" s="19"/>
    </row>
    <row r="227">
      <c r="A227" s="22">
        <f>IFERROR(__xludf.DUMMYFUNCTION("""COMPUTED_VALUE"""),42289.66666666667)</f>
        <v>42289.66667</v>
      </c>
      <c r="B227" s="23">
        <f>IFERROR(__xludf.DUMMYFUNCTION("""COMPUTED_VALUE"""),57.75)</f>
        <v>57.75</v>
      </c>
      <c r="C227" s="22">
        <f>IFERROR(__xludf.DUMMYFUNCTION("""COMPUTED_VALUE"""),43549.66666666667)</f>
        <v>43549.66667</v>
      </c>
      <c r="D227" s="23">
        <f>IFERROR(__xludf.DUMMYFUNCTION("""COMPUTED_VALUE"""),103.46)</f>
        <v>103.46</v>
      </c>
      <c r="E227" s="22">
        <f>IFERROR(__xludf.DUMMYFUNCTION("""COMPUTED_VALUE"""),42473.66666666667)</f>
        <v>42473.66667</v>
      </c>
      <c r="F227" s="23">
        <f>IFERROR(__xludf.DUMMYFUNCTION("""COMPUTED_VALUE"""),10.17)</f>
        <v>10.17</v>
      </c>
      <c r="G227" s="22">
        <f>IFERROR(__xludf.DUMMYFUNCTION("""COMPUTED_VALUE"""),42636.66666666667)</f>
        <v>42636.66667</v>
      </c>
      <c r="H227" s="23">
        <f>IFERROR(__xludf.DUMMYFUNCTION("""COMPUTED_VALUE"""),70.13)</f>
        <v>70.13</v>
      </c>
      <c r="I227" s="22">
        <f>IFERROR(__xludf.DUMMYFUNCTION("""COMPUTED_VALUE"""),42636.66666666667)</f>
        <v>42636.66667</v>
      </c>
      <c r="J227" s="23">
        <f>IFERROR(__xludf.DUMMYFUNCTION("""COMPUTED_VALUE"""),146.29)</f>
        <v>146.29</v>
      </c>
      <c r="K227" s="22">
        <f>IFERROR(__xludf.DUMMYFUNCTION("""COMPUTED_VALUE"""),42636.66666666667)</f>
        <v>42636.66667</v>
      </c>
      <c r="L227" s="23">
        <f>IFERROR(__xludf.DUMMYFUNCTION("""COMPUTED_VALUE"""),59.85)</f>
        <v>59.85</v>
      </c>
      <c r="M227" s="23">
        <v>200.0</v>
      </c>
      <c r="N227" s="23">
        <v>200.0</v>
      </c>
      <c r="O227" s="23">
        <v>200.0</v>
      </c>
      <c r="P227" s="23">
        <f t="shared" si="1"/>
        <v>2.851846571</v>
      </c>
      <c r="Q227" s="23">
        <f t="shared" si="2"/>
        <v>1.367147447</v>
      </c>
      <c r="R227" s="23">
        <f t="shared" si="3"/>
        <v>3.341687552</v>
      </c>
      <c r="S227" s="19"/>
      <c r="T227" s="19"/>
      <c r="U227" s="19"/>
      <c r="V227" s="19"/>
    </row>
    <row r="228">
      <c r="A228" s="22">
        <f>IFERROR(__xludf.DUMMYFUNCTION("""COMPUTED_VALUE"""),42290.66666666667)</f>
        <v>42290.66667</v>
      </c>
      <c r="B228" s="23">
        <f>IFERROR(__xludf.DUMMYFUNCTION("""COMPUTED_VALUE"""),57.75)</f>
        <v>57.75</v>
      </c>
      <c r="C228" s="22">
        <f>IFERROR(__xludf.DUMMYFUNCTION("""COMPUTED_VALUE"""),43550.66666666667)</f>
        <v>43550.66667</v>
      </c>
      <c r="D228" s="23">
        <f>IFERROR(__xludf.DUMMYFUNCTION("""COMPUTED_VALUE"""),103.55)</f>
        <v>103.55</v>
      </c>
      <c r="E228" s="22">
        <f>IFERROR(__xludf.DUMMYFUNCTION("""COMPUTED_VALUE"""),42474.66666666667)</f>
        <v>42474.66667</v>
      </c>
      <c r="F228" s="23">
        <f>IFERROR(__xludf.DUMMYFUNCTION("""COMPUTED_VALUE"""),10.34)</f>
        <v>10.34</v>
      </c>
      <c r="G228" s="22">
        <f>IFERROR(__xludf.DUMMYFUNCTION("""COMPUTED_VALUE"""),42643.66666666667)</f>
        <v>42643.66667</v>
      </c>
      <c r="H228" s="23">
        <f>IFERROR(__xludf.DUMMYFUNCTION("""COMPUTED_VALUE"""),70.24)</f>
        <v>70.24</v>
      </c>
      <c r="I228" s="22">
        <f>IFERROR(__xludf.DUMMYFUNCTION("""COMPUTED_VALUE"""),42643.66666666667)</f>
        <v>42643.66667</v>
      </c>
      <c r="J228" s="23">
        <f>IFERROR(__xludf.DUMMYFUNCTION("""COMPUTED_VALUE"""),144.5)</f>
        <v>144.5</v>
      </c>
      <c r="K228" s="22">
        <f>IFERROR(__xludf.DUMMYFUNCTION("""COMPUTED_VALUE"""),42643.66666666667)</f>
        <v>42643.66667</v>
      </c>
      <c r="L228" s="23">
        <f>IFERROR(__xludf.DUMMYFUNCTION("""COMPUTED_VALUE"""),59.04)</f>
        <v>59.04</v>
      </c>
      <c r="M228" s="23">
        <v>0.0</v>
      </c>
      <c r="N228" s="23">
        <v>0.0</v>
      </c>
      <c r="O228" s="23">
        <v>0.0</v>
      </c>
      <c r="P228" s="23">
        <f t="shared" si="1"/>
        <v>0</v>
      </c>
      <c r="Q228" s="23">
        <f t="shared" si="2"/>
        <v>0</v>
      </c>
      <c r="R228" s="23">
        <f t="shared" si="3"/>
        <v>0</v>
      </c>
      <c r="S228" s="19"/>
      <c r="T228" s="19"/>
      <c r="U228" s="19"/>
      <c r="V228" s="19"/>
    </row>
    <row r="229">
      <c r="A229" s="22">
        <f>IFERROR(__xludf.DUMMYFUNCTION("""COMPUTED_VALUE"""),42291.66666666667)</f>
        <v>42291.66667</v>
      </c>
      <c r="B229" s="23">
        <f>IFERROR(__xludf.DUMMYFUNCTION("""COMPUTED_VALUE"""),57.87)</f>
        <v>57.87</v>
      </c>
      <c r="C229" s="22">
        <f>IFERROR(__xludf.DUMMYFUNCTION("""COMPUTED_VALUE"""),43551.66666666667)</f>
        <v>43551.66667</v>
      </c>
      <c r="D229" s="23">
        <f>IFERROR(__xludf.DUMMYFUNCTION("""COMPUTED_VALUE"""),103.61)</f>
        <v>103.61</v>
      </c>
      <c r="E229" s="22">
        <f>IFERROR(__xludf.DUMMYFUNCTION("""COMPUTED_VALUE"""),42475.66666666667)</f>
        <v>42475.66667</v>
      </c>
      <c r="F229" s="23">
        <f>IFERROR(__xludf.DUMMYFUNCTION("""COMPUTED_VALUE"""),10.28)</f>
        <v>10.28</v>
      </c>
      <c r="G229" s="22">
        <f>IFERROR(__xludf.DUMMYFUNCTION("""COMPUTED_VALUE"""),42650.66666666667)</f>
        <v>42650.66667</v>
      </c>
      <c r="H229" s="23">
        <f>IFERROR(__xludf.DUMMYFUNCTION("""COMPUTED_VALUE"""),69.49)</f>
        <v>69.49</v>
      </c>
      <c r="I229" s="22">
        <f>IFERROR(__xludf.DUMMYFUNCTION("""COMPUTED_VALUE"""),42650.66666666667)</f>
        <v>42650.66667</v>
      </c>
      <c r="J229" s="23">
        <f>IFERROR(__xludf.DUMMYFUNCTION("""COMPUTED_VALUE"""),146.23)</f>
        <v>146.23</v>
      </c>
      <c r="K229" s="22">
        <f>IFERROR(__xludf.DUMMYFUNCTION("""COMPUTED_VALUE"""),42650.66666666667)</f>
        <v>42650.66667</v>
      </c>
      <c r="L229" s="23">
        <f>IFERROR(__xludf.DUMMYFUNCTION("""COMPUTED_VALUE"""),59.6)</f>
        <v>59.6</v>
      </c>
      <c r="M229" s="23">
        <v>0.0</v>
      </c>
      <c r="N229" s="23">
        <v>0.0</v>
      </c>
      <c r="O229" s="23">
        <v>0.0</v>
      </c>
      <c r="P229" s="23">
        <f t="shared" si="1"/>
        <v>0</v>
      </c>
      <c r="Q229" s="23">
        <f t="shared" si="2"/>
        <v>0</v>
      </c>
      <c r="R229" s="23">
        <f t="shared" si="3"/>
        <v>0</v>
      </c>
      <c r="S229" s="19"/>
      <c r="T229" s="19"/>
      <c r="U229" s="19"/>
      <c r="V229" s="19"/>
    </row>
    <row r="230">
      <c r="A230" s="22">
        <f>IFERROR(__xludf.DUMMYFUNCTION("""COMPUTED_VALUE"""),42292.66666666667)</f>
        <v>42292.66667</v>
      </c>
      <c r="B230" s="23">
        <f>IFERROR(__xludf.DUMMYFUNCTION("""COMPUTED_VALUE"""),57.5)</f>
        <v>57.5</v>
      </c>
      <c r="C230" s="22">
        <f>IFERROR(__xludf.DUMMYFUNCTION("""COMPUTED_VALUE"""),43552.66666666667)</f>
        <v>43552.66667</v>
      </c>
      <c r="D230" s="23">
        <f>IFERROR(__xludf.DUMMYFUNCTION("""COMPUTED_VALUE"""),104.33)</f>
        <v>104.33</v>
      </c>
      <c r="E230" s="22">
        <f>IFERROR(__xludf.DUMMYFUNCTION("""COMPUTED_VALUE"""),42478.66666666667)</f>
        <v>42478.66667</v>
      </c>
      <c r="F230" s="23">
        <f>IFERROR(__xludf.DUMMYFUNCTION("""COMPUTED_VALUE"""),10.23)</f>
        <v>10.23</v>
      </c>
      <c r="G230" s="22">
        <f>IFERROR(__xludf.DUMMYFUNCTION("""COMPUTED_VALUE"""),42657.66666666667)</f>
        <v>42657.66667</v>
      </c>
      <c r="H230" s="23">
        <f>IFERROR(__xludf.DUMMYFUNCTION("""COMPUTED_VALUE"""),69.1)</f>
        <v>69.1</v>
      </c>
      <c r="I230" s="22">
        <f>IFERROR(__xludf.DUMMYFUNCTION("""COMPUTED_VALUE"""),42657.66666666667)</f>
        <v>42657.66667</v>
      </c>
      <c r="J230" s="23">
        <f>IFERROR(__xludf.DUMMYFUNCTION("""COMPUTED_VALUE"""),144.35)</f>
        <v>144.35</v>
      </c>
      <c r="K230" s="22">
        <f>IFERROR(__xludf.DUMMYFUNCTION("""COMPUTED_VALUE"""),42657.66666666667)</f>
        <v>42657.66667</v>
      </c>
      <c r="L230" s="23">
        <f>IFERROR(__xludf.DUMMYFUNCTION("""COMPUTED_VALUE"""),58.39)</f>
        <v>58.39</v>
      </c>
      <c r="M230" s="23">
        <v>0.0</v>
      </c>
      <c r="N230" s="23">
        <v>0.0</v>
      </c>
      <c r="O230" s="23">
        <v>0.0</v>
      </c>
      <c r="P230" s="23">
        <f t="shared" si="1"/>
        <v>0</v>
      </c>
      <c r="Q230" s="23">
        <f t="shared" si="2"/>
        <v>0</v>
      </c>
      <c r="R230" s="23">
        <f t="shared" si="3"/>
        <v>0</v>
      </c>
      <c r="S230" s="19"/>
      <c r="T230" s="19"/>
      <c r="U230" s="19"/>
      <c r="V230" s="19"/>
    </row>
    <row r="231">
      <c r="A231" s="22">
        <f>IFERROR(__xludf.DUMMYFUNCTION("""COMPUTED_VALUE"""),42293.66666666667)</f>
        <v>42293.66667</v>
      </c>
      <c r="B231" s="23">
        <f>IFERROR(__xludf.DUMMYFUNCTION("""COMPUTED_VALUE"""),58.33)</f>
        <v>58.33</v>
      </c>
      <c r="C231" s="22">
        <f>IFERROR(__xludf.DUMMYFUNCTION("""COMPUTED_VALUE"""),43553.66666666667)</f>
        <v>43553.66667</v>
      </c>
      <c r="D231" s="23">
        <f>IFERROR(__xludf.DUMMYFUNCTION("""COMPUTED_VALUE"""),104.39)</f>
        <v>104.39</v>
      </c>
      <c r="E231" s="22">
        <f>IFERROR(__xludf.DUMMYFUNCTION("""COMPUTED_VALUE"""),42479.66666666667)</f>
        <v>42479.66667</v>
      </c>
      <c r="F231" s="23">
        <f>IFERROR(__xludf.DUMMYFUNCTION("""COMPUTED_VALUE"""),10.22)</f>
        <v>10.22</v>
      </c>
      <c r="G231" s="22">
        <f>IFERROR(__xludf.DUMMYFUNCTION("""COMPUTED_VALUE"""),42664.66666666667)</f>
        <v>42664.66667</v>
      </c>
      <c r="H231" s="23">
        <f>IFERROR(__xludf.DUMMYFUNCTION("""COMPUTED_VALUE"""),69.01)</f>
        <v>69.01</v>
      </c>
      <c r="I231" s="22">
        <f>IFERROR(__xludf.DUMMYFUNCTION("""COMPUTED_VALUE"""),42664.66666666667)</f>
        <v>42664.66667</v>
      </c>
      <c r="J231" s="23">
        <f>IFERROR(__xludf.DUMMYFUNCTION("""COMPUTED_VALUE"""),143.8)</f>
        <v>143.8</v>
      </c>
      <c r="K231" s="22">
        <f>IFERROR(__xludf.DUMMYFUNCTION("""COMPUTED_VALUE"""),42664.66666666667)</f>
        <v>42664.66667</v>
      </c>
      <c r="L231" s="23">
        <f>IFERROR(__xludf.DUMMYFUNCTION("""COMPUTED_VALUE"""),59.01)</f>
        <v>59.01</v>
      </c>
      <c r="M231" s="23">
        <v>200.0</v>
      </c>
      <c r="N231" s="23">
        <v>200.0</v>
      </c>
      <c r="O231" s="23">
        <v>200.0</v>
      </c>
      <c r="P231" s="23">
        <f t="shared" si="1"/>
        <v>2.898130706</v>
      </c>
      <c r="Q231" s="23">
        <f t="shared" si="2"/>
        <v>1.390820584</v>
      </c>
      <c r="R231" s="23">
        <f t="shared" si="3"/>
        <v>3.389256058</v>
      </c>
      <c r="S231" s="19"/>
      <c r="T231" s="19"/>
      <c r="U231" s="19"/>
      <c r="V231" s="19"/>
    </row>
    <row r="232">
      <c r="A232" s="22">
        <f>IFERROR(__xludf.DUMMYFUNCTION("""COMPUTED_VALUE"""),42296.66666666667)</f>
        <v>42296.66667</v>
      </c>
      <c r="B232" s="23">
        <f>IFERROR(__xludf.DUMMYFUNCTION("""COMPUTED_VALUE"""),58.46)</f>
        <v>58.46</v>
      </c>
      <c r="C232" s="22">
        <f>IFERROR(__xludf.DUMMYFUNCTION("""COMPUTED_VALUE"""),43556.66666666667)</f>
        <v>43556.66667</v>
      </c>
      <c r="D232" s="23">
        <f>IFERROR(__xludf.DUMMYFUNCTION("""COMPUTED_VALUE"""),104.04)</f>
        <v>104.04</v>
      </c>
      <c r="E232" s="22">
        <f>IFERROR(__xludf.DUMMYFUNCTION("""COMPUTED_VALUE"""),42480.66666666667)</f>
        <v>42480.66667</v>
      </c>
      <c r="F232" s="23">
        <f>IFERROR(__xludf.DUMMYFUNCTION("""COMPUTED_VALUE"""),10.11)</f>
        <v>10.11</v>
      </c>
      <c r="G232" s="22">
        <f>IFERROR(__xludf.DUMMYFUNCTION("""COMPUTED_VALUE"""),42671.66666666667)</f>
        <v>42671.66667</v>
      </c>
      <c r="H232" s="23">
        <f>IFERROR(__xludf.DUMMYFUNCTION("""COMPUTED_VALUE"""),67.19)</f>
        <v>67.19</v>
      </c>
      <c r="I232" s="22">
        <f>IFERROR(__xludf.DUMMYFUNCTION("""COMPUTED_VALUE"""),42671.66666666667)</f>
        <v>42671.66667</v>
      </c>
      <c r="J232" s="23">
        <f>IFERROR(__xludf.DUMMYFUNCTION("""COMPUTED_VALUE"""),143.56)</f>
        <v>143.56</v>
      </c>
      <c r="K232" s="22">
        <f>IFERROR(__xludf.DUMMYFUNCTION("""COMPUTED_VALUE"""),42671.66666666667)</f>
        <v>42671.66667</v>
      </c>
      <c r="L232" s="23">
        <f>IFERROR(__xludf.DUMMYFUNCTION("""COMPUTED_VALUE"""),58.68)</f>
        <v>58.68</v>
      </c>
      <c r="M232" s="23">
        <v>0.0</v>
      </c>
      <c r="N232" s="23">
        <v>0.0</v>
      </c>
      <c r="O232" s="23">
        <v>0.0</v>
      </c>
      <c r="P232" s="23">
        <f t="shared" si="1"/>
        <v>0</v>
      </c>
      <c r="Q232" s="23">
        <f t="shared" si="2"/>
        <v>0</v>
      </c>
      <c r="R232" s="23">
        <f t="shared" si="3"/>
        <v>0</v>
      </c>
      <c r="S232" s="19"/>
      <c r="T232" s="19"/>
      <c r="U232" s="19"/>
      <c r="V232" s="19"/>
    </row>
    <row r="233">
      <c r="A233" s="22">
        <f>IFERROR(__xludf.DUMMYFUNCTION("""COMPUTED_VALUE"""),42297.66666666667)</f>
        <v>42297.66667</v>
      </c>
      <c r="B233" s="23">
        <f>IFERROR(__xludf.DUMMYFUNCTION("""COMPUTED_VALUE"""),58.56)</f>
        <v>58.56</v>
      </c>
      <c r="C233" s="22">
        <f>IFERROR(__xludf.DUMMYFUNCTION("""COMPUTED_VALUE"""),43557.66666666667)</f>
        <v>43557.66667</v>
      </c>
      <c r="D233" s="23">
        <f>IFERROR(__xludf.DUMMYFUNCTION("""COMPUTED_VALUE"""),104.52)</f>
        <v>104.52</v>
      </c>
      <c r="E233" s="22">
        <f>IFERROR(__xludf.DUMMYFUNCTION("""COMPUTED_VALUE"""),42481.66666666667)</f>
        <v>42481.66667</v>
      </c>
      <c r="F233" s="23">
        <f>IFERROR(__xludf.DUMMYFUNCTION("""COMPUTED_VALUE"""),10.15)</f>
        <v>10.15</v>
      </c>
      <c r="G233" s="22">
        <f>IFERROR(__xludf.DUMMYFUNCTION("""COMPUTED_VALUE"""),42678.66666666667)</f>
        <v>42678.66667</v>
      </c>
      <c r="H233" s="23">
        <f>IFERROR(__xludf.DUMMYFUNCTION("""COMPUTED_VALUE"""),65.99)</f>
        <v>65.99</v>
      </c>
      <c r="I233" s="22">
        <f>IFERROR(__xludf.DUMMYFUNCTION("""COMPUTED_VALUE"""),42678.66666666667)</f>
        <v>42678.66667</v>
      </c>
      <c r="J233" s="23">
        <f>IFERROR(__xludf.DUMMYFUNCTION("""COMPUTED_VALUE"""),139.29)</f>
        <v>139.29</v>
      </c>
      <c r="K233" s="22">
        <f>IFERROR(__xludf.DUMMYFUNCTION("""COMPUTED_VALUE"""),42678.66666666667)</f>
        <v>42678.66667</v>
      </c>
      <c r="L233" s="23">
        <f>IFERROR(__xludf.DUMMYFUNCTION("""COMPUTED_VALUE"""),57.32)</f>
        <v>57.32</v>
      </c>
      <c r="M233" s="23">
        <v>0.0</v>
      </c>
      <c r="N233" s="23">
        <v>0.0</v>
      </c>
      <c r="O233" s="23">
        <v>0.0</v>
      </c>
      <c r="P233" s="23">
        <f t="shared" si="1"/>
        <v>0</v>
      </c>
      <c r="Q233" s="23">
        <f t="shared" si="2"/>
        <v>0</v>
      </c>
      <c r="R233" s="23">
        <f t="shared" si="3"/>
        <v>0</v>
      </c>
      <c r="S233" s="19"/>
      <c r="T233" s="19"/>
      <c r="U233" s="19"/>
      <c r="V233" s="19"/>
    </row>
    <row r="234">
      <c r="A234" s="22">
        <f>IFERROR(__xludf.DUMMYFUNCTION("""COMPUTED_VALUE"""),42298.66666666667)</f>
        <v>42298.66667</v>
      </c>
      <c r="B234" s="23">
        <f>IFERROR(__xludf.DUMMYFUNCTION("""COMPUTED_VALUE"""),58.65)</f>
        <v>58.65</v>
      </c>
      <c r="C234" s="22">
        <f>IFERROR(__xludf.DUMMYFUNCTION("""COMPUTED_VALUE"""),43558.66666666667)</f>
        <v>43558.66667</v>
      </c>
      <c r="D234" s="23">
        <f>IFERROR(__xludf.DUMMYFUNCTION("""COMPUTED_VALUE"""),105.18)</f>
        <v>105.18</v>
      </c>
      <c r="E234" s="22">
        <f>IFERROR(__xludf.DUMMYFUNCTION("""COMPUTED_VALUE"""),42482.66666666667)</f>
        <v>42482.66667</v>
      </c>
      <c r="F234" s="23">
        <f>IFERROR(__xludf.DUMMYFUNCTION("""COMPUTED_VALUE"""),10.2)</f>
        <v>10.2</v>
      </c>
      <c r="G234" s="22">
        <f>IFERROR(__xludf.DUMMYFUNCTION("""COMPUTED_VALUE"""),42685.66666666667)</f>
        <v>42685.66667</v>
      </c>
      <c r="H234" s="23">
        <f>IFERROR(__xludf.DUMMYFUNCTION("""COMPUTED_VALUE"""),68.46)</f>
        <v>68.46</v>
      </c>
      <c r="I234" s="22">
        <f>IFERROR(__xludf.DUMMYFUNCTION("""COMPUTED_VALUE"""),42685.66666666667)</f>
        <v>42685.66667</v>
      </c>
      <c r="J234" s="23">
        <f>IFERROR(__xludf.DUMMYFUNCTION("""COMPUTED_VALUE"""),146.23)</f>
        <v>146.23</v>
      </c>
      <c r="K234" s="22">
        <f>IFERROR(__xludf.DUMMYFUNCTION("""COMPUTED_VALUE"""),42685.66666666667)</f>
        <v>42685.66667</v>
      </c>
      <c r="L234" s="23">
        <f>IFERROR(__xludf.DUMMYFUNCTION("""COMPUTED_VALUE"""),57.78)</f>
        <v>57.78</v>
      </c>
      <c r="M234" s="23">
        <v>0.0</v>
      </c>
      <c r="N234" s="23">
        <v>0.0</v>
      </c>
      <c r="O234" s="23">
        <v>0.0</v>
      </c>
      <c r="P234" s="23">
        <f t="shared" si="1"/>
        <v>0</v>
      </c>
      <c r="Q234" s="23">
        <f t="shared" si="2"/>
        <v>0</v>
      </c>
      <c r="R234" s="23">
        <f t="shared" si="3"/>
        <v>0</v>
      </c>
      <c r="S234" s="19"/>
      <c r="T234" s="19"/>
      <c r="U234" s="19"/>
      <c r="V234" s="19"/>
    </row>
    <row r="235">
      <c r="A235" s="22">
        <f>IFERROR(__xludf.DUMMYFUNCTION("""COMPUTED_VALUE"""),42299.66666666667)</f>
        <v>42299.66667</v>
      </c>
      <c r="B235" s="23">
        <f>IFERROR(__xludf.DUMMYFUNCTION("""COMPUTED_VALUE"""),58.84)</f>
        <v>58.84</v>
      </c>
      <c r="C235" s="22">
        <f>IFERROR(__xludf.DUMMYFUNCTION("""COMPUTED_VALUE"""),43559.66666666667)</f>
        <v>43559.66667</v>
      </c>
      <c r="D235" s="23">
        <f>IFERROR(__xludf.DUMMYFUNCTION("""COMPUTED_VALUE"""),104.25)</f>
        <v>104.25</v>
      </c>
      <c r="E235" s="22">
        <f>IFERROR(__xludf.DUMMYFUNCTION("""COMPUTED_VALUE"""),42486.66666666667)</f>
        <v>42486.66667</v>
      </c>
      <c r="F235" s="23">
        <f>IFERROR(__xludf.DUMMYFUNCTION("""COMPUTED_VALUE"""),10.08)</f>
        <v>10.08</v>
      </c>
      <c r="G235" s="22">
        <f>IFERROR(__xludf.DUMMYFUNCTION("""COMPUTED_VALUE"""),42692.66666666667)</f>
        <v>42692.66667</v>
      </c>
      <c r="H235" s="23">
        <f>IFERROR(__xludf.DUMMYFUNCTION("""COMPUTED_VALUE"""),68.5)</f>
        <v>68.5</v>
      </c>
      <c r="I235" s="22">
        <f>IFERROR(__xludf.DUMMYFUNCTION("""COMPUTED_VALUE"""),42692.66666666667)</f>
        <v>42692.66667</v>
      </c>
      <c r="J235" s="23">
        <f>IFERROR(__xludf.DUMMYFUNCTION("""COMPUTED_VALUE"""),152.5)</f>
        <v>152.5</v>
      </c>
      <c r="K235" s="22">
        <f>IFERROR(__xludf.DUMMYFUNCTION("""COMPUTED_VALUE"""),42692.66666666667)</f>
        <v>42692.66667</v>
      </c>
      <c r="L235" s="23">
        <f>IFERROR(__xludf.DUMMYFUNCTION("""COMPUTED_VALUE"""),58.39)</f>
        <v>58.39</v>
      </c>
      <c r="M235" s="23">
        <v>200.0</v>
      </c>
      <c r="N235" s="23">
        <v>200.0</v>
      </c>
      <c r="O235" s="23">
        <v>200.0</v>
      </c>
      <c r="P235" s="23">
        <f t="shared" si="1"/>
        <v>2.919708029</v>
      </c>
      <c r="Q235" s="23">
        <f t="shared" si="2"/>
        <v>1.31147541</v>
      </c>
      <c r="R235" s="23">
        <f t="shared" si="3"/>
        <v>3.425244049</v>
      </c>
      <c r="S235" s="19"/>
      <c r="T235" s="19"/>
      <c r="U235" s="19"/>
      <c r="V235" s="19"/>
    </row>
    <row r="236">
      <c r="A236" s="22">
        <f>IFERROR(__xludf.DUMMYFUNCTION("""COMPUTED_VALUE"""),42300.66666666667)</f>
        <v>42300.66667</v>
      </c>
      <c r="B236" s="23">
        <f>IFERROR(__xludf.DUMMYFUNCTION("""COMPUTED_VALUE"""),59.4)</f>
        <v>59.4</v>
      </c>
      <c r="C236" s="22">
        <f>IFERROR(__xludf.DUMMYFUNCTION("""COMPUTED_VALUE"""),43560.66666666667)</f>
        <v>43560.66667</v>
      </c>
      <c r="D236" s="23">
        <f>IFERROR(__xludf.DUMMYFUNCTION("""COMPUTED_VALUE"""),103.5)</f>
        <v>103.5</v>
      </c>
      <c r="E236" s="22">
        <f>IFERROR(__xludf.DUMMYFUNCTION("""COMPUTED_VALUE"""),42487.66666666667)</f>
        <v>42487.66667</v>
      </c>
      <c r="F236" s="23">
        <f>IFERROR(__xludf.DUMMYFUNCTION("""COMPUTED_VALUE"""),10.05)</f>
        <v>10.05</v>
      </c>
      <c r="G236" s="22">
        <f>IFERROR(__xludf.DUMMYFUNCTION("""COMPUTED_VALUE"""),42699.66666666667)</f>
        <v>42699.66667</v>
      </c>
      <c r="H236" s="23">
        <f>IFERROR(__xludf.DUMMYFUNCTION("""COMPUTED_VALUE"""),70.39)</f>
        <v>70.39</v>
      </c>
      <c r="I236" s="22">
        <f>IFERROR(__xludf.DUMMYFUNCTION("""COMPUTED_VALUE"""),42699.66666666667)</f>
        <v>42699.66667</v>
      </c>
      <c r="J236" s="23">
        <f>IFERROR(__xludf.DUMMYFUNCTION("""COMPUTED_VALUE"""),153.73)</f>
        <v>153.73</v>
      </c>
      <c r="K236" s="22">
        <f>IFERROR(__xludf.DUMMYFUNCTION("""COMPUTED_VALUE"""),42699.66666666667)</f>
        <v>42699.66667</v>
      </c>
      <c r="L236" s="23">
        <f>IFERROR(__xludf.DUMMYFUNCTION("""COMPUTED_VALUE"""),58.5)</f>
        <v>58.5</v>
      </c>
      <c r="M236" s="23">
        <v>0.0</v>
      </c>
      <c r="N236" s="23">
        <v>0.0</v>
      </c>
      <c r="O236" s="23">
        <v>0.0</v>
      </c>
      <c r="P236" s="23">
        <f t="shared" si="1"/>
        <v>0</v>
      </c>
      <c r="Q236" s="23">
        <f t="shared" si="2"/>
        <v>0</v>
      </c>
      <c r="R236" s="23">
        <f t="shared" si="3"/>
        <v>0</v>
      </c>
      <c r="S236" s="19"/>
      <c r="T236" s="19"/>
      <c r="U236" s="19"/>
      <c r="V236" s="19"/>
    </row>
    <row r="237">
      <c r="A237" s="22">
        <f>IFERROR(__xludf.DUMMYFUNCTION("""COMPUTED_VALUE"""),42303.66666666667)</f>
        <v>42303.66667</v>
      </c>
      <c r="B237" s="23">
        <f>IFERROR(__xludf.DUMMYFUNCTION("""COMPUTED_VALUE"""),59.49)</f>
        <v>59.49</v>
      </c>
      <c r="C237" s="22">
        <f>IFERROR(__xludf.DUMMYFUNCTION("""COMPUTED_VALUE"""),43563.66666666667)</f>
        <v>43563.66667</v>
      </c>
      <c r="D237" s="23">
        <f>IFERROR(__xludf.DUMMYFUNCTION("""COMPUTED_VALUE"""),104.04)</f>
        <v>104.04</v>
      </c>
      <c r="E237" s="22">
        <f>IFERROR(__xludf.DUMMYFUNCTION("""COMPUTED_VALUE"""),42488.66666666667)</f>
        <v>42488.66667</v>
      </c>
      <c r="F237" s="23">
        <f>IFERROR(__xludf.DUMMYFUNCTION("""COMPUTED_VALUE"""),10.05)</f>
        <v>10.05</v>
      </c>
      <c r="G237" s="22">
        <f>IFERROR(__xludf.DUMMYFUNCTION("""COMPUTED_VALUE"""),42706.66666666667)</f>
        <v>42706.66667</v>
      </c>
      <c r="H237" s="23">
        <f>IFERROR(__xludf.DUMMYFUNCTION("""COMPUTED_VALUE"""),69.56)</f>
        <v>69.56</v>
      </c>
      <c r="I237" s="22">
        <f>IFERROR(__xludf.DUMMYFUNCTION("""COMPUTED_VALUE"""),42706.66666666667)</f>
        <v>42706.66667</v>
      </c>
      <c r="J237" s="23">
        <f>IFERROR(__xludf.DUMMYFUNCTION("""COMPUTED_VALUE"""),152.64)</f>
        <v>152.64</v>
      </c>
      <c r="K237" s="22">
        <f>IFERROR(__xludf.DUMMYFUNCTION("""COMPUTED_VALUE"""),42706.66666666667)</f>
        <v>42706.66667</v>
      </c>
      <c r="L237" s="23">
        <f>IFERROR(__xludf.DUMMYFUNCTION("""COMPUTED_VALUE"""),58.75)</f>
        <v>58.75</v>
      </c>
      <c r="M237" s="23">
        <v>0.0</v>
      </c>
      <c r="N237" s="23">
        <v>0.0</v>
      </c>
      <c r="O237" s="23">
        <v>0.0</v>
      </c>
      <c r="P237" s="23">
        <f t="shared" si="1"/>
        <v>0</v>
      </c>
      <c r="Q237" s="23">
        <f t="shared" si="2"/>
        <v>0</v>
      </c>
      <c r="R237" s="23">
        <f t="shared" si="3"/>
        <v>0</v>
      </c>
      <c r="S237" s="19"/>
      <c r="T237" s="19"/>
      <c r="U237" s="19"/>
      <c r="V237" s="19"/>
    </row>
    <row r="238">
      <c r="A238" s="22">
        <f>IFERROR(__xludf.DUMMYFUNCTION("""COMPUTED_VALUE"""),42304.66666666667)</f>
        <v>42304.66667</v>
      </c>
      <c r="B238" s="23">
        <f>IFERROR(__xludf.DUMMYFUNCTION("""COMPUTED_VALUE"""),59.44)</f>
        <v>59.44</v>
      </c>
      <c r="C238" s="22">
        <f>IFERROR(__xludf.DUMMYFUNCTION("""COMPUTED_VALUE"""),43564.66666666667)</f>
        <v>43564.66667</v>
      </c>
      <c r="D238" s="23">
        <f>IFERROR(__xludf.DUMMYFUNCTION("""COMPUTED_VALUE"""),104.06)</f>
        <v>104.06</v>
      </c>
      <c r="E238" s="22">
        <f>IFERROR(__xludf.DUMMYFUNCTION("""COMPUTED_VALUE"""),42489.66666666667)</f>
        <v>42489.66667</v>
      </c>
      <c r="F238" s="23">
        <f>IFERROR(__xludf.DUMMYFUNCTION("""COMPUTED_VALUE"""),9.92)</f>
        <v>9.92</v>
      </c>
      <c r="G238" s="22">
        <f>IFERROR(__xludf.DUMMYFUNCTION("""COMPUTED_VALUE"""),42713.66666666667)</f>
        <v>42713.66667</v>
      </c>
      <c r="H238" s="23">
        <f>IFERROR(__xludf.DUMMYFUNCTION("""COMPUTED_VALUE"""),71.05)</f>
        <v>71.05</v>
      </c>
      <c r="I238" s="22">
        <f>IFERROR(__xludf.DUMMYFUNCTION("""COMPUTED_VALUE"""),42713.66666666667)</f>
        <v>42713.66667</v>
      </c>
      <c r="J238" s="23">
        <f>IFERROR(__xludf.DUMMYFUNCTION("""COMPUTED_VALUE"""),156.34)</f>
        <v>156.34</v>
      </c>
      <c r="K238" s="22">
        <f>IFERROR(__xludf.DUMMYFUNCTION("""COMPUTED_VALUE"""),42713.66666666667)</f>
        <v>42713.66667</v>
      </c>
      <c r="L238" s="23">
        <f>IFERROR(__xludf.DUMMYFUNCTION("""COMPUTED_VALUE"""),60.06)</f>
        <v>60.06</v>
      </c>
      <c r="M238" s="23">
        <v>0.0</v>
      </c>
      <c r="N238" s="23">
        <v>0.0</v>
      </c>
      <c r="O238" s="23">
        <v>0.0</v>
      </c>
      <c r="P238" s="23">
        <f t="shared" si="1"/>
        <v>0</v>
      </c>
      <c r="Q238" s="23">
        <f t="shared" si="2"/>
        <v>0</v>
      </c>
      <c r="R238" s="23">
        <f t="shared" si="3"/>
        <v>0</v>
      </c>
      <c r="S238" s="19"/>
      <c r="T238" s="19"/>
      <c r="U238" s="19"/>
      <c r="V238" s="19"/>
    </row>
    <row r="239">
      <c r="A239" s="22">
        <f>IFERROR(__xludf.DUMMYFUNCTION("""COMPUTED_VALUE"""),42305.66666666667)</f>
        <v>42305.66667</v>
      </c>
      <c r="B239" s="23">
        <f>IFERROR(__xludf.DUMMYFUNCTION("""COMPUTED_VALUE"""),60.0)</f>
        <v>60</v>
      </c>
      <c r="C239" s="22">
        <f>IFERROR(__xludf.DUMMYFUNCTION("""COMPUTED_VALUE"""),43565.66666666667)</f>
        <v>43565.66667</v>
      </c>
      <c r="D239" s="23">
        <f>IFERROR(__xludf.DUMMYFUNCTION("""COMPUTED_VALUE"""),104.08)</f>
        <v>104.08</v>
      </c>
      <c r="E239" s="22">
        <f>IFERROR(__xludf.DUMMYFUNCTION("""COMPUTED_VALUE"""),42492.66666666667)</f>
        <v>42492.66667</v>
      </c>
      <c r="F239" s="23">
        <f>IFERROR(__xludf.DUMMYFUNCTION("""COMPUTED_VALUE"""),9.93)</f>
        <v>9.93</v>
      </c>
      <c r="G239" s="22">
        <f>IFERROR(__xludf.DUMMYFUNCTION("""COMPUTED_VALUE"""),42720.66666666667)</f>
        <v>42720.66667</v>
      </c>
      <c r="H239" s="23">
        <f>IFERROR(__xludf.DUMMYFUNCTION("""COMPUTED_VALUE"""),70.65)</f>
        <v>70.65</v>
      </c>
      <c r="I239" s="22">
        <f>IFERROR(__xludf.DUMMYFUNCTION("""COMPUTED_VALUE"""),42720.66666666667)</f>
        <v>42720.66667</v>
      </c>
      <c r="J239" s="23">
        <f>IFERROR(__xludf.DUMMYFUNCTION("""COMPUTED_VALUE"""),158.95)</f>
        <v>158.95</v>
      </c>
      <c r="K239" s="22">
        <f>IFERROR(__xludf.DUMMYFUNCTION("""COMPUTED_VALUE"""),42720.66666666667)</f>
        <v>42720.66667</v>
      </c>
      <c r="L239" s="23">
        <f>IFERROR(__xludf.DUMMYFUNCTION("""COMPUTED_VALUE"""),60.45)</f>
        <v>60.45</v>
      </c>
      <c r="M239" s="23">
        <v>200.0</v>
      </c>
      <c r="N239" s="23">
        <v>200.0</v>
      </c>
      <c r="O239" s="23">
        <v>200.0</v>
      </c>
      <c r="P239" s="23">
        <f t="shared" si="1"/>
        <v>2.830856334</v>
      </c>
      <c r="Q239" s="23">
        <f t="shared" si="2"/>
        <v>1.258257314</v>
      </c>
      <c r="R239" s="23">
        <f t="shared" si="3"/>
        <v>3.308519438</v>
      </c>
      <c r="S239" s="19"/>
      <c r="T239" s="19"/>
      <c r="U239" s="19"/>
      <c r="V239" s="19"/>
    </row>
    <row r="240">
      <c r="A240" s="22">
        <f>IFERROR(__xludf.DUMMYFUNCTION("""COMPUTED_VALUE"""),42306.66666666667)</f>
        <v>42306.66667</v>
      </c>
      <c r="B240" s="23">
        <f>IFERROR(__xludf.DUMMYFUNCTION("""COMPUTED_VALUE"""),60.82)</f>
        <v>60.82</v>
      </c>
      <c r="C240" s="22">
        <f>IFERROR(__xludf.DUMMYFUNCTION("""COMPUTED_VALUE"""),43566.66666666667)</f>
        <v>43566.66667</v>
      </c>
      <c r="D240" s="23">
        <f>IFERROR(__xludf.DUMMYFUNCTION("""COMPUTED_VALUE"""),103.75)</f>
        <v>103.75</v>
      </c>
      <c r="E240" s="22">
        <f>IFERROR(__xludf.DUMMYFUNCTION("""COMPUTED_VALUE"""),42493.66666666667)</f>
        <v>42493.66667</v>
      </c>
      <c r="F240" s="23">
        <f>IFERROR(__xludf.DUMMYFUNCTION("""COMPUTED_VALUE"""),10.06)</f>
        <v>10.06</v>
      </c>
      <c r="G240" s="22">
        <f>IFERROR(__xludf.DUMMYFUNCTION("""COMPUTED_VALUE"""),42727.66666666667)</f>
        <v>42727.66667</v>
      </c>
      <c r="H240" s="23">
        <f>IFERROR(__xludf.DUMMYFUNCTION("""COMPUTED_VALUE"""),71.91)</f>
        <v>71.91</v>
      </c>
      <c r="I240" s="22">
        <f>IFERROR(__xludf.DUMMYFUNCTION("""COMPUTED_VALUE"""),42727.66666666667)</f>
        <v>42727.66667</v>
      </c>
      <c r="J240" s="23">
        <f>IFERROR(__xludf.DUMMYFUNCTION("""COMPUTED_VALUE"""),161.15)</f>
        <v>161.15</v>
      </c>
      <c r="K240" s="22">
        <f>IFERROR(__xludf.DUMMYFUNCTION("""COMPUTED_VALUE"""),42727.66666666667)</f>
        <v>42727.66667</v>
      </c>
      <c r="L240" s="23">
        <f>IFERROR(__xludf.DUMMYFUNCTION("""COMPUTED_VALUE"""),60.78)</f>
        <v>60.78</v>
      </c>
      <c r="M240" s="23">
        <v>0.0</v>
      </c>
      <c r="N240" s="23">
        <v>0.0</v>
      </c>
      <c r="O240" s="23">
        <v>0.0</v>
      </c>
      <c r="P240" s="23">
        <f t="shared" si="1"/>
        <v>0</v>
      </c>
      <c r="Q240" s="23">
        <f t="shared" si="2"/>
        <v>0</v>
      </c>
      <c r="R240" s="23">
        <f t="shared" si="3"/>
        <v>0</v>
      </c>
      <c r="S240" s="19"/>
      <c r="T240" s="19"/>
      <c r="U240" s="19"/>
      <c r="V240" s="19"/>
    </row>
    <row r="241">
      <c r="A241" s="22">
        <f>IFERROR(__xludf.DUMMYFUNCTION("""COMPUTED_VALUE"""),42307.66666666667)</f>
        <v>42307.66667</v>
      </c>
      <c r="B241" s="23">
        <f>IFERROR(__xludf.DUMMYFUNCTION("""COMPUTED_VALUE"""),61.35)</f>
        <v>61.35</v>
      </c>
      <c r="C241" s="22">
        <f>IFERROR(__xludf.DUMMYFUNCTION("""COMPUTED_VALUE"""),43567.66666666667)</f>
        <v>43567.66667</v>
      </c>
      <c r="D241" s="23">
        <f>IFERROR(__xludf.DUMMYFUNCTION("""COMPUTED_VALUE"""),104.56)</f>
        <v>104.56</v>
      </c>
      <c r="E241" s="22">
        <f>IFERROR(__xludf.DUMMYFUNCTION("""COMPUTED_VALUE"""),42494.66666666667)</f>
        <v>42494.66667</v>
      </c>
      <c r="F241" s="23">
        <f>IFERROR(__xludf.DUMMYFUNCTION("""COMPUTED_VALUE"""),10.03)</f>
        <v>10.03</v>
      </c>
      <c r="G241" s="22">
        <f>IFERROR(__xludf.DUMMYFUNCTION("""COMPUTED_VALUE"""),42734.66666666667)</f>
        <v>42734.66667</v>
      </c>
      <c r="H241" s="23">
        <f>IFERROR(__xludf.DUMMYFUNCTION("""COMPUTED_VALUE"""),72.5)</f>
        <v>72.5</v>
      </c>
      <c r="I241" s="22">
        <f>IFERROR(__xludf.DUMMYFUNCTION("""COMPUTED_VALUE"""),42734.66666666667)</f>
        <v>42734.66667</v>
      </c>
      <c r="J241" s="23">
        <f>IFERROR(__xludf.DUMMYFUNCTION("""COMPUTED_VALUE"""),160.14)</f>
        <v>160.14</v>
      </c>
      <c r="K241" s="22">
        <f>IFERROR(__xludf.DUMMYFUNCTION("""COMPUTED_VALUE"""),42734.66666666667)</f>
        <v>42734.66667</v>
      </c>
      <c r="L241" s="23">
        <f>IFERROR(__xludf.DUMMYFUNCTION("""COMPUTED_VALUE"""),61.14)</f>
        <v>61.14</v>
      </c>
      <c r="M241" s="23">
        <v>0.0</v>
      </c>
      <c r="N241" s="23">
        <v>0.0</v>
      </c>
      <c r="O241" s="23">
        <v>0.0</v>
      </c>
      <c r="P241" s="23">
        <f t="shared" si="1"/>
        <v>0</v>
      </c>
      <c r="Q241" s="23">
        <f t="shared" si="2"/>
        <v>0</v>
      </c>
      <c r="R241" s="23">
        <f t="shared" si="3"/>
        <v>0</v>
      </c>
      <c r="S241" s="19"/>
      <c r="T241" s="19"/>
      <c r="U241" s="19"/>
      <c r="V241" s="19"/>
    </row>
    <row r="242">
      <c r="A242" s="22">
        <f>IFERROR(__xludf.DUMMYFUNCTION("""COMPUTED_VALUE"""),42310.66666666667)</f>
        <v>42310.66667</v>
      </c>
      <c r="B242" s="23">
        <f>IFERROR(__xludf.DUMMYFUNCTION("""COMPUTED_VALUE"""),60.25)</f>
        <v>60.25</v>
      </c>
      <c r="C242" s="22">
        <f>IFERROR(__xludf.DUMMYFUNCTION("""COMPUTED_VALUE"""),43570.66666666667)</f>
        <v>43570.66667</v>
      </c>
      <c r="D242" s="23">
        <f>IFERROR(__xludf.DUMMYFUNCTION("""COMPUTED_VALUE"""),104.51)</f>
        <v>104.51</v>
      </c>
      <c r="E242" s="22">
        <f>IFERROR(__xludf.DUMMYFUNCTION("""COMPUTED_VALUE"""),42495.66666666667)</f>
        <v>42495.66667</v>
      </c>
      <c r="F242" s="23">
        <f>IFERROR(__xludf.DUMMYFUNCTION("""COMPUTED_VALUE"""),10.0)</f>
        <v>10</v>
      </c>
      <c r="G242" s="22">
        <f>IFERROR(__xludf.DUMMYFUNCTION("""COMPUTED_VALUE"""),42741.66666666667)</f>
        <v>42741.66667</v>
      </c>
      <c r="H242" s="23">
        <f>IFERROR(__xludf.DUMMYFUNCTION("""COMPUTED_VALUE"""),72.68)</f>
        <v>72.68</v>
      </c>
      <c r="I242" s="22">
        <f>IFERROR(__xludf.DUMMYFUNCTION("""COMPUTED_VALUE"""),42741.66666666667)</f>
        <v>42741.66667</v>
      </c>
      <c r="J242" s="23">
        <f>IFERROR(__xludf.DUMMYFUNCTION("""COMPUTED_VALUE"""),159.64)</f>
        <v>159.64</v>
      </c>
      <c r="K242" s="22">
        <f>IFERROR(__xludf.DUMMYFUNCTION("""COMPUTED_VALUE"""),42741.66666666667)</f>
        <v>42741.66667</v>
      </c>
      <c r="L242" s="23">
        <f>IFERROR(__xludf.DUMMYFUNCTION("""COMPUTED_VALUE"""),61.98)</f>
        <v>61.98</v>
      </c>
      <c r="M242" s="23">
        <v>0.0</v>
      </c>
      <c r="N242" s="23">
        <v>0.0</v>
      </c>
      <c r="O242" s="23">
        <v>0.0</v>
      </c>
      <c r="P242" s="23">
        <f t="shared" si="1"/>
        <v>0</v>
      </c>
      <c r="Q242" s="23">
        <f t="shared" si="2"/>
        <v>0</v>
      </c>
      <c r="R242" s="23">
        <f t="shared" si="3"/>
        <v>0</v>
      </c>
      <c r="S242" s="19"/>
      <c r="T242" s="19"/>
      <c r="U242" s="19"/>
      <c r="V242" s="19"/>
    </row>
    <row r="243">
      <c r="A243" s="22">
        <f>IFERROR(__xludf.DUMMYFUNCTION("""COMPUTED_VALUE"""),42311.66666666667)</f>
        <v>42311.66667</v>
      </c>
      <c r="B243" s="23">
        <f>IFERROR(__xludf.DUMMYFUNCTION("""COMPUTED_VALUE"""),60.14)</f>
        <v>60.14</v>
      </c>
      <c r="C243" s="22">
        <f>IFERROR(__xludf.DUMMYFUNCTION("""COMPUTED_VALUE"""),43571.66666666667)</f>
        <v>43571.66667</v>
      </c>
      <c r="D243" s="23">
        <f>IFERROR(__xludf.DUMMYFUNCTION("""COMPUTED_VALUE"""),104.97)</f>
        <v>104.97</v>
      </c>
      <c r="E243" s="22">
        <f>IFERROR(__xludf.DUMMYFUNCTION("""COMPUTED_VALUE"""),42496.66666666667)</f>
        <v>42496.66667</v>
      </c>
      <c r="F243" s="23">
        <f>IFERROR(__xludf.DUMMYFUNCTION("""COMPUTED_VALUE"""),10.14)</f>
        <v>10.14</v>
      </c>
      <c r="G243" s="22">
        <f>IFERROR(__xludf.DUMMYFUNCTION("""COMPUTED_VALUE"""),42748.66666666667)</f>
        <v>42748.66667</v>
      </c>
      <c r="H243" s="23">
        <f>IFERROR(__xludf.DUMMYFUNCTION("""COMPUTED_VALUE"""),72.33)</f>
        <v>72.33</v>
      </c>
      <c r="I243" s="22">
        <f>IFERROR(__xludf.DUMMYFUNCTION("""COMPUTED_VALUE"""),42748.66666666667)</f>
        <v>42748.66667</v>
      </c>
      <c r="J243" s="23">
        <f>IFERROR(__xludf.DUMMYFUNCTION("""COMPUTED_VALUE"""),156.22)</f>
        <v>156.22</v>
      </c>
      <c r="K243" s="22">
        <f>IFERROR(__xludf.DUMMYFUNCTION("""COMPUTED_VALUE"""),42748.66666666667)</f>
        <v>42748.66667</v>
      </c>
      <c r="L243" s="23">
        <f>IFERROR(__xludf.DUMMYFUNCTION("""COMPUTED_VALUE"""),60.85)</f>
        <v>60.85</v>
      </c>
      <c r="M243" s="23">
        <v>200.0</v>
      </c>
      <c r="N243" s="23">
        <v>200.0</v>
      </c>
      <c r="O243" s="23">
        <v>200.0</v>
      </c>
      <c r="P243" s="23">
        <f t="shared" si="1"/>
        <v>2.765104383</v>
      </c>
      <c r="Q243" s="23">
        <f t="shared" si="2"/>
        <v>1.280245807</v>
      </c>
      <c r="R243" s="23">
        <f t="shared" si="3"/>
        <v>3.286770748</v>
      </c>
      <c r="S243" s="19"/>
      <c r="T243" s="19"/>
      <c r="U243" s="19"/>
      <c r="V243" s="19"/>
    </row>
    <row r="244">
      <c r="A244" s="22">
        <f>IFERROR(__xludf.DUMMYFUNCTION("""COMPUTED_VALUE"""),42312.66666666667)</f>
        <v>42312.66667</v>
      </c>
      <c r="B244" s="23">
        <f>IFERROR(__xludf.DUMMYFUNCTION("""COMPUTED_VALUE"""),60.38)</f>
        <v>60.38</v>
      </c>
      <c r="C244" s="22">
        <f>IFERROR(__xludf.DUMMYFUNCTION("""COMPUTED_VALUE"""),43572.66666666667)</f>
        <v>43572.66667</v>
      </c>
      <c r="D244" s="23">
        <f>IFERROR(__xludf.DUMMYFUNCTION("""COMPUTED_VALUE"""),104.69)</f>
        <v>104.69</v>
      </c>
      <c r="E244" s="22">
        <f>IFERROR(__xludf.DUMMYFUNCTION("""COMPUTED_VALUE"""),42499.66666666667)</f>
        <v>42499.66667</v>
      </c>
      <c r="F244" s="23">
        <f>IFERROR(__xludf.DUMMYFUNCTION("""COMPUTED_VALUE"""),10.23)</f>
        <v>10.23</v>
      </c>
      <c r="G244" s="22">
        <f>IFERROR(__xludf.DUMMYFUNCTION("""COMPUTED_VALUE"""),42755.66666666667)</f>
        <v>42755.66667</v>
      </c>
      <c r="H244" s="23">
        <f>IFERROR(__xludf.DUMMYFUNCTION("""COMPUTED_VALUE"""),71.46)</f>
        <v>71.46</v>
      </c>
      <c r="I244" s="22">
        <f>IFERROR(__xludf.DUMMYFUNCTION("""COMPUTED_VALUE"""),42755.66666666667)</f>
        <v>42755.66667</v>
      </c>
      <c r="J244" s="23">
        <f>IFERROR(__xludf.DUMMYFUNCTION("""COMPUTED_VALUE"""),154.33)</f>
        <v>154.33</v>
      </c>
      <c r="K244" s="22">
        <f>IFERROR(__xludf.DUMMYFUNCTION("""COMPUTED_VALUE"""),42755.66666666667)</f>
        <v>42755.66667</v>
      </c>
      <c r="L244" s="23">
        <f>IFERROR(__xludf.DUMMYFUNCTION("""COMPUTED_VALUE"""),60.06)</f>
        <v>60.06</v>
      </c>
      <c r="M244" s="23">
        <v>0.0</v>
      </c>
      <c r="N244" s="23">
        <v>0.0</v>
      </c>
      <c r="O244" s="23">
        <v>0.0</v>
      </c>
      <c r="P244" s="23">
        <f t="shared" si="1"/>
        <v>0</v>
      </c>
      <c r="Q244" s="23">
        <f t="shared" si="2"/>
        <v>0</v>
      </c>
      <c r="R244" s="23">
        <f t="shared" si="3"/>
        <v>0</v>
      </c>
      <c r="S244" s="19"/>
      <c r="T244" s="19"/>
      <c r="U244" s="19"/>
      <c r="V244" s="19"/>
    </row>
    <row r="245">
      <c r="A245" s="22">
        <f>IFERROR(__xludf.DUMMYFUNCTION("""COMPUTED_VALUE"""),42313.66666666667)</f>
        <v>42313.66667</v>
      </c>
      <c r="B245" s="23">
        <f>IFERROR(__xludf.DUMMYFUNCTION("""COMPUTED_VALUE"""),60.79)</f>
        <v>60.79</v>
      </c>
      <c r="C245" s="22">
        <f>IFERROR(__xludf.DUMMYFUNCTION("""COMPUTED_VALUE"""),43573.66666666667)</f>
        <v>43573.66667</v>
      </c>
      <c r="D245" s="23">
        <f>IFERROR(__xludf.DUMMYFUNCTION("""COMPUTED_VALUE"""),104.56)</f>
        <v>104.56</v>
      </c>
      <c r="E245" s="22">
        <f>IFERROR(__xludf.DUMMYFUNCTION("""COMPUTED_VALUE"""),42500.66666666667)</f>
        <v>42500.66667</v>
      </c>
      <c r="F245" s="23">
        <f>IFERROR(__xludf.DUMMYFUNCTION("""COMPUTED_VALUE"""),10.34)</f>
        <v>10.34</v>
      </c>
      <c r="G245" s="22">
        <f>IFERROR(__xludf.DUMMYFUNCTION("""COMPUTED_VALUE"""),42762.66666666667)</f>
        <v>42762.66667</v>
      </c>
      <c r="H245" s="23">
        <f>IFERROR(__xludf.DUMMYFUNCTION("""COMPUTED_VALUE"""),72.18)</f>
        <v>72.18</v>
      </c>
      <c r="I245" s="22">
        <f>IFERROR(__xludf.DUMMYFUNCTION("""COMPUTED_VALUE"""),42762.66666666667)</f>
        <v>42762.66667</v>
      </c>
      <c r="J245" s="23">
        <f>IFERROR(__xludf.DUMMYFUNCTION("""COMPUTED_VALUE"""),157.22)</f>
        <v>157.22</v>
      </c>
      <c r="K245" s="22">
        <f>IFERROR(__xludf.DUMMYFUNCTION("""COMPUTED_VALUE"""),42762.66666666667)</f>
        <v>42762.66667</v>
      </c>
      <c r="L245" s="23">
        <f>IFERROR(__xludf.DUMMYFUNCTION("""COMPUTED_VALUE"""),61.42)</f>
        <v>61.42</v>
      </c>
      <c r="M245" s="23">
        <v>0.0</v>
      </c>
      <c r="N245" s="23">
        <v>0.0</v>
      </c>
      <c r="O245" s="23">
        <v>0.0</v>
      </c>
      <c r="P245" s="23">
        <f t="shared" si="1"/>
        <v>0</v>
      </c>
      <c r="Q245" s="23">
        <f t="shared" si="2"/>
        <v>0</v>
      </c>
      <c r="R245" s="23">
        <f t="shared" si="3"/>
        <v>0</v>
      </c>
      <c r="S245" s="19"/>
      <c r="T245" s="19"/>
      <c r="U245" s="19"/>
      <c r="V245" s="19"/>
    </row>
    <row r="246">
      <c r="A246" s="22">
        <f>IFERROR(__xludf.DUMMYFUNCTION("""COMPUTED_VALUE"""),42314.66666666667)</f>
        <v>42314.66667</v>
      </c>
      <c r="B246" s="23">
        <f>IFERROR(__xludf.DUMMYFUNCTION("""COMPUTED_VALUE"""),60.62)</f>
        <v>60.62</v>
      </c>
      <c r="C246" s="22">
        <f>IFERROR(__xludf.DUMMYFUNCTION("""COMPUTED_VALUE"""),43578.66666666667)</f>
        <v>43578.66667</v>
      </c>
      <c r="D246" s="23">
        <f>IFERROR(__xludf.DUMMYFUNCTION("""COMPUTED_VALUE"""),105.76)</f>
        <v>105.76</v>
      </c>
      <c r="E246" s="22">
        <f>IFERROR(__xludf.DUMMYFUNCTION("""COMPUTED_VALUE"""),42501.66666666667)</f>
        <v>42501.66667</v>
      </c>
      <c r="F246" s="23">
        <f>IFERROR(__xludf.DUMMYFUNCTION("""COMPUTED_VALUE"""),10.41)</f>
        <v>10.41</v>
      </c>
      <c r="G246" s="22">
        <f>IFERROR(__xludf.DUMMYFUNCTION("""COMPUTED_VALUE"""),42769.66666666667)</f>
        <v>42769.66667</v>
      </c>
      <c r="H246" s="23">
        <f>IFERROR(__xludf.DUMMYFUNCTION("""COMPUTED_VALUE"""),71.0)</f>
        <v>71</v>
      </c>
      <c r="I246" s="22">
        <f>IFERROR(__xludf.DUMMYFUNCTION("""COMPUTED_VALUE"""),42769.66666666667)</f>
        <v>42769.66667</v>
      </c>
      <c r="J246" s="23">
        <f>IFERROR(__xludf.DUMMYFUNCTION("""COMPUTED_VALUE"""),153.26)</f>
        <v>153.26</v>
      </c>
      <c r="K246" s="22">
        <f>IFERROR(__xludf.DUMMYFUNCTION("""COMPUTED_VALUE"""),42769.66666666667)</f>
        <v>42769.66667</v>
      </c>
      <c r="L246" s="23">
        <f>IFERROR(__xludf.DUMMYFUNCTION("""COMPUTED_VALUE"""),60.2)</f>
        <v>60.2</v>
      </c>
      <c r="M246" s="23">
        <v>0.0</v>
      </c>
      <c r="N246" s="23">
        <v>0.0</v>
      </c>
      <c r="O246" s="23">
        <v>0.0</v>
      </c>
      <c r="P246" s="23">
        <f t="shared" si="1"/>
        <v>0</v>
      </c>
      <c r="Q246" s="23">
        <f t="shared" si="2"/>
        <v>0</v>
      </c>
      <c r="R246" s="23">
        <f t="shared" si="3"/>
        <v>0</v>
      </c>
      <c r="S246" s="19"/>
      <c r="T246" s="19"/>
      <c r="U246" s="19"/>
      <c r="V246" s="19"/>
    </row>
    <row r="247">
      <c r="A247" s="22">
        <f>IFERROR(__xludf.DUMMYFUNCTION("""COMPUTED_VALUE"""),42317.66666666667)</f>
        <v>42317.66667</v>
      </c>
      <c r="B247" s="23">
        <f>IFERROR(__xludf.DUMMYFUNCTION("""COMPUTED_VALUE"""),61.25)</f>
        <v>61.25</v>
      </c>
      <c r="C247" s="22">
        <f>IFERROR(__xludf.DUMMYFUNCTION("""COMPUTED_VALUE"""),43579.66666666667)</f>
        <v>43579.66667</v>
      </c>
      <c r="D247" s="23">
        <f>IFERROR(__xludf.DUMMYFUNCTION("""COMPUTED_VALUE"""),106.73)</f>
        <v>106.73</v>
      </c>
      <c r="E247" s="22">
        <f>IFERROR(__xludf.DUMMYFUNCTION("""COMPUTED_VALUE"""),42502.66666666667)</f>
        <v>42502.66667</v>
      </c>
      <c r="F247" s="23">
        <f>IFERROR(__xludf.DUMMYFUNCTION("""COMPUTED_VALUE"""),10.36)</f>
        <v>10.36</v>
      </c>
      <c r="G247" s="22">
        <f>IFERROR(__xludf.DUMMYFUNCTION("""COMPUTED_VALUE"""),42776.66666666667)</f>
        <v>42776.66667</v>
      </c>
      <c r="H247" s="23">
        <f>IFERROR(__xludf.DUMMYFUNCTION("""COMPUTED_VALUE"""),72.28)</f>
        <v>72.28</v>
      </c>
      <c r="I247" s="22">
        <f>IFERROR(__xludf.DUMMYFUNCTION("""COMPUTED_VALUE"""),42776.66666666667)</f>
        <v>42776.66667</v>
      </c>
      <c r="J247" s="23">
        <f>IFERROR(__xludf.DUMMYFUNCTION("""COMPUTED_VALUE"""),155.9)</f>
        <v>155.9</v>
      </c>
      <c r="K247" s="22">
        <f>IFERROR(__xludf.DUMMYFUNCTION("""COMPUTED_VALUE"""),42776.66666666667)</f>
        <v>42776.66667</v>
      </c>
      <c r="L247" s="23">
        <f>IFERROR(__xludf.DUMMYFUNCTION("""COMPUTED_VALUE"""),60.78)</f>
        <v>60.78</v>
      </c>
      <c r="M247" s="23">
        <v>200.0</v>
      </c>
      <c r="N247" s="23">
        <v>200.0</v>
      </c>
      <c r="O247" s="23">
        <v>200.0</v>
      </c>
      <c r="P247" s="23">
        <f t="shared" si="1"/>
        <v>2.767017156</v>
      </c>
      <c r="Q247" s="23">
        <f t="shared" si="2"/>
        <v>1.282873637</v>
      </c>
      <c r="R247" s="23">
        <f t="shared" si="3"/>
        <v>3.290556104</v>
      </c>
      <c r="S247" s="19"/>
      <c r="T247" s="19"/>
      <c r="U247" s="19"/>
      <c r="V247" s="19"/>
    </row>
    <row r="248">
      <c r="A248" s="22">
        <f>IFERROR(__xludf.DUMMYFUNCTION("""COMPUTED_VALUE"""),42318.66666666667)</f>
        <v>42318.66667</v>
      </c>
      <c r="B248" s="23">
        <f>IFERROR(__xludf.DUMMYFUNCTION("""COMPUTED_VALUE"""),60.8)</f>
        <v>60.8</v>
      </c>
      <c r="C248" s="22">
        <f>IFERROR(__xludf.DUMMYFUNCTION("""COMPUTED_VALUE"""),43581.66666666667)</f>
        <v>43581.66667</v>
      </c>
      <c r="D248" s="23">
        <f>IFERROR(__xludf.DUMMYFUNCTION("""COMPUTED_VALUE"""),106.82)</f>
        <v>106.82</v>
      </c>
      <c r="E248" s="22">
        <f>IFERROR(__xludf.DUMMYFUNCTION("""COMPUTED_VALUE"""),42503.66666666667)</f>
        <v>42503.66667</v>
      </c>
      <c r="F248" s="23">
        <f>IFERROR(__xludf.DUMMYFUNCTION("""COMPUTED_VALUE"""),10.28)</f>
        <v>10.28</v>
      </c>
      <c r="G248" s="22">
        <f>IFERROR(__xludf.DUMMYFUNCTION("""COMPUTED_VALUE"""),42783.66666666667)</f>
        <v>42783.66667</v>
      </c>
      <c r="H248" s="23">
        <f>IFERROR(__xludf.DUMMYFUNCTION("""COMPUTED_VALUE"""),73.38)</f>
        <v>73.38</v>
      </c>
      <c r="I248" s="22">
        <f>IFERROR(__xludf.DUMMYFUNCTION("""COMPUTED_VALUE"""),42783.66666666667)</f>
        <v>42783.66667</v>
      </c>
      <c r="J248" s="23">
        <f>IFERROR(__xludf.DUMMYFUNCTION("""COMPUTED_VALUE"""),157.19)</f>
        <v>157.19</v>
      </c>
      <c r="K248" s="22">
        <f>IFERROR(__xludf.DUMMYFUNCTION("""COMPUTED_VALUE"""),42783.66666666667)</f>
        <v>42783.66667</v>
      </c>
      <c r="L248" s="23">
        <f>IFERROR(__xludf.DUMMYFUNCTION("""COMPUTED_VALUE"""),60.96)</f>
        <v>60.96</v>
      </c>
      <c r="M248" s="23">
        <v>0.0</v>
      </c>
      <c r="N248" s="23">
        <v>0.0</v>
      </c>
      <c r="O248" s="23">
        <v>0.0</v>
      </c>
      <c r="P248" s="23">
        <f t="shared" si="1"/>
        <v>0</v>
      </c>
      <c r="Q248" s="23">
        <f t="shared" si="2"/>
        <v>0</v>
      </c>
      <c r="R248" s="23">
        <f t="shared" si="3"/>
        <v>0</v>
      </c>
      <c r="S248" s="19"/>
      <c r="T248" s="19"/>
      <c r="U248" s="19"/>
      <c r="V248" s="19"/>
    </row>
    <row r="249">
      <c r="A249" s="22">
        <f>IFERROR(__xludf.DUMMYFUNCTION("""COMPUTED_VALUE"""),42319.66666666667)</f>
        <v>42319.66667</v>
      </c>
      <c r="B249" s="23">
        <f>IFERROR(__xludf.DUMMYFUNCTION("""COMPUTED_VALUE"""),60.8)</f>
        <v>60.8</v>
      </c>
      <c r="C249" s="22">
        <f>IFERROR(__xludf.DUMMYFUNCTION("""COMPUTED_VALUE"""),43584.66666666667)</f>
        <v>43584.66667</v>
      </c>
      <c r="D249" s="23">
        <f>IFERROR(__xludf.DUMMYFUNCTION("""COMPUTED_VALUE"""),106.4)</f>
        <v>106.4</v>
      </c>
      <c r="E249" s="22">
        <f>IFERROR(__xludf.DUMMYFUNCTION("""COMPUTED_VALUE"""),42506.66666666667)</f>
        <v>42506.66667</v>
      </c>
      <c r="F249" s="23">
        <f>IFERROR(__xludf.DUMMYFUNCTION("""COMPUTED_VALUE"""),10.34)</f>
        <v>10.34</v>
      </c>
      <c r="G249" s="22">
        <f>IFERROR(__xludf.DUMMYFUNCTION("""COMPUTED_VALUE"""),42790.66666666667)</f>
        <v>42790.66667</v>
      </c>
      <c r="H249" s="23">
        <f>IFERROR(__xludf.DUMMYFUNCTION("""COMPUTED_VALUE"""),72.9)</f>
        <v>72.9</v>
      </c>
      <c r="I249" s="22">
        <f>IFERROR(__xludf.DUMMYFUNCTION("""COMPUTED_VALUE"""),42790.66666666667)</f>
        <v>42790.66667</v>
      </c>
      <c r="J249" s="23">
        <f>IFERROR(__xludf.DUMMYFUNCTION("""COMPUTED_VALUE"""),157.92)</f>
        <v>157.92</v>
      </c>
      <c r="K249" s="22">
        <f>IFERROR(__xludf.DUMMYFUNCTION("""COMPUTED_VALUE"""),42790.66666666667)</f>
        <v>42790.66667</v>
      </c>
      <c r="L249" s="23">
        <f>IFERROR(__xludf.DUMMYFUNCTION("""COMPUTED_VALUE"""),61.11)</f>
        <v>61.11</v>
      </c>
      <c r="M249" s="23">
        <v>0.0</v>
      </c>
      <c r="N249" s="23">
        <v>0.0</v>
      </c>
      <c r="O249" s="23">
        <v>0.0</v>
      </c>
      <c r="P249" s="23">
        <f t="shared" si="1"/>
        <v>0</v>
      </c>
      <c r="Q249" s="23">
        <f t="shared" si="2"/>
        <v>0</v>
      </c>
      <c r="R249" s="23">
        <f t="shared" si="3"/>
        <v>0</v>
      </c>
      <c r="S249" s="19"/>
      <c r="T249" s="19"/>
      <c r="U249" s="19"/>
      <c r="V249" s="19"/>
    </row>
    <row r="250">
      <c r="A250" s="22">
        <f>IFERROR(__xludf.DUMMYFUNCTION("""COMPUTED_VALUE"""),42320.66666666667)</f>
        <v>42320.66667</v>
      </c>
      <c r="B250" s="23">
        <f>IFERROR(__xludf.DUMMYFUNCTION("""COMPUTED_VALUE"""),60.18)</f>
        <v>60.18</v>
      </c>
      <c r="C250" s="22">
        <f>IFERROR(__xludf.DUMMYFUNCTION("""COMPUTED_VALUE"""),43585.66666666667)</f>
        <v>43585.66667</v>
      </c>
      <c r="D250" s="23">
        <f>IFERROR(__xludf.DUMMYFUNCTION("""COMPUTED_VALUE"""),105.82)</f>
        <v>105.82</v>
      </c>
      <c r="E250" s="22">
        <f>IFERROR(__xludf.DUMMYFUNCTION("""COMPUTED_VALUE"""),42507.66666666667)</f>
        <v>42507.66667</v>
      </c>
      <c r="F250" s="23">
        <f>IFERROR(__xludf.DUMMYFUNCTION("""COMPUTED_VALUE"""),10.36)</f>
        <v>10.36</v>
      </c>
      <c r="G250" s="22">
        <f>IFERROR(__xludf.DUMMYFUNCTION("""COMPUTED_VALUE"""),42797.66666666667)</f>
        <v>42797.66667</v>
      </c>
      <c r="H250" s="23">
        <f>IFERROR(__xludf.DUMMYFUNCTION("""COMPUTED_VALUE"""),72.94)</f>
        <v>72.94</v>
      </c>
      <c r="I250" s="22">
        <f>IFERROR(__xludf.DUMMYFUNCTION("""COMPUTED_VALUE"""),42797.66666666667)</f>
        <v>42797.66667</v>
      </c>
      <c r="J250" s="23">
        <f>IFERROR(__xludf.DUMMYFUNCTION("""COMPUTED_VALUE"""),161.9)</f>
        <v>161.9</v>
      </c>
      <c r="K250" s="22">
        <f>IFERROR(__xludf.DUMMYFUNCTION("""COMPUTED_VALUE"""),42797.66666666667)</f>
        <v>42797.66667</v>
      </c>
      <c r="L250" s="23">
        <f>IFERROR(__xludf.DUMMYFUNCTION("""COMPUTED_VALUE"""),61.7)</f>
        <v>61.7</v>
      </c>
      <c r="M250" s="23">
        <v>0.0</v>
      </c>
      <c r="N250" s="23">
        <v>0.0</v>
      </c>
      <c r="O250" s="23">
        <v>0.0</v>
      </c>
      <c r="P250" s="23">
        <f t="shared" si="1"/>
        <v>0</v>
      </c>
      <c r="Q250" s="23">
        <f t="shared" si="2"/>
        <v>0</v>
      </c>
      <c r="R250" s="23">
        <f t="shared" si="3"/>
        <v>0</v>
      </c>
      <c r="S250" s="19"/>
      <c r="T250" s="19"/>
      <c r="U250" s="19"/>
      <c r="V250" s="19"/>
    </row>
    <row r="251">
      <c r="A251" s="22">
        <f>IFERROR(__xludf.DUMMYFUNCTION("""COMPUTED_VALUE"""),42321.66666666667)</f>
        <v>42321.66667</v>
      </c>
      <c r="B251" s="23">
        <f>IFERROR(__xludf.DUMMYFUNCTION("""COMPUTED_VALUE"""),59.28)</f>
        <v>59.28</v>
      </c>
      <c r="C251" s="22">
        <f>IFERROR(__xludf.DUMMYFUNCTION("""COMPUTED_VALUE"""),43586.66666666667)</f>
        <v>43586.66667</v>
      </c>
      <c r="D251" s="23">
        <f>IFERROR(__xludf.DUMMYFUNCTION("""COMPUTED_VALUE"""),106.65)</f>
        <v>106.65</v>
      </c>
      <c r="E251" s="22">
        <f>IFERROR(__xludf.DUMMYFUNCTION("""COMPUTED_VALUE"""),42508.66666666667)</f>
        <v>42508.66667</v>
      </c>
      <c r="F251" s="23">
        <f>IFERROR(__xludf.DUMMYFUNCTION("""COMPUTED_VALUE"""),10.34)</f>
        <v>10.34</v>
      </c>
      <c r="G251" s="22">
        <f>IFERROR(__xludf.DUMMYFUNCTION("""COMPUTED_VALUE"""),42804.66666666667)</f>
        <v>42804.66667</v>
      </c>
      <c r="H251" s="23">
        <f>IFERROR(__xludf.DUMMYFUNCTION("""COMPUTED_VALUE"""),73.79)</f>
        <v>73.79</v>
      </c>
      <c r="I251" s="22">
        <f>IFERROR(__xludf.DUMMYFUNCTION("""COMPUTED_VALUE"""),42804.66666666667)</f>
        <v>42804.66667</v>
      </c>
      <c r="J251" s="23">
        <f>IFERROR(__xludf.DUMMYFUNCTION("""COMPUTED_VALUE"""),162.18)</f>
        <v>162.18</v>
      </c>
      <c r="K251" s="22">
        <f>IFERROR(__xludf.DUMMYFUNCTION("""COMPUTED_VALUE"""),42804.66666666667)</f>
        <v>42804.66667</v>
      </c>
      <c r="L251" s="23">
        <f>IFERROR(__xludf.DUMMYFUNCTION("""COMPUTED_VALUE"""),62.2)</f>
        <v>62.2</v>
      </c>
      <c r="M251" s="23">
        <v>200.0</v>
      </c>
      <c r="N251" s="23">
        <v>200.0</v>
      </c>
      <c r="O251" s="23">
        <v>200.0</v>
      </c>
      <c r="P251" s="23">
        <f t="shared" si="1"/>
        <v>2.710394362</v>
      </c>
      <c r="Q251" s="23">
        <f t="shared" si="2"/>
        <v>1.233197682</v>
      </c>
      <c r="R251" s="23">
        <f t="shared" si="3"/>
        <v>3.215434084</v>
      </c>
      <c r="S251" s="19"/>
      <c r="T251" s="19"/>
      <c r="U251" s="19"/>
      <c r="V251" s="19"/>
    </row>
    <row r="252">
      <c r="A252" s="22">
        <f>IFERROR(__xludf.DUMMYFUNCTION("""COMPUTED_VALUE"""),42324.66666666667)</f>
        <v>42324.66667</v>
      </c>
      <c r="B252" s="23">
        <f>IFERROR(__xludf.DUMMYFUNCTION("""COMPUTED_VALUE"""),58.57)</f>
        <v>58.57</v>
      </c>
      <c r="C252" s="22">
        <f>IFERROR(__xludf.DUMMYFUNCTION("""COMPUTED_VALUE"""),43587.66666666667)</f>
        <v>43587.66667</v>
      </c>
      <c r="D252" s="23">
        <f>IFERROR(__xludf.DUMMYFUNCTION("""COMPUTED_VALUE"""),105.93)</f>
        <v>105.93</v>
      </c>
      <c r="E252" s="22">
        <f>IFERROR(__xludf.DUMMYFUNCTION("""COMPUTED_VALUE"""),42509.66666666667)</f>
        <v>42509.66667</v>
      </c>
      <c r="F252" s="23">
        <f>IFERROR(__xludf.DUMMYFUNCTION("""COMPUTED_VALUE"""),10.47)</f>
        <v>10.47</v>
      </c>
      <c r="G252" s="22">
        <f>IFERROR(__xludf.DUMMYFUNCTION("""COMPUTED_VALUE"""),42811.66666666667)</f>
        <v>42811.66667</v>
      </c>
      <c r="H252" s="23">
        <f>IFERROR(__xludf.DUMMYFUNCTION("""COMPUTED_VALUE"""),74.14)</f>
        <v>74.14</v>
      </c>
      <c r="I252" s="22">
        <f>IFERROR(__xludf.DUMMYFUNCTION("""COMPUTED_VALUE"""),42811.66666666667)</f>
        <v>42811.66667</v>
      </c>
      <c r="J252" s="23">
        <f>IFERROR(__xludf.DUMMYFUNCTION("""COMPUTED_VALUE"""),159.59)</f>
        <v>159.59</v>
      </c>
      <c r="K252" s="22">
        <f>IFERROR(__xludf.DUMMYFUNCTION("""COMPUTED_VALUE"""),42811.66666666667)</f>
        <v>42811.66667</v>
      </c>
      <c r="L252" s="23">
        <f>IFERROR(__xludf.DUMMYFUNCTION("""COMPUTED_VALUE"""),62.46)</f>
        <v>62.46</v>
      </c>
      <c r="M252" s="23">
        <v>0.0</v>
      </c>
      <c r="N252" s="23">
        <v>0.0</v>
      </c>
      <c r="O252" s="23">
        <v>0.0</v>
      </c>
      <c r="P252" s="23">
        <f t="shared" si="1"/>
        <v>0</v>
      </c>
      <c r="Q252" s="23">
        <f t="shared" si="2"/>
        <v>0</v>
      </c>
      <c r="R252" s="23">
        <f t="shared" si="3"/>
        <v>0</v>
      </c>
      <c r="S252" s="19"/>
      <c r="T252" s="19"/>
      <c r="U252" s="19"/>
      <c r="V252" s="19"/>
    </row>
    <row r="253">
      <c r="A253" s="22">
        <f>IFERROR(__xludf.DUMMYFUNCTION("""COMPUTED_VALUE"""),42325.66666666667)</f>
        <v>42325.66667</v>
      </c>
      <c r="B253" s="23">
        <f>IFERROR(__xludf.DUMMYFUNCTION("""COMPUTED_VALUE"""),59.58)</f>
        <v>59.58</v>
      </c>
      <c r="C253" s="22">
        <f>IFERROR(__xludf.DUMMYFUNCTION("""COMPUTED_VALUE"""),43588.66666666667)</f>
        <v>43588.66667</v>
      </c>
      <c r="D253" s="23">
        <f>IFERROR(__xludf.DUMMYFUNCTION("""COMPUTED_VALUE"""),106.15)</f>
        <v>106.15</v>
      </c>
      <c r="E253" s="22">
        <f>IFERROR(__xludf.DUMMYFUNCTION("""COMPUTED_VALUE"""),42510.66666666667)</f>
        <v>42510.66667</v>
      </c>
      <c r="F253" s="23">
        <f>IFERROR(__xludf.DUMMYFUNCTION("""COMPUTED_VALUE"""),10.45)</f>
        <v>10.45</v>
      </c>
      <c r="G253" s="22">
        <f>IFERROR(__xludf.DUMMYFUNCTION("""COMPUTED_VALUE"""),42818.66666666667)</f>
        <v>42818.66667</v>
      </c>
      <c r="H253" s="23">
        <f>IFERROR(__xludf.DUMMYFUNCTION("""COMPUTED_VALUE"""),73.61)</f>
        <v>73.61</v>
      </c>
      <c r="I253" s="22">
        <f>IFERROR(__xludf.DUMMYFUNCTION("""COMPUTED_VALUE"""),42818.66666666667)</f>
        <v>42818.66667</v>
      </c>
      <c r="J253" s="23">
        <f>IFERROR(__xludf.DUMMYFUNCTION("""COMPUTED_VALUE"""),158.64)</f>
        <v>158.64</v>
      </c>
      <c r="K253" s="22">
        <f>IFERROR(__xludf.DUMMYFUNCTION("""COMPUTED_VALUE"""),42818.66666666667)</f>
        <v>42818.66667</v>
      </c>
      <c r="L253" s="23">
        <f>IFERROR(__xludf.DUMMYFUNCTION("""COMPUTED_VALUE"""),62.78)</f>
        <v>62.78</v>
      </c>
      <c r="M253" s="23">
        <v>0.0</v>
      </c>
      <c r="N253" s="23">
        <v>0.0</v>
      </c>
      <c r="O253" s="23">
        <v>0.0</v>
      </c>
      <c r="P253" s="23">
        <f t="shared" si="1"/>
        <v>0</v>
      </c>
      <c r="Q253" s="23">
        <f t="shared" si="2"/>
        <v>0</v>
      </c>
      <c r="R253" s="23">
        <f t="shared" si="3"/>
        <v>0</v>
      </c>
      <c r="S253" s="19"/>
      <c r="T253" s="19"/>
      <c r="U253" s="19"/>
      <c r="V253" s="19"/>
    </row>
    <row r="254">
      <c r="A254" s="22">
        <f>IFERROR(__xludf.DUMMYFUNCTION("""COMPUTED_VALUE"""),42326.66666666667)</f>
        <v>42326.66667</v>
      </c>
      <c r="B254" s="23">
        <f>IFERROR(__xludf.DUMMYFUNCTION("""COMPUTED_VALUE"""),59.78)</f>
        <v>59.78</v>
      </c>
      <c r="C254" s="22">
        <f>IFERROR(__xludf.DUMMYFUNCTION("""COMPUTED_VALUE"""),43591.66666666667)</f>
        <v>43591.66667</v>
      </c>
      <c r="D254" s="23">
        <f>IFERROR(__xludf.DUMMYFUNCTION("""COMPUTED_VALUE"""),105.05)</f>
        <v>105.05</v>
      </c>
      <c r="E254" s="22">
        <f>IFERROR(__xludf.DUMMYFUNCTION("""COMPUTED_VALUE"""),42513.66666666667)</f>
        <v>42513.66667</v>
      </c>
      <c r="F254" s="23">
        <f>IFERROR(__xludf.DUMMYFUNCTION("""COMPUTED_VALUE"""),10.52)</f>
        <v>10.52</v>
      </c>
      <c r="G254" s="22">
        <f>IFERROR(__xludf.DUMMYFUNCTION("""COMPUTED_VALUE"""),42825.66666666667)</f>
        <v>42825.66667</v>
      </c>
      <c r="H254" s="23">
        <f>IFERROR(__xludf.DUMMYFUNCTION("""COMPUTED_VALUE"""),74.96)</f>
        <v>74.96</v>
      </c>
      <c r="I254" s="22">
        <f>IFERROR(__xludf.DUMMYFUNCTION("""COMPUTED_VALUE"""),42825.66666666667)</f>
        <v>42825.66667</v>
      </c>
      <c r="J254" s="23">
        <f>IFERROR(__xludf.DUMMYFUNCTION("""COMPUTED_VALUE"""),158.71)</f>
        <v>158.71</v>
      </c>
      <c r="K254" s="22">
        <f>IFERROR(__xludf.DUMMYFUNCTION("""COMPUTED_VALUE"""),42825.66666666667)</f>
        <v>42825.66667</v>
      </c>
      <c r="L254" s="23">
        <f>IFERROR(__xludf.DUMMYFUNCTION("""COMPUTED_VALUE"""),62.56)</f>
        <v>62.56</v>
      </c>
      <c r="M254" s="23">
        <v>0.0</v>
      </c>
      <c r="N254" s="23">
        <v>0.0</v>
      </c>
      <c r="O254" s="23">
        <v>0.0</v>
      </c>
      <c r="P254" s="23">
        <f t="shared" si="1"/>
        <v>0</v>
      </c>
      <c r="Q254" s="23">
        <f t="shared" si="2"/>
        <v>0</v>
      </c>
      <c r="R254" s="23">
        <f t="shared" si="3"/>
        <v>0</v>
      </c>
      <c r="S254" s="19"/>
      <c r="T254" s="19"/>
      <c r="U254" s="19"/>
      <c r="V254" s="19"/>
    </row>
    <row r="255">
      <c r="A255" s="22">
        <f>IFERROR(__xludf.DUMMYFUNCTION("""COMPUTED_VALUE"""),42327.66666666667)</f>
        <v>42327.66667</v>
      </c>
      <c r="B255" s="23">
        <f>IFERROR(__xludf.DUMMYFUNCTION("""COMPUTED_VALUE"""),59.98)</f>
        <v>59.98</v>
      </c>
      <c r="C255" s="22">
        <f>IFERROR(__xludf.DUMMYFUNCTION("""COMPUTED_VALUE"""),43592.66666666667)</f>
        <v>43592.66667</v>
      </c>
      <c r="D255" s="23">
        <f>IFERROR(__xludf.DUMMYFUNCTION("""COMPUTED_VALUE"""),105.41)</f>
        <v>105.41</v>
      </c>
      <c r="E255" s="22">
        <f>IFERROR(__xludf.DUMMYFUNCTION("""COMPUTED_VALUE"""),42514.66666666667)</f>
        <v>42514.66667</v>
      </c>
      <c r="F255" s="23">
        <f>IFERROR(__xludf.DUMMYFUNCTION("""COMPUTED_VALUE"""),10.52)</f>
        <v>10.52</v>
      </c>
      <c r="G255" s="22">
        <f>IFERROR(__xludf.DUMMYFUNCTION("""COMPUTED_VALUE"""),42832.66666666667)</f>
        <v>42832.66667</v>
      </c>
      <c r="H255" s="23">
        <f>IFERROR(__xludf.DUMMYFUNCTION("""COMPUTED_VALUE"""),74.32)</f>
        <v>74.32</v>
      </c>
      <c r="I255" s="22">
        <f>IFERROR(__xludf.DUMMYFUNCTION("""COMPUTED_VALUE"""),42832.66666666667)</f>
        <v>42832.66667</v>
      </c>
      <c r="J255" s="23">
        <f>IFERROR(__xludf.DUMMYFUNCTION("""COMPUTED_VALUE"""),160.3)</f>
        <v>160.3</v>
      </c>
      <c r="K255" s="22">
        <f>IFERROR(__xludf.DUMMYFUNCTION("""COMPUTED_VALUE"""),42832.66666666667)</f>
        <v>42832.66667</v>
      </c>
      <c r="L255" s="23">
        <f>IFERROR(__xludf.DUMMYFUNCTION("""COMPUTED_VALUE"""),63.1)</f>
        <v>63.1</v>
      </c>
      <c r="M255" s="23">
        <v>200.0</v>
      </c>
      <c r="N255" s="23">
        <v>200.0</v>
      </c>
      <c r="O255" s="23">
        <v>200.0</v>
      </c>
      <c r="P255" s="23">
        <f t="shared" si="1"/>
        <v>2.691065662</v>
      </c>
      <c r="Q255" s="23">
        <f t="shared" si="2"/>
        <v>1.247660636</v>
      </c>
      <c r="R255" s="23">
        <f t="shared" si="3"/>
        <v>3.169572108</v>
      </c>
      <c r="S255" s="19"/>
      <c r="T255" s="19"/>
      <c r="U255" s="19"/>
      <c r="V255" s="19"/>
    </row>
    <row r="256">
      <c r="A256" s="22">
        <f>IFERROR(__xludf.DUMMYFUNCTION("""COMPUTED_VALUE"""),42328.66666666667)</f>
        <v>42328.66667</v>
      </c>
      <c r="B256" s="23">
        <f>IFERROR(__xludf.DUMMYFUNCTION("""COMPUTED_VALUE"""),59.72)</f>
        <v>59.72</v>
      </c>
      <c r="C256" s="22">
        <f>IFERROR(__xludf.DUMMYFUNCTION("""COMPUTED_VALUE"""),43593.66666666667)</f>
        <v>43593.66667</v>
      </c>
      <c r="D256" s="23">
        <f>IFERROR(__xludf.DUMMYFUNCTION("""COMPUTED_VALUE"""),104.8)</f>
        <v>104.8</v>
      </c>
      <c r="E256" s="22">
        <f>IFERROR(__xludf.DUMMYFUNCTION("""COMPUTED_VALUE"""),42515.66666666667)</f>
        <v>42515.66667</v>
      </c>
      <c r="F256" s="23">
        <f>IFERROR(__xludf.DUMMYFUNCTION("""COMPUTED_VALUE"""),10.78)</f>
        <v>10.78</v>
      </c>
      <c r="G256" s="22">
        <f>IFERROR(__xludf.DUMMYFUNCTION("""COMPUTED_VALUE"""),42838.66666666667)</f>
        <v>42838.66667</v>
      </c>
      <c r="H256" s="23">
        <f>IFERROR(__xludf.DUMMYFUNCTION("""COMPUTED_VALUE"""),74.73)</f>
        <v>74.73</v>
      </c>
      <c r="I256" s="22">
        <f>IFERROR(__xludf.DUMMYFUNCTION("""COMPUTED_VALUE"""),42838.66666666667)</f>
        <v>42838.66667</v>
      </c>
      <c r="J256" s="23">
        <f>IFERROR(__xludf.DUMMYFUNCTION("""COMPUTED_VALUE"""),158.78)</f>
        <v>158.78</v>
      </c>
      <c r="K256" s="22">
        <f>IFERROR(__xludf.DUMMYFUNCTION("""COMPUTED_VALUE"""),42838.66666666667)</f>
        <v>42838.66667</v>
      </c>
      <c r="L256" s="23">
        <f>IFERROR(__xludf.DUMMYFUNCTION("""COMPUTED_VALUE"""),62.95)</f>
        <v>62.95</v>
      </c>
      <c r="M256" s="23">
        <v>0.0</v>
      </c>
      <c r="N256" s="23">
        <v>0.0</v>
      </c>
      <c r="O256" s="23">
        <v>0.0</v>
      </c>
      <c r="P256" s="23">
        <f t="shared" si="1"/>
        <v>0</v>
      </c>
      <c r="Q256" s="23">
        <f t="shared" si="2"/>
        <v>0</v>
      </c>
      <c r="R256" s="23">
        <f t="shared" si="3"/>
        <v>0</v>
      </c>
      <c r="S256" s="19"/>
      <c r="T256" s="19"/>
      <c r="U256" s="19"/>
      <c r="V256" s="19"/>
    </row>
    <row r="257">
      <c r="A257" s="22">
        <f>IFERROR(__xludf.DUMMYFUNCTION("""COMPUTED_VALUE"""),42331.66666666667)</f>
        <v>42331.66667</v>
      </c>
      <c r="B257" s="23">
        <f>IFERROR(__xludf.DUMMYFUNCTION("""COMPUTED_VALUE"""),59.93)</f>
        <v>59.93</v>
      </c>
      <c r="C257" s="22">
        <f>IFERROR(__xludf.DUMMYFUNCTION("""COMPUTED_VALUE"""),43594.66666666667)</f>
        <v>43594.66667</v>
      </c>
      <c r="D257" s="23">
        <f>IFERROR(__xludf.DUMMYFUNCTION("""COMPUTED_VALUE"""),105.27)</f>
        <v>105.27</v>
      </c>
      <c r="E257" s="22">
        <f>IFERROR(__xludf.DUMMYFUNCTION("""COMPUTED_VALUE"""),42516.66666666667)</f>
        <v>42516.66667</v>
      </c>
      <c r="F257" s="23">
        <f>IFERROR(__xludf.DUMMYFUNCTION("""COMPUTED_VALUE"""),10.78)</f>
        <v>10.78</v>
      </c>
      <c r="G257" s="22">
        <f>IFERROR(__xludf.DUMMYFUNCTION("""COMPUTED_VALUE"""),42846.66666666667)</f>
        <v>42846.66667</v>
      </c>
      <c r="H257" s="23">
        <f>IFERROR(__xludf.DUMMYFUNCTION("""COMPUTED_VALUE"""),74.42)</f>
        <v>74.42</v>
      </c>
      <c r="I257" s="22">
        <f>IFERROR(__xludf.DUMMYFUNCTION("""COMPUTED_VALUE"""),42846.66666666667)</f>
        <v>42846.66667</v>
      </c>
      <c r="J257" s="23">
        <f>IFERROR(__xludf.DUMMYFUNCTION("""COMPUTED_VALUE"""),160.97)</f>
        <v>160.97</v>
      </c>
      <c r="K257" s="22">
        <f>IFERROR(__xludf.DUMMYFUNCTION("""COMPUTED_VALUE"""),42846.66666666667)</f>
        <v>42846.66667</v>
      </c>
      <c r="L257" s="23">
        <f>IFERROR(__xludf.DUMMYFUNCTION("""COMPUTED_VALUE"""),63.3)</f>
        <v>63.3</v>
      </c>
      <c r="M257" s="23">
        <v>0.0</v>
      </c>
      <c r="N257" s="23">
        <v>0.0</v>
      </c>
      <c r="O257" s="23">
        <v>0.0</v>
      </c>
      <c r="P257" s="23">
        <f t="shared" si="1"/>
        <v>0</v>
      </c>
      <c r="Q257" s="23">
        <f t="shared" si="2"/>
        <v>0</v>
      </c>
      <c r="R257" s="23">
        <f t="shared" si="3"/>
        <v>0</v>
      </c>
      <c r="S257" s="19"/>
      <c r="T257" s="19"/>
      <c r="U257" s="19"/>
      <c r="V257" s="19"/>
    </row>
    <row r="258">
      <c r="A258" s="22">
        <f>IFERROR(__xludf.DUMMYFUNCTION("""COMPUTED_VALUE"""),42332.66666666667)</f>
        <v>42332.66667</v>
      </c>
      <c r="B258" s="23">
        <f>IFERROR(__xludf.DUMMYFUNCTION("""COMPUTED_VALUE"""),59.61)</f>
        <v>59.61</v>
      </c>
      <c r="C258" s="22">
        <f>IFERROR(__xludf.DUMMYFUNCTION("""COMPUTED_VALUE"""),43595.66666666667)</f>
        <v>43595.66667</v>
      </c>
      <c r="D258" s="23">
        <f>IFERROR(__xludf.DUMMYFUNCTION("""COMPUTED_VALUE"""),105.6)</f>
        <v>105.6</v>
      </c>
      <c r="E258" s="22">
        <f>IFERROR(__xludf.DUMMYFUNCTION("""COMPUTED_VALUE"""),42517.66666666667)</f>
        <v>42517.66667</v>
      </c>
      <c r="F258" s="23">
        <f>IFERROR(__xludf.DUMMYFUNCTION("""COMPUTED_VALUE"""),10.85)</f>
        <v>10.85</v>
      </c>
      <c r="G258" s="22">
        <f>IFERROR(__xludf.DUMMYFUNCTION("""COMPUTED_VALUE"""),42853.66666666667)</f>
        <v>42853.66667</v>
      </c>
      <c r="H258" s="23">
        <f>IFERROR(__xludf.DUMMYFUNCTION("""COMPUTED_VALUE"""),75.14)</f>
        <v>75.14</v>
      </c>
      <c r="I258" s="22">
        <f>IFERROR(__xludf.DUMMYFUNCTION("""COMPUTED_VALUE"""),42853.66666666667)</f>
        <v>42853.66667</v>
      </c>
      <c r="J258" s="23">
        <f>IFERROR(__xludf.DUMMYFUNCTION("""COMPUTED_VALUE"""),164.4)</f>
        <v>164.4</v>
      </c>
      <c r="K258" s="22">
        <f>IFERROR(__xludf.DUMMYFUNCTION("""COMPUTED_VALUE"""),42853.66666666667)</f>
        <v>42853.66667</v>
      </c>
      <c r="L258" s="23">
        <f>IFERROR(__xludf.DUMMYFUNCTION("""COMPUTED_VALUE"""),65.13)</f>
        <v>65.13</v>
      </c>
      <c r="M258" s="23">
        <v>0.0</v>
      </c>
      <c r="N258" s="23">
        <v>0.0</v>
      </c>
      <c r="O258" s="23">
        <v>0.0</v>
      </c>
      <c r="P258" s="23">
        <f t="shared" si="1"/>
        <v>0</v>
      </c>
      <c r="Q258" s="23">
        <f t="shared" si="2"/>
        <v>0</v>
      </c>
      <c r="R258" s="23">
        <f t="shared" si="3"/>
        <v>0</v>
      </c>
      <c r="S258" s="19"/>
      <c r="T258" s="19"/>
      <c r="U258" s="19"/>
      <c r="V258" s="19"/>
    </row>
    <row r="259">
      <c r="A259" s="22">
        <f>IFERROR(__xludf.DUMMYFUNCTION("""COMPUTED_VALUE"""),42333.66666666667)</f>
        <v>42333.66667</v>
      </c>
      <c r="B259" s="23">
        <f>IFERROR(__xludf.DUMMYFUNCTION("""COMPUTED_VALUE"""),59.0)</f>
        <v>59</v>
      </c>
      <c r="C259" s="22">
        <f>IFERROR(__xludf.DUMMYFUNCTION("""COMPUTED_VALUE"""),43598.66666666667)</f>
        <v>43598.66667</v>
      </c>
      <c r="D259" s="23">
        <f>IFERROR(__xludf.DUMMYFUNCTION("""COMPUTED_VALUE"""),105.52)</f>
        <v>105.52</v>
      </c>
      <c r="E259" s="22">
        <f>IFERROR(__xludf.DUMMYFUNCTION("""COMPUTED_VALUE"""),42520.66666666667)</f>
        <v>42520.66667</v>
      </c>
      <c r="F259" s="23">
        <f>IFERROR(__xludf.DUMMYFUNCTION("""COMPUTED_VALUE"""),11.02)</f>
        <v>11.02</v>
      </c>
      <c r="G259" s="22">
        <f>IFERROR(__xludf.DUMMYFUNCTION("""COMPUTED_VALUE"""),42860.66666666667)</f>
        <v>42860.66667</v>
      </c>
      <c r="H259" s="23">
        <f>IFERROR(__xludf.DUMMYFUNCTION("""COMPUTED_VALUE"""),74.29)</f>
        <v>74.29</v>
      </c>
      <c r="I259" s="22">
        <f>IFERROR(__xludf.DUMMYFUNCTION("""COMPUTED_VALUE"""),42860.66666666667)</f>
        <v>42860.66667</v>
      </c>
      <c r="J259" s="23">
        <f>IFERROR(__xludf.DUMMYFUNCTION("""COMPUTED_VALUE"""),166.15)</f>
        <v>166.15</v>
      </c>
      <c r="K259" s="22">
        <f>IFERROR(__xludf.DUMMYFUNCTION("""COMPUTED_VALUE"""),42860.66666666667)</f>
        <v>42860.66667</v>
      </c>
      <c r="L259" s="23">
        <f>IFERROR(__xludf.DUMMYFUNCTION("""COMPUTED_VALUE"""),66.72)</f>
        <v>66.72</v>
      </c>
      <c r="M259" s="23">
        <v>200.0</v>
      </c>
      <c r="N259" s="23">
        <v>200.0</v>
      </c>
      <c r="O259" s="23">
        <v>200.0</v>
      </c>
      <c r="P259" s="23">
        <f t="shared" si="1"/>
        <v>2.692152376</v>
      </c>
      <c r="Q259" s="23">
        <f t="shared" si="2"/>
        <v>1.203731568</v>
      </c>
      <c r="R259" s="23">
        <f t="shared" si="3"/>
        <v>2.997601918</v>
      </c>
      <c r="S259" s="19"/>
      <c r="T259" s="19"/>
      <c r="U259" s="19"/>
      <c r="V259" s="19"/>
    </row>
    <row r="260">
      <c r="A260" s="22">
        <f>IFERROR(__xludf.DUMMYFUNCTION("""COMPUTED_VALUE"""),42334.66666666667)</f>
        <v>42334.66667</v>
      </c>
      <c r="B260" s="23">
        <f>IFERROR(__xludf.DUMMYFUNCTION("""COMPUTED_VALUE"""),59.78)</f>
        <v>59.78</v>
      </c>
      <c r="C260" s="22">
        <f>IFERROR(__xludf.DUMMYFUNCTION("""COMPUTED_VALUE"""),43599.66666666667)</f>
        <v>43599.66667</v>
      </c>
      <c r="D260" s="23">
        <f>IFERROR(__xludf.DUMMYFUNCTION("""COMPUTED_VALUE"""),104.76)</f>
        <v>104.76</v>
      </c>
      <c r="E260" s="22">
        <f>IFERROR(__xludf.DUMMYFUNCTION("""COMPUTED_VALUE"""),42521.66666666667)</f>
        <v>42521.66667</v>
      </c>
      <c r="F260" s="23">
        <f>IFERROR(__xludf.DUMMYFUNCTION("""COMPUTED_VALUE"""),10.91)</f>
        <v>10.91</v>
      </c>
      <c r="G260" s="22">
        <f>IFERROR(__xludf.DUMMYFUNCTION("""COMPUTED_VALUE"""),42867.66666666667)</f>
        <v>42867.66667</v>
      </c>
      <c r="H260" s="23">
        <f>IFERROR(__xludf.DUMMYFUNCTION("""COMPUTED_VALUE"""),74.09)</f>
        <v>74.09</v>
      </c>
      <c r="I260" s="22">
        <f>IFERROR(__xludf.DUMMYFUNCTION("""COMPUTED_VALUE"""),42867.66666666667)</f>
        <v>42867.66667</v>
      </c>
      <c r="J260" s="23">
        <f>IFERROR(__xludf.DUMMYFUNCTION("""COMPUTED_VALUE"""),166.49)</f>
        <v>166.49</v>
      </c>
      <c r="K260" s="22">
        <f>IFERROR(__xludf.DUMMYFUNCTION("""COMPUTED_VALUE"""),42867.66666666667)</f>
        <v>42867.66667</v>
      </c>
      <c r="L260" s="23">
        <f>IFERROR(__xludf.DUMMYFUNCTION("""COMPUTED_VALUE"""),67.14)</f>
        <v>67.14</v>
      </c>
      <c r="M260" s="23">
        <v>0.0</v>
      </c>
      <c r="N260" s="23">
        <v>0.0</v>
      </c>
      <c r="O260" s="23">
        <v>0.0</v>
      </c>
      <c r="P260" s="23">
        <f t="shared" si="1"/>
        <v>0</v>
      </c>
      <c r="Q260" s="23">
        <f t="shared" si="2"/>
        <v>0</v>
      </c>
      <c r="R260" s="23">
        <f t="shared" si="3"/>
        <v>0</v>
      </c>
      <c r="S260" s="19"/>
      <c r="T260" s="19"/>
      <c r="U260" s="19"/>
      <c r="V260" s="19"/>
    </row>
    <row r="261">
      <c r="A261" s="22">
        <f>IFERROR(__xludf.DUMMYFUNCTION("""COMPUTED_VALUE"""),42335.66666666667)</f>
        <v>42335.66667</v>
      </c>
      <c r="B261" s="23">
        <f>IFERROR(__xludf.DUMMYFUNCTION("""COMPUTED_VALUE"""),59.74)</f>
        <v>59.74</v>
      </c>
      <c r="C261" s="22">
        <f>IFERROR(__xludf.DUMMYFUNCTION("""COMPUTED_VALUE"""),43600.66666666667)</f>
        <v>43600.66667</v>
      </c>
      <c r="D261" s="23">
        <f>IFERROR(__xludf.DUMMYFUNCTION("""COMPUTED_VALUE"""),105.55)</f>
        <v>105.55</v>
      </c>
      <c r="E261" s="22">
        <f>IFERROR(__xludf.DUMMYFUNCTION("""COMPUTED_VALUE"""),42522.66666666667)</f>
        <v>42522.66667</v>
      </c>
      <c r="F261" s="23">
        <f>IFERROR(__xludf.DUMMYFUNCTION("""COMPUTED_VALUE"""),10.85)</f>
        <v>10.85</v>
      </c>
      <c r="G261" s="22">
        <f>IFERROR(__xludf.DUMMYFUNCTION("""COMPUTED_VALUE"""),42874.66666666667)</f>
        <v>42874.66667</v>
      </c>
      <c r="H261" s="23">
        <f>IFERROR(__xludf.DUMMYFUNCTION("""COMPUTED_VALUE"""),73.05)</f>
        <v>73.05</v>
      </c>
      <c r="I261" s="22">
        <f>IFERROR(__xludf.DUMMYFUNCTION("""COMPUTED_VALUE"""),42874.66666666667)</f>
        <v>42874.66667</v>
      </c>
      <c r="J261" s="23">
        <f>IFERROR(__xludf.DUMMYFUNCTION("""COMPUTED_VALUE"""),163.53)</f>
        <v>163.53</v>
      </c>
      <c r="K261" s="22">
        <f>IFERROR(__xludf.DUMMYFUNCTION("""COMPUTED_VALUE"""),42874.66666666667)</f>
        <v>42874.66667</v>
      </c>
      <c r="L261" s="23">
        <f>IFERROR(__xludf.DUMMYFUNCTION("""COMPUTED_VALUE"""),67.36)</f>
        <v>67.36</v>
      </c>
      <c r="M261" s="23">
        <v>0.0</v>
      </c>
      <c r="N261" s="23">
        <v>0.0</v>
      </c>
      <c r="O261" s="23">
        <v>0.0</v>
      </c>
      <c r="P261" s="23">
        <f t="shared" si="1"/>
        <v>0</v>
      </c>
      <c r="Q261" s="23">
        <f t="shared" si="2"/>
        <v>0</v>
      </c>
      <c r="R261" s="23">
        <f t="shared" si="3"/>
        <v>0</v>
      </c>
      <c r="S261" s="19"/>
      <c r="T261" s="19"/>
      <c r="U261" s="19"/>
      <c r="V261" s="19"/>
    </row>
    <row r="262">
      <c r="A262" s="22">
        <f>IFERROR(__xludf.DUMMYFUNCTION("""COMPUTED_VALUE"""),42338.66666666667)</f>
        <v>42338.66667</v>
      </c>
      <c r="B262" s="23">
        <f>IFERROR(__xludf.DUMMYFUNCTION("""COMPUTED_VALUE"""),59.71)</f>
        <v>59.71</v>
      </c>
      <c r="C262" s="22">
        <f>IFERROR(__xludf.DUMMYFUNCTION("""COMPUTED_VALUE"""),43601.66666666667)</f>
        <v>43601.66667</v>
      </c>
      <c r="D262" s="23">
        <f>IFERROR(__xludf.DUMMYFUNCTION("""COMPUTED_VALUE"""),106.41)</f>
        <v>106.41</v>
      </c>
      <c r="E262" s="22">
        <f>IFERROR(__xludf.DUMMYFUNCTION("""COMPUTED_VALUE"""),42523.66666666667)</f>
        <v>42523.66667</v>
      </c>
      <c r="F262" s="23">
        <f>IFERROR(__xludf.DUMMYFUNCTION("""COMPUTED_VALUE"""),10.85)</f>
        <v>10.85</v>
      </c>
      <c r="G262" s="22">
        <f>IFERROR(__xludf.DUMMYFUNCTION("""COMPUTED_VALUE"""),42881.66666666667)</f>
        <v>42881.66667</v>
      </c>
      <c r="H262" s="23">
        <f>IFERROR(__xludf.DUMMYFUNCTION("""COMPUTED_VALUE"""),73.45)</f>
        <v>73.45</v>
      </c>
      <c r="I262" s="22">
        <f>IFERROR(__xludf.DUMMYFUNCTION("""COMPUTED_VALUE"""),42881.66666666667)</f>
        <v>42881.66667</v>
      </c>
      <c r="J262" s="23">
        <f>IFERROR(__xludf.DUMMYFUNCTION("""COMPUTED_VALUE"""),166.96)</f>
        <v>166.96</v>
      </c>
      <c r="K262" s="22">
        <f>IFERROR(__xludf.DUMMYFUNCTION("""COMPUTED_VALUE"""),42881.66666666667)</f>
        <v>42881.66667</v>
      </c>
      <c r="L262" s="23">
        <f>IFERROR(__xludf.DUMMYFUNCTION("""COMPUTED_VALUE"""),67.87)</f>
        <v>67.87</v>
      </c>
      <c r="M262" s="23">
        <v>0.0</v>
      </c>
      <c r="N262" s="23">
        <v>0.0</v>
      </c>
      <c r="O262" s="23">
        <v>0.0</v>
      </c>
      <c r="P262" s="23">
        <f t="shared" si="1"/>
        <v>0</v>
      </c>
      <c r="Q262" s="23">
        <f t="shared" si="2"/>
        <v>0</v>
      </c>
      <c r="R262" s="23">
        <f t="shared" si="3"/>
        <v>0</v>
      </c>
      <c r="S262" s="19"/>
      <c r="T262" s="19"/>
      <c r="U262" s="19"/>
      <c r="V262" s="19"/>
    </row>
    <row r="263">
      <c r="A263" s="22">
        <f>IFERROR(__xludf.DUMMYFUNCTION("""COMPUTED_VALUE"""),42339.66666666667)</f>
        <v>42339.66667</v>
      </c>
      <c r="B263" s="23">
        <f>IFERROR(__xludf.DUMMYFUNCTION("""COMPUTED_VALUE"""),59.39)</f>
        <v>59.39</v>
      </c>
      <c r="C263" s="22">
        <f>IFERROR(__xludf.DUMMYFUNCTION("""COMPUTED_VALUE"""),43602.66666666667)</f>
        <v>43602.66667</v>
      </c>
      <c r="D263" s="23">
        <f>IFERROR(__xludf.DUMMYFUNCTION("""COMPUTED_VALUE"""),107.07)</f>
        <v>107.07</v>
      </c>
      <c r="E263" s="22">
        <f>IFERROR(__xludf.DUMMYFUNCTION("""COMPUTED_VALUE"""),42524.66666666667)</f>
        <v>42524.66667</v>
      </c>
      <c r="F263" s="23">
        <f>IFERROR(__xludf.DUMMYFUNCTION("""COMPUTED_VALUE"""),10.91)</f>
        <v>10.91</v>
      </c>
      <c r="G263" s="22">
        <f>IFERROR(__xludf.DUMMYFUNCTION("""COMPUTED_VALUE"""),42888.66666666667)</f>
        <v>42888.66667</v>
      </c>
      <c r="H263" s="23">
        <f>IFERROR(__xludf.DUMMYFUNCTION("""COMPUTED_VALUE"""),73.89)</f>
        <v>73.89</v>
      </c>
      <c r="I263" s="22">
        <f>IFERROR(__xludf.DUMMYFUNCTION("""COMPUTED_VALUE"""),42888.66666666667)</f>
        <v>42888.66667</v>
      </c>
      <c r="J263" s="23">
        <f>IFERROR(__xludf.DUMMYFUNCTION("""COMPUTED_VALUE"""),169.5)</f>
        <v>169.5</v>
      </c>
      <c r="K263" s="22">
        <f>IFERROR(__xludf.DUMMYFUNCTION("""COMPUTED_VALUE"""),42888.66666666667)</f>
        <v>42888.66667</v>
      </c>
      <c r="L263" s="23">
        <f>IFERROR(__xludf.DUMMYFUNCTION("""COMPUTED_VALUE"""),68.86)</f>
        <v>68.86</v>
      </c>
      <c r="M263" s="23">
        <v>200.0</v>
      </c>
      <c r="N263" s="23">
        <v>200.0</v>
      </c>
      <c r="O263" s="23">
        <v>200.0</v>
      </c>
      <c r="P263" s="23">
        <f t="shared" si="1"/>
        <v>2.706726215</v>
      </c>
      <c r="Q263" s="23">
        <f t="shared" si="2"/>
        <v>1.179941003</v>
      </c>
      <c r="R263" s="23">
        <f t="shared" si="3"/>
        <v>2.904443799</v>
      </c>
      <c r="S263" s="19"/>
      <c r="T263" s="19"/>
      <c r="U263" s="19"/>
      <c r="V263" s="19"/>
    </row>
    <row r="264">
      <c r="A264" s="22">
        <f>IFERROR(__xludf.DUMMYFUNCTION("""COMPUTED_VALUE"""),42340.66666666667)</f>
        <v>42340.66667</v>
      </c>
      <c r="B264" s="23">
        <f>IFERROR(__xludf.DUMMYFUNCTION("""COMPUTED_VALUE"""),59.15)</f>
        <v>59.15</v>
      </c>
      <c r="C264" s="22">
        <f>IFERROR(__xludf.DUMMYFUNCTION("""COMPUTED_VALUE"""),43605.66666666667)</f>
        <v>43605.66667</v>
      </c>
      <c r="D264" s="23">
        <f>IFERROR(__xludf.DUMMYFUNCTION("""COMPUTED_VALUE"""),108.93)</f>
        <v>108.93</v>
      </c>
      <c r="E264" s="22">
        <f>IFERROR(__xludf.DUMMYFUNCTION("""COMPUTED_VALUE"""),42527.66666666667)</f>
        <v>42527.66667</v>
      </c>
      <c r="F264" s="23">
        <f>IFERROR(__xludf.DUMMYFUNCTION("""COMPUTED_VALUE"""),10.71)</f>
        <v>10.71</v>
      </c>
      <c r="G264" s="22">
        <f>IFERROR(__xludf.DUMMYFUNCTION("""COMPUTED_VALUE"""),42895.66666666667)</f>
        <v>42895.66667</v>
      </c>
      <c r="H264" s="23">
        <f>IFERROR(__xludf.DUMMYFUNCTION("""COMPUTED_VALUE"""),72.54)</f>
        <v>72.54</v>
      </c>
      <c r="I264" s="22">
        <f>IFERROR(__xludf.DUMMYFUNCTION("""COMPUTED_VALUE"""),42895.66666666667)</f>
        <v>42895.66667</v>
      </c>
      <c r="J264" s="23">
        <f>IFERROR(__xludf.DUMMYFUNCTION("""COMPUTED_VALUE"""),166.33)</f>
        <v>166.33</v>
      </c>
      <c r="K264" s="22">
        <f>IFERROR(__xludf.DUMMYFUNCTION("""COMPUTED_VALUE"""),42895.66666666667)</f>
        <v>42895.66667</v>
      </c>
      <c r="L264" s="23">
        <f>IFERROR(__xludf.DUMMYFUNCTION("""COMPUTED_VALUE"""),67.15)</f>
        <v>67.15</v>
      </c>
      <c r="M264" s="23">
        <v>0.0</v>
      </c>
      <c r="N264" s="23">
        <v>0.0</v>
      </c>
      <c r="O264" s="23">
        <v>0.0</v>
      </c>
      <c r="P264" s="23">
        <f t="shared" si="1"/>
        <v>0</v>
      </c>
      <c r="Q264" s="23">
        <f t="shared" si="2"/>
        <v>0</v>
      </c>
      <c r="R264" s="23">
        <f t="shared" si="3"/>
        <v>0</v>
      </c>
      <c r="S264" s="19"/>
      <c r="T264" s="19"/>
      <c r="U264" s="19"/>
      <c r="V264" s="19"/>
    </row>
    <row r="265">
      <c r="A265" s="22">
        <f>IFERROR(__xludf.DUMMYFUNCTION("""COMPUTED_VALUE"""),42341.66666666667)</f>
        <v>42341.66667</v>
      </c>
      <c r="B265" s="23">
        <f>IFERROR(__xludf.DUMMYFUNCTION("""COMPUTED_VALUE"""),58.74)</f>
        <v>58.74</v>
      </c>
      <c r="C265" s="22">
        <f>IFERROR(__xludf.DUMMYFUNCTION("""COMPUTED_VALUE"""),43606.66666666667)</f>
        <v>43606.66667</v>
      </c>
      <c r="D265" s="23">
        <f>IFERROR(__xludf.DUMMYFUNCTION("""COMPUTED_VALUE"""),109.34)</f>
        <v>109.34</v>
      </c>
      <c r="E265" s="22">
        <f>IFERROR(__xludf.DUMMYFUNCTION("""COMPUTED_VALUE"""),42528.66666666667)</f>
        <v>42528.66667</v>
      </c>
      <c r="F265" s="23">
        <f>IFERROR(__xludf.DUMMYFUNCTION("""COMPUTED_VALUE"""),10.59)</f>
        <v>10.59</v>
      </c>
      <c r="G265" s="22">
        <f>IFERROR(__xludf.DUMMYFUNCTION("""COMPUTED_VALUE"""),42902.66666666667)</f>
        <v>42902.66667</v>
      </c>
      <c r="H265" s="23">
        <f>IFERROR(__xludf.DUMMYFUNCTION("""COMPUTED_VALUE"""),73.67)</f>
        <v>73.67</v>
      </c>
      <c r="I265" s="22">
        <f>IFERROR(__xludf.DUMMYFUNCTION("""COMPUTED_VALUE"""),42902.66666666667)</f>
        <v>42902.66667</v>
      </c>
      <c r="J265" s="23">
        <f>IFERROR(__xludf.DUMMYFUNCTION("""COMPUTED_VALUE"""),165.46)</f>
        <v>165.46</v>
      </c>
      <c r="K265" s="22">
        <f>IFERROR(__xludf.DUMMYFUNCTION("""COMPUTED_VALUE"""),42902.66666666667)</f>
        <v>42902.66667</v>
      </c>
      <c r="L265" s="23">
        <f>IFERROR(__xludf.DUMMYFUNCTION("""COMPUTED_VALUE"""),66.2)</f>
        <v>66.2</v>
      </c>
      <c r="M265" s="23">
        <v>0.0</v>
      </c>
      <c r="N265" s="23">
        <v>0.0</v>
      </c>
      <c r="O265" s="23">
        <v>0.0</v>
      </c>
      <c r="P265" s="23">
        <f t="shared" si="1"/>
        <v>0</v>
      </c>
      <c r="Q265" s="23">
        <f t="shared" si="2"/>
        <v>0</v>
      </c>
      <c r="R265" s="23">
        <f t="shared" si="3"/>
        <v>0</v>
      </c>
      <c r="S265" s="19"/>
      <c r="T265" s="19"/>
      <c r="U265" s="19"/>
      <c r="V265" s="19"/>
    </row>
    <row r="266">
      <c r="A266" s="22">
        <f>IFERROR(__xludf.DUMMYFUNCTION("""COMPUTED_VALUE"""),42342.66666666667)</f>
        <v>42342.66667</v>
      </c>
      <c r="B266" s="23">
        <f>IFERROR(__xludf.DUMMYFUNCTION("""COMPUTED_VALUE"""),58.12)</f>
        <v>58.12</v>
      </c>
      <c r="C266" s="22">
        <f>IFERROR(__xludf.DUMMYFUNCTION("""COMPUTED_VALUE"""),43607.66666666667)</f>
        <v>43607.66667</v>
      </c>
      <c r="D266" s="23">
        <f>IFERROR(__xludf.DUMMYFUNCTION("""COMPUTED_VALUE"""),109.52)</f>
        <v>109.52</v>
      </c>
      <c r="E266" s="22">
        <f>IFERROR(__xludf.DUMMYFUNCTION("""COMPUTED_VALUE"""),42529.66666666667)</f>
        <v>42529.66667</v>
      </c>
      <c r="F266" s="23">
        <f>IFERROR(__xludf.DUMMYFUNCTION("""COMPUTED_VALUE"""),10.56)</f>
        <v>10.56</v>
      </c>
      <c r="G266" s="22">
        <f>IFERROR(__xludf.DUMMYFUNCTION("""COMPUTED_VALUE"""),42909.66666666667)</f>
        <v>42909.66667</v>
      </c>
      <c r="H266" s="23">
        <f>IFERROR(__xludf.DUMMYFUNCTION("""COMPUTED_VALUE"""),73.05)</f>
        <v>73.05</v>
      </c>
      <c r="I266" s="22">
        <f>IFERROR(__xludf.DUMMYFUNCTION("""COMPUTED_VALUE"""),42909.66666666667)</f>
        <v>42909.66667</v>
      </c>
      <c r="J266" s="23">
        <f>IFERROR(__xludf.DUMMYFUNCTION("""COMPUTED_VALUE"""),165.43)</f>
        <v>165.43</v>
      </c>
      <c r="K266" s="22">
        <f>IFERROR(__xludf.DUMMYFUNCTION("""COMPUTED_VALUE"""),42909.66666666667)</f>
        <v>42909.66667</v>
      </c>
      <c r="L266" s="23">
        <f>IFERROR(__xludf.DUMMYFUNCTION("""COMPUTED_VALUE"""),66.01)</f>
        <v>66.01</v>
      </c>
      <c r="M266" s="23">
        <v>0.0</v>
      </c>
      <c r="N266" s="23">
        <v>0.0</v>
      </c>
      <c r="O266" s="23">
        <v>0.0</v>
      </c>
      <c r="P266" s="23">
        <f t="shared" si="1"/>
        <v>0</v>
      </c>
      <c r="Q266" s="23">
        <f t="shared" si="2"/>
        <v>0</v>
      </c>
      <c r="R266" s="23">
        <f t="shared" si="3"/>
        <v>0</v>
      </c>
      <c r="S266" s="19"/>
      <c r="T266" s="19"/>
      <c r="U266" s="19"/>
      <c r="V266" s="19"/>
    </row>
    <row r="267">
      <c r="A267" s="22">
        <f>IFERROR(__xludf.DUMMYFUNCTION("""COMPUTED_VALUE"""),42345.66666666667)</f>
        <v>42345.66667</v>
      </c>
      <c r="B267" s="23">
        <f>IFERROR(__xludf.DUMMYFUNCTION("""COMPUTED_VALUE"""),58.38)</f>
        <v>58.38</v>
      </c>
      <c r="C267" s="22">
        <f>IFERROR(__xludf.DUMMYFUNCTION("""COMPUTED_VALUE"""),43608.66666666667)</f>
        <v>43608.66667</v>
      </c>
      <c r="D267" s="23">
        <f>IFERROR(__xludf.DUMMYFUNCTION("""COMPUTED_VALUE"""),109.23)</f>
        <v>109.23</v>
      </c>
      <c r="E267" s="22">
        <f>IFERROR(__xludf.DUMMYFUNCTION("""COMPUTED_VALUE"""),42530.66666666667)</f>
        <v>42530.66667</v>
      </c>
      <c r="F267" s="23">
        <f>IFERROR(__xludf.DUMMYFUNCTION("""COMPUTED_VALUE"""),10.55)</f>
        <v>10.55</v>
      </c>
      <c r="G267" s="22">
        <f>IFERROR(__xludf.DUMMYFUNCTION("""COMPUTED_VALUE"""),42916.66666666667)</f>
        <v>42916.66667</v>
      </c>
      <c r="H267" s="23">
        <f>IFERROR(__xludf.DUMMYFUNCTION("""COMPUTED_VALUE"""),73.22)</f>
        <v>73.22</v>
      </c>
      <c r="I267" s="22">
        <f>IFERROR(__xludf.DUMMYFUNCTION("""COMPUTED_VALUE"""),42916.66666666667)</f>
        <v>42916.66667</v>
      </c>
      <c r="J267" s="23">
        <f>IFERROR(__xludf.DUMMYFUNCTION("""COMPUTED_VALUE"""),161.89)</f>
        <v>161.89</v>
      </c>
      <c r="K267" s="22">
        <f>IFERROR(__xludf.DUMMYFUNCTION("""COMPUTED_VALUE"""),42916.66666666667)</f>
        <v>42916.66667</v>
      </c>
      <c r="L267" s="23">
        <f>IFERROR(__xludf.DUMMYFUNCTION("""COMPUTED_VALUE"""),65.26)</f>
        <v>65.26</v>
      </c>
      <c r="M267" s="23">
        <v>200.0</v>
      </c>
      <c r="N267" s="23">
        <v>200.0</v>
      </c>
      <c r="O267" s="23">
        <v>200.0</v>
      </c>
      <c r="P267" s="23">
        <f t="shared" si="1"/>
        <v>2.731494127</v>
      </c>
      <c r="Q267" s="23">
        <f t="shared" si="2"/>
        <v>1.235406758</v>
      </c>
      <c r="R267" s="23">
        <f t="shared" si="3"/>
        <v>3.064664419</v>
      </c>
      <c r="S267" s="19"/>
      <c r="T267" s="19"/>
      <c r="U267" s="19"/>
      <c r="V267" s="19"/>
    </row>
    <row r="268">
      <c r="A268" s="22">
        <f>IFERROR(__xludf.DUMMYFUNCTION("""COMPUTED_VALUE"""),42346.66666666667)</f>
        <v>42346.66667</v>
      </c>
      <c r="B268" s="23">
        <f>IFERROR(__xludf.DUMMYFUNCTION("""COMPUTED_VALUE"""),58.73)</f>
        <v>58.73</v>
      </c>
      <c r="C268" s="22">
        <f>IFERROR(__xludf.DUMMYFUNCTION("""COMPUTED_VALUE"""),43609.66666666667)</f>
        <v>43609.66667</v>
      </c>
      <c r="D268" s="23">
        <f>IFERROR(__xludf.DUMMYFUNCTION("""COMPUTED_VALUE"""),108.5)</f>
        <v>108.5</v>
      </c>
      <c r="E268" s="22">
        <f>IFERROR(__xludf.DUMMYFUNCTION("""COMPUTED_VALUE"""),42531.66666666667)</f>
        <v>42531.66667</v>
      </c>
      <c r="F268" s="23">
        <f>IFERROR(__xludf.DUMMYFUNCTION("""COMPUTED_VALUE"""),10.6)</f>
        <v>10.6</v>
      </c>
      <c r="G268" s="22">
        <f>IFERROR(__xludf.DUMMYFUNCTION("""COMPUTED_VALUE"""),42923.66666666667)</f>
        <v>42923.66667</v>
      </c>
      <c r="H268" s="23">
        <f>IFERROR(__xludf.DUMMYFUNCTION("""COMPUTED_VALUE"""),72.6)</f>
        <v>72.6</v>
      </c>
      <c r="I268" s="22">
        <f>IFERROR(__xludf.DUMMYFUNCTION("""COMPUTED_VALUE"""),42923.66666666667)</f>
        <v>42923.66667</v>
      </c>
      <c r="J268" s="23">
        <f>IFERROR(__xludf.DUMMYFUNCTION("""COMPUTED_VALUE"""),163.26)</f>
        <v>163.26</v>
      </c>
      <c r="K268" s="22">
        <f>IFERROR(__xludf.DUMMYFUNCTION("""COMPUTED_VALUE"""),42923.66666666667)</f>
        <v>42923.66667</v>
      </c>
      <c r="L268" s="23">
        <f>IFERROR(__xludf.DUMMYFUNCTION("""COMPUTED_VALUE"""),65.6)</f>
        <v>65.6</v>
      </c>
      <c r="M268" s="23">
        <v>0.0</v>
      </c>
      <c r="N268" s="23">
        <v>0.0</v>
      </c>
      <c r="O268" s="23">
        <v>0.0</v>
      </c>
      <c r="P268" s="23">
        <f t="shared" si="1"/>
        <v>0</v>
      </c>
      <c r="Q268" s="23">
        <f t="shared" si="2"/>
        <v>0</v>
      </c>
      <c r="R268" s="23">
        <f t="shared" si="3"/>
        <v>0</v>
      </c>
      <c r="S268" s="19"/>
      <c r="T268" s="19"/>
      <c r="U268" s="19"/>
      <c r="V268" s="19"/>
    </row>
    <row r="269">
      <c r="A269" s="22">
        <f>IFERROR(__xludf.DUMMYFUNCTION("""COMPUTED_VALUE"""),42347.66666666667)</f>
        <v>42347.66667</v>
      </c>
      <c r="B269" s="23">
        <f>IFERROR(__xludf.DUMMYFUNCTION("""COMPUTED_VALUE"""),58.56)</f>
        <v>58.56</v>
      </c>
      <c r="C269" s="22">
        <f>IFERROR(__xludf.DUMMYFUNCTION("""COMPUTED_VALUE"""),43612.66666666667)</f>
        <v>43612.66667</v>
      </c>
      <c r="D269" s="23">
        <f>IFERROR(__xludf.DUMMYFUNCTION("""COMPUTED_VALUE"""),108.53)</f>
        <v>108.53</v>
      </c>
      <c r="E269" s="22">
        <f>IFERROR(__xludf.DUMMYFUNCTION("""COMPUTED_VALUE"""),42535.66666666667)</f>
        <v>42535.66667</v>
      </c>
      <c r="F269" s="23">
        <f>IFERROR(__xludf.DUMMYFUNCTION("""COMPUTED_VALUE"""),10.42)</f>
        <v>10.42</v>
      </c>
      <c r="G269" s="22">
        <f>IFERROR(__xludf.DUMMYFUNCTION("""COMPUTED_VALUE"""),42930.66666666667)</f>
        <v>42930.66667</v>
      </c>
      <c r="H269" s="23">
        <f>IFERROR(__xludf.DUMMYFUNCTION("""COMPUTED_VALUE"""),73.12)</f>
        <v>73.12</v>
      </c>
      <c r="I269" s="22">
        <f>IFERROR(__xludf.DUMMYFUNCTION("""COMPUTED_VALUE"""),42930.66666666667)</f>
        <v>42930.66667</v>
      </c>
      <c r="J269" s="23">
        <f>IFERROR(__xludf.DUMMYFUNCTION("""COMPUTED_VALUE"""),162.21)</f>
        <v>162.21</v>
      </c>
      <c r="K269" s="22">
        <f>IFERROR(__xludf.DUMMYFUNCTION("""COMPUTED_VALUE"""),42930.66666666667)</f>
        <v>42930.66667</v>
      </c>
      <c r="L269" s="23">
        <f>IFERROR(__xludf.DUMMYFUNCTION("""COMPUTED_VALUE"""),65.77)</f>
        <v>65.77</v>
      </c>
      <c r="M269" s="23">
        <v>0.0</v>
      </c>
      <c r="N269" s="23">
        <v>0.0</v>
      </c>
      <c r="O269" s="23">
        <v>0.0</v>
      </c>
      <c r="P269" s="23">
        <f t="shared" si="1"/>
        <v>0</v>
      </c>
      <c r="Q269" s="23">
        <f t="shared" si="2"/>
        <v>0</v>
      </c>
      <c r="R269" s="23">
        <f t="shared" si="3"/>
        <v>0</v>
      </c>
      <c r="S269" s="19"/>
      <c r="T269" s="19"/>
      <c r="U269" s="19"/>
      <c r="V269" s="19"/>
    </row>
    <row r="270">
      <c r="A270" s="22">
        <f>IFERROR(__xludf.DUMMYFUNCTION("""COMPUTED_VALUE"""),42348.66666666667)</f>
        <v>42348.66667</v>
      </c>
      <c r="B270" s="23">
        <f>IFERROR(__xludf.DUMMYFUNCTION("""COMPUTED_VALUE"""),57.77)</f>
        <v>57.77</v>
      </c>
      <c r="C270" s="22">
        <f>IFERROR(__xludf.DUMMYFUNCTION("""COMPUTED_VALUE"""),43613.66666666667)</f>
        <v>43613.66667</v>
      </c>
      <c r="D270" s="23">
        <f>IFERROR(__xludf.DUMMYFUNCTION("""COMPUTED_VALUE"""),109.05)</f>
        <v>109.05</v>
      </c>
      <c r="E270" s="22">
        <f>IFERROR(__xludf.DUMMYFUNCTION("""COMPUTED_VALUE"""),42536.66666666667)</f>
        <v>42536.66667</v>
      </c>
      <c r="F270" s="23">
        <f>IFERROR(__xludf.DUMMYFUNCTION("""COMPUTED_VALUE"""),10.53)</f>
        <v>10.53</v>
      </c>
      <c r="G270" s="22">
        <f>IFERROR(__xludf.DUMMYFUNCTION("""COMPUTED_VALUE"""),42937.66666666667)</f>
        <v>42937.66667</v>
      </c>
      <c r="H270" s="23">
        <f>IFERROR(__xludf.DUMMYFUNCTION("""COMPUTED_VALUE"""),72.81)</f>
        <v>72.81</v>
      </c>
      <c r="I270" s="22">
        <f>IFERROR(__xludf.DUMMYFUNCTION("""COMPUTED_VALUE"""),42937.66666666667)</f>
        <v>42937.66667</v>
      </c>
      <c r="J270" s="23">
        <f>IFERROR(__xludf.DUMMYFUNCTION("""COMPUTED_VALUE"""),160.83)</f>
        <v>160.83</v>
      </c>
      <c r="K270" s="22">
        <f>IFERROR(__xludf.DUMMYFUNCTION("""COMPUTED_VALUE"""),42937.66666666667)</f>
        <v>42937.66667</v>
      </c>
      <c r="L270" s="23">
        <f>IFERROR(__xludf.DUMMYFUNCTION("""COMPUTED_VALUE"""),65.34)</f>
        <v>65.34</v>
      </c>
      <c r="M270" s="23">
        <v>0.0</v>
      </c>
      <c r="N270" s="23">
        <v>0.0</v>
      </c>
      <c r="O270" s="23">
        <v>0.0</v>
      </c>
      <c r="P270" s="23">
        <f t="shared" si="1"/>
        <v>0</v>
      </c>
      <c r="Q270" s="23">
        <f t="shared" si="2"/>
        <v>0</v>
      </c>
      <c r="R270" s="23">
        <f t="shared" si="3"/>
        <v>0</v>
      </c>
      <c r="S270" s="19"/>
      <c r="T270" s="19"/>
      <c r="U270" s="19"/>
      <c r="V270" s="19"/>
    </row>
    <row r="271">
      <c r="A271" s="22">
        <f>IFERROR(__xludf.DUMMYFUNCTION("""COMPUTED_VALUE"""),42349.66666666667)</f>
        <v>42349.66667</v>
      </c>
      <c r="B271" s="23">
        <f>IFERROR(__xludf.DUMMYFUNCTION("""COMPUTED_VALUE"""),58.04)</f>
        <v>58.04</v>
      </c>
      <c r="C271" s="22">
        <f>IFERROR(__xludf.DUMMYFUNCTION("""COMPUTED_VALUE"""),43614.66666666667)</f>
        <v>43614.66667</v>
      </c>
      <c r="D271" s="23">
        <f>IFERROR(__xludf.DUMMYFUNCTION("""COMPUTED_VALUE"""),108.33)</f>
        <v>108.33</v>
      </c>
      <c r="E271" s="22">
        <f>IFERROR(__xludf.DUMMYFUNCTION("""COMPUTED_VALUE"""),42537.66666666667)</f>
        <v>42537.66667</v>
      </c>
      <c r="F271" s="23">
        <f>IFERROR(__xludf.DUMMYFUNCTION("""COMPUTED_VALUE"""),10.34)</f>
        <v>10.34</v>
      </c>
      <c r="G271" s="22">
        <f>IFERROR(__xludf.DUMMYFUNCTION("""COMPUTED_VALUE"""),42944.66666666667)</f>
        <v>42944.66667</v>
      </c>
      <c r="H271" s="23">
        <f>IFERROR(__xludf.DUMMYFUNCTION("""COMPUTED_VALUE"""),72.45)</f>
        <v>72.45</v>
      </c>
      <c r="I271" s="22">
        <f>IFERROR(__xludf.DUMMYFUNCTION("""COMPUTED_VALUE"""),42944.66666666667)</f>
        <v>42944.66667</v>
      </c>
      <c r="J271" s="23">
        <f>IFERROR(__xludf.DUMMYFUNCTION("""COMPUTED_VALUE"""),158.8)</f>
        <v>158.8</v>
      </c>
      <c r="K271" s="22">
        <f>IFERROR(__xludf.DUMMYFUNCTION("""COMPUTED_VALUE"""),42944.66666666667)</f>
        <v>42944.66667</v>
      </c>
      <c r="L271" s="23">
        <f>IFERROR(__xludf.DUMMYFUNCTION("""COMPUTED_VALUE"""),64.6)</f>
        <v>64.6</v>
      </c>
      <c r="M271" s="23">
        <v>200.0</v>
      </c>
      <c r="N271" s="23">
        <v>200.0</v>
      </c>
      <c r="O271" s="23">
        <v>200.0</v>
      </c>
      <c r="P271" s="23">
        <f t="shared" si="1"/>
        <v>2.7605245</v>
      </c>
      <c r="Q271" s="23">
        <f t="shared" si="2"/>
        <v>1.259445844</v>
      </c>
      <c r="R271" s="23">
        <f t="shared" si="3"/>
        <v>3.095975232</v>
      </c>
      <c r="S271" s="19"/>
      <c r="T271" s="19"/>
      <c r="U271" s="19"/>
      <c r="V271" s="19"/>
    </row>
    <row r="272">
      <c r="A272" s="22">
        <f>IFERROR(__xludf.DUMMYFUNCTION("""COMPUTED_VALUE"""),42352.66666666667)</f>
        <v>42352.66667</v>
      </c>
      <c r="B272" s="23">
        <f>IFERROR(__xludf.DUMMYFUNCTION("""COMPUTED_VALUE"""),57.66)</f>
        <v>57.66</v>
      </c>
      <c r="C272" s="22">
        <f>IFERROR(__xludf.DUMMYFUNCTION("""COMPUTED_VALUE"""),43615.66666666667)</f>
        <v>43615.66667</v>
      </c>
      <c r="D272" s="23">
        <f>IFERROR(__xludf.DUMMYFUNCTION("""COMPUTED_VALUE"""),107.49)</f>
        <v>107.49</v>
      </c>
      <c r="E272" s="22">
        <f>IFERROR(__xludf.DUMMYFUNCTION("""COMPUTED_VALUE"""),42538.66666666667)</f>
        <v>42538.66667</v>
      </c>
      <c r="F272" s="23">
        <f>IFERROR(__xludf.DUMMYFUNCTION("""COMPUTED_VALUE"""),10.46)</f>
        <v>10.46</v>
      </c>
      <c r="G272" s="22">
        <f>IFERROR(__xludf.DUMMYFUNCTION("""COMPUTED_VALUE"""),42951.66666666667)</f>
        <v>42951.66667</v>
      </c>
      <c r="H272" s="23">
        <f>IFERROR(__xludf.DUMMYFUNCTION("""COMPUTED_VALUE"""),72.76)</f>
        <v>72.76</v>
      </c>
      <c r="I272" s="22">
        <f>IFERROR(__xludf.DUMMYFUNCTION("""COMPUTED_VALUE"""),42951.66666666667)</f>
        <v>42951.66667</v>
      </c>
      <c r="J272" s="23">
        <f>IFERROR(__xludf.DUMMYFUNCTION("""COMPUTED_VALUE"""),159.15)</f>
        <v>159.15</v>
      </c>
      <c r="K272" s="22">
        <f>IFERROR(__xludf.DUMMYFUNCTION("""COMPUTED_VALUE"""),42951.66666666667)</f>
        <v>42951.66667</v>
      </c>
      <c r="L272" s="23">
        <f>IFERROR(__xludf.DUMMYFUNCTION("""COMPUTED_VALUE"""),65.43)</f>
        <v>65.43</v>
      </c>
      <c r="M272" s="23">
        <v>0.0</v>
      </c>
      <c r="N272" s="23">
        <v>0.0</v>
      </c>
      <c r="O272" s="23">
        <v>0.0</v>
      </c>
      <c r="P272" s="23">
        <f t="shared" si="1"/>
        <v>0</v>
      </c>
      <c r="Q272" s="23">
        <f t="shared" si="2"/>
        <v>0</v>
      </c>
      <c r="R272" s="23">
        <f t="shared" si="3"/>
        <v>0</v>
      </c>
      <c r="S272" s="19"/>
      <c r="T272" s="19"/>
      <c r="U272" s="19"/>
      <c r="V272" s="19"/>
    </row>
    <row r="273">
      <c r="A273" s="22">
        <f>IFERROR(__xludf.DUMMYFUNCTION("""COMPUTED_VALUE"""),42353.66666666667)</f>
        <v>42353.66667</v>
      </c>
      <c r="B273" s="23">
        <f>IFERROR(__xludf.DUMMYFUNCTION("""COMPUTED_VALUE"""),57.15)</f>
        <v>57.15</v>
      </c>
      <c r="C273" s="22">
        <f>IFERROR(__xludf.DUMMYFUNCTION("""COMPUTED_VALUE"""),43616.66666666667)</f>
        <v>43616.66667</v>
      </c>
      <c r="D273" s="23">
        <f>IFERROR(__xludf.DUMMYFUNCTION("""COMPUTED_VALUE"""),107.56)</f>
        <v>107.56</v>
      </c>
      <c r="E273" s="22">
        <f>IFERROR(__xludf.DUMMYFUNCTION("""COMPUTED_VALUE"""),42541.66666666667)</f>
        <v>42541.66667</v>
      </c>
      <c r="F273" s="23">
        <f>IFERROR(__xludf.DUMMYFUNCTION("""COMPUTED_VALUE"""),10.32)</f>
        <v>10.32</v>
      </c>
      <c r="G273" s="22">
        <f>IFERROR(__xludf.DUMMYFUNCTION("""COMPUTED_VALUE"""),42958.66666666667)</f>
        <v>42958.66667</v>
      </c>
      <c r="H273" s="23">
        <f>IFERROR(__xludf.DUMMYFUNCTION("""COMPUTED_VALUE"""),72.41)</f>
        <v>72.41</v>
      </c>
      <c r="I273" s="22">
        <f>IFERROR(__xludf.DUMMYFUNCTION("""COMPUTED_VALUE"""),42958.66666666667)</f>
        <v>42958.66667</v>
      </c>
      <c r="J273" s="23">
        <f>IFERROR(__xludf.DUMMYFUNCTION("""COMPUTED_VALUE"""),158.91)</f>
        <v>158.91</v>
      </c>
      <c r="K273" s="22">
        <f>IFERROR(__xludf.DUMMYFUNCTION("""COMPUTED_VALUE"""),42958.66666666667)</f>
        <v>42958.66667</v>
      </c>
      <c r="L273" s="23">
        <f>IFERROR(__xludf.DUMMYFUNCTION("""COMPUTED_VALUE"""),64.95)</f>
        <v>64.95</v>
      </c>
      <c r="M273" s="23">
        <v>0.0</v>
      </c>
      <c r="N273" s="23">
        <v>0.0</v>
      </c>
      <c r="O273" s="23">
        <v>0.0</v>
      </c>
      <c r="P273" s="23">
        <f t="shared" si="1"/>
        <v>0</v>
      </c>
      <c r="Q273" s="23">
        <f t="shared" si="2"/>
        <v>0</v>
      </c>
      <c r="R273" s="23">
        <f t="shared" si="3"/>
        <v>0</v>
      </c>
      <c r="S273" s="19"/>
      <c r="T273" s="19"/>
      <c r="U273" s="19"/>
      <c r="V273" s="19"/>
    </row>
    <row r="274">
      <c r="A274" s="22">
        <f>IFERROR(__xludf.DUMMYFUNCTION("""COMPUTED_VALUE"""),42354.66666666667)</f>
        <v>42354.66667</v>
      </c>
      <c r="B274" s="23">
        <f>IFERROR(__xludf.DUMMYFUNCTION("""COMPUTED_VALUE"""),58.23)</f>
        <v>58.23</v>
      </c>
      <c r="C274" s="22">
        <f>IFERROR(__xludf.DUMMYFUNCTION("""COMPUTED_VALUE"""),43619.66666666667)</f>
        <v>43619.66667</v>
      </c>
      <c r="D274" s="23">
        <f>IFERROR(__xludf.DUMMYFUNCTION("""COMPUTED_VALUE"""),106.57)</f>
        <v>106.57</v>
      </c>
      <c r="E274" s="22">
        <f>IFERROR(__xludf.DUMMYFUNCTION("""COMPUTED_VALUE"""),42542.66666666667)</f>
        <v>42542.66667</v>
      </c>
      <c r="F274" s="23">
        <f>IFERROR(__xludf.DUMMYFUNCTION("""COMPUTED_VALUE"""),10.31)</f>
        <v>10.31</v>
      </c>
      <c r="G274" s="22">
        <f>IFERROR(__xludf.DUMMYFUNCTION("""COMPUTED_VALUE"""),42965.66666666667)</f>
        <v>42965.66667</v>
      </c>
      <c r="H274" s="23">
        <f>IFERROR(__xludf.DUMMYFUNCTION("""COMPUTED_VALUE"""),73.43)</f>
        <v>73.43</v>
      </c>
      <c r="I274" s="22">
        <f>IFERROR(__xludf.DUMMYFUNCTION("""COMPUTED_VALUE"""),42965.66666666667)</f>
        <v>42965.66667</v>
      </c>
      <c r="J274" s="23">
        <f>IFERROR(__xludf.DUMMYFUNCTION("""COMPUTED_VALUE"""),158.07)</f>
        <v>158.07</v>
      </c>
      <c r="K274" s="22">
        <f>IFERROR(__xludf.DUMMYFUNCTION("""COMPUTED_VALUE"""),42965.66666666667)</f>
        <v>42965.66667</v>
      </c>
      <c r="L274" s="23">
        <f>IFERROR(__xludf.DUMMYFUNCTION("""COMPUTED_VALUE"""),65.0)</f>
        <v>65</v>
      </c>
      <c r="M274" s="23">
        <v>0.0</v>
      </c>
      <c r="N274" s="23">
        <v>0.0</v>
      </c>
      <c r="O274" s="23">
        <v>0.0</v>
      </c>
      <c r="P274" s="23">
        <f t="shared" si="1"/>
        <v>0</v>
      </c>
      <c r="Q274" s="23">
        <f t="shared" si="2"/>
        <v>0</v>
      </c>
      <c r="R274" s="23">
        <f t="shared" si="3"/>
        <v>0</v>
      </c>
      <c r="S274" s="19"/>
      <c r="T274" s="19"/>
      <c r="U274" s="19"/>
      <c r="V274" s="19"/>
    </row>
    <row r="275">
      <c r="A275" s="22">
        <f>IFERROR(__xludf.DUMMYFUNCTION("""COMPUTED_VALUE"""),42355.66666666667)</f>
        <v>42355.66667</v>
      </c>
      <c r="B275" s="23">
        <f>IFERROR(__xludf.DUMMYFUNCTION("""COMPUTED_VALUE"""),58.8)</f>
        <v>58.8</v>
      </c>
      <c r="C275" s="22">
        <f>IFERROR(__xludf.DUMMYFUNCTION("""COMPUTED_VALUE"""),43620.66666666667)</f>
        <v>43620.66667</v>
      </c>
      <c r="D275" s="23">
        <f>IFERROR(__xludf.DUMMYFUNCTION("""COMPUTED_VALUE"""),106.68)</f>
        <v>106.68</v>
      </c>
      <c r="E275" s="22">
        <f>IFERROR(__xludf.DUMMYFUNCTION("""COMPUTED_VALUE"""),42543.66666666667)</f>
        <v>42543.66667</v>
      </c>
      <c r="F275" s="23">
        <f>IFERROR(__xludf.DUMMYFUNCTION("""COMPUTED_VALUE"""),10.29)</f>
        <v>10.29</v>
      </c>
      <c r="G275" s="22">
        <f>IFERROR(__xludf.DUMMYFUNCTION("""COMPUTED_VALUE"""),42972.66666666667)</f>
        <v>42972.66667</v>
      </c>
      <c r="H275" s="23">
        <f>IFERROR(__xludf.DUMMYFUNCTION("""COMPUTED_VALUE"""),73.6)</f>
        <v>73.6</v>
      </c>
      <c r="I275" s="22">
        <f>IFERROR(__xludf.DUMMYFUNCTION("""COMPUTED_VALUE"""),42972.66666666667)</f>
        <v>42972.66667</v>
      </c>
      <c r="J275" s="23">
        <f>IFERROR(__xludf.DUMMYFUNCTION("""COMPUTED_VALUE"""),158.7)</f>
        <v>158.7</v>
      </c>
      <c r="K275" s="22">
        <f>IFERROR(__xludf.DUMMYFUNCTION("""COMPUTED_VALUE"""),42972.66666666667)</f>
        <v>42972.66667</v>
      </c>
      <c r="L275" s="23">
        <f>IFERROR(__xludf.DUMMYFUNCTION("""COMPUTED_VALUE"""),65.41)</f>
        <v>65.41</v>
      </c>
      <c r="M275" s="23">
        <v>200.0</v>
      </c>
      <c r="N275" s="23">
        <v>200.0</v>
      </c>
      <c r="O275" s="23">
        <v>200.0</v>
      </c>
      <c r="P275" s="23">
        <f t="shared" si="1"/>
        <v>2.717391304</v>
      </c>
      <c r="Q275" s="23">
        <f t="shared" si="2"/>
        <v>1.260239445</v>
      </c>
      <c r="R275" s="23">
        <f t="shared" si="3"/>
        <v>3.057636447</v>
      </c>
      <c r="S275" s="19"/>
      <c r="T275" s="19"/>
      <c r="U275" s="19"/>
      <c r="V275" s="19"/>
    </row>
    <row r="276">
      <c r="A276" s="22">
        <f>IFERROR(__xludf.DUMMYFUNCTION("""COMPUTED_VALUE"""),42356.66666666667)</f>
        <v>42356.66667</v>
      </c>
      <c r="B276" s="23">
        <f>IFERROR(__xludf.DUMMYFUNCTION("""COMPUTED_VALUE"""),58.52)</f>
        <v>58.52</v>
      </c>
      <c r="C276" s="22">
        <f>IFERROR(__xludf.DUMMYFUNCTION("""COMPUTED_VALUE"""),43621.66666666667)</f>
        <v>43621.66667</v>
      </c>
      <c r="D276" s="23">
        <f>IFERROR(__xludf.DUMMYFUNCTION("""COMPUTED_VALUE"""),107.09)</f>
        <v>107.09</v>
      </c>
      <c r="E276" s="22">
        <f>IFERROR(__xludf.DUMMYFUNCTION("""COMPUTED_VALUE"""),42544.66666666667)</f>
        <v>42544.66667</v>
      </c>
      <c r="F276" s="23">
        <f>IFERROR(__xludf.DUMMYFUNCTION("""COMPUTED_VALUE"""),10.25)</f>
        <v>10.25</v>
      </c>
      <c r="G276" s="22">
        <f>IFERROR(__xludf.DUMMYFUNCTION("""COMPUTED_VALUE"""),42979.66666666667)</f>
        <v>42979.66667</v>
      </c>
      <c r="H276" s="23">
        <f>IFERROR(__xludf.DUMMYFUNCTION("""COMPUTED_VALUE"""),73.44)</f>
        <v>73.44</v>
      </c>
      <c r="I276" s="22">
        <f>IFERROR(__xludf.DUMMYFUNCTION("""COMPUTED_VALUE"""),42979.66666666667)</f>
        <v>42979.66667</v>
      </c>
      <c r="J276" s="23">
        <f>IFERROR(__xludf.DUMMYFUNCTION("""COMPUTED_VALUE"""),160.04)</f>
        <v>160.04</v>
      </c>
      <c r="K276" s="22">
        <f>IFERROR(__xludf.DUMMYFUNCTION("""COMPUTED_VALUE"""),42979.66666666667)</f>
        <v>42979.66667</v>
      </c>
      <c r="L276" s="23">
        <f>IFERROR(__xludf.DUMMYFUNCTION("""COMPUTED_VALUE"""),65.62)</f>
        <v>65.62</v>
      </c>
      <c r="M276" s="23">
        <v>100.0</v>
      </c>
      <c r="N276" s="23">
        <v>100.0</v>
      </c>
      <c r="O276" s="23">
        <v>100.0</v>
      </c>
      <c r="P276" s="23">
        <f t="shared" si="1"/>
        <v>1.361655773</v>
      </c>
      <c r="Q276" s="23">
        <f t="shared" si="2"/>
        <v>0.6248437891</v>
      </c>
      <c r="R276" s="23">
        <f t="shared" si="3"/>
        <v>1.523925632</v>
      </c>
      <c r="S276" s="19"/>
      <c r="T276" s="19"/>
      <c r="U276" s="19"/>
      <c r="V276" s="19"/>
    </row>
    <row r="277">
      <c r="A277" s="22">
        <f>IFERROR(__xludf.DUMMYFUNCTION("""COMPUTED_VALUE"""),42359.66666666667)</f>
        <v>42359.66667</v>
      </c>
      <c r="B277" s="23">
        <f>IFERROR(__xludf.DUMMYFUNCTION("""COMPUTED_VALUE"""),58.08)</f>
        <v>58.08</v>
      </c>
      <c r="C277" s="22">
        <f>IFERROR(__xludf.DUMMYFUNCTION("""COMPUTED_VALUE"""),43622.66666666667)</f>
        <v>43622.66667</v>
      </c>
      <c r="D277" s="23">
        <f>IFERROR(__xludf.DUMMYFUNCTION("""COMPUTED_VALUE"""),107.52)</f>
        <v>107.52</v>
      </c>
      <c r="E277" s="22">
        <f>IFERROR(__xludf.DUMMYFUNCTION("""COMPUTED_VALUE"""),42545.66666666667)</f>
        <v>42545.66667</v>
      </c>
      <c r="F277" s="23">
        <f>IFERROR(__xludf.DUMMYFUNCTION("""COMPUTED_VALUE"""),10.0)</f>
        <v>10</v>
      </c>
      <c r="G277" s="22">
        <f>IFERROR(__xludf.DUMMYFUNCTION("""COMPUTED_VALUE"""),42986.66666666667)</f>
        <v>42986.66667</v>
      </c>
      <c r="H277" s="23">
        <f>IFERROR(__xludf.DUMMYFUNCTION("""COMPUTED_VALUE"""),73.02)</f>
        <v>73.02</v>
      </c>
      <c r="I277" s="22">
        <f>IFERROR(__xludf.DUMMYFUNCTION("""COMPUTED_VALUE"""),42986.66666666667)</f>
        <v>42986.66667</v>
      </c>
      <c r="J277" s="23">
        <f>IFERROR(__xludf.DUMMYFUNCTION("""COMPUTED_VALUE"""),155.75)</f>
        <v>155.75</v>
      </c>
      <c r="K277" s="22">
        <f>IFERROR(__xludf.DUMMYFUNCTION("""COMPUTED_VALUE"""),42986.66666666667)</f>
        <v>42986.66667</v>
      </c>
      <c r="L277" s="23">
        <f>IFERROR(__xludf.DUMMYFUNCTION("""COMPUTED_VALUE"""),64.9)</f>
        <v>64.9</v>
      </c>
      <c r="M277" s="23">
        <v>0.0</v>
      </c>
      <c r="N277" s="23">
        <v>0.0</v>
      </c>
      <c r="O277" s="23">
        <v>0.0</v>
      </c>
      <c r="P277" s="23">
        <f t="shared" si="1"/>
        <v>0</v>
      </c>
      <c r="Q277" s="23">
        <f t="shared" si="2"/>
        <v>0</v>
      </c>
      <c r="R277" s="23">
        <f t="shared" si="3"/>
        <v>0</v>
      </c>
      <c r="S277" s="19"/>
      <c r="T277" s="19"/>
      <c r="U277" s="19"/>
      <c r="V277" s="19"/>
    </row>
    <row r="278">
      <c r="A278" s="22">
        <f>IFERROR(__xludf.DUMMYFUNCTION("""COMPUTED_VALUE"""),42360.66666666667)</f>
        <v>42360.66667</v>
      </c>
      <c r="B278" s="23">
        <f>IFERROR(__xludf.DUMMYFUNCTION("""COMPUTED_VALUE"""),57.74)</f>
        <v>57.74</v>
      </c>
      <c r="C278" s="22">
        <f>IFERROR(__xludf.DUMMYFUNCTION("""COMPUTED_VALUE"""),43623.66666666667)</f>
        <v>43623.66667</v>
      </c>
      <c r="D278" s="23">
        <f>IFERROR(__xludf.DUMMYFUNCTION("""COMPUTED_VALUE"""),108.3)</f>
        <v>108.3</v>
      </c>
      <c r="E278" s="22">
        <f>IFERROR(__xludf.DUMMYFUNCTION("""COMPUTED_VALUE"""),42548.66666666667)</f>
        <v>42548.66667</v>
      </c>
      <c r="F278" s="23">
        <f>IFERROR(__xludf.DUMMYFUNCTION("""COMPUTED_VALUE"""),10.03)</f>
        <v>10.03</v>
      </c>
      <c r="G278" s="22">
        <f>IFERROR(__xludf.DUMMYFUNCTION("""COMPUTED_VALUE"""),42993.66666666667)</f>
        <v>42993.66667</v>
      </c>
      <c r="H278" s="23">
        <f>IFERROR(__xludf.DUMMYFUNCTION("""COMPUTED_VALUE"""),73.47)</f>
        <v>73.47</v>
      </c>
      <c r="I278" s="22">
        <f>IFERROR(__xludf.DUMMYFUNCTION("""COMPUTED_VALUE"""),42993.66666666667)</f>
        <v>42993.66667</v>
      </c>
      <c r="J278" s="23">
        <f>IFERROR(__xludf.DUMMYFUNCTION("""COMPUTED_VALUE"""),160.4)</f>
        <v>160.4</v>
      </c>
      <c r="K278" s="22">
        <f>IFERROR(__xludf.DUMMYFUNCTION("""COMPUTED_VALUE"""),42993.66666666667)</f>
        <v>42993.66667</v>
      </c>
      <c r="L278" s="23">
        <f>IFERROR(__xludf.DUMMYFUNCTION("""COMPUTED_VALUE"""),66.07)</f>
        <v>66.07</v>
      </c>
      <c r="M278" s="23">
        <v>0.0</v>
      </c>
      <c r="N278" s="23">
        <v>0.0</v>
      </c>
      <c r="O278" s="23">
        <v>0.0</v>
      </c>
      <c r="P278" s="23">
        <f t="shared" si="1"/>
        <v>0</v>
      </c>
      <c r="Q278" s="23">
        <f t="shared" si="2"/>
        <v>0</v>
      </c>
      <c r="R278" s="23">
        <f t="shared" si="3"/>
        <v>0</v>
      </c>
      <c r="S278" s="19"/>
      <c r="T278" s="19"/>
      <c r="U278" s="19"/>
      <c r="V278" s="19"/>
    </row>
    <row r="279">
      <c r="A279" s="22">
        <f>IFERROR(__xludf.DUMMYFUNCTION("""COMPUTED_VALUE"""),42361.66666666667)</f>
        <v>42361.66667</v>
      </c>
      <c r="B279" s="23">
        <f>IFERROR(__xludf.DUMMYFUNCTION("""COMPUTED_VALUE"""),57.89)</f>
        <v>57.89</v>
      </c>
      <c r="C279" s="22">
        <f>IFERROR(__xludf.DUMMYFUNCTION("""COMPUTED_VALUE"""),43627.66666666667)</f>
        <v>43627.66667</v>
      </c>
      <c r="D279" s="23">
        <f>IFERROR(__xludf.DUMMYFUNCTION("""COMPUTED_VALUE"""),110.26)</f>
        <v>110.26</v>
      </c>
      <c r="E279" s="22">
        <f>IFERROR(__xludf.DUMMYFUNCTION("""COMPUTED_VALUE"""),42549.66666666667)</f>
        <v>42549.66667</v>
      </c>
      <c r="F279" s="23">
        <f>IFERROR(__xludf.DUMMYFUNCTION("""COMPUTED_VALUE"""),9.95)</f>
        <v>9.95</v>
      </c>
      <c r="G279" s="22">
        <f>IFERROR(__xludf.DUMMYFUNCTION("""COMPUTED_VALUE"""),43000.66666666667)</f>
        <v>43000.66667</v>
      </c>
      <c r="H279" s="23">
        <f>IFERROR(__xludf.DUMMYFUNCTION("""COMPUTED_VALUE"""),73.36)</f>
        <v>73.36</v>
      </c>
      <c r="I279" s="22">
        <f>IFERROR(__xludf.DUMMYFUNCTION("""COMPUTED_VALUE"""),43000.66666666667)</f>
        <v>43000.66667</v>
      </c>
      <c r="J279" s="23">
        <f>IFERROR(__xludf.DUMMYFUNCTION("""COMPUTED_VALUE"""),161.38)</f>
        <v>161.38</v>
      </c>
      <c r="K279" s="22">
        <f>IFERROR(__xludf.DUMMYFUNCTION("""COMPUTED_VALUE"""),43000.66666666667)</f>
        <v>43000.66667</v>
      </c>
      <c r="L279" s="23">
        <f>IFERROR(__xludf.DUMMYFUNCTION("""COMPUTED_VALUE"""),66.49)</f>
        <v>66.49</v>
      </c>
      <c r="M279" s="23">
        <v>0.0</v>
      </c>
      <c r="N279" s="23">
        <v>0.0</v>
      </c>
      <c r="O279" s="23">
        <v>0.0</v>
      </c>
      <c r="P279" s="23">
        <f t="shared" si="1"/>
        <v>0</v>
      </c>
      <c r="Q279" s="23">
        <f t="shared" si="2"/>
        <v>0</v>
      </c>
      <c r="R279" s="23">
        <f t="shared" si="3"/>
        <v>0</v>
      </c>
      <c r="S279" s="19"/>
      <c r="T279" s="19"/>
      <c r="U279" s="19"/>
      <c r="V279" s="19"/>
    </row>
    <row r="280">
      <c r="A280" s="22">
        <f>IFERROR(__xludf.DUMMYFUNCTION("""COMPUTED_VALUE"""),42362.66666666667)</f>
        <v>42362.66667</v>
      </c>
      <c r="B280" s="23">
        <f>IFERROR(__xludf.DUMMYFUNCTION("""COMPUTED_VALUE"""),58.45)</f>
        <v>58.45</v>
      </c>
      <c r="C280" s="22">
        <f>IFERROR(__xludf.DUMMYFUNCTION("""COMPUTED_VALUE"""),43628.66666666667)</f>
        <v>43628.66667</v>
      </c>
      <c r="D280" s="23">
        <f>IFERROR(__xludf.DUMMYFUNCTION("""COMPUTED_VALUE"""),110.17)</f>
        <v>110.17</v>
      </c>
      <c r="E280" s="22">
        <f>IFERROR(__xludf.DUMMYFUNCTION("""COMPUTED_VALUE"""),42550.66666666667)</f>
        <v>42550.66667</v>
      </c>
      <c r="F280" s="23">
        <f>IFERROR(__xludf.DUMMYFUNCTION("""COMPUTED_VALUE"""),10.13)</f>
        <v>10.13</v>
      </c>
      <c r="G280" s="22">
        <f>IFERROR(__xludf.DUMMYFUNCTION("""COMPUTED_VALUE"""),43007.66666666667)</f>
        <v>43007.66667</v>
      </c>
      <c r="H280" s="23">
        <f>IFERROR(__xludf.DUMMYFUNCTION("""COMPUTED_VALUE"""),73.33)</f>
        <v>73.33</v>
      </c>
      <c r="I280" s="22">
        <f>IFERROR(__xludf.DUMMYFUNCTION("""COMPUTED_VALUE"""),43007.66666666667)</f>
        <v>43007.66667</v>
      </c>
      <c r="J280" s="23">
        <f>IFERROR(__xludf.DUMMYFUNCTION("""COMPUTED_VALUE"""),164.71)</f>
        <v>164.71</v>
      </c>
      <c r="K280" s="22">
        <f>IFERROR(__xludf.DUMMYFUNCTION("""COMPUTED_VALUE"""),43007.66666666667)</f>
        <v>43007.66667</v>
      </c>
      <c r="L280" s="23">
        <f>IFERROR(__xludf.DUMMYFUNCTION("""COMPUTED_VALUE"""),66.78)</f>
        <v>66.78</v>
      </c>
      <c r="M280" s="23">
        <v>200.0</v>
      </c>
      <c r="N280" s="23">
        <v>200.0</v>
      </c>
      <c r="O280" s="23">
        <v>200.0</v>
      </c>
      <c r="P280" s="23">
        <f t="shared" si="1"/>
        <v>2.7273967</v>
      </c>
      <c r="Q280" s="23">
        <f t="shared" si="2"/>
        <v>1.214255358</v>
      </c>
      <c r="R280" s="23">
        <f t="shared" si="3"/>
        <v>2.994908655</v>
      </c>
      <c r="S280" s="19"/>
      <c r="T280" s="19"/>
      <c r="U280" s="19"/>
      <c r="V280" s="19"/>
    </row>
    <row r="281">
      <c r="A281" s="22">
        <f>IFERROR(__xludf.DUMMYFUNCTION("""COMPUTED_VALUE"""),42367.66666666667)</f>
        <v>42367.66667</v>
      </c>
      <c r="B281" s="23">
        <f>IFERROR(__xludf.DUMMYFUNCTION("""COMPUTED_VALUE"""),58.11)</f>
        <v>58.11</v>
      </c>
      <c r="C281" s="22">
        <f>IFERROR(__xludf.DUMMYFUNCTION("""COMPUTED_VALUE"""),43629.66666666667)</f>
        <v>43629.66667</v>
      </c>
      <c r="D281" s="23">
        <f>IFERROR(__xludf.DUMMYFUNCTION("""COMPUTED_VALUE"""),110.14)</f>
        <v>110.14</v>
      </c>
      <c r="E281" s="22">
        <f>IFERROR(__xludf.DUMMYFUNCTION("""COMPUTED_VALUE"""),42551.66666666667)</f>
        <v>42551.66667</v>
      </c>
      <c r="F281" s="23">
        <f>IFERROR(__xludf.DUMMYFUNCTION("""COMPUTED_VALUE"""),10.21)</f>
        <v>10.21</v>
      </c>
      <c r="G281" s="22">
        <f>IFERROR(__xludf.DUMMYFUNCTION("""COMPUTED_VALUE"""),43014.66666666667)</f>
        <v>43014.66667</v>
      </c>
      <c r="H281" s="23">
        <f>IFERROR(__xludf.DUMMYFUNCTION("""COMPUTED_VALUE"""),72.65)</f>
        <v>72.65</v>
      </c>
      <c r="I281" s="22">
        <f>IFERROR(__xludf.DUMMYFUNCTION("""COMPUTED_VALUE"""),43014.66666666667)</f>
        <v>43014.66667</v>
      </c>
      <c r="J281" s="23">
        <f>IFERROR(__xludf.DUMMYFUNCTION("""COMPUTED_VALUE"""),169.33)</f>
        <v>169.33</v>
      </c>
      <c r="K281" s="22">
        <f>IFERROR(__xludf.DUMMYFUNCTION("""COMPUTED_VALUE"""),43014.66666666667)</f>
        <v>43014.66667</v>
      </c>
      <c r="L281" s="23">
        <f>IFERROR(__xludf.DUMMYFUNCTION("""COMPUTED_VALUE"""),68.23)</f>
        <v>68.23</v>
      </c>
      <c r="M281" s="23">
        <v>0.0</v>
      </c>
      <c r="N281" s="23">
        <v>0.0</v>
      </c>
      <c r="O281" s="23">
        <v>0.0</v>
      </c>
      <c r="P281" s="23">
        <f t="shared" si="1"/>
        <v>0</v>
      </c>
      <c r="Q281" s="23">
        <f t="shared" si="2"/>
        <v>0</v>
      </c>
      <c r="R281" s="23">
        <f t="shared" si="3"/>
        <v>0</v>
      </c>
      <c r="S281" s="19"/>
      <c r="T281" s="19"/>
      <c r="U281" s="19"/>
      <c r="V281" s="19"/>
    </row>
    <row r="282">
      <c r="A282" s="22">
        <f>IFERROR(__xludf.DUMMYFUNCTION("""COMPUTED_VALUE"""),42368.66666666667)</f>
        <v>42368.66667</v>
      </c>
      <c r="B282" s="23">
        <f>IFERROR(__xludf.DUMMYFUNCTION("""COMPUTED_VALUE"""),58.5)</f>
        <v>58.5</v>
      </c>
      <c r="C282" s="22">
        <f>IFERROR(__xludf.DUMMYFUNCTION("""COMPUTED_VALUE"""),43630.66666666667)</f>
        <v>43630.66667</v>
      </c>
      <c r="D282" s="23">
        <f>IFERROR(__xludf.DUMMYFUNCTION("""COMPUTED_VALUE"""),110.36)</f>
        <v>110.36</v>
      </c>
      <c r="E282" s="22">
        <f>IFERROR(__xludf.DUMMYFUNCTION("""COMPUTED_VALUE"""),42552.66666666667)</f>
        <v>42552.66667</v>
      </c>
      <c r="F282" s="23">
        <f>IFERROR(__xludf.DUMMYFUNCTION("""COMPUTED_VALUE"""),10.22)</f>
        <v>10.22</v>
      </c>
      <c r="G282" s="22">
        <f>IFERROR(__xludf.DUMMYFUNCTION("""COMPUTED_VALUE"""),43021.66666666667)</f>
        <v>43021.66667</v>
      </c>
      <c r="H282" s="23">
        <f>IFERROR(__xludf.DUMMYFUNCTION("""COMPUTED_VALUE"""),74.2)</f>
        <v>74.2</v>
      </c>
      <c r="I282" s="22">
        <f>IFERROR(__xludf.DUMMYFUNCTION("""COMPUTED_VALUE"""),43021.66666666667)</f>
        <v>43021.66667</v>
      </c>
      <c r="J282" s="23">
        <f>IFERROR(__xludf.DUMMYFUNCTION("""COMPUTED_VALUE"""),167.61)</f>
        <v>167.61</v>
      </c>
      <c r="K282" s="22">
        <f>IFERROR(__xludf.DUMMYFUNCTION("""COMPUTED_VALUE"""),43021.66666666667)</f>
        <v>43021.66667</v>
      </c>
      <c r="L282" s="23">
        <f>IFERROR(__xludf.DUMMYFUNCTION("""COMPUTED_VALUE"""),68.51)</f>
        <v>68.51</v>
      </c>
      <c r="M282" s="23">
        <v>0.0</v>
      </c>
      <c r="N282" s="23">
        <v>0.0</v>
      </c>
      <c r="O282" s="23">
        <v>0.0</v>
      </c>
      <c r="P282" s="23">
        <f t="shared" si="1"/>
        <v>0</v>
      </c>
      <c r="Q282" s="23">
        <f t="shared" si="2"/>
        <v>0</v>
      </c>
      <c r="R282" s="23">
        <f t="shared" si="3"/>
        <v>0</v>
      </c>
      <c r="S282" s="19"/>
      <c r="T282" s="19"/>
      <c r="U282" s="19"/>
      <c r="V282" s="19"/>
    </row>
    <row r="283">
      <c r="A283" s="22">
        <f>IFERROR(__xludf.DUMMYFUNCTION("""COMPUTED_VALUE"""),42369.66666666667)</f>
        <v>42369.66667</v>
      </c>
      <c r="B283" s="23">
        <f>IFERROR(__xludf.DUMMYFUNCTION("""COMPUTED_VALUE"""),58.05)</f>
        <v>58.05</v>
      </c>
      <c r="C283" s="22">
        <f>IFERROR(__xludf.DUMMYFUNCTION("""COMPUTED_VALUE"""),43633.66666666667)</f>
        <v>43633.66667</v>
      </c>
      <c r="D283" s="23">
        <f>IFERROR(__xludf.DUMMYFUNCTION("""COMPUTED_VALUE"""),110.03)</f>
        <v>110.03</v>
      </c>
      <c r="E283" s="22">
        <f>IFERROR(__xludf.DUMMYFUNCTION("""COMPUTED_VALUE"""),42555.66666666667)</f>
        <v>42555.66667</v>
      </c>
      <c r="F283" s="23">
        <f>IFERROR(__xludf.DUMMYFUNCTION("""COMPUTED_VALUE"""),10.3)</f>
        <v>10.3</v>
      </c>
      <c r="G283" s="22">
        <f>IFERROR(__xludf.DUMMYFUNCTION("""COMPUTED_VALUE"""),43028.66666666667)</f>
        <v>43028.66667</v>
      </c>
      <c r="H283" s="23">
        <f>IFERROR(__xludf.DUMMYFUNCTION("""COMPUTED_VALUE"""),75.24)</f>
        <v>75.24</v>
      </c>
      <c r="I283" s="22">
        <f>IFERROR(__xludf.DUMMYFUNCTION("""COMPUTED_VALUE"""),43028.66666666667)</f>
        <v>43028.66667</v>
      </c>
      <c r="J283" s="23">
        <f>IFERROR(__xludf.DUMMYFUNCTION("""COMPUTED_VALUE"""),168.42)</f>
        <v>168.42</v>
      </c>
      <c r="K283" s="22">
        <f>IFERROR(__xludf.DUMMYFUNCTION("""COMPUTED_VALUE"""),43028.66666666667)</f>
        <v>43028.66667</v>
      </c>
      <c r="L283" s="23">
        <f>IFERROR(__xludf.DUMMYFUNCTION("""COMPUTED_VALUE"""),68.29)</f>
        <v>68.29</v>
      </c>
      <c r="M283" s="23">
        <v>0.0</v>
      </c>
      <c r="N283" s="23">
        <v>0.0</v>
      </c>
      <c r="O283" s="23">
        <v>0.0</v>
      </c>
      <c r="P283" s="23">
        <f t="shared" si="1"/>
        <v>0</v>
      </c>
      <c r="Q283" s="23">
        <f t="shared" si="2"/>
        <v>0</v>
      </c>
      <c r="R283" s="23">
        <f t="shared" si="3"/>
        <v>0</v>
      </c>
      <c r="S283" s="19"/>
      <c r="T283" s="19"/>
      <c r="U283" s="19"/>
      <c r="V283" s="19"/>
    </row>
    <row r="284">
      <c r="A284" s="22">
        <f>IFERROR(__xludf.DUMMYFUNCTION("""COMPUTED_VALUE"""),42373.66666666667)</f>
        <v>42373.66667</v>
      </c>
      <c r="B284" s="23">
        <f>IFERROR(__xludf.DUMMYFUNCTION("""COMPUTED_VALUE"""),57.25)</f>
        <v>57.25</v>
      </c>
      <c r="C284" s="22">
        <f>IFERROR(__xludf.DUMMYFUNCTION("""COMPUTED_VALUE"""),43634.66666666667)</f>
        <v>43634.66667</v>
      </c>
      <c r="D284" s="23">
        <f>IFERROR(__xludf.DUMMYFUNCTION("""COMPUTED_VALUE"""),110.6)</f>
        <v>110.6</v>
      </c>
      <c r="E284" s="22">
        <f>IFERROR(__xludf.DUMMYFUNCTION("""COMPUTED_VALUE"""),42556.66666666667)</f>
        <v>42556.66667</v>
      </c>
      <c r="F284" s="23">
        <f>IFERROR(__xludf.DUMMYFUNCTION("""COMPUTED_VALUE"""),10.24)</f>
        <v>10.24</v>
      </c>
      <c r="G284" s="22">
        <f>IFERROR(__xludf.DUMMYFUNCTION("""COMPUTED_VALUE"""),43035.66666666667)</f>
        <v>43035.66667</v>
      </c>
      <c r="H284" s="23">
        <f>IFERROR(__xludf.DUMMYFUNCTION("""COMPUTED_VALUE"""),75.19)</f>
        <v>75.19</v>
      </c>
      <c r="I284" s="22">
        <f>IFERROR(__xludf.DUMMYFUNCTION("""COMPUTED_VALUE"""),43035.66666666667)</f>
        <v>43035.66667</v>
      </c>
      <c r="J284" s="23">
        <f>IFERROR(__xludf.DUMMYFUNCTION("""COMPUTED_VALUE"""),172.63)</f>
        <v>172.63</v>
      </c>
      <c r="K284" s="22">
        <f>IFERROR(__xludf.DUMMYFUNCTION("""COMPUTED_VALUE"""),43035.66666666667)</f>
        <v>43035.66667</v>
      </c>
      <c r="L284" s="23">
        <f>IFERROR(__xludf.DUMMYFUNCTION("""COMPUTED_VALUE"""),69.72)</f>
        <v>69.72</v>
      </c>
      <c r="M284" s="23">
        <v>200.0</v>
      </c>
      <c r="N284" s="23">
        <v>200.0</v>
      </c>
      <c r="O284" s="23">
        <v>200.0</v>
      </c>
      <c r="P284" s="23">
        <f t="shared" si="1"/>
        <v>2.659928182</v>
      </c>
      <c r="Q284" s="23">
        <f t="shared" si="2"/>
        <v>1.158547182</v>
      </c>
      <c r="R284" s="23">
        <f t="shared" si="3"/>
        <v>2.868617326</v>
      </c>
      <c r="S284" s="19"/>
      <c r="T284" s="19"/>
      <c r="U284" s="19"/>
      <c r="V284" s="19"/>
    </row>
    <row r="285">
      <c r="A285" s="22">
        <f>IFERROR(__xludf.DUMMYFUNCTION("""COMPUTED_VALUE"""),42374.66666666667)</f>
        <v>42374.66667</v>
      </c>
      <c r="B285" s="23">
        <f>IFERROR(__xludf.DUMMYFUNCTION("""COMPUTED_VALUE"""),57.37)</f>
        <v>57.37</v>
      </c>
      <c r="C285" s="22">
        <f>IFERROR(__xludf.DUMMYFUNCTION("""COMPUTED_VALUE"""),43635.66666666667)</f>
        <v>43635.66667</v>
      </c>
      <c r="D285" s="23">
        <f>IFERROR(__xludf.DUMMYFUNCTION("""COMPUTED_VALUE"""),111.99)</f>
        <v>111.99</v>
      </c>
      <c r="E285" s="22">
        <f>IFERROR(__xludf.DUMMYFUNCTION("""COMPUTED_VALUE"""),42557.66666666667)</f>
        <v>42557.66667</v>
      </c>
      <c r="F285" s="23">
        <f>IFERROR(__xludf.DUMMYFUNCTION("""COMPUTED_VALUE"""),10.27)</f>
        <v>10.27</v>
      </c>
      <c r="G285" s="22">
        <f>IFERROR(__xludf.DUMMYFUNCTION("""COMPUTED_VALUE"""),43042.66666666667)</f>
        <v>43042.66667</v>
      </c>
      <c r="H285" s="23">
        <f>IFERROR(__xludf.DUMMYFUNCTION("""COMPUTED_VALUE"""),75.89)</f>
        <v>75.89</v>
      </c>
      <c r="I285" s="22">
        <f>IFERROR(__xludf.DUMMYFUNCTION("""COMPUTED_VALUE"""),43042.66666666667)</f>
        <v>43042.66667</v>
      </c>
      <c r="J285" s="23">
        <f>IFERROR(__xludf.DUMMYFUNCTION("""COMPUTED_VALUE"""),172.42)</f>
        <v>172.42</v>
      </c>
      <c r="K285" s="22">
        <f>IFERROR(__xludf.DUMMYFUNCTION("""COMPUTED_VALUE"""),43042.66666666667)</f>
        <v>43042.66667</v>
      </c>
      <c r="L285" s="23">
        <f>IFERROR(__xludf.DUMMYFUNCTION("""COMPUTED_VALUE"""),70.25)</f>
        <v>70.25</v>
      </c>
      <c r="M285" s="23">
        <v>0.0</v>
      </c>
      <c r="N285" s="23">
        <v>0.0</v>
      </c>
      <c r="O285" s="23">
        <v>0.0</v>
      </c>
      <c r="P285" s="23">
        <f t="shared" si="1"/>
        <v>0</v>
      </c>
      <c r="Q285" s="23">
        <f t="shared" si="2"/>
        <v>0</v>
      </c>
      <c r="R285" s="23">
        <f t="shared" si="3"/>
        <v>0</v>
      </c>
      <c r="S285" s="19"/>
      <c r="T285" s="19"/>
      <c r="U285" s="19"/>
      <c r="V285" s="19"/>
    </row>
    <row r="286">
      <c r="A286" s="22">
        <f>IFERROR(__xludf.DUMMYFUNCTION("""COMPUTED_VALUE"""),42375.66666666667)</f>
        <v>42375.66667</v>
      </c>
      <c r="B286" s="23">
        <f>IFERROR(__xludf.DUMMYFUNCTION("""COMPUTED_VALUE"""),57.27)</f>
        <v>57.27</v>
      </c>
      <c r="C286" s="22">
        <f>IFERROR(__xludf.DUMMYFUNCTION("""COMPUTED_VALUE"""),43636.66666666667)</f>
        <v>43636.66667</v>
      </c>
      <c r="D286" s="23">
        <f>IFERROR(__xludf.DUMMYFUNCTION("""COMPUTED_VALUE"""),112.52)</f>
        <v>112.52</v>
      </c>
      <c r="E286" s="22">
        <f>IFERROR(__xludf.DUMMYFUNCTION("""COMPUTED_VALUE"""),42558.66666666667)</f>
        <v>42558.66667</v>
      </c>
      <c r="F286" s="23">
        <f>IFERROR(__xludf.DUMMYFUNCTION("""COMPUTED_VALUE"""),10.27)</f>
        <v>10.27</v>
      </c>
      <c r="G286" s="22">
        <f>IFERROR(__xludf.DUMMYFUNCTION("""COMPUTED_VALUE"""),43049.66666666667)</f>
        <v>43049.66667</v>
      </c>
      <c r="H286" s="23">
        <f>IFERROR(__xludf.DUMMYFUNCTION("""COMPUTED_VALUE"""),76.95)</f>
        <v>76.95</v>
      </c>
      <c r="I286" s="22">
        <f>IFERROR(__xludf.DUMMYFUNCTION("""COMPUTED_VALUE"""),43049.66666666667)</f>
        <v>43049.66667</v>
      </c>
      <c r="J286" s="23">
        <f>IFERROR(__xludf.DUMMYFUNCTION("""COMPUTED_VALUE"""),172.84)</f>
        <v>172.84</v>
      </c>
      <c r="K286" s="22">
        <f>IFERROR(__xludf.DUMMYFUNCTION("""COMPUTED_VALUE"""),43049.66666666667)</f>
        <v>43049.66667</v>
      </c>
      <c r="L286" s="23">
        <f>IFERROR(__xludf.DUMMYFUNCTION("""COMPUTED_VALUE"""),70.11)</f>
        <v>70.11</v>
      </c>
      <c r="M286" s="23">
        <v>0.0</v>
      </c>
      <c r="N286" s="23">
        <v>0.0</v>
      </c>
      <c r="O286" s="23">
        <v>0.0</v>
      </c>
      <c r="P286" s="23">
        <f t="shared" si="1"/>
        <v>0</v>
      </c>
      <c r="Q286" s="23">
        <f t="shared" si="2"/>
        <v>0</v>
      </c>
      <c r="R286" s="23">
        <f t="shared" si="3"/>
        <v>0</v>
      </c>
      <c r="S286" s="19"/>
      <c r="T286" s="19"/>
      <c r="U286" s="19"/>
      <c r="V286" s="19"/>
    </row>
    <row r="287">
      <c r="A287" s="22">
        <f>IFERROR(__xludf.DUMMYFUNCTION("""COMPUTED_VALUE"""),42376.66666666667)</f>
        <v>42376.66667</v>
      </c>
      <c r="B287" s="23">
        <f>IFERROR(__xludf.DUMMYFUNCTION("""COMPUTED_VALUE"""),56.94)</f>
        <v>56.94</v>
      </c>
      <c r="C287" s="22">
        <f>IFERROR(__xludf.DUMMYFUNCTION("""COMPUTED_VALUE"""),43637.66666666667)</f>
        <v>43637.66667</v>
      </c>
      <c r="D287" s="23">
        <f>IFERROR(__xludf.DUMMYFUNCTION("""COMPUTED_VALUE"""),111.92)</f>
        <v>111.92</v>
      </c>
      <c r="E287" s="22">
        <f>IFERROR(__xludf.DUMMYFUNCTION("""COMPUTED_VALUE"""),42559.66666666667)</f>
        <v>42559.66667</v>
      </c>
      <c r="F287" s="23">
        <f>IFERROR(__xludf.DUMMYFUNCTION("""COMPUTED_VALUE"""),10.31)</f>
        <v>10.31</v>
      </c>
      <c r="G287" s="22">
        <f>IFERROR(__xludf.DUMMYFUNCTION("""COMPUTED_VALUE"""),43056.66666666667)</f>
        <v>43056.66667</v>
      </c>
      <c r="H287" s="23">
        <f>IFERROR(__xludf.DUMMYFUNCTION("""COMPUTED_VALUE"""),76.33)</f>
        <v>76.33</v>
      </c>
      <c r="I287" s="22">
        <f>IFERROR(__xludf.DUMMYFUNCTION("""COMPUTED_VALUE"""),43056.66666666667)</f>
        <v>43056.66667</v>
      </c>
      <c r="J287" s="23">
        <f>IFERROR(__xludf.DUMMYFUNCTION("""COMPUTED_VALUE"""),175.25)</f>
        <v>175.25</v>
      </c>
      <c r="K287" s="22">
        <f>IFERROR(__xludf.DUMMYFUNCTION("""COMPUTED_VALUE"""),43056.66666666667)</f>
        <v>43056.66667</v>
      </c>
      <c r="L287" s="23">
        <f>IFERROR(__xludf.DUMMYFUNCTION("""COMPUTED_VALUE"""),70.85)</f>
        <v>70.85</v>
      </c>
      <c r="M287" s="23">
        <v>0.0</v>
      </c>
      <c r="N287" s="23">
        <v>0.0</v>
      </c>
      <c r="O287" s="23">
        <v>0.0</v>
      </c>
      <c r="P287" s="23">
        <f t="shared" si="1"/>
        <v>0</v>
      </c>
      <c r="Q287" s="23">
        <f t="shared" si="2"/>
        <v>0</v>
      </c>
      <c r="R287" s="23">
        <f t="shared" si="3"/>
        <v>0</v>
      </c>
      <c r="S287" s="19"/>
      <c r="T287" s="19"/>
      <c r="U287" s="19"/>
      <c r="V287" s="19"/>
    </row>
    <row r="288">
      <c r="A288" s="22">
        <f>IFERROR(__xludf.DUMMYFUNCTION("""COMPUTED_VALUE"""),42377.66666666667)</f>
        <v>42377.66667</v>
      </c>
      <c r="B288" s="23">
        <f>IFERROR(__xludf.DUMMYFUNCTION("""COMPUTED_VALUE"""),56.72)</f>
        <v>56.72</v>
      </c>
      <c r="C288" s="22">
        <f>IFERROR(__xludf.DUMMYFUNCTION("""COMPUTED_VALUE"""),43640.66666666667)</f>
        <v>43640.66667</v>
      </c>
      <c r="D288" s="23">
        <f>IFERROR(__xludf.DUMMYFUNCTION("""COMPUTED_VALUE"""),112.26)</f>
        <v>112.26</v>
      </c>
      <c r="E288" s="22">
        <f>IFERROR(__xludf.DUMMYFUNCTION("""COMPUTED_VALUE"""),42562.66666666667)</f>
        <v>42562.66667</v>
      </c>
      <c r="F288" s="23">
        <f>IFERROR(__xludf.DUMMYFUNCTION("""COMPUTED_VALUE"""),10.44)</f>
        <v>10.44</v>
      </c>
      <c r="G288" s="22">
        <f>IFERROR(__xludf.DUMMYFUNCTION("""COMPUTED_VALUE"""),43063.66666666667)</f>
        <v>43063.66667</v>
      </c>
      <c r="H288" s="23">
        <f>IFERROR(__xludf.DUMMYFUNCTION("""COMPUTED_VALUE"""),76.63)</f>
        <v>76.63</v>
      </c>
      <c r="I288" s="22">
        <f>IFERROR(__xludf.DUMMYFUNCTION("""COMPUTED_VALUE"""),43063.66666666667)</f>
        <v>43063.66667</v>
      </c>
      <c r="J288" s="23">
        <f>IFERROR(__xludf.DUMMYFUNCTION("""COMPUTED_VALUE"""),175.72)</f>
        <v>175.72</v>
      </c>
      <c r="K288" s="22">
        <f>IFERROR(__xludf.DUMMYFUNCTION("""COMPUTED_VALUE"""),43063.66666666667)</f>
        <v>43063.66667</v>
      </c>
      <c r="L288" s="23">
        <f>IFERROR(__xludf.DUMMYFUNCTION("""COMPUTED_VALUE"""),71.3)</f>
        <v>71.3</v>
      </c>
      <c r="M288" s="23">
        <v>200.0</v>
      </c>
      <c r="N288" s="23">
        <v>200.0</v>
      </c>
      <c r="O288" s="23">
        <v>200.0</v>
      </c>
      <c r="P288" s="23">
        <f t="shared" si="1"/>
        <v>2.609943886</v>
      </c>
      <c r="Q288" s="23">
        <f t="shared" si="2"/>
        <v>1.138174368</v>
      </c>
      <c r="R288" s="23">
        <f t="shared" si="3"/>
        <v>2.805049088</v>
      </c>
      <c r="S288" s="19"/>
      <c r="T288" s="19"/>
      <c r="U288" s="19"/>
      <c r="V288" s="19"/>
    </row>
    <row r="289">
      <c r="A289" s="22">
        <f>IFERROR(__xludf.DUMMYFUNCTION("""COMPUTED_VALUE"""),42380.66666666667)</f>
        <v>42380.66667</v>
      </c>
      <c r="B289" s="23">
        <f>IFERROR(__xludf.DUMMYFUNCTION("""COMPUTED_VALUE"""),56.15)</f>
        <v>56.15</v>
      </c>
      <c r="C289" s="22">
        <f>IFERROR(__xludf.DUMMYFUNCTION("""COMPUTED_VALUE"""),43641.66666666667)</f>
        <v>43641.66667</v>
      </c>
      <c r="D289" s="23">
        <f>IFERROR(__xludf.DUMMYFUNCTION("""COMPUTED_VALUE"""),112.31)</f>
        <v>112.31</v>
      </c>
      <c r="E289" s="22">
        <f>IFERROR(__xludf.DUMMYFUNCTION("""COMPUTED_VALUE"""),42563.66666666667)</f>
        <v>42563.66667</v>
      </c>
      <c r="F289" s="23">
        <f>IFERROR(__xludf.DUMMYFUNCTION("""COMPUTED_VALUE"""),10.44)</f>
        <v>10.44</v>
      </c>
      <c r="G289" s="22">
        <f>IFERROR(__xludf.DUMMYFUNCTION("""COMPUTED_VALUE"""),43070.66666666667)</f>
        <v>43070.66667</v>
      </c>
      <c r="H289" s="23">
        <f>IFERROR(__xludf.DUMMYFUNCTION("""COMPUTED_VALUE"""),76.8)</f>
        <v>76.8</v>
      </c>
      <c r="I289" s="22">
        <f>IFERROR(__xludf.DUMMYFUNCTION("""COMPUTED_VALUE"""),43070.66666666667)</f>
        <v>43070.66667</v>
      </c>
      <c r="J289" s="23">
        <f>IFERROR(__xludf.DUMMYFUNCTION("""COMPUTED_VALUE"""),179.92)</f>
        <v>179.92</v>
      </c>
      <c r="K289" s="22">
        <f>IFERROR(__xludf.DUMMYFUNCTION("""COMPUTED_VALUE"""),43070.66666666667)</f>
        <v>43070.66667</v>
      </c>
      <c r="L289" s="23">
        <f>IFERROR(__xludf.DUMMYFUNCTION("""COMPUTED_VALUE"""),71.41)</f>
        <v>71.41</v>
      </c>
      <c r="M289" s="23">
        <v>0.0</v>
      </c>
      <c r="N289" s="23">
        <v>0.0</v>
      </c>
      <c r="O289" s="23">
        <v>0.0</v>
      </c>
      <c r="P289" s="23">
        <f t="shared" si="1"/>
        <v>0</v>
      </c>
      <c r="Q289" s="23">
        <f t="shared" si="2"/>
        <v>0</v>
      </c>
      <c r="R289" s="23">
        <f t="shared" si="3"/>
        <v>0</v>
      </c>
      <c r="S289" s="19"/>
      <c r="T289" s="19"/>
      <c r="U289" s="19"/>
      <c r="V289" s="19"/>
    </row>
    <row r="290">
      <c r="A290" s="22">
        <f>IFERROR(__xludf.DUMMYFUNCTION("""COMPUTED_VALUE"""),42381.66666666667)</f>
        <v>42381.66667</v>
      </c>
      <c r="B290" s="23">
        <f>IFERROR(__xludf.DUMMYFUNCTION("""COMPUTED_VALUE"""),55.91)</f>
        <v>55.91</v>
      </c>
      <c r="C290" s="22">
        <f>IFERROR(__xludf.DUMMYFUNCTION("""COMPUTED_VALUE"""),43642.66666666667)</f>
        <v>43642.66667</v>
      </c>
      <c r="D290" s="23">
        <f>IFERROR(__xludf.DUMMYFUNCTION("""COMPUTED_VALUE"""),112.07)</f>
        <v>112.07</v>
      </c>
      <c r="E290" s="22">
        <f>IFERROR(__xludf.DUMMYFUNCTION("""COMPUTED_VALUE"""),42564.66666666667)</f>
        <v>42564.66667</v>
      </c>
      <c r="F290" s="23">
        <f>IFERROR(__xludf.DUMMYFUNCTION("""COMPUTED_VALUE"""),10.44)</f>
        <v>10.44</v>
      </c>
      <c r="G290" s="22">
        <f>IFERROR(__xludf.DUMMYFUNCTION("""COMPUTED_VALUE"""),43077.66666666667)</f>
        <v>43077.66667</v>
      </c>
      <c r="H290" s="23">
        <f>IFERROR(__xludf.DUMMYFUNCTION("""COMPUTED_VALUE"""),76.87)</f>
        <v>76.87</v>
      </c>
      <c r="I290" s="22">
        <f>IFERROR(__xludf.DUMMYFUNCTION("""COMPUTED_VALUE"""),43077.66666666667)</f>
        <v>43077.66667</v>
      </c>
      <c r="J290" s="23">
        <f>IFERROR(__xludf.DUMMYFUNCTION("""COMPUTED_VALUE"""),180.98)</f>
        <v>180.98</v>
      </c>
      <c r="K290" s="22">
        <f>IFERROR(__xludf.DUMMYFUNCTION("""COMPUTED_VALUE"""),43077.66666666667)</f>
        <v>43077.66667</v>
      </c>
      <c r="L290" s="23">
        <f>IFERROR(__xludf.DUMMYFUNCTION("""COMPUTED_VALUE"""),71.49)</f>
        <v>71.49</v>
      </c>
      <c r="M290" s="23">
        <v>0.0</v>
      </c>
      <c r="N290" s="23">
        <v>0.0</v>
      </c>
      <c r="O290" s="23">
        <v>0.0</v>
      </c>
      <c r="P290" s="23">
        <f t="shared" si="1"/>
        <v>0</v>
      </c>
      <c r="Q290" s="23">
        <f t="shared" si="2"/>
        <v>0</v>
      </c>
      <c r="R290" s="23">
        <f t="shared" si="3"/>
        <v>0</v>
      </c>
      <c r="S290" s="19"/>
      <c r="T290" s="19"/>
      <c r="U290" s="19"/>
      <c r="V290" s="19"/>
    </row>
    <row r="291">
      <c r="A291" s="22">
        <f>IFERROR(__xludf.DUMMYFUNCTION("""COMPUTED_VALUE"""),42382.66666666667)</f>
        <v>42382.66667</v>
      </c>
      <c r="B291" s="23">
        <f>IFERROR(__xludf.DUMMYFUNCTION("""COMPUTED_VALUE"""),56.43)</f>
        <v>56.43</v>
      </c>
      <c r="C291" s="22">
        <f>IFERROR(__xludf.DUMMYFUNCTION("""COMPUTED_VALUE"""),43643.66666666667)</f>
        <v>43643.66667</v>
      </c>
      <c r="D291" s="23">
        <f>IFERROR(__xludf.DUMMYFUNCTION("""COMPUTED_VALUE"""),112.55)</f>
        <v>112.55</v>
      </c>
      <c r="E291" s="22">
        <f>IFERROR(__xludf.DUMMYFUNCTION("""COMPUTED_VALUE"""),42565.66666666667)</f>
        <v>42565.66667</v>
      </c>
      <c r="F291" s="23">
        <f>IFERROR(__xludf.DUMMYFUNCTION("""COMPUTED_VALUE"""),10.42)</f>
        <v>10.42</v>
      </c>
      <c r="G291" s="22">
        <f>IFERROR(__xludf.DUMMYFUNCTION("""COMPUTED_VALUE"""),43084.66666666667)</f>
        <v>43084.66667</v>
      </c>
      <c r="H291" s="23">
        <f>IFERROR(__xludf.DUMMYFUNCTION("""COMPUTED_VALUE"""),76.91)</f>
        <v>76.91</v>
      </c>
      <c r="I291" s="22">
        <f>IFERROR(__xludf.DUMMYFUNCTION("""COMPUTED_VALUE"""),43084.66666666667)</f>
        <v>43084.66667</v>
      </c>
      <c r="J291" s="23">
        <f>IFERROR(__xludf.DUMMYFUNCTION("""COMPUTED_VALUE"""),178.0)</f>
        <v>178</v>
      </c>
      <c r="K291" s="22">
        <f>IFERROR(__xludf.DUMMYFUNCTION("""COMPUTED_VALUE"""),43084.66666666667)</f>
        <v>43084.66667</v>
      </c>
      <c r="L291" s="23">
        <f>IFERROR(__xludf.DUMMYFUNCTION("""COMPUTED_VALUE"""),70.48)</f>
        <v>70.48</v>
      </c>
      <c r="M291" s="23">
        <v>0.0</v>
      </c>
      <c r="N291" s="23">
        <v>0.0</v>
      </c>
      <c r="O291" s="23">
        <v>0.0</v>
      </c>
      <c r="P291" s="23">
        <f t="shared" si="1"/>
        <v>0</v>
      </c>
      <c r="Q291" s="23">
        <f t="shared" si="2"/>
        <v>0</v>
      </c>
      <c r="R291" s="23">
        <f t="shared" si="3"/>
        <v>0</v>
      </c>
      <c r="S291" s="19"/>
      <c r="T291" s="19"/>
      <c r="U291" s="19"/>
      <c r="V291" s="19"/>
    </row>
    <row r="292">
      <c r="A292" s="22">
        <f>IFERROR(__xludf.DUMMYFUNCTION("""COMPUTED_VALUE"""),42383.66666666667)</f>
        <v>42383.66667</v>
      </c>
      <c r="B292" s="23">
        <f>IFERROR(__xludf.DUMMYFUNCTION("""COMPUTED_VALUE"""),56.28)</f>
        <v>56.28</v>
      </c>
      <c r="C292" s="22">
        <f>IFERROR(__xludf.DUMMYFUNCTION("""COMPUTED_VALUE"""),43644.66666666667)</f>
        <v>43644.66667</v>
      </c>
      <c r="D292" s="23">
        <f>IFERROR(__xludf.DUMMYFUNCTION("""COMPUTED_VALUE"""),111.85)</f>
        <v>111.85</v>
      </c>
      <c r="E292" s="22">
        <f>IFERROR(__xludf.DUMMYFUNCTION("""COMPUTED_VALUE"""),42566.66666666667)</f>
        <v>42566.66667</v>
      </c>
      <c r="F292" s="23">
        <f>IFERROR(__xludf.DUMMYFUNCTION("""COMPUTED_VALUE"""),10.44)</f>
        <v>10.44</v>
      </c>
      <c r="G292" s="22">
        <f>IFERROR(__xludf.DUMMYFUNCTION("""COMPUTED_VALUE"""),43091.66666666667)</f>
        <v>43091.66667</v>
      </c>
      <c r="H292" s="23">
        <f>IFERROR(__xludf.DUMMYFUNCTION("""COMPUTED_VALUE"""),77.75)</f>
        <v>77.75</v>
      </c>
      <c r="I292" s="22">
        <f>IFERROR(__xludf.DUMMYFUNCTION("""COMPUTED_VALUE"""),43091.66666666667)</f>
        <v>43091.66667</v>
      </c>
      <c r="J292" s="23">
        <f>IFERROR(__xludf.DUMMYFUNCTION("""COMPUTED_VALUE"""),178.64)</f>
        <v>178.64</v>
      </c>
      <c r="K292" s="22">
        <f>IFERROR(__xludf.DUMMYFUNCTION("""COMPUTED_VALUE"""),43091.66666666667)</f>
        <v>43091.66667</v>
      </c>
      <c r="L292" s="23">
        <f>IFERROR(__xludf.DUMMYFUNCTION("""COMPUTED_VALUE"""),70.35)</f>
        <v>70.35</v>
      </c>
      <c r="M292" s="23">
        <v>200.0</v>
      </c>
      <c r="N292" s="23">
        <v>200.0</v>
      </c>
      <c r="O292" s="23">
        <v>200.0</v>
      </c>
      <c r="P292" s="23">
        <f t="shared" si="1"/>
        <v>2.572347267</v>
      </c>
      <c r="Q292" s="23">
        <f t="shared" si="2"/>
        <v>1.119570085</v>
      </c>
      <c r="R292" s="23">
        <f t="shared" si="3"/>
        <v>2.842928216</v>
      </c>
      <c r="S292" s="19"/>
      <c r="T292" s="19"/>
      <c r="U292" s="19"/>
      <c r="V292" s="19"/>
    </row>
    <row r="293">
      <c r="A293" s="22">
        <f>IFERROR(__xludf.DUMMYFUNCTION("""COMPUTED_VALUE"""),42384.66666666667)</f>
        <v>42384.66667</v>
      </c>
      <c r="B293" s="23">
        <f>IFERROR(__xludf.DUMMYFUNCTION("""COMPUTED_VALUE"""),55.6)</f>
        <v>55.6</v>
      </c>
      <c r="C293" s="22">
        <f>IFERROR(__xludf.DUMMYFUNCTION("""COMPUTED_VALUE"""),43647.66666666667)</f>
        <v>43647.66667</v>
      </c>
      <c r="D293" s="23">
        <f>IFERROR(__xludf.DUMMYFUNCTION("""COMPUTED_VALUE"""),111.17)</f>
        <v>111.17</v>
      </c>
      <c r="E293" s="22">
        <f>IFERROR(__xludf.DUMMYFUNCTION("""COMPUTED_VALUE"""),42569.66666666667)</f>
        <v>42569.66667</v>
      </c>
      <c r="F293" s="23">
        <f>IFERROR(__xludf.DUMMYFUNCTION("""COMPUTED_VALUE"""),10.5)</f>
        <v>10.5</v>
      </c>
      <c r="G293" s="22">
        <f>IFERROR(__xludf.DUMMYFUNCTION("""COMPUTED_VALUE"""),43098.66666666667)</f>
        <v>43098.66667</v>
      </c>
      <c r="H293" s="23">
        <f>IFERROR(__xludf.DUMMYFUNCTION("""COMPUTED_VALUE"""),77.88)</f>
        <v>77.88</v>
      </c>
      <c r="I293" s="22">
        <f>IFERROR(__xludf.DUMMYFUNCTION("""COMPUTED_VALUE"""),43098.66666666667)</f>
        <v>43098.66667</v>
      </c>
      <c r="J293" s="23">
        <f>IFERROR(__xludf.DUMMYFUNCTION("""COMPUTED_VALUE"""),176.64)</f>
        <v>176.64</v>
      </c>
      <c r="K293" s="22">
        <f>IFERROR(__xludf.DUMMYFUNCTION("""COMPUTED_VALUE"""),43098.66666666667)</f>
        <v>43098.66667</v>
      </c>
      <c r="L293" s="23">
        <f>IFERROR(__xludf.DUMMYFUNCTION("""COMPUTED_VALUE"""),70.2)</f>
        <v>70.2</v>
      </c>
      <c r="M293" s="23">
        <v>0.0</v>
      </c>
      <c r="N293" s="23">
        <v>0.0</v>
      </c>
      <c r="O293" s="23">
        <v>0.0</v>
      </c>
      <c r="P293" s="23">
        <f t="shared" si="1"/>
        <v>0</v>
      </c>
      <c r="Q293" s="23">
        <f t="shared" si="2"/>
        <v>0</v>
      </c>
      <c r="R293" s="23">
        <f t="shared" si="3"/>
        <v>0</v>
      </c>
      <c r="S293" s="19"/>
      <c r="T293" s="19"/>
      <c r="U293" s="19"/>
      <c r="V293" s="19"/>
    </row>
    <row r="294">
      <c r="A294" s="22">
        <f>IFERROR(__xludf.DUMMYFUNCTION("""COMPUTED_VALUE"""),42387.66666666667)</f>
        <v>42387.66667</v>
      </c>
      <c r="B294" s="23">
        <f>IFERROR(__xludf.DUMMYFUNCTION("""COMPUTED_VALUE"""),55.53)</f>
        <v>55.53</v>
      </c>
      <c r="C294" s="22">
        <f>IFERROR(__xludf.DUMMYFUNCTION("""COMPUTED_VALUE"""),43648.66666666667)</f>
        <v>43648.66667</v>
      </c>
      <c r="D294" s="23">
        <f>IFERROR(__xludf.DUMMYFUNCTION("""COMPUTED_VALUE"""),111.05)</f>
        <v>111.05</v>
      </c>
      <c r="E294" s="22">
        <f>IFERROR(__xludf.DUMMYFUNCTION("""COMPUTED_VALUE"""),42570.66666666667)</f>
        <v>42570.66667</v>
      </c>
      <c r="F294" s="23">
        <f>IFERROR(__xludf.DUMMYFUNCTION("""COMPUTED_VALUE"""),10.64)</f>
        <v>10.64</v>
      </c>
      <c r="G294" s="22">
        <f>IFERROR(__xludf.DUMMYFUNCTION("""COMPUTED_VALUE"""),43105.66666666667)</f>
        <v>43105.66667</v>
      </c>
      <c r="H294" s="23">
        <f>IFERROR(__xludf.DUMMYFUNCTION("""COMPUTED_VALUE"""),77.96)</f>
        <v>77.96</v>
      </c>
      <c r="I294" s="22">
        <f>IFERROR(__xludf.DUMMYFUNCTION("""COMPUTED_VALUE"""),43105.66666666667)</f>
        <v>43105.66667</v>
      </c>
      <c r="J294" s="23">
        <f>IFERROR(__xludf.DUMMYFUNCTION("""COMPUTED_VALUE"""),177.7)</f>
        <v>177.7</v>
      </c>
      <c r="K294" s="22">
        <f>IFERROR(__xludf.DUMMYFUNCTION("""COMPUTED_VALUE"""),43105.66666666667)</f>
        <v>43105.66667</v>
      </c>
      <c r="L294" s="23">
        <f>IFERROR(__xludf.DUMMYFUNCTION("""COMPUTED_VALUE"""),71.58)</f>
        <v>71.58</v>
      </c>
      <c r="M294" s="23">
        <v>0.0</v>
      </c>
      <c r="N294" s="23">
        <v>0.0</v>
      </c>
      <c r="O294" s="23">
        <v>0.0</v>
      </c>
      <c r="P294" s="23">
        <f t="shared" si="1"/>
        <v>0</v>
      </c>
      <c r="Q294" s="23">
        <f t="shared" si="2"/>
        <v>0</v>
      </c>
      <c r="R294" s="23">
        <f t="shared" si="3"/>
        <v>0</v>
      </c>
      <c r="S294" s="19"/>
      <c r="T294" s="19"/>
      <c r="U294" s="19"/>
      <c r="V294" s="19"/>
    </row>
    <row r="295">
      <c r="A295" s="22">
        <f>IFERROR(__xludf.DUMMYFUNCTION("""COMPUTED_VALUE"""),42388.66666666667)</f>
        <v>42388.66667</v>
      </c>
      <c r="B295" s="23">
        <f>IFERROR(__xludf.DUMMYFUNCTION("""COMPUTED_VALUE"""),55.96)</f>
        <v>55.96</v>
      </c>
      <c r="C295" s="22">
        <f>IFERROR(__xludf.DUMMYFUNCTION("""COMPUTED_VALUE"""),43649.66666666667)</f>
        <v>43649.66667</v>
      </c>
      <c r="D295" s="23">
        <f>IFERROR(__xludf.DUMMYFUNCTION("""COMPUTED_VALUE"""),111.75)</f>
        <v>111.75</v>
      </c>
      <c r="E295" s="22">
        <f>IFERROR(__xludf.DUMMYFUNCTION("""COMPUTED_VALUE"""),42571.66666666667)</f>
        <v>42571.66667</v>
      </c>
      <c r="F295" s="23">
        <f>IFERROR(__xludf.DUMMYFUNCTION("""COMPUTED_VALUE"""),10.65)</f>
        <v>10.65</v>
      </c>
      <c r="G295" s="22">
        <f>IFERROR(__xludf.DUMMYFUNCTION("""COMPUTED_VALUE"""),43112.66666666667)</f>
        <v>43112.66667</v>
      </c>
      <c r="H295" s="23">
        <f>IFERROR(__xludf.DUMMYFUNCTION("""COMPUTED_VALUE"""),77.28)</f>
        <v>77.28</v>
      </c>
      <c r="I295" s="22">
        <f>IFERROR(__xludf.DUMMYFUNCTION("""COMPUTED_VALUE"""),43112.66666666667)</f>
        <v>43112.66667</v>
      </c>
      <c r="J295" s="23">
        <f>IFERROR(__xludf.DUMMYFUNCTION("""COMPUTED_VALUE"""),179.9)</f>
        <v>179.9</v>
      </c>
      <c r="K295" s="22">
        <f>IFERROR(__xludf.DUMMYFUNCTION("""COMPUTED_VALUE"""),43112.66666666667)</f>
        <v>43112.66667</v>
      </c>
      <c r="L295" s="23">
        <f>IFERROR(__xludf.DUMMYFUNCTION("""COMPUTED_VALUE"""),71.77)</f>
        <v>71.77</v>
      </c>
      <c r="M295" s="23">
        <v>0.0</v>
      </c>
      <c r="N295" s="23">
        <v>0.0</v>
      </c>
      <c r="O295" s="23">
        <v>0.0</v>
      </c>
      <c r="P295" s="23">
        <f t="shared" si="1"/>
        <v>0</v>
      </c>
      <c r="Q295" s="23">
        <f t="shared" si="2"/>
        <v>0</v>
      </c>
      <c r="R295" s="23">
        <f t="shared" si="3"/>
        <v>0</v>
      </c>
      <c r="S295" s="19"/>
      <c r="T295" s="19"/>
      <c r="U295" s="19"/>
      <c r="V295" s="19"/>
    </row>
    <row r="296">
      <c r="A296" s="22">
        <f>IFERROR(__xludf.DUMMYFUNCTION("""COMPUTED_VALUE"""),42389.66666666667)</f>
        <v>42389.66667</v>
      </c>
      <c r="B296" s="23">
        <f>IFERROR(__xludf.DUMMYFUNCTION("""COMPUTED_VALUE"""),54.72)</f>
        <v>54.72</v>
      </c>
      <c r="C296" s="22">
        <f>IFERROR(__xludf.DUMMYFUNCTION("""COMPUTED_VALUE"""),43650.66666666667)</f>
        <v>43650.66667</v>
      </c>
      <c r="D296" s="23">
        <f>IFERROR(__xludf.DUMMYFUNCTION("""COMPUTED_VALUE"""),112.33)</f>
        <v>112.33</v>
      </c>
      <c r="E296" s="22">
        <f>IFERROR(__xludf.DUMMYFUNCTION("""COMPUTED_VALUE"""),42572.66666666667)</f>
        <v>42572.66667</v>
      </c>
      <c r="F296" s="23">
        <f>IFERROR(__xludf.DUMMYFUNCTION("""COMPUTED_VALUE"""),10.81)</f>
        <v>10.81</v>
      </c>
      <c r="G296" s="22">
        <f>IFERROR(__xludf.DUMMYFUNCTION("""COMPUTED_VALUE"""),43119.66666666667)</f>
        <v>43119.66667</v>
      </c>
      <c r="H296" s="23">
        <f>IFERROR(__xludf.DUMMYFUNCTION("""COMPUTED_VALUE"""),76.51)</f>
        <v>76.51</v>
      </c>
      <c r="I296" s="22">
        <f>IFERROR(__xludf.DUMMYFUNCTION("""COMPUTED_VALUE"""),43119.66666666667)</f>
        <v>43119.66667</v>
      </c>
      <c r="J296" s="23">
        <f>IFERROR(__xludf.DUMMYFUNCTION("""COMPUTED_VALUE"""),178.3)</f>
        <v>178.3</v>
      </c>
      <c r="K296" s="22">
        <f>IFERROR(__xludf.DUMMYFUNCTION("""COMPUTED_VALUE"""),43119.66666666667)</f>
        <v>43119.66667</v>
      </c>
      <c r="L296" s="23">
        <f>IFERROR(__xludf.DUMMYFUNCTION("""COMPUTED_VALUE"""),71.77)</f>
        <v>71.77</v>
      </c>
      <c r="M296" s="23">
        <v>200.0</v>
      </c>
      <c r="N296" s="23">
        <v>200.0</v>
      </c>
      <c r="O296" s="23">
        <v>200.0</v>
      </c>
      <c r="P296" s="23">
        <f t="shared" si="1"/>
        <v>2.614037381</v>
      </c>
      <c r="Q296" s="23">
        <f t="shared" si="2"/>
        <v>1.121704992</v>
      </c>
      <c r="R296" s="23">
        <f t="shared" si="3"/>
        <v>2.786679671</v>
      </c>
      <c r="S296" s="19"/>
      <c r="T296" s="19"/>
      <c r="U296" s="19"/>
      <c r="V296" s="19"/>
    </row>
    <row r="297">
      <c r="A297" s="22">
        <f>IFERROR(__xludf.DUMMYFUNCTION("""COMPUTED_VALUE"""),42390.66666666667)</f>
        <v>42390.66667</v>
      </c>
      <c r="B297" s="23">
        <f>IFERROR(__xludf.DUMMYFUNCTION("""COMPUTED_VALUE"""),54.72)</f>
        <v>54.72</v>
      </c>
      <c r="C297" s="22">
        <f>IFERROR(__xludf.DUMMYFUNCTION("""COMPUTED_VALUE"""),43651.66666666667)</f>
        <v>43651.66667</v>
      </c>
      <c r="D297" s="23">
        <f>IFERROR(__xludf.DUMMYFUNCTION("""COMPUTED_VALUE"""),112.85)</f>
        <v>112.85</v>
      </c>
      <c r="E297" s="22">
        <f>IFERROR(__xludf.DUMMYFUNCTION("""COMPUTED_VALUE"""),42573.66666666667)</f>
        <v>42573.66667</v>
      </c>
      <c r="F297" s="23">
        <f>IFERROR(__xludf.DUMMYFUNCTION("""COMPUTED_VALUE"""),10.8)</f>
        <v>10.8</v>
      </c>
      <c r="G297" s="22">
        <f>IFERROR(__xludf.DUMMYFUNCTION("""COMPUTED_VALUE"""),43125.66666666667)</f>
        <v>43125.66667</v>
      </c>
      <c r="H297" s="23">
        <f>IFERROR(__xludf.DUMMYFUNCTION("""COMPUTED_VALUE"""),77.09)</f>
        <v>77.09</v>
      </c>
      <c r="I297" s="22">
        <f>IFERROR(__xludf.DUMMYFUNCTION("""COMPUTED_VALUE"""),43125.66666666667)</f>
        <v>43125.66667</v>
      </c>
      <c r="J297" s="23">
        <f>IFERROR(__xludf.DUMMYFUNCTION("""COMPUTED_VALUE"""),179.71)</f>
        <v>179.71</v>
      </c>
      <c r="K297" s="22">
        <f>IFERROR(__xludf.DUMMYFUNCTION("""COMPUTED_VALUE"""),43125.66666666667)</f>
        <v>43125.66667</v>
      </c>
      <c r="L297" s="23">
        <f>IFERROR(__xludf.DUMMYFUNCTION("""COMPUTED_VALUE"""),72.49)</f>
        <v>72.49</v>
      </c>
      <c r="M297" s="23">
        <v>0.0</v>
      </c>
      <c r="N297" s="23">
        <v>0.0</v>
      </c>
      <c r="O297" s="23">
        <v>0.0</v>
      </c>
      <c r="P297" s="23">
        <f t="shared" si="1"/>
        <v>0</v>
      </c>
      <c r="Q297" s="23">
        <f t="shared" si="2"/>
        <v>0</v>
      </c>
      <c r="R297" s="23">
        <f t="shared" si="3"/>
        <v>0</v>
      </c>
      <c r="S297" s="19"/>
      <c r="T297" s="19"/>
      <c r="U297" s="19"/>
      <c r="V297" s="19"/>
    </row>
    <row r="298">
      <c r="A298" s="22">
        <f>IFERROR(__xludf.DUMMYFUNCTION("""COMPUTED_VALUE"""),42391.66666666667)</f>
        <v>42391.66667</v>
      </c>
      <c r="B298" s="23">
        <f>IFERROR(__xludf.DUMMYFUNCTION("""COMPUTED_VALUE"""),54.27)</f>
        <v>54.27</v>
      </c>
      <c r="C298" s="22">
        <f>IFERROR(__xludf.DUMMYFUNCTION("""COMPUTED_VALUE"""),43654.66666666667)</f>
        <v>43654.66667</v>
      </c>
      <c r="D298" s="23">
        <f>IFERROR(__xludf.DUMMYFUNCTION("""COMPUTED_VALUE"""),111.57)</f>
        <v>111.57</v>
      </c>
      <c r="E298" s="22">
        <f>IFERROR(__xludf.DUMMYFUNCTION("""COMPUTED_VALUE"""),42576.66666666667)</f>
        <v>42576.66667</v>
      </c>
      <c r="F298" s="23">
        <f>IFERROR(__xludf.DUMMYFUNCTION("""COMPUTED_VALUE"""),10.79)</f>
        <v>10.79</v>
      </c>
      <c r="G298" s="22">
        <f>IFERROR(__xludf.DUMMYFUNCTION("""COMPUTED_VALUE"""),43133.66666666667)</f>
        <v>43133.66667</v>
      </c>
      <c r="H298" s="23">
        <f>IFERROR(__xludf.DUMMYFUNCTION("""COMPUTED_VALUE"""),77.97)</f>
        <v>77.97</v>
      </c>
      <c r="I298" s="22">
        <f>IFERROR(__xludf.DUMMYFUNCTION("""COMPUTED_VALUE"""),43133.66666666667)</f>
        <v>43133.66667</v>
      </c>
      <c r="J298" s="23">
        <f>IFERROR(__xludf.DUMMYFUNCTION("""COMPUTED_VALUE"""),180.19)</f>
        <v>180.19</v>
      </c>
      <c r="K298" s="22">
        <f>IFERROR(__xludf.DUMMYFUNCTION("""COMPUTED_VALUE"""),43133.66666666667)</f>
        <v>43133.66667</v>
      </c>
      <c r="L298" s="23">
        <f>IFERROR(__xludf.DUMMYFUNCTION("""COMPUTED_VALUE"""),72.23)</f>
        <v>72.23</v>
      </c>
      <c r="M298" s="23">
        <v>0.0</v>
      </c>
      <c r="N298" s="23">
        <v>0.0</v>
      </c>
      <c r="O298" s="23">
        <v>0.0</v>
      </c>
      <c r="P298" s="23">
        <f t="shared" si="1"/>
        <v>0</v>
      </c>
      <c r="Q298" s="23">
        <f t="shared" si="2"/>
        <v>0</v>
      </c>
      <c r="R298" s="23">
        <f t="shared" si="3"/>
        <v>0</v>
      </c>
      <c r="S298" s="19"/>
      <c r="T298" s="19"/>
      <c r="U298" s="19"/>
      <c r="V298" s="19"/>
    </row>
    <row r="299">
      <c r="A299" s="22">
        <f>IFERROR(__xludf.DUMMYFUNCTION("""COMPUTED_VALUE"""),42394.66666666667)</f>
        <v>42394.66667</v>
      </c>
      <c r="B299" s="23">
        <f>IFERROR(__xludf.DUMMYFUNCTION("""COMPUTED_VALUE"""),55.24)</f>
        <v>55.24</v>
      </c>
      <c r="C299" s="22">
        <f>IFERROR(__xludf.DUMMYFUNCTION("""COMPUTED_VALUE"""),43655.66666666667)</f>
        <v>43655.66667</v>
      </c>
      <c r="D299" s="23">
        <f>IFERROR(__xludf.DUMMYFUNCTION("""COMPUTED_VALUE"""),111.28)</f>
        <v>111.28</v>
      </c>
      <c r="E299" s="22">
        <f>IFERROR(__xludf.DUMMYFUNCTION("""COMPUTED_VALUE"""),42577.66666666667)</f>
        <v>42577.66667</v>
      </c>
      <c r="F299" s="23">
        <f>IFERROR(__xludf.DUMMYFUNCTION("""COMPUTED_VALUE"""),10.76)</f>
        <v>10.76</v>
      </c>
      <c r="G299" s="22">
        <f>IFERROR(__xludf.DUMMYFUNCTION("""COMPUTED_VALUE"""),43140.66666666667)</f>
        <v>43140.66667</v>
      </c>
      <c r="H299" s="23">
        <f>IFERROR(__xludf.DUMMYFUNCTION("""COMPUTED_VALUE"""),74.33)</f>
        <v>74.33</v>
      </c>
      <c r="I299" s="22">
        <f>IFERROR(__xludf.DUMMYFUNCTION("""COMPUTED_VALUE"""),43140.66666666667)</f>
        <v>43140.66667</v>
      </c>
      <c r="J299" s="23">
        <f>IFERROR(__xludf.DUMMYFUNCTION("""COMPUTED_VALUE"""),171.71)</f>
        <v>171.71</v>
      </c>
      <c r="K299" s="22">
        <f>IFERROR(__xludf.DUMMYFUNCTION("""COMPUTED_VALUE"""),43140.66666666667)</f>
        <v>43140.66667</v>
      </c>
      <c r="L299" s="23">
        <f>IFERROR(__xludf.DUMMYFUNCTION("""COMPUTED_VALUE"""),68.74)</f>
        <v>68.74</v>
      </c>
      <c r="M299" s="23">
        <v>0.0</v>
      </c>
      <c r="N299" s="23">
        <v>0.0</v>
      </c>
      <c r="O299" s="23">
        <v>0.0</v>
      </c>
      <c r="P299" s="23">
        <f t="shared" si="1"/>
        <v>0</v>
      </c>
      <c r="Q299" s="23">
        <f t="shared" si="2"/>
        <v>0</v>
      </c>
      <c r="R299" s="23">
        <f t="shared" si="3"/>
        <v>0</v>
      </c>
      <c r="S299" s="19"/>
      <c r="T299" s="19"/>
      <c r="U299" s="19"/>
      <c r="V299" s="19"/>
    </row>
    <row r="300">
      <c r="A300" s="22">
        <f>IFERROR(__xludf.DUMMYFUNCTION("""COMPUTED_VALUE"""),42396.66666666667)</f>
        <v>42396.66667</v>
      </c>
      <c r="B300" s="23">
        <f>IFERROR(__xludf.DUMMYFUNCTION("""COMPUTED_VALUE"""),55.0)</f>
        <v>55</v>
      </c>
      <c r="C300" s="22">
        <f>IFERROR(__xludf.DUMMYFUNCTION("""COMPUTED_VALUE"""),43656.66666666667)</f>
        <v>43656.66667</v>
      </c>
      <c r="D300" s="23">
        <f>IFERROR(__xludf.DUMMYFUNCTION("""COMPUTED_VALUE"""),111.75)</f>
        <v>111.75</v>
      </c>
      <c r="E300" s="22">
        <f>IFERROR(__xludf.DUMMYFUNCTION("""COMPUTED_VALUE"""),42578.66666666667)</f>
        <v>42578.66667</v>
      </c>
      <c r="F300" s="23">
        <f>IFERROR(__xludf.DUMMYFUNCTION("""COMPUTED_VALUE"""),10.87)</f>
        <v>10.87</v>
      </c>
      <c r="G300" s="22">
        <f>IFERROR(__xludf.DUMMYFUNCTION("""COMPUTED_VALUE"""),43147.66666666667)</f>
        <v>43147.66667</v>
      </c>
      <c r="H300" s="23">
        <f>IFERROR(__xludf.DUMMYFUNCTION("""COMPUTED_VALUE"""),75.4)</f>
        <v>75.4</v>
      </c>
      <c r="I300" s="22">
        <f>IFERROR(__xludf.DUMMYFUNCTION("""COMPUTED_VALUE"""),43147.66666666667)</f>
        <v>43147.66667</v>
      </c>
      <c r="J300" s="23">
        <f>IFERROR(__xludf.DUMMYFUNCTION("""COMPUTED_VALUE"""),176.16)</f>
        <v>176.16</v>
      </c>
      <c r="K300" s="22">
        <f>IFERROR(__xludf.DUMMYFUNCTION("""COMPUTED_VALUE"""),43147.66666666667)</f>
        <v>43147.66667</v>
      </c>
      <c r="L300" s="23">
        <f>IFERROR(__xludf.DUMMYFUNCTION("""COMPUTED_VALUE"""),70.46)</f>
        <v>70.46</v>
      </c>
      <c r="M300" s="23">
        <v>200.0</v>
      </c>
      <c r="N300" s="23">
        <v>200.0</v>
      </c>
      <c r="O300" s="23">
        <v>200.0</v>
      </c>
      <c r="P300" s="23">
        <f t="shared" si="1"/>
        <v>2.652519894</v>
      </c>
      <c r="Q300" s="23">
        <f t="shared" si="2"/>
        <v>1.135331517</v>
      </c>
      <c r="R300" s="23">
        <f t="shared" si="3"/>
        <v>2.838489923</v>
      </c>
      <c r="S300" s="19"/>
      <c r="T300" s="19"/>
      <c r="U300" s="19"/>
      <c r="V300" s="19"/>
    </row>
    <row r="301">
      <c r="A301" s="22">
        <f>IFERROR(__xludf.DUMMYFUNCTION("""COMPUTED_VALUE"""),42397.66666666667)</f>
        <v>42397.66667</v>
      </c>
      <c r="B301" s="23">
        <f>IFERROR(__xludf.DUMMYFUNCTION("""COMPUTED_VALUE"""),54.78)</f>
        <v>54.78</v>
      </c>
      <c r="C301" s="22">
        <f>IFERROR(__xludf.DUMMYFUNCTION("""COMPUTED_VALUE"""),43657.66666666667)</f>
        <v>43657.66667</v>
      </c>
      <c r="D301" s="23">
        <f>IFERROR(__xludf.DUMMYFUNCTION("""COMPUTED_VALUE"""),112.24)</f>
        <v>112.24</v>
      </c>
      <c r="E301" s="22">
        <f>IFERROR(__xludf.DUMMYFUNCTION("""COMPUTED_VALUE"""),42579.66666666667)</f>
        <v>42579.66667</v>
      </c>
      <c r="F301" s="23">
        <f>IFERROR(__xludf.DUMMYFUNCTION("""COMPUTED_VALUE"""),10.83)</f>
        <v>10.83</v>
      </c>
      <c r="G301" s="22">
        <f>IFERROR(__xludf.DUMMYFUNCTION("""COMPUTED_VALUE"""),43154.66666666667)</f>
        <v>43154.66667</v>
      </c>
      <c r="H301" s="23">
        <f>IFERROR(__xludf.DUMMYFUNCTION("""COMPUTED_VALUE"""),76.82)</f>
        <v>76.82</v>
      </c>
      <c r="I301" s="22">
        <f>IFERROR(__xludf.DUMMYFUNCTION("""COMPUTED_VALUE"""),43154.66666666667)</f>
        <v>43154.66667</v>
      </c>
      <c r="J301" s="23">
        <f>IFERROR(__xludf.DUMMYFUNCTION("""COMPUTED_VALUE"""),178.21)</f>
        <v>178.21</v>
      </c>
      <c r="K301" s="22">
        <f>IFERROR(__xludf.DUMMYFUNCTION("""COMPUTED_VALUE"""),43154.66666666667)</f>
        <v>43154.66667</v>
      </c>
      <c r="L301" s="23">
        <f>IFERROR(__xludf.DUMMYFUNCTION("""COMPUTED_VALUE"""),71.09)</f>
        <v>71.09</v>
      </c>
      <c r="M301" s="23">
        <v>0.0</v>
      </c>
      <c r="N301" s="23">
        <v>0.0</v>
      </c>
      <c r="O301" s="23">
        <v>0.0</v>
      </c>
      <c r="P301" s="23">
        <f t="shared" si="1"/>
        <v>0</v>
      </c>
      <c r="Q301" s="23">
        <f t="shared" si="2"/>
        <v>0</v>
      </c>
      <c r="R301" s="23">
        <f t="shared" si="3"/>
        <v>0</v>
      </c>
      <c r="S301" s="19"/>
      <c r="T301" s="19"/>
      <c r="U301" s="19"/>
      <c r="V301" s="19"/>
    </row>
    <row r="302">
      <c r="A302" s="22">
        <f>IFERROR(__xludf.DUMMYFUNCTION("""COMPUTED_VALUE"""),42398.66666666667)</f>
        <v>42398.66667</v>
      </c>
      <c r="B302" s="23">
        <f>IFERROR(__xludf.DUMMYFUNCTION("""COMPUTED_VALUE"""),54.77)</f>
        <v>54.77</v>
      </c>
      <c r="C302" s="22">
        <f>IFERROR(__xludf.DUMMYFUNCTION("""COMPUTED_VALUE"""),43658.66666666667)</f>
        <v>43658.66667</v>
      </c>
      <c r="D302" s="23">
        <f>IFERROR(__xludf.DUMMYFUNCTION("""COMPUTED_VALUE"""),111.83)</f>
        <v>111.83</v>
      </c>
      <c r="E302" s="22">
        <f>IFERROR(__xludf.DUMMYFUNCTION("""COMPUTED_VALUE"""),42580.66666666667)</f>
        <v>42580.66667</v>
      </c>
      <c r="F302" s="23">
        <f>IFERROR(__xludf.DUMMYFUNCTION("""COMPUTED_VALUE"""),10.91)</f>
        <v>10.91</v>
      </c>
      <c r="G302" s="22">
        <f>IFERROR(__xludf.DUMMYFUNCTION("""COMPUTED_VALUE"""),43161.66666666667)</f>
        <v>43161.66667</v>
      </c>
      <c r="H302" s="23">
        <f>IFERROR(__xludf.DUMMYFUNCTION("""COMPUTED_VALUE"""),76.19)</f>
        <v>76.19</v>
      </c>
      <c r="I302" s="22">
        <f>IFERROR(__xludf.DUMMYFUNCTION("""COMPUTED_VALUE"""),43161.66666666667)</f>
        <v>43161.66667</v>
      </c>
      <c r="J302" s="23">
        <f>IFERROR(__xludf.DUMMYFUNCTION("""COMPUTED_VALUE"""),176.99)</f>
        <v>176.99</v>
      </c>
      <c r="K302" s="22">
        <f>IFERROR(__xludf.DUMMYFUNCTION("""COMPUTED_VALUE"""),43161.66666666667)</f>
        <v>43161.66667</v>
      </c>
      <c r="L302" s="23">
        <f>IFERROR(__xludf.DUMMYFUNCTION("""COMPUTED_VALUE"""),70.14)</f>
        <v>70.14</v>
      </c>
      <c r="M302" s="23">
        <v>0.0</v>
      </c>
      <c r="N302" s="23">
        <v>0.0</v>
      </c>
      <c r="O302" s="23">
        <v>0.0</v>
      </c>
      <c r="P302" s="23">
        <f t="shared" si="1"/>
        <v>0</v>
      </c>
      <c r="Q302" s="23">
        <f t="shared" si="2"/>
        <v>0</v>
      </c>
      <c r="R302" s="23">
        <f t="shared" si="3"/>
        <v>0</v>
      </c>
      <c r="S302" s="19"/>
      <c r="T302" s="19"/>
      <c r="U302" s="19"/>
      <c r="V302" s="19"/>
    </row>
    <row r="303">
      <c r="A303" s="22">
        <f>IFERROR(__xludf.DUMMYFUNCTION("""COMPUTED_VALUE"""),42401.66666666667)</f>
        <v>42401.66667</v>
      </c>
      <c r="B303" s="23">
        <f>IFERROR(__xludf.DUMMYFUNCTION("""COMPUTED_VALUE"""),55.61)</f>
        <v>55.61</v>
      </c>
      <c r="C303" s="22">
        <f>IFERROR(__xludf.DUMMYFUNCTION("""COMPUTED_VALUE"""),43661.66666666667)</f>
        <v>43661.66667</v>
      </c>
      <c r="D303" s="23">
        <f>IFERROR(__xludf.DUMMYFUNCTION("""COMPUTED_VALUE"""),111.24)</f>
        <v>111.24</v>
      </c>
      <c r="E303" s="22">
        <f>IFERROR(__xludf.DUMMYFUNCTION("""COMPUTED_VALUE"""),42583.66666666667)</f>
        <v>42583.66667</v>
      </c>
      <c r="F303" s="23">
        <f>IFERROR(__xludf.DUMMYFUNCTION("""COMPUTED_VALUE"""),10.83)</f>
        <v>10.83</v>
      </c>
      <c r="G303" s="22">
        <f>IFERROR(__xludf.DUMMYFUNCTION("""COMPUTED_VALUE"""),43168.66666666667)</f>
        <v>43168.66667</v>
      </c>
      <c r="H303" s="23">
        <f>IFERROR(__xludf.DUMMYFUNCTION("""COMPUTED_VALUE"""),76.81)</f>
        <v>76.81</v>
      </c>
      <c r="I303" s="22">
        <f>IFERROR(__xludf.DUMMYFUNCTION("""COMPUTED_VALUE"""),43168.66666666667)</f>
        <v>43168.66667</v>
      </c>
      <c r="J303" s="23">
        <f>IFERROR(__xludf.DUMMYFUNCTION("""COMPUTED_VALUE"""),180.88)</f>
        <v>180.88</v>
      </c>
      <c r="K303" s="22">
        <f>IFERROR(__xludf.DUMMYFUNCTION("""COMPUTED_VALUE"""),43168.66666666667)</f>
        <v>43168.66667</v>
      </c>
      <c r="L303" s="23">
        <f>IFERROR(__xludf.DUMMYFUNCTION("""COMPUTED_VALUE"""),70.5)</f>
        <v>70.5</v>
      </c>
      <c r="M303" s="23">
        <v>0.0</v>
      </c>
      <c r="N303" s="23">
        <v>0.0</v>
      </c>
      <c r="O303" s="23">
        <v>0.0</v>
      </c>
      <c r="P303" s="23">
        <f t="shared" si="1"/>
        <v>0</v>
      </c>
      <c r="Q303" s="23">
        <f t="shared" si="2"/>
        <v>0</v>
      </c>
      <c r="R303" s="23">
        <f t="shared" si="3"/>
        <v>0</v>
      </c>
      <c r="S303" s="19"/>
      <c r="T303" s="19"/>
      <c r="U303" s="19"/>
      <c r="V303" s="19"/>
    </row>
    <row r="304">
      <c r="A304" s="22">
        <f>IFERROR(__xludf.DUMMYFUNCTION("""COMPUTED_VALUE"""),42402.66666666667)</f>
        <v>42402.66667</v>
      </c>
      <c r="B304" s="23">
        <f>IFERROR(__xludf.DUMMYFUNCTION("""COMPUTED_VALUE"""),55.16)</f>
        <v>55.16</v>
      </c>
      <c r="C304" s="22">
        <f>IFERROR(__xludf.DUMMYFUNCTION("""COMPUTED_VALUE"""),43662.66666666667)</f>
        <v>43662.66667</v>
      </c>
      <c r="D304" s="23">
        <f>IFERROR(__xludf.DUMMYFUNCTION("""COMPUTED_VALUE"""),111.03)</f>
        <v>111.03</v>
      </c>
      <c r="E304" s="22">
        <f>IFERROR(__xludf.DUMMYFUNCTION("""COMPUTED_VALUE"""),42584.66666666667)</f>
        <v>42584.66667</v>
      </c>
      <c r="F304" s="23">
        <f>IFERROR(__xludf.DUMMYFUNCTION("""COMPUTED_VALUE"""),10.93)</f>
        <v>10.93</v>
      </c>
      <c r="G304" s="22">
        <f>IFERROR(__xludf.DUMMYFUNCTION("""COMPUTED_VALUE"""),43175.66666666667)</f>
        <v>43175.66667</v>
      </c>
      <c r="H304" s="23">
        <f>IFERROR(__xludf.DUMMYFUNCTION("""COMPUTED_VALUE"""),76.66)</f>
        <v>76.66</v>
      </c>
      <c r="I304" s="22">
        <f>IFERROR(__xludf.DUMMYFUNCTION("""COMPUTED_VALUE"""),43175.66666666667)</f>
        <v>43175.66667</v>
      </c>
      <c r="J304" s="23">
        <f>IFERROR(__xludf.DUMMYFUNCTION("""COMPUTED_VALUE"""),181.59)</f>
        <v>181.59</v>
      </c>
      <c r="K304" s="22">
        <f>IFERROR(__xludf.DUMMYFUNCTION("""COMPUTED_VALUE"""),43175.66666666667)</f>
        <v>43175.66667</v>
      </c>
      <c r="L304" s="23">
        <f>IFERROR(__xludf.DUMMYFUNCTION("""COMPUTED_VALUE"""),71.01)</f>
        <v>71.01</v>
      </c>
      <c r="M304" s="23">
        <v>200.0</v>
      </c>
      <c r="N304" s="23">
        <v>200.0</v>
      </c>
      <c r="O304" s="23">
        <v>200.0</v>
      </c>
      <c r="P304" s="23">
        <f t="shared" si="1"/>
        <v>2.608922515</v>
      </c>
      <c r="Q304" s="23">
        <f t="shared" si="2"/>
        <v>1.101382235</v>
      </c>
      <c r="R304" s="23">
        <f t="shared" si="3"/>
        <v>2.816504718</v>
      </c>
      <c r="S304" s="19"/>
      <c r="T304" s="19"/>
      <c r="U304" s="19"/>
      <c r="V304" s="19"/>
    </row>
    <row r="305">
      <c r="A305" s="22">
        <f>IFERROR(__xludf.DUMMYFUNCTION("""COMPUTED_VALUE"""),42403.66666666667)</f>
        <v>42403.66667</v>
      </c>
      <c r="B305" s="23">
        <f>IFERROR(__xludf.DUMMYFUNCTION("""COMPUTED_VALUE"""),54.94)</f>
        <v>54.94</v>
      </c>
      <c r="C305" s="22">
        <f>IFERROR(__xludf.DUMMYFUNCTION("""COMPUTED_VALUE"""),43663.66666666667)</f>
        <v>43663.66667</v>
      </c>
      <c r="D305" s="23">
        <f>IFERROR(__xludf.DUMMYFUNCTION("""COMPUTED_VALUE"""),111.45)</f>
        <v>111.45</v>
      </c>
      <c r="E305" s="22">
        <f>IFERROR(__xludf.DUMMYFUNCTION("""COMPUTED_VALUE"""),42585.66666666667)</f>
        <v>42585.66667</v>
      </c>
      <c r="F305" s="23">
        <f>IFERROR(__xludf.DUMMYFUNCTION("""COMPUTED_VALUE"""),10.77)</f>
        <v>10.77</v>
      </c>
      <c r="G305" s="22">
        <f>IFERROR(__xludf.DUMMYFUNCTION("""COMPUTED_VALUE"""),43182.66666666667)</f>
        <v>43182.66667</v>
      </c>
      <c r="H305" s="23">
        <f>IFERROR(__xludf.DUMMYFUNCTION("""COMPUTED_VALUE"""),75.07)</f>
        <v>75.07</v>
      </c>
      <c r="I305" s="22">
        <f>IFERROR(__xludf.DUMMYFUNCTION("""COMPUTED_VALUE"""),43182.66666666667)</f>
        <v>43182.66667</v>
      </c>
      <c r="J305" s="23">
        <f>IFERROR(__xludf.DUMMYFUNCTION("""COMPUTED_VALUE"""),175.2)</f>
        <v>175.2</v>
      </c>
      <c r="K305" s="22">
        <f>IFERROR(__xludf.DUMMYFUNCTION("""COMPUTED_VALUE"""),43182.66666666667)</f>
        <v>43182.66667</v>
      </c>
      <c r="L305" s="23">
        <f>IFERROR(__xludf.DUMMYFUNCTION("""COMPUTED_VALUE"""),69.53)</f>
        <v>69.53</v>
      </c>
      <c r="M305" s="23">
        <v>0.0</v>
      </c>
      <c r="N305" s="23">
        <v>0.0</v>
      </c>
      <c r="O305" s="23">
        <v>0.0</v>
      </c>
      <c r="P305" s="23">
        <f t="shared" si="1"/>
        <v>0</v>
      </c>
      <c r="Q305" s="23">
        <f t="shared" si="2"/>
        <v>0</v>
      </c>
      <c r="R305" s="23">
        <f t="shared" si="3"/>
        <v>0</v>
      </c>
      <c r="S305" s="19"/>
      <c r="T305" s="19"/>
      <c r="U305" s="19"/>
      <c r="V305" s="19"/>
    </row>
    <row r="306">
      <c r="A306" s="22">
        <f>IFERROR(__xludf.DUMMYFUNCTION("""COMPUTED_VALUE"""),42404.66666666667)</f>
        <v>42404.66667</v>
      </c>
      <c r="B306" s="23">
        <f>IFERROR(__xludf.DUMMYFUNCTION("""COMPUTED_VALUE"""),54.58)</f>
        <v>54.58</v>
      </c>
      <c r="C306" s="22">
        <f>IFERROR(__xludf.DUMMYFUNCTION("""COMPUTED_VALUE"""),43664.66666666667)</f>
        <v>43664.66667</v>
      </c>
      <c r="D306" s="23">
        <f>IFERROR(__xludf.DUMMYFUNCTION("""COMPUTED_VALUE"""),110.89)</f>
        <v>110.89</v>
      </c>
      <c r="E306" s="22">
        <f>IFERROR(__xludf.DUMMYFUNCTION("""COMPUTED_VALUE"""),42586.66666666667)</f>
        <v>42586.66667</v>
      </c>
      <c r="F306" s="23">
        <f>IFERROR(__xludf.DUMMYFUNCTION("""COMPUTED_VALUE"""),10.81)</f>
        <v>10.81</v>
      </c>
      <c r="G306" s="22">
        <f>IFERROR(__xludf.DUMMYFUNCTION("""COMPUTED_VALUE"""),43188.66666666667)</f>
        <v>43188.66667</v>
      </c>
      <c r="H306" s="23">
        <f>IFERROR(__xludf.DUMMYFUNCTION("""COMPUTED_VALUE"""),74.28)</f>
        <v>74.28</v>
      </c>
      <c r="I306" s="22">
        <f>IFERROR(__xludf.DUMMYFUNCTION("""COMPUTED_VALUE"""),43188.66666666667)</f>
        <v>43188.66667</v>
      </c>
      <c r="J306" s="23">
        <f>IFERROR(__xludf.DUMMYFUNCTION("""COMPUTED_VALUE"""),174.61)</f>
        <v>174.61</v>
      </c>
      <c r="K306" s="22">
        <f>IFERROR(__xludf.DUMMYFUNCTION("""COMPUTED_VALUE"""),43188.66666666667)</f>
        <v>43188.66667</v>
      </c>
      <c r="L306" s="23">
        <f>IFERROR(__xludf.DUMMYFUNCTION("""COMPUTED_VALUE"""),70.04)</f>
        <v>70.04</v>
      </c>
      <c r="M306" s="23">
        <v>0.0</v>
      </c>
      <c r="N306" s="23">
        <v>0.0</v>
      </c>
      <c r="O306" s="23">
        <v>0.0</v>
      </c>
      <c r="P306" s="23">
        <f t="shared" si="1"/>
        <v>0</v>
      </c>
      <c r="Q306" s="23">
        <f t="shared" si="2"/>
        <v>0</v>
      </c>
      <c r="R306" s="23">
        <f t="shared" si="3"/>
        <v>0</v>
      </c>
      <c r="S306" s="19"/>
      <c r="T306" s="19"/>
      <c r="U306" s="19"/>
      <c r="V306" s="19"/>
    </row>
    <row r="307">
      <c r="A307" s="22">
        <f>IFERROR(__xludf.DUMMYFUNCTION("""COMPUTED_VALUE"""),42405.66666666667)</f>
        <v>42405.66667</v>
      </c>
      <c r="B307" s="23">
        <f>IFERROR(__xludf.DUMMYFUNCTION("""COMPUTED_VALUE"""),54.06)</f>
        <v>54.06</v>
      </c>
      <c r="C307" s="22">
        <f>IFERROR(__xludf.DUMMYFUNCTION("""COMPUTED_VALUE"""),43665.66666666667)</f>
        <v>43665.66667</v>
      </c>
      <c r="D307" s="23">
        <f>IFERROR(__xludf.DUMMYFUNCTION("""COMPUTED_VALUE"""),111.93)</f>
        <v>111.93</v>
      </c>
      <c r="E307" s="22">
        <f>IFERROR(__xludf.DUMMYFUNCTION("""COMPUTED_VALUE"""),42587.66666666667)</f>
        <v>42587.66667</v>
      </c>
      <c r="F307" s="23">
        <f>IFERROR(__xludf.DUMMYFUNCTION("""COMPUTED_VALUE"""),10.75)</f>
        <v>10.75</v>
      </c>
      <c r="G307" s="22">
        <f>IFERROR(__xludf.DUMMYFUNCTION("""COMPUTED_VALUE"""),43196.66666666667)</f>
        <v>43196.66667</v>
      </c>
      <c r="H307" s="23">
        <f>IFERROR(__xludf.DUMMYFUNCTION("""COMPUTED_VALUE"""),73.94)</f>
        <v>73.94</v>
      </c>
      <c r="I307" s="22">
        <f>IFERROR(__xludf.DUMMYFUNCTION("""COMPUTED_VALUE"""),43196.66666666667)</f>
        <v>43196.66667</v>
      </c>
      <c r="J307" s="23">
        <f>IFERROR(__xludf.DUMMYFUNCTION("""COMPUTED_VALUE"""),176.48)</f>
        <v>176.48</v>
      </c>
      <c r="K307" s="22">
        <f>IFERROR(__xludf.DUMMYFUNCTION("""COMPUTED_VALUE"""),43196.66666666667)</f>
        <v>43196.66667</v>
      </c>
      <c r="L307" s="23">
        <f>IFERROR(__xludf.DUMMYFUNCTION("""COMPUTED_VALUE"""),70.16)</f>
        <v>70.16</v>
      </c>
      <c r="M307" s="23">
        <v>0.0</v>
      </c>
      <c r="N307" s="23">
        <v>0.0</v>
      </c>
      <c r="O307" s="23">
        <v>0.0</v>
      </c>
      <c r="P307" s="23">
        <f t="shared" si="1"/>
        <v>0</v>
      </c>
      <c r="Q307" s="23">
        <f t="shared" si="2"/>
        <v>0</v>
      </c>
      <c r="R307" s="23">
        <f t="shared" si="3"/>
        <v>0</v>
      </c>
      <c r="S307" s="19"/>
      <c r="T307" s="19"/>
      <c r="U307" s="19"/>
      <c r="V307" s="19"/>
    </row>
    <row r="308">
      <c r="A308" s="22">
        <f>IFERROR(__xludf.DUMMYFUNCTION("""COMPUTED_VALUE"""),42408.66666666667)</f>
        <v>42408.66667</v>
      </c>
      <c r="B308" s="23">
        <f>IFERROR(__xludf.DUMMYFUNCTION("""COMPUTED_VALUE"""),54.15)</f>
        <v>54.15</v>
      </c>
      <c r="C308" s="22">
        <f>IFERROR(__xludf.DUMMYFUNCTION("""COMPUTED_VALUE"""),43668.66666666667)</f>
        <v>43668.66667</v>
      </c>
      <c r="D308" s="23">
        <f>IFERROR(__xludf.DUMMYFUNCTION("""COMPUTED_VALUE"""),111.82)</f>
        <v>111.82</v>
      </c>
      <c r="E308" s="22">
        <f>IFERROR(__xludf.DUMMYFUNCTION("""COMPUTED_VALUE"""),42590.66666666667)</f>
        <v>42590.66667</v>
      </c>
      <c r="F308" s="23">
        <f>IFERROR(__xludf.DUMMYFUNCTION("""COMPUTED_VALUE"""),10.9)</f>
        <v>10.9</v>
      </c>
      <c r="G308" s="22">
        <f>IFERROR(__xludf.DUMMYFUNCTION("""COMPUTED_VALUE"""),43203.66666666667)</f>
        <v>43203.66667</v>
      </c>
      <c r="H308" s="23">
        <f>IFERROR(__xludf.DUMMYFUNCTION("""COMPUTED_VALUE"""),74.54)</f>
        <v>74.54</v>
      </c>
      <c r="I308" s="22">
        <f>IFERROR(__xludf.DUMMYFUNCTION("""COMPUTED_VALUE"""),43203.66666666667)</f>
        <v>43203.66667</v>
      </c>
      <c r="J308" s="23">
        <f>IFERROR(__xludf.DUMMYFUNCTION("""COMPUTED_VALUE"""),175.9)</f>
        <v>175.9</v>
      </c>
      <c r="K308" s="22">
        <f>IFERROR(__xludf.DUMMYFUNCTION("""COMPUTED_VALUE"""),43203.66666666667)</f>
        <v>43203.66667</v>
      </c>
      <c r="L308" s="23">
        <f>IFERROR(__xludf.DUMMYFUNCTION("""COMPUTED_VALUE"""),70.56)</f>
        <v>70.56</v>
      </c>
      <c r="M308" s="23">
        <v>200.0</v>
      </c>
      <c r="N308" s="23">
        <v>200.0</v>
      </c>
      <c r="O308" s="23">
        <v>200.0</v>
      </c>
      <c r="P308" s="23">
        <f t="shared" si="1"/>
        <v>2.683123155</v>
      </c>
      <c r="Q308" s="23">
        <f t="shared" si="2"/>
        <v>1.137009665</v>
      </c>
      <c r="R308" s="23">
        <f t="shared" si="3"/>
        <v>2.83446712</v>
      </c>
      <c r="S308" s="19"/>
      <c r="T308" s="19"/>
      <c r="U308" s="19"/>
      <c r="V308" s="19"/>
    </row>
    <row r="309">
      <c r="A309" s="22">
        <f>IFERROR(__xludf.DUMMYFUNCTION("""COMPUTED_VALUE"""),42409.66666666667)</f>
        <v>42409.66667</v>
      </c>
      <c r="B309" s="23">
        <f>IFERROR(__xludf.DUMMYFUNCTION("""COMPUTED_VALUE"""),53.29)</f>
        <v>53.29</v>
      </c>
      <c r="C309" s="22">
        <f>IFERROR(__xludf.DUMMYFUNCTION("""COMPUTED_VALUE"""),43669.66666666667)</f>
        <v>43669.66667</v>
      </c>
      <c r="D309" s="23">
        <f>IFERROR(__xludf.DUMMYFUNCTION("""COMPUTED_VALUE"""),112.29)</f>
        <v>112.29</v>
      </c>
      <c r="E309" s="22">
        <f>IFERROR(__xludf.DUMMYFUNCTION("""COMPUTED_VALUE"""),42591.66666666667)</f>
        <v>42591.66667</v>
      </c>
      <c r="F309" s="23">
        <f>IFERROR(__xludf.DUMMYFUNCTION("""COMPUTED_VALUE"""),10.89)</f>
        <v>10.89</v>
      </c>
      <c r="G309" s="22">
        <f>IFERROR(__xludf.DUMMYFUNCTION("""COMPUTED_VALUE"""),43210.66666666667)</f>
        <v>43210.66667</v>
      </c>
      <c r="H309" s="23">
        <f>IFERROR(__xludf.DUMMYFUNCTION("""COMPUTED_VALUE"""),74.96)</f>
        <v>74.96</v>
      </c>
      <c r="I309" s="22">
        <f>IFERROR(__xludf.DUMMYFUNCTION("""COMPUTED_VALUE"""),43210.66666666667)</f>
        <v>43210.66667</v>
      </c>
      <c r="J309" s="23">
        <f>IFERROR(__xludf.DUMMYFUNCTION("""COMPUTED_VALUE"""),179.76)</f>
        <v>179.76</v>
      </c>
      <c r="K309" s="22">
        <f>IFERROR(__xludf.DUMMYFUNCTION("""COMPUTED_VALUE"""),43210.66666666667)</f>
        <v>43210.66667</v>
      </c>
      <c r="L309" s="23">
        <f>IFERROR(__xludf.DUMMYFUNCTION("""COMPUTED_VALUE"""),71.73)</f>
        <v>71.73</v>
      </c>
      <c r="M309" s="23">
        <v>0.0</v>
      </c>
      <c r="N309" s="23">
        <v>0.0</v>
      </c>
      <c r="O309" s="23">
        <v>0.0</v>
      </c>
      <c r="P309" s="23">
        <f t="shared" si="1"/>
        <v>0</v>
      </c>
      <c r="Q309" s="23">
        <f t="shared" si="2"/>
        <v>0</v>
      </c>
      <c r="R309" s="23">
        <f t="shared" si="3"/>
        <v>0</v>
      </c>
      <c r="S309" s="19"/>
      <c r="T309" s="19"/>
      <c r="U309" s="19"/>
      <c r="V309" s="19"/>
    </row>
    <row r="310">
      <c r="A310" s="22">
        <f>IFERROR(__xludf.DUMMYFUNCTION("""COMPUTED_VALUE"""),42410.66666666667)</f>
        <v>42410.66667</v>
      </c>
      <c r="B310" s="23">
        <f>IFERROR(__xludf.DUMMYFUNCTION("""COMPUTED_VALUE"""),52.93)</f>
        <v>52.93</v>
      </c>
      <c r="C310" s="22">
        <f>IFERROR(__xludf.DUMMYFUNCTION("""COMPUTED_VALUE"""),43670.66666666667)</f>
        <v>43670.66667</v>
      </c>
      <c r="D310" s="23">
        <f>IFERROR(__xludf.DUMMYFUNCTION("""COMPUTED_VALUE"""),113.14)</f>
        <v>113.14</v>
      </c>
      <c r="E310" s="22">
        <f>IFERROR(__xludf.DUMMYFUNCTION("""COMPUTED_VALUE"""),42592.66666666667)</f>
        <v>42592.66667</v>
      </c>
      <c r="F310" s="23">
        <f>IFERROR(__xludf.DUMMYFUNCTION("""COMPUTED_VALUE"""),10.79)</f>
        <v>10.79</v>
      </c>
      <c r="G310" s="22">
        <f>IFERROR(__xludf.DUMMYFUNCTION("""COMPUTED_VALUE"""),43217.66666666667)</f>
        <v>43217.66667</v>
      </c>
      <c r="H310" s="23">
        <f>IFERROR(__xludf.DUMMYFUNCTION("""COMPUTED_VALUE"""),76.02)</f>
        <v>76.02</v>
      </c>
      <c r="I310" s="22">
        <f>IFERROR(__xludf.DUMMYFUNCTION("""COMPUTED_VALUE"""),43217.66666666667)</f>
        <v>43217.66667</v>
      </c>
      <c r="J310" s="23">
        <f>IFERROR(__xludf.DUMMYFUNCTION("""COMPUTED_VALUE"""),182.08)</f>
        <v>182.08</v>
      </c>
      <c r="K310" s="22">
        <f>IFERROR(__xludf.DUMMYFUNCTION("""COMPUTED_VALUE"""),43217.66666666667)</f>
        <v>43217.66667</v>
      </c>
      <c r="L310" s="23">
        <f>IFERROR(__xludf.DUMMYFUNCTION("""COMPUTED_VALUE"""),72.82)</f>
        <v>72.82</v>
      </c>
      <c r="M310" s="23">
        <v>0.0</v>
      </c>
      <c r="N310" s="23">
        <v>0.0</v>
      </c>
      <c r="O310" s="23">
        <v>0.0</v>
      </c>
      <c r="P310" s="23">
        <f t="shared" si="1"/>
        <v>0</v>
      </c>
      <c r="Q310" s="23">
        <f t="shared" si="2"/>
        <v>0</v>
      </c>
      <c r="R310" s="23">
        <f t="shared" si="3"/>
        <v>0</v>
      </c>
      <c r="S310" s="19"/>
      <c r="T310" s="19"/>
      <c r="U310" s="19"/>
      <c r="V310" s="19"/>
    </row>
    <row r="311">
      <c r="A311" s="22">
        <f>IFERROR(__xludf.DUMMYFUNCTION("""COMPUTED_VALUE"""),42411.66666666667)</f>
        <v>42411.66667</v>
      </c>
      <c r="B311" s="23">
        <f>IFERROR(__xludf.DUMMYFUNCTION("""COMPUTED_VALUE"""),52.35)</f>
        <v>52.35</v>
      </c>
      <c r="C311" s="22">
        <f>IFERROR(__xludf.DUMMYFUNCTION("""COMPUTED_VALUE"""),43671.66666666667)</f>
        <v>43671.66667</v>
      </c>
      <c r="D311" s="23">
        <f>IFERROR(__xludf.DUMMYFUNCTION("""COMPUTED_VALUE"""),113.82)</f>
        <v>113.82</v>
      </c>
      <c r="E311" s="22">
        <f>IFERROR(__xludf.DUMMYFUNCTION("""COMPUTED_VALUE"""),42593.66666666667)</f>
        <v>42593.66667</v>
      </c>
      <c r="F311" s="23">
        <f>IFERROR(__xludf.DUMMYFUNCTION("""COMPUTED_VALUE"""),10.8)</f>
        <v>10.8</v>
      </c>
      <c r="G311" s="22">
        <f>IFERROR(__xludf.DUMMYFUNCTION("""COMPUTED_VALUE"""),43224.66666666667)</f>
        <v>43224.66667</v>
      </c>
      <c r="H311" s="23">
        <f>IFERROR(__xludf.DUMMYFUNCTION("""COMPUTED_VALUE"""),77.46)</f>
        <v>77.46</v>
      </c>
      <c r="I311" s="22">
        <f>IFERROR(__xludf.DUMMYFUNCTION("""COMPUTED_VALUE"""),43224.66666666667)</f>
        <v>43224.66667</v>
      </c>
      <c r="J311" s="23">
        <f>IFERROR(__xludf.DUMMYFUNCTION("""COMPUTED_VALUE"""),179.83)</f>
        <v>179.83</v>
      </c>
      <c r="K311" s="22">
        <f>IFERROR(__xludf.DUMMYFUNCTION("""COMPUTED_VALUE"""),43224.66666666667)</f>
        <v>43224.66667</v>
      </c>
      <c r="L311" s="23">
        <f>IFERROR(__xludf.DUMMYFUNCTION("""COMPUTED_VALUE"""),72.12)</f>
        <v>72.12</v>
      </c>
      <c r="M311" s="23">
        <v>0.0</v>
      </c>
      <c r="N311" s="23">
        <v>0.0</v>
      </c>
      <c r="O311" s="23">
        <v>0.0</v>
      </c>
      <c r="P311" s="23">
        <f t="shared" si="1"/>
        <v>0</v>
      </c>
      <c r="Q311" s="23">
        <f t="shared" si="2"/>
        <v>0</v>
      </c>
      <c r="R311" s="23">
        <f t="shared" si="3"/>
        <v>0</v>
      </c>
      <c r="S311" s="19"/>
      <c r="T311" s="19"/>
      <c r="U311" s="19"/>
      <c r="V311" s="19"/>
    </row>
    <row r="312">
      <c r="A312" s="22">
        <f>IFERROR(__xludf.DUMMYFUNCTION("""COMPUTED_VALUE"""),42412.66666666667)</f>
        <v>42412.66667</v>
      </c>
      <c r="B312" s="23">
        <f>IFERROR(__xludf.DUMMYFUNCTION("""COMPUTED_VALUE"""),52.43)</f>
        <v>52.43</v>
      </c>
      <c r="C312" s="22">
        <f>IFERROR(__xludf.DUMMYFUNCTION("""COMPUTED_VALUE"""),43672.66666666667)</f>
        <v>43672.66667</v>
      </c>
      <c r="D312" s="23">
        <f>IFERROR(__xludf.DUMMYFUNCTION("""COMPUTED_VALUE"""),113.52)</f>
        <v>113.52</v>
      </c>
      <c r="E312" s="22">
        <f>IFERROR(__xludf.DUMMYFUNCTION("""COMPUTED_VALUE"""),42594.66666666667)</f>
        <v>42594.66667</v>
      </c>
      <c r="F312" s="23">
        <f>IFERROR(__xludf.DUMMYFUNCTION("""COMPUTED_VALUE"""),10.84)</f>
        <v>10.84</v>
      </c>
      <c r="G312" s="22">
        <f>IFERROR(__xludf.DUMMYFUNCTION("""COMPUTED_VALUE"""),43231.66666666667)</f>
        <v>43231.66667</v>
      </c>
      <c r="H312" s="23">
        <f>IFERROR(__xludf.DUMMYFUNCTION("""COMPUTED_VALUE"""),78.15)</f>
        <v>78.15</v>
      </c>
      <c r="I312" s="22">
        <f>IFERROR(__xludf.DUMMYFUNCTION("""COMPUTED_VALUE"""),43231.66666666667)</f>
        <v>43231.66667</v>
      </c>
      <c r="J312" s="23">
        <f>IFERROR(__xludf.DUMMYFUNCTION("""COMPUTED_VALUE"""),186.05)</f>
        <v>186.05</v>
      </c>
      <c r="K312" s="22">
        <f>IFERROR(__xludf.DUMMYFUNCTION("""COMPUTED_VALUE"""),43231.66666666667)</f>
        <v>43231.66667</v>
      </c>
      <c r="L312" s="23">
        <f>IFERROR(__xludf.DUMMYFUNCTION("""COMPUTED_VALUE"""),73.51)</f>
        <v>73.51</v>
      </c>
      <c r="M312" s="23">
        <v>1000.0</v>
      </c>
      <c r="N312" s="23">
        <v>1000.0</v>
      </c>
      <c r="O312" s="23">
        <v>1000.0</v>
      </c>
      <c r="P312" s="23">
        <f t="shared" si="1"/>
        <v>12.79590531</v>
      </c>
      <c r="Q312" s="23">
        <f t="shared" si="2"/>
        <v>5.374899221</v>
      </c>
      <c r="R312" s="23">
        <f t="shared" si="3"/>
        <v>13.60359135</v>
      </c>
      <c r="S312" s="19"/>
      <c r="T312" s="19"/>
      <c r="U312" s="19"/>
      <c r="V312" s="19"/>
    </row>
    <row r="313">
      <c r="A313" s="22">
        <f>IFERROR(__xludf.DUMMYFUNCTION("""COMPUTED_VALUE"""),42415.66666666667)</f>
        <v>42415.66667</v>
      </c>
      <c r="B313" s="23">
        <f>IFERROR(__xludf.DUMMYFUNCTION("""COMPUTED_VALUE"""),53.1)</f>
        <v>53.1</v>
      </c>
      <c r="C313" s="22">
        <f>IFERROR(__xludf.DUMMYFUNCTION("""COMPUTED_VALUE"""),43675.66666666667)</f>
        <v>43675.66667</v>
      </c>
      <c r="D313" s="23">
        <f>IFERROR(__xludf.DUMMYFUNCTION("""COMPUTED_VALUE"""),114.08)</f>
        <v>114.08</v>
      </c>
      <c r="E313" s="22">
        <f>IFERROR(__xludf.DUMMYFUNCTION("""COMPUTED_VALUE"""),42597.66666666667)</f>
        <v>42597.66667</v>
      </c>
      <c r="F313" s="23">
        <f>IFERROR(__xludf.DUMMYFUNCTION("""COMPUTED_VALUE"""),10.92)</f>
        <v>10.92</v>
      </c>
      <c r="G313" s="22">
        <f>IFERROR(__xludf.DUMMYFUNCTION("""COMPUTED_VALUE"""),43238.66666666667)</f>
        <v>43238.66667</v>
      </c>
      <c r="H313" s="23">
        <f>IFERROR(__xludf.DUMMYFUNCTION("""COMPUTED_VALUE"""),78.22)</f>
        <v>78.22</v>
      </c>
      <c r="I313" s="22">
        <f>IFERROR(__xludf.DUMMYFUNCTION("""COMPUTED_VALUE"""),43238.66666666667)</f>
        <v>43238.66667</v>
      </c>
      <c r="J313" s="23">
        <f>IFERROR(__xludf.DUMMYFUNCTION("""COMPUTED_VALUE"""),187.12)</f>
        <v>187.12</v>
      </c>
      <c r="K313" s="22">
        <f>IFERROR(__xludf.DUMMYFUNCTION("""COMPUTED_VALUE"""),43238.66666666667)</f>
        <v>43238.66667</v>
      </c>
      <c r="L313" s="23">
        <f>IFERROR(__xludf.DUMMYFUNCTION("""COMPUTED_VALUE"""),73.42)</f>
        <v>73.42</v>
      </c>
      <c r="M313" s="23">
        <v>0.0</v>
      </c>
      <c r="N313" s="23">
        <v>0.0</v>
      </c>
      <c r="O313" s="23">
        <v>0.0</v>
      </c>
      <c r="P313" s="23">
        <f t="shared" si="1"/>
        <v>0</v>
      </c>
      <c r="Q313" s="23">
        <f t="shared" si="2"/>
        <v>0</v>
      </c>
      <c r="R313" s="23">
        <f t="shared" si="3"/>
        <v>0</v>
      </c>
      <c r="S313" s="19"/>
      <c r="T313" s="19"/>
      <c r="U313" s="19"/>
      <c r="V313" s="19"/>
    </row>
    <row r="314">
      <c r="A314" s="22">
        <f>IFERROR(__xludf.DUMMYFUNCTION("""COMPUTED_VALUE"""),42416.66666666667)</f>
        <v>42416.66667</v>
      </c>
      <c r="B314" s="23">
        <f>IFERROR(__xludf.DUMMYFUNCTION("""COMPUTED_VALUE"""),53.94)</f>
        <v>53.94</v>
      </c>
      <c r="C314" s="22">
        <f>IFERROR(__xludf.DUMMYFUNCTION("""COMPUTED_VALUE"""),43676.66666666667)</f>
        <v>43676.66667</v>
      </c>
      <c r="D314" s="23">
        <f>IFERROR(__xludf.DUMMYFUNCTION("""COMPUTED_VALUE"""),114.37)</f>
        <v>114.37</v>
      </c>
      <c r="E314" s="22">
        <f>IFERROR(__xludf.DUMMYFUNCTION("""COMPUTED_VALUE"""),42598.66666666667)</f>
        <v>42598.66667</v>
      </c>
      <c r="F314" s="23">
        <f>IFERROR(__xludf.DUMMYFUNCTION("""COMPUTED_VALUE"""),10.86)</f>
        <v>10.86</v>
      </c>
      <c r="G314" s="22">
        <f>IFERROR(__xludf.DUMMYFUNCTION("""COMPUTED_VALUE"""),43245.66666666667)</f>
        <v>43245.66667</v>
      </c>
      <c r="H314" s="23">
        <f>IFERROR(__xludf.DUMMYFUNCTION("""COMPUTED_VALUE"""),77.58)</f>
        <v>77.58</v>
      </c>
      <c r="I314" s="22">
        <f>IFERROR(__xludf.DUMMYFUNCTION("""COMPUTED_VALUE"""),43245.66666666667)</f>
        <v>43245.66667</v>
      </c>
      <c r="J314" s="23">
        <f>IFERROR(__xludf.DUMMYFUNCTION("""COMPUTED_VALUE"""),186.81)</f>
        <v>186.81</v>
      </c>
      <c r="K314" s="22">
        <f>IFERROR(__xludf.DUMMYFUNCTION("""COMPUTED_VALUE"""),43245.66666666667)</f>
        <v>43245.66667</v>
      </c>
      <c r="L314" s="23">
        <f>IFERROR(__xludf.DUMMYFUNCTION("""COMPUTED_VALUE"""),72.1)</f>
        <v>72.1</v>
      </c>
      <c r="M314" s="23">
        <v>0.0</v>
      </c>
      <c r="N314" s="23">
        <v>0.0</v>
      </c>
      <c r="O314" s="23">
        <v>0.0</v>
      </c>
      <c r="P314" s="23">
        <f t="shared" si="1"/>
        <v>0</v>
      </c>
      <c r="Q314" s="23">
        <f t="shared" si="2"/>
        <v>0</v>
      </c>
      <c r="R314" s="23">
        <f t="shared" si="3"/>
        <v>0</v>
      </c>
      <c r="S314" s="19"/>
      <c r="T314" s="19"/>
      <c r="U314" s="19"/>
      <c r="V314" s="19"/>
    </row>
    <row r="315">
      <c r="A315" s="22">
        <f>IFERROR(__xludf.DUMMYFUNCTION("""COMPUTED_VALUE"""),42417.66666666667)</f>
        <v>42417.66667</v>
      </c>
      <c r="B315" s="23">
        <f>IFERROR(__xludf.DUMMYFUNCTION("""COMPUTED_VALUE"""),53.8)</f>
        <v>53.8</v>
      </c>
      <c r="C315" s="22">
        <f>IFERROR(__xludf.DUMMYFUNCTION("""COMPUTED_VALUE"""),43677.66666666667)</f>
        <v>43677.66667</v>
      </c>
      <c r="D315" s="23">
        <f>IFERROR(__xludf.DUMMYFUNCTION("""COMPUTED_VALUE"""),113.96)</f>
        <v>113.96</v>
      </c>
      <c r="E315" s="22">
        <f>IFERROR(__xludf.DUMMYFUNCTION("""COMPUTED_VALUE"""),42599.66666666667)</f>
        <v>42599.66667</v>
      </c>
      <c r="F315" s="23">
        <f>IFERROR(__xludf.DUMMYFUNCTION("""COMPUTED_VALUE"""),10.88)</f>
        <v>10.88</v>
      </c>
      <c r="G315" s="22">
        <f>IFERROR(__xludf.DUMMYFUNCTION("""COMPUTED_VALUE"""),43252.66666666667)</f>
        <v>43252.66667</v>
      </c>
      <c r="H315" s="23">
        <f>IFERROR(__xludf.DUMMYFUNCTION("""COMPUTED_VALUE"""),77.1)</f>
        <v>77.1</v>
      </c>
      <c r="I315" s="22">
        <f>IFERROR(__xludf.DUMMYFUNCTION("""COMPUTED_VALUE"""),43252.66666666667)</f>
        <v>43252.66667</v>
      </c>
      <c r="J315" s="23">
        <f>IFERROR(__xludf.DUMMYFUNCTION("""COMPUTED_VALUE"""),186.04)</f>
        <v>186.04</v>
      </c>
      <c r="K315" s="22">
        <f>IFERROR(__xludf.DUMMYFUNCTION("""COMPUTED_VALUE"""),43252.66666666667)</f>
        <v>43252.66667</v>
      </c>
      <c r="L315" s="23">
        <f>IFERROR(__xludf.DUMMYFUNCTION("""COMPUTED_VALUE"""),71.11)</f>
        <v>71.11</v>
      </c>
      <c r="M315" s="23">
        <v>0.0</v>
      </c>
      <c r="N315" s="23">
        <v>0.0</v>
      </c>
      <c r="O315" s="23">
        <v>0.0</v>
      </c>
      <c r="P315" s="23">
        <f t="shared" si="1"/>
        <v>0</v>
      </c>
      <c r="Q315" s="23">
        <f t="shared" si="2"/>
        <v>0</v>
      </c>
      <c r="R315" s="23">
        <f t="shared" si="3"/>
        <v>0</v>
      </c>
      <c r="S315" s="19"/>
      <c r="T315" s="19"/>
      <c r="U315" s="19"/>
      <c r="V315" s="19"/>
    </row>
    <row r="316">
      <c r="A316" s="22">
        <f>IFERROR(__xludf.DUMMYFUNCTION("""COMPUTED_VALUE"""),42418.66666666667)</f>
        <v>42418.66667</v>
      </c>
      <c r="B316" s="23">
        <f>IFERROR(__xludf.DUMMYFUNCTION("""COMPUTED_VALUE"""),54.58)</f>
        <v>54.58</v>
      </c>
      <c r="C316" s="22">
        <f>IFERROR(__xludf.DUMMYFUNCTION("""COMPUTED_VALUE"""),43678.66666666667)</f>
        <v>43678.66667</v>
      </c>
      <c r="D316" s="23">
        <f>IFERROR(__xludf.DUMMYFUNCTION("""COMPUTED_VALUE"""),113.45)</f>
        <v>113.45</v>
      </c>
      <c r="E316" s="22">
        <f>IFERROR(__xludf.DUMMYFUNCTION("""COMPUTED_VALUE"""),42600.66666666667)</f>
        <v>42600.66667</v>
      </c>
      <c r="F316" s="23">
        <f>IFERROR(__xludf.DUMMYFUNCTION("""COMPUTED_VALUE"""),10.84)</f>
        <v>10.84</v>
      </c>
      <c r="G316" s="22">
        <f>IFERROR(__xludf.DUMMYFUNCTION("""COMPUTED_VALUE"""),43259.66666666667)</f>
        <v>43259.66667</v>
      </c>
      <c r="H316" s="23">
        <f>IFERROR(__xludf.DUMMYFUNCTION("""COMPUTED_VALUE"""),77.76)</f>
        <v>77.76</v>
      </c>
      <c r="I316" s="22">
        <f>IFERROR(__xludf.DUMMYFUNCTION("""COMPUTED_VALUE"""),43259.66666666667)</f>
        <v>43259.66667</v>
      </c>
      <c r="J316" s="23">
        <f>IFERROR(__xludf.DUMMYFUNCTION("""COMPUTED_VALUE"""),188.25)</f>
        <v>188.25</v>
      </c>
      <c r="K316" s="22">
        <f>IFERROR(__xludf.DUMMYFUNCTION("""COMPUTED_VALUE"""),43259.66666666667)</f>
        <v>43259.66667</v>
      </c>
      <c r="L316" s="23">
        <f>IFERROR(__xludf.DUMMYFUNCTION("""COMPUTED_VALUE"""),71.32)</f>
        <v>71.32</v>
      </c>
      <c r="M316" s="23">
        <v>1000.0</v>
      </c>
      <c r="N316" s="23">
        <v>1000.0</v>
      </c>
      <c r="O316" s="23">
        <v>1000.0</v>
      </c>
      <c r="P316" s="23">
        <f t="shared" si="1"/>
        <v>12.8600823</v>
      </c>
      <c r="Q316" s="23">
        <f t="shared" si="2"/>
        <v>5.312084993</v>
      </c>
      <c r="R316" s="23">
        <f t="shared" si="3"/>
        <v>14.02131239</v>
      </c>
      <c r="S316" s="19"/>
      <c r="T316" s="19"/>
      <c r="U316" s="19"/>
      <c r="V316" s="19"/>
    </row>
    <row r="317">
      <c r="A317" s="22">
        <f>IFERROR(__xludf.DUMMYFUNCTION("""COMPUTED_VALUE"""),42419.66666666667)</f>
        <v>42419.66667</v>
      </c>
      <c r="B317" s="23">
        <f>IFERROR(__xludf.DUMMYFUNCTION("""COMPUTED_VALUE"""),54.3)</f>
        <v>54.3</v>
      </c>
      <c r="C317" s="22">
        <f>IFERROR(__xludf.DUMMYFUNCTION("""COMPUTED_VALUE"""),43679.66666666667)</f>
        <v>43679.66667</v>
      </c>
      <c r="D317" s="23">
        <f>IFERROR(__xludf.DUMMYFUNCTION("""COMPUTED_VALUE"""),113.03)</f>
        <v>113.03</v>
      </c>
      <c r="E317" s="22">
        <f>IFERROR(__xludf.DUMMYFUNCTION("""COMPUTED_VALUE"""),42601.66666666667)</f>
        <v>42601.66667</v>
      </c>
      <c r="F317" s="23">
        <f>IFERROR(__xludf.DUMMYFUNCTION("""COMPUTED_VALUE"""),10.92)</f>
        <v>10.92</v>
      </c>
      <c r="G317" s="22">
        <f>IFERROR(__xludf.DUMMYFUNCTION("""COMPUTED_VALUE"""),43266.66666666667)</f>
        <v>43266.66667</v>
      </c>
      <c r="H317" s="23">
        <f>IFERROR(__xludf.DUMMYFUNCTION("""COMPUTED_VALUE"""),78.41)</f>
        <v>78.41</v>
      </c>
      <c r="I317" s="22">
        <f>IFERROR(__xludf.DUMMYFUNCTION("""COMPUTED_VALUE"""),43266.66666666667)</f>
        <v>43266.66667</v>
      </c>
      <c r="J317" s="23">
        <f>IFERROR(__xludf.DUMMYFUNCTION("""COMPUTED_VALUE"""),193.41)</f>
        <v>193.41</v>
      </c>
      <c r="K317" s="22">
        <f>IFERROR(__xludf.DUMMYFUNCTION("""COMPUTED_VALUE"""),43266.66666666667)</f>
        <v>43266.66667</v>
      </c>
      <c r="L317" s="23">
        <f>IFERROR(__xludf.DUMMYFUNCTION("""COMPUTED_VALUE"""),72.32)</f>
        <v>72.32</v>
      </c>
      <c r="M317" s="23">
        <v>0.0</v>
      </c>
      <c r="N317" s="23">
        <v>0.0</v>
      </c>
      <c r="O317" s="23">
        <v>0.0</v>
      </c>
      <c r="P317" s="23">
        <f t="shared" si="1"/>
        <v>0</v>
      </c>
      <c r="Q317" s="23">
        <f t="shared" si="2"/>
        <v>0</v>
      </c>
      <c r="R317" s="23">
        <f t="shared" si="3"/>
        <v>0</v>
      </c>
      <c r="S317" s="19"/>
      <c r="T317" s="19"/>
      <c r="U317" s="19"/>
      <c r="V317" s="19"/>
    </row>
    <row r="318">
      <c r="A318" s="22">
        <f>IFERROR(__xludf.DUMMYFUNCTION("""COMPUTED_VALUE"""),42422.66666666667)</f>
        <v>42422.66667</v>
      </c>
      <c r="B318" s="23">
        <f>IFERROR(__xludf.DUMMYFUNCTION("""COMPUTED_VALUE"""),54.22)</f>
        <v>54.22</v>
      </c>
      <c r="C318" s="22">
        <f>IFERROR(__xludf.DUMMYFUNCTION("""COMPUTED_VALUE"""),43682.66666666667)</f>
        <v>43682.66667</v>
      </c>
      <c r="D318" s="23">
        <f>IFERROR(__xludf.DUMMYFUNCTION("""COMPUTED_VALUE"""),110.99)</f>
        <v>110.99</v>
      </c>
      <c r="E318" s="22">
        <f>IFERROR(__xludf.DUMMYFUNCTION("""COMPUTED_VALUE"""),42604.66666666667)</f>
        <v>42604.66667</v>
      </c>
      <c r="F318" s="23">
        <f>IFERROR(__xludf.DUMMYFUNCTION("""COMPUTED_VALUE"""),10.98)</f>
        <v>10.98</v>
      </c>
      <c r="G318" s="22">
        <f>IFERROR(__xludf.DUMMYFUNCTION("""COMPUTED_VALUE"""),43273.66666666667)</f>
        <v>43273.66667</v>
      </c>
      <c r="H318" s="23">
        <f>IFERROR(__xludf.DUMMYFUNCTION("""COMPUTED_VALUE"""),79.95)</f>
        <v>79.95</v>
      </c>
      <c r="I318" s="22">
        <f>IFERROR(__xludf.DUMMYFUNCTION("""COMPUTED_VALUE"""),43273.66666666667)</f>
        <v>43273.66667</v>
      </c>
      <c r="J318" s="23">
        <f>IFERROR(__xludf.DUMMYFUNCTION("""COMPUTED_VALUE"""),192.86)</f>
        <v>192.86</v>
      </c>
      <c r="K318" s="22">
        <f>IFERROR(__xludf.DUMMYFUNCTION("""COMPUTED_VALUE"""),43273.66666666667)</f>
        <v>43273.66667</v>
      </c>
      <c r="L318" s="23">
        <f>IFERROR(__xludf.DUMMYFUNCTION("""COMPUTED_VALUE"""),70.49)</f>
        <v>70.49</v>
      </c>
      <c r="M318" s="23">
        <v>0.0</v>
      </c>
      <c r="N318" s="23">
        <v>0.0</v>
      </c>
      <c r="O318" s="23">
        <v>0.0</v>
      </c>
      <c r="P318" s="23">
        <f t="shared" si="1"/>
        <v>0</v>
      </c>
      <c r="Q318" s="23">
        <f t="shared" si="2"/>
        <v>0</v>
      </c>
      <c r="R318" s="23">
        <f t="shared" si="3"/>
        <v>0</v>
      </c>
      <c r="S318" s="19"/>
      <c r="T318" s="19"/>
      <c r="U318" s="19"/>
      <c r="V318" s="19"/>
    </row>
    <row r="319">
      <c r="A319" s="22">
        <f>IFERROR(__xludf.DUMMYFUNCTION("""COMPUTED_VALUE"""),42423.66666666667)</f>
        <v>42423.66667</v>
      </c>
      <c r="B319" s="23">
        <f>IFERROR(__xludf.DUMMYFUNCTION("""COMPUTED_VALUE"""),53.96)</f>
        <v>53.96</v>
      </c>
      <c r="C319" s="22">
        <f>IFERROR(__xludf.DUMMYFUNCTION("""COMPUTED_VALUE"""),43683.66666666667)</f>
        <v>43683.66667</v>
      </c>
      <c r="D319" s="23">
        <f>IFERROR(__xludf.DUMMYFUNCTION("""COMPUTED_VALUE"""),108.3)</f>
        <v>108.3</v>
      </c>
      <c r="E319" s="22">
        <f>IFERROR(__xludf.DUMMYFUNCTION("""COMPUTED_VALUE"""),42605.66666666667)</f>
        <v>42605.66667</v>
      </c>
      <c r="F319" s="23">
        <f>IFERROR(__xludf.DUMMYFUNCTION("""COMPUTED_VALUE"""),10.94)</f>
        <v>10.94</v>
      </c>
      <c r="G319" s="22">
        <f>IFERROR(__xludf.DUMMYFUNCTION("""COMPUTED_VALUE"""),43280.66666666667)</f>
        <v>43280.66667</v>
      </c>
      <c r="H319" s="23">
        <f>IFERROR(__xludf.DUMMYFUNCTION("""COMPUTED_VALUE"""),79.76)</f>
        <v>79.76</v>
      </c>
      <c r="I319" s="22">
        <f>IFERROR(__xludf.DUMMYFUNCTION("""COMPUTED_VALUE"""),43280.66666666667)</f>
        <v>43280.66667</v>
      </c>
      <c r="J319" s="23">
        <f>IFERROR(__xludf.DUMMYFUNCTION("""COMPUTED_VALUE"""),190.5)</f>
        <v>190.5</v>
      </c>
      <c r="K319" s="22">
        <f>IFERROR(__xludf.DUMMYFUNCTION("""COMPUTED_VALUE"""),43280.66666666667)</f>
        <v>43280.66667</v>
      </c>
      <c r="L319" s="23">
        <f>IFERROR(__xludf.DUMMYFUNCTION("""COMPUTED_VALUE"""),70.03)</f>
        <v>70.03</v>
      </c>
      <c r="M319" s="23">
        <v>0.0</v>
      </c>
      <c r="N319" s="23">
        <v>0.0</v>
      </c>
      <c r="O319" s="23">
        <v>0.0</v>
      </c>
      <c r="P319" s="23">
        <f t="shared" si="1"/>
        <v>0</v>
      </c>
      <c r="Q319" s="23">
        <f t="shared" si="2"/>
        <v>0</v>
      </c>
      <c r="R319" s="23">
        <f t="shared" si="3"/>
        <v>0</v>
      </c>
      <c r="S319" s="19"/>
      <c r="T319" s="19"/>
      <c r="U319" s="19"/>
      <c r="V319" s="19"/>
    </row>
    <row r="320">
      <c r="A320" s="22">
        <f>IFERROR(__xludf.DUMMYFUNCTION("""COMPUTED_VALUE"""),42424.66666666667)</f>
        <v>42424.66667</v>
      </c>
      <c r="B320" s="23">
        <f>IFERROR(__xludf.DUMMYFUNCTION("""COMPUTED_VALUE"""),53.77)</f>
        <v>53.77</v>
      </c>
      <c r="C320" s="22">
        <f>IFERROR(__xludf.DUMMYFUNCTION("""COMPUTED_VALUE"""),43684.66666666667)</f>
        <v>43684.66667</v>
      </c>
      <c r="D320" s="23">
        <f>IFERROR(__xludf.DUMMYFUNCTION("""COMPUTED_VALUE"""),108.89)</f>
        <v>108.89</v>
      </c>
      <c r="E320" s="22">
        <f>IFERROR(__xludf.DUMMYFUNCTION("""COMPUTED_VALUE"""),42606.66666666667)</f>
        <v>42606.66667</v>
      </c>
      <c r="F320" s="23">
        <f>IFERROR(__xludf.DUMMYFUNCTION("""COMPUTED_VALUE"""),10.96)</f>
        <v>10.96</v>
      </c>
      <c r="G320" s="22">
        <f>IFERROR(__xludf.DUMMYFUNCTION("""COMPUTED_VALUE"""),43287.66666666667)</f>
        <v>43287.66667</v>
      </c>
      <c r="H320" s="23">
        <f>IFERROR(__xludf.DUMMYFUNCTION("""COMPUTED_VALUE"""),79.75)</f>
        <v>79.75</v>
      </c>
      <c r="I320" s="22">
        <f>IFERROR(__xludf.DUMMYFUNCTION("""COMPUTED_VALUE"""),43287.66666666667)</f>
        <v>43287.66667</v>
      </c>
      <c r="J320" s="23">
        <f>IFERROR(__xludf.DUMMYFUNCTION("""COMPUTED_VALUE"""),191.57)</f>
        <v>191.57</v>
      </c>
      <c r="K320" s="22">
        <f>IFERROR(__xludf.DUMMYFUNCTION("""COMPUTED_VALUE"""),43287.66666666667)</f>
        <v>43287.66667</v>
      </c>
      <c r="L320" s="23">
        <f>IFERROR(__xludf.DUMMYFUNCTION("""COMPUTED_VALUE"""),70.23)</f>
        <v>70.23</v>
      </c>
      <c r="M320" s="23">
        <v>1000.0</v>
      </c>
      <c r="N320" s="23">
        <v>1000.0</v>
      </c>
      <c r="O320" s="23">
        <v>1000.0</v>
      </c>
      <c r="P320" s="23">
        <f t="shared" si="1"/>
        <v>12.53918495</v>
      </c>
      <c r="Q320" s="23">
        <f t="shared" si="2"/>
        <v>5.220024012</v>
      </c>
      <c r="R320" s="23">
        <f t="shared" si="3"/>
        <v>14.23892923</v>
      </c>
      <c r="S320" s="19"/>
      <c r="T320" s="19"/>
      <c r="U320" s="19"/>
      <c r="V320" s="19"/>
    </row>
    <row r="321">
      <c r="A321" s="22">
        <f>IFERROR(__xludf.DUMMYFUNCTION("""COMPUTED_VALUE"""),42425.66666666667)</f>
        <v>42425.66667</v>
      </c>
      <c r="B321" s="23">
        <f>IFERROR(__xludf.DUMMYFUNCTION("""COMPUTED_VALUE"""),54.2)</f>
        <v>54.2</v>
      </c>
      <c r="C321" s="22">
        <f>IFERROR(__xludf.DUMMYFUNCTION("""COMPUTED_VALUE"""),43685.66666666667)</f>
        <v>43685.66667</v>
      </c>
      <c r="D321" s="23">
        <f>IFERROR(__xludf.DUMMYFUNCTION("""COMPUTED_VALUE"""),109.6)</f>
        <v>109.6</v>
      </c>
      <c r="E321" s="22">
        <f>IFERROR(__xludf.DUMMYFUNCTION("""COMPUTED_VALUE"""),42607.66666666667)</f>
        <v>42607.66667</v>
      </c>
      <c r="F321" s="23">
        <f>IFERROR(__xludf.DUMMYFUNCTION("""COMPUTED_VALUE"""),10.9)</f>
        <v>10.9</v>
      </c>
      <c r="G321" s="22">
        <f>IFERROR(__xludf.DUMMYFUNCTION("""COMPUTED_VALUE"""),43294.66666666667)</f>
        <v>43294.66667</v>
      </c>
      <c r="H321" s="23">
        <f>IFERROR(__xludf.DUMMYFUNCTION("""COMPUTED_VALUE"""),79.65)</f>
        <v>79.65</v>
      </c>
      <c r="I321" s="22">
        <f>IFERROR(__xludf.DUMMYFUNCTION("""COMPUTED_VALUE"""),43294.66666666667)</f>
        <v>43294.66667</v>
      </c>
      <c r="J321" s="23">
        <f>IFERROR(__xludf.DUMMYFUNCTION("""COMPUTED_VALUE"""),195.62)</f>
        <v>195.62</v>
      </c>
      <c r="K321" s="22">
        <f>IFERROR(__xludf.DUMMYFUNCTION("""COMPUTED_VALUE"""),43294.66666666667)</f>
        <v>43294.66667</v>
      </c>
      <c r="L321" s="23">
        <f>IFERROR(__xludf.DUMMYFUNCTION("""COMPUTED_VALUE"""),70.72)</f>
        <v>70.72</v>
      </c>
      <c r="M321" s="23">
        <v>0.0</v>
      </c>
      <c r="N321" s="23">
        <v>0.0</v>
      </c>
      <c r="O321" s="23">
        <v>0.0</v>
      </c>
      <c r="P321" s="23">
        <f t="shared" si="1"/>
        <v>0</v>
      </c>
      <c r="Q321" s="23">
        <f t="shared" si="2"/>
        <v>0</v>
      </c>
      <c r="R321" s="23">
        <f t="shared" si="3"/>
        <v>0</v>
      </c>
      <c r="S321" s="19"/>
      <c r="T321" s="19"/>
      <c r="U321" s="19"/>
      <c r="V321" s="19"/>
    </row>
    <row r="322">
      <c r="A322" s="22">
        <f>IFERROR(__xludf.DUMMYFUNCTION("""COMPUTED_VALUE"""),42426.66666666667)</f>
        <v>42426.66667</v>
      </c>
      <c r="B322" s="23">
        <f>IFERROR(__xludf.DUMMYFUNCTION("""COMPUTED_VALUE"""),54.55)</f>
        <v>54.55</v>
      </c>
      <c r="C322" s="22">
        <f>IFERROR(__xludf.DUMMYFUNCTION("""COMPUTED_VALUE"""),43686.66666666667)</f>
        <v>43686.66667</v>
      </c>
      <c r="D322" s="23">
        <f>IFERROR(__xludf.DUMMYFUNCTION("""COMPUTED_VALUE"""),110.08)</f>
        <v>110.08</v>
      </c>
      <c r="E322" s="22">
        <f>IFERROR(__xludf.DUMMYFUNCTION("""COMPUTED_VALUE"""),42608.66666666667)</f>
        <v>42608.66667</v>
      </c>
      <c r="F322" s="23">
        <f>IFERROR(__xludf.DUMMYFUNCTION("""COMPUTED_VALUE"""),10.87)</f>
        <v>10.87</v>
      </c>
      <c r="G322" s="22">
        <f>IFERROR(__xludf.DUMMYFUNCTION("""COMPUTED_VALUE"""),43301.66666666667)</f>
        <v>43301.66667</v>
      </c>
      <c r="H322" s="23">
        <f>IFERROR(__xludf.DUMMYFUNCTION("""COMPUTED_VALUE"""),79.84)</f>
        <v>79.84</v>
      </c>
      <c r="I322" s="22">
        <f>IFERROR(__xludf.DUMMYFUNCTION("""COMPUTED_VALUE"""),43301.66666666667)</f>
        <v>43301.66667</v>
      </c>
      <c r="J322" s="23">
        <f>IFERROR(__xludf.DUMMYFUNCTION("""COMPUTED_VALUE"""),196.42)</f>
        <v>196.42</v>
      </c>
      <c r="K322" s="22">
        <f>IFERROR(__xludf.DUMMYFUNCTION("""COMPUTED_VALUE"""),43301.66666666667)</f>
        <v>43301.66667</v>
      </c>
      <c r="L322" s="23">
        <f>IFERROR(__xludf.DUMMYFUNCTION("""COMPUTED_VALUE"""),71.04)</f>
        <v>71.04</v>
      </c>
      <c r="M322" s="23">
        <v>0.0</v>
      </c>
      <c r="N322" s="23">
        <v>0.0</v>
      </c>
      <c r="O322" s="23">
        <v>0.0</v>
      </c>
      <c r="P322" s="23">
        <f t="shared" si="1"/>
        <v>0</v>
      </c>
      <c r="Q322" s="23">
        <f t="shared" si="2"/>
        <v>0</v>
      </c>
      <c r="R322" s="23">
        <f t="shared" si="3"/>
        <v>0</v>
      </c>
      <c r="S322" s="19"/>
      <c r="T322" s="19"/>
      <c r="U322" s="19"/>
      <c r="V322" s="19"/>
    </row>
    <row r="323">
      <c r="A323" s="22">
        <f>IFERROR(__xludf.DUMMYFUNCTION("""COMPUTED_VALUE"""),42429.66666666667)</f>
        <v>42429.66667</v>
      </c>
      <c r="B323" s="23">
        <f>IFERROR(__xludf.DUMMYFUNCTION("""COMPUTED_VALUE"""),54.85)</f>
        <v>54.85</v>
      </c>
      <c r="C323" s="22">
        <f>IFERROR(__xludf.DUMMYFUNCTION("""COMPUTED_VALUE"""),43689.66666666667)</f>
        <v>43689.66667</v>
      </c>
      <c r="D323" s="23">
        <f>IFERROR(__xludf.DUMMYFUNCTION("""COMPUTED_VALUE"""),109.91)</f>
        <v>109.91</v>
      </c>
      <c r="E323" s="22">
        <f>IFERROR(__xludf.DUMMYFUNCTION("""COMPUTED_VALUE"""),42611.66666666667)</f>
        <v>42611.66667</v>
      </c>
      <c r="F323" s="23">
        <f>IFERROR(__xludf.DUMMYFUNCTION("""COMPUTED_VALUE"""),10.95)</f>
        <v>10.95</v>
      </c>
      <c r="G323" s="22">
        <f>IFERROR(__xludf.DUMMYFUNCTION("""COMPUTED_VALUE"""),43308.66666666667)</f>
        <v>43308.66667</v>
      </c>
      <c r="H323" s="23">
        <f>IFERROR(__xludf.DUMMYFUNCTION("""COMPUTED_VALUE"""),80.07)</f>
        <v>80.07</v>
      </c>
      <c r="I323" s="22">
        <f>IFERROR(__xludf.DUMMYFUNCTION("""COMPUTED_VALUE"""),43308.66666666667)</f>
        <v>43308.66667</v>
      </c>
      <c r="J323" s="23">
        <f>IFERROR(__xludf.DUMMYFUNCTION("""COMPUTED_VALUE"""),198.52)</f>
        <v>198.52</v>
      </c>
      <c r="K323" s="22">
        <f>IFERROR(__xludf.DUMMYFUNCTION("""COMPUTED_VALUE"""),43308.66666666667)</f>
        <v>43308.66667</v>
      </c>
      <c r="L323" s="23">
        <f>IFERROR(__xludf.DUMMYFUNCTION("""COMPUTED_VALUE"""),72.25)</f>
        <v>72.25</v>
      </c>
      <c r="M323" s="23">
        <v>0.0</v>
      </c>
      <c r="N323" s="23">
        <v>0.0</v>
      </c>
      <c r="O323" s="23">
        <v>0.0</v>
      </c>
      <c r="P323" s="23">
        <f t="shared" si="1"/>
        <v>0</v>
      </c>
      <c r="Q323" s="23">
        <f t="shared" si="2"/>
        <v>0</v>
      </c>
      <c r="R323" s="23">
        <f t="shared" si="3"/>
        <v>0</v>
      </c>
      <c r="S323" s="19"/>
      <c r="T323" s="19"/>
      <c r="U323" s="19"/>
      <c r="V323" s="19"/>
    </row>
    <row r="324">
      <c r="A324" s="22">
        <f>IFERROR(__xludf.DUMMYFUNCTION("""COMPUTED_VALUE"""),42430.66666666667)</f>
        <v>42430.66667</v>
      </c>
      <c r="B324" s="23">
        <f>IFERROR(__xludf.DUMMYFUNCTION("""COMPUTED_VALUE"""),54.62)</f>
        <v>54.62</v>
      </c>
      <c r="C324" s="22">
        <f>IFERROR(__xludf.DUMMYFUNCTION("""COMPUTED_VALUE"""),43690.66666666667)</f>
        <v>43690.66667</v>
      </c>
      <c r="D324" s="23">
        <f>IFERROR(__xludf.DUMMYFUNCTION("""COMPUTED_VALUE"""),109.86)</f>
        <v>109.86</v>
      </c>
      <c r="E324" s="22">
        <f>IFERROR(__xludf.DUMMYFUNCTION("""COMPUTED_VALUE"""),42612.66666666667)</f>
        <v>42612.66667</v>
      </c>
      <c r="F324" s="23">
        <f>IFERROR(__xludf.DUMMYFUNCTION("""COMPUTED_VALUE"""),11.0)</f>
        <v>11</v>
      </c>
      <c r="G324" s="22">
        <f>IFERROR(__xludf.DUMMYFUNCTION("""COMPUTED_VALUE"""),43315.66666666667)</f>
        <v>43315.66667</v>
      </c>
      <c r="H324" s="23">
        <f>IFERROR(__xludf.DUMMYFUNCTION("""COMPUTED_VALUE"""),79.25)</f>
        <v>79.25</v>
      </c>
      <c r="I324" s="22">
        <f>IFERROR(__xludf.DUMMYFUNCTION("""COMPUTED_VALUE"""),43315.66666666667)</f>
        <v>43315.66667</v>
      </c>
      <c r="J324" s="23">
        <f>IFERROR(__xludf.DUMMYFUNCTION("""COMPUTED_VALUE"""),198.06)</f>
        <v>198.06</v>
      </c>
      <c r="K324" s="22">
        <f>IFERROR(__xludf.DUMMYFUNCTION("""COMPUTED_VALUE"""),43315.66666666667)</f>
        <v>43315.66667</v>
      </c>
      <c r="L324" s="23">
        <f>IFERROR(__xludf.DUMMYFUNCTION("""COMPUTED_VALUE"""),71.35)</f>
        <v>71.35</v>
      </c>
      <c r="M324" s="23">
        <v>1000.0</v>
      </c>
      <c r="N324" s="23">
        <v>1000.0</v>
      </c>
      <c r="O324" s="23">
        <v>1000.0</v>
      </c>
      <c r="P324" s="23">
        <f t="shared" si="1"/>
        <v>12.61829653</v>
      </c>
      <c r="Q324" s="23">
        <f t="shared" si="2"/>
        <v>5.048975058</v>
      </c>
      <c r="R324" s="23">
        <f t="shared" si="3"/>
        <v>14.01541696</v>
      </c>
      <c r="S324" s="19"/>
      <c r="T324" s="19"/>
      <c r="U324" s="19"/>
      <c r="V324" s="19"/>
    </row>
    <row r="325">
      <c r="A325" s="22">
        <f>IFERROR(__xludf.DUMMYFUNCTION("""COMPUTED_VALUE"""),42431.66666666667)</f>
        <v>42431.66667</v>
      </c>
      <c r="B325" s="23">
        <f>IFERROR(__xludf.DUMMYFUNCTION("""COMPUTED_VALUE"""),55.42)</f>
        <v>55.42</v>
      </c>
      <c r="C325" s="22">
        <f>IFERROR(__xludf.DUMMYFUNCTION("""COMPUTED_VALUE"""),43691.66666666667)</f>
        <v>43691.66667</v>
      </c>
      <c r="D325" s="23">
        <f>IFERROR(__xludf.DUMMYFUNCTION("""COMPUTED_VALUE"""),110.19)</f>
        <v>110.19</v>
      </c>
      <c r="E325" s="22">
        <f>IFERROR(__xludf.DUMMYFUNCTION("""COMPUTED_VALUE"""),42613.66666666667)</f>
        <v>42613.66667</v>
      </c>
      <c r="F325" s="23">
        <f>IFERROR(__xludf.DUMMYFUNCTION("""COMPUTED_VALUE"""),11.03)</f>
        <v>11.03</v>
      </c>
      <c r="G325" s="22">
        <f>IFERROR(__xludf.DUMMYFUNCTION("""COMPUTED_VALUE"""),43322.66666666667)</f>
        <v>43322.66667</v>
      </c>
      <c r="H325" s="23">
        <f>IFERROR(__xludf.DUMMYFUNCTION("""COMPUTED_VALUE"""),79.73)</f>
        <v>79.73</v>
      </c>
      <c r="I325" s="22">
        <f>IFERROR(__xludf.DUMMYFUNCTION("""COMPUTED_VALUE"""),43322.66666666667)</f>
        <v>43322.66667</v>
      </c>
      <c r="J325" s="23">
        <f>IFERROR(__xludf.DUMMYFUNCTION("""COMPUTED_VALUE"""),200.1)</f>
        <v>200.1</v>
      </c>
      <c r="K325" s="22">
        <f>IFERROR(__xludf.DUMMYFUNCTION("""COMPUTED_VALUE"""),43322.66666666667)</f>
        <v>43322.66667</v>
      </c>
      <c r="L325" s="23">
        <f>IFERROR(__xludf.DUMMYFUNCTION("""COMPUTED_VALUE"""),71.36)</f>
        <v>71.36</v>
      </c>
      <c r="M325" s="23">
        <v>0.0</v>
      </c>
      <c r="N325" s="23">
        <v>0.0</v>
      </c>
      <c r="O325" s="23">
        <v>0.0</v>
      </c>
      <c r="P325" s="23">
        <f t="shared" si="1"/>
        <v>0</v>
      </c>
      <c r="Q325" s="23">
        <f t="shared" si="2"/>
        <v>0</v>
      </c>
      <c r="R325" s="23">
        <f t="shared" si="3"/>
        <v>0</v>
      </c>
      <c r="S325" s="19"/>
      <c r="T325" s="19"/>
      <c r="U325" s="19"/>
      <c r="V325" s="19"/>
    </row>
    <row r="326">
      <c r="A326" s="22">
        <f>IFERROR(__xludf.DUMMYFUNCTION("""COMPUTED_VALUE"""),42432.66666666667)</f>
        <v>42432.66667</v>
      </c>
      <c r="B326" s="23">
        <f>IFERROR(__xludf.DUMMYFUNCTION("""COMPUTED_VALUE"""),54.97)</f>
        <v>54.97</v>
      </c>
      <c r="C326" s="22">
        <f>IFERROR(__xludf.DUMMYFUNCTION("""COMPUTED_VALUE"""),43692.66666666667)</f>
        <v>43692.66667</v>
      </c>
      <c r="D326" s="23">
        <f>IFERROR(__xludf.DUMMYFUNCTION("""COMPUTED_VALUE"""),107.39)</f>
        <v>107.39</v>
      </c>
      <c r="E326" s="22">
        <f>IFERROR(__xludf.DUMMYFUNCTION("""COMPUTED_VALUE"""),42614.66666666667)</f>
        <v>42614.66667</v>
      </c>
      <c r="F326" s="23">
        <f>IFERROR(__xludf.DUMMYFUNCTION("""COMPUTED_VALUE"""),10.99)</f>
        <v>10.99</v>
      </c>
      <c r="G326" s="22">
        <f>IFERROR(__xludf.DUMMYFUNCTION("""COMPUTED_VALUE"""),43329.66666666667)</f>
        <v>43329.66667</v>
      </c>
      <c r="H326" s="23">
        <f>IFERROR(__xludf.DUMMYFUNCTION("""COMPUTED_VALUE"""),80.8)</f>
        <v>80.8</v>
      </c>
      <c r="I326" s="22">
        <f>IFERROR(__xludf.DUMMYFUNCTION("""COMPUTED_VALUE"""),43329.66666666667)</f>
        <v>43329.66667</v>
      </c>
      <c r="J326" s="23">
        <f>IFERROR(__xludf.DUMMYFUNCTION("""COMPUTED_VALUE"""),202.1)</f>
        <v>202.1</v>
      </c>
      <c r="K326" s="22">
        <f>IFERROR(__xludf.DUMMYFUNCTION("""COMPUTED_VALUE"""),43329.66666666667)</f>
        <v>43329.66667</v>
      </c>
      <c r="L326" s="23">
        <f>IFERROR(__xludf.DUMMYFUNCTION("""COMPUTED_VALUE"""),70.49)</f>
        <v>70.49</v>
      </c>
      <c r="M326" s="23">
        <v>0.0</v>
      </c>
      <c r="N326" s="23">
        <v>0.0</v>
      </c>
      <c r="O326" s="23">
        <v>0.0</v>
      </c>
      <c r="P326" s="23">
        <f t="shared" si="1"/>
        <v>0</v>
      </c>
      <c r="Q326" s="23">
        <f t="shared" si="2"/>
        <v>0</v>
      </c>
      <c r="R326" s="23">
        <f t="shared" si="3"/>
        <v>0</v>
      </c>
      <c r="S326" s="19"/>
      <c r="T326" s="19"/>
      <c r="U326" s="19"/>
      <c r="V326" s="19"/>
    </row>
    <row r="327">
      <c r="A327" s="22">
        <f>IFERROR(__xludf.DUMMYFUNCTION("""COMPUTED_VALUE"""),42433.66666666667)</f>
        <v>42433.66667</v>
      </c>
      <c r="B327" s="23">
        <f>IFERROR(__xludf.DUMMYFUNCTION("""COMPUTED_VALUE"""),54.75)</f>
        <v>54.75</v>
      </c>
      <c r="C327" s="22">
        <f>IFERROR(__xludf.DUMMYFUNCTION("""COMPUTED_VALUE"""),43693.66666666667)</f>
        <v>43693.66667</v>
      </c>
      <c r="D327" s="23">
        <f>IFERROR(__xludf.DUMMYFUNCTION("""COMPUTED_VALUE"""),107.35)</f>
        <v>107.35</v>
      </c>
      <c r="E327" s="22">
        <f>IFERROR(__xludf.DUMMYFUNCTION("""COMPUTED_VALUE"""),42615.66666666667)</f>
        <v>42615.66667</v>
      </c>
      <c r="F327" s="23">
        <f>IFERROR(__xludf.DUMMYFUNCTION("""COMPUTED_VALUE"""),10.99)</f>
        <v>10.99</v>
      </c>
      <c r="G327" s="22">
        <f>IFERROR(__xludf.DUMMYFUNCTION("""COMPUTED_VALUE"""),43336.66666666667)</f>
        <v>43336.66667</v>
      </c>
      <c r="H327" s="23">
        <f>IFERROR(__xludf.DUMMYFUNCTION("""COMPUTED_VALUE"""),79.9)</f>
        <v>79.9</v>
      </c>
      <c r="I327" s="22">
        <f>IFERROR(__xludf.DUMMYFUNCTION("""COMPUTED_VALUE"""),43336.66666666667)</f>
        <v>43336.66667</v>
      </c>
      <c r="J327" s="23">
        <f>IFERROR(__xludf.DUMMYFUNCTION("""COMPUTED_VALUE"""),203.41)</f>
        <v>203.41</v>
      </c>
      <c r="K327" s="22">
        <f>IFERROR(__xludf.DUMMYFUNCTION("""COMPUTED_VALUE"""),43336.66666666667)</f>
        <v>43336.66667</v>
      </c>
      <c r="L327" s="23">
        <f>IFERROR(__xludf.DUMMYFUNCTION("""COMPUTED_VALUE"""),71.19)</f>
        <v>71.19</v>
      </c>
      <c r="M327" s="23">
        <v>0.0</v>
      </c>
      <c r="N327" s="23">
        <v>0.0</v>
      </c>
      <c r="O327" s="23">
        <v>0.0</v>
      </c>
      <c r="P327" s="23">
        <f t="shared" si="1"/>
        <v>0</v>
      </c>
      <c r="Q327" s="23">
        <f t="shared" si="2"/>
        <v>0</v>
      </c>
      <c r="R327" s="23">
        <f t="shared" si="3"/>
        <v>0</v>
      </c>
      <c r="S327" s="19"/>
      <c r="T327" s="19"/>
      <c r="U327" s="19"/>
      <c r="V327" s="19"/>
    </row>
    <row r="328">
      <c r="A328" s="22">
        <f>IFERROR(__xludf.DUMMYFUNCTION("""COMPUTED_VALUE"""),42436.66666666667)</f>
        <v>42436.66667</v>
      </c>
      <c r="B328" s="23">
        <f>IFERROR(__xludf.DUMMYFUNCTION("""COMPUTED_VALUE"""),54.3)</f>
        <v>54.3</v>
      </c>
      <c r="C328" s="22">
        <f>IFERROR(__xludf.DUMMYFUNCTION("""COMPUTED_VALUE"""),43696.66666666667)</f>
        <v>43696.66667</v>
      </c>
      <c r="D328" s="23">
        <f>IFERROR(__xludf.DUMMYFUNCTION("""COMPUTED_VALUE"""),108.5)</f>
        <v>108.5</v>
      </c>
      <c r="E328" s="22">
        <f>IFERROR(__xludf.DUMMYFUNCTION("""COMPUTED_VALUE"""),42618.66666666667)</f>
        <v>42618.66667</v>
      </c>
      <c r="F328" s="23">
        <f>IFERROR(__xludf.DUMMYFUNCTION("""COMPUTED_VALUE"""),11.02)</f>
        <v>11.02</v>
      </c>
      <c r="G328" s="22">
        <f>IFERROR(__xludf.DUMMYFUNCTION("""COMPUTED_VALUE"""),43343.66666666667)</f>
        <v>43343.66667</v>
      </c>
      <c r="H328" s="23">
        <f>IFERROR(__xludf.DUMMYFUNCTION("""COMPUTED_VALUE"""),80.92)</f>
        <v>80.92</v>
      </c>
      <c r="I328" s="22">
        <f>IFERROR(__xludf.DUMMYFUNCTION("""COMPUTED_VALUE"""),43343.66666666667)</f>
        <v>43343.66667</v>
      </c>
      <c r="J328" s="23">
        <f>IFERROR(__xludf.DUMMYFUNCTION("""COMPUTED_VALUE"""),206.74)</f>
        <v>206.74</v>
      </c>
      <c r="K328" s="22">
        <f>IFERROR(__xludf.DUMMYFUNCTION("""COMPUTED_VALUE"""),43343.66666666667)</f>
        <v>43343.66667</v>
      </c>
      <c r="L328" s="23">
        <f>IFERROR(__xludf.DUMMYFUNCTION("""COMPUTED_VALUE"""),72.2)</f>
        <v>72.2</v>
      </c>
      <c r="M328" s="23">
        <v>1000.0</v>
      </c>
      <c r="N328" s="23">
        <v>1000.0</v>
      </c>
      <c r="O328" s="23">
        <v>1000.0</v>
      </c>
      <c r="P328" s="23">
        <f t="shared" si="1"/>
        <v>12.35788433</v>
      </c>
      <c r="Q328" s="23">
        <f t="shared" si="2"/>
        <v>4.836993325</v>
      </c>
      <c r="R328" s="23">
        <f t="shared" si="3"/>
        <v>13.85041551</v>
      </c>
      <c r="S328" s="19"/>
      <c r="T328" s="19"/>
      <c r="U328" s="19"/>
      <c r="V328" s="19"/>
    </row>
    <row r="329">
      <c r="A329" s="22">
        <f>IFERROR(__xludf.DUMMYFUNCTION("""COMPUTED_VALUE"""),42437.66666666667)</f>
        <v>42437.66667</v>
      </c>
      <c r="B329" s="23">
        <f>IFERROR(__xludf.DUMMYFUNCTION("""COMPUTED_VALUE"""),54.12)</f>
        <v>54.12</v>
      </c>
      <c r="C329" s="22">
        <f>IFERROR(__xludf.DUMMYFUNCTION("""COMPUTED_VALUE"""),43697.66666666667)</f>
        <v>43697.66667</v>
      </c>
      <c r="D329" s="23">
        <f>IFERROR(__xludf.DUMMYFUNCTION("""COMPUTED_VALUE"""),109.64)</f>
        <v>109.64</v>
      </c>
      <c r="E329" s="22">
        <f>IFERROR(__xludf.DUMMYFUNCTION("""COMPUTED_VALUE"""),42619.66666666667)</f>
        <v>42619.66667</v>
      </c>
      <c r="F329" s="23">
        <f>IFERROR(__xludf.DUMMYFUNCTION("""COMPUTED_VALUE"""),11.0)</f>
        <v>11</v>
      </c>
      <c r="G329" s="22">
        <f>IFERROR(__xludf.DUMMYFUNCTION("""COMPUTED_VALUE"""),43350.66666666667)</f>
        <v>43350.66667</v>
      </c>
      <c r="H329" s="23">
        <f>IFERROR(__xludf.DUMMYFUNCTION("""COMPUTED_VALUE"""),78.89)</f>
        <v>78.89</v>
      </c>
      <c r="I329" s="22">
        <f>IFERROR(__xludf.DUMMYFUNCTION("""COMPUTED_VALUE"""),43350.66666666667)</f>
        <v>43350.66667</v>
      </c>
      <c r="J329" s="23">
        <f>IFERROR(__xludf.DUMMYFUNCTION("""COMPUTED_VALUE"""),208.15)</f>
        <v>208.15</v>
      </c>
      <c r="K329" s="22">
        <f>IFERROR(__xludf.DUMMYFUNCTION("""COMPUTED_VALUE"""),43350.66666666667)</f>
        <v>43350.66667</v>
      </c>
      <c r="L329" s="23">
        <f>IFERROR(__xludf.DUMMYFUNCTION("""COMPUTED_VALUE"""),70.95)</f>
        <v>70.95</v>
      </c>
      <c r="M329" s="23">
        <v>0.0</v>
      </c>
      <c r="N329" s="23">
        <v>0.0</v>
      </c>
      <c r="O329" s="23">
        <v>0.0</v>
      </c>
      <c r="P329" s="23">
        <f t="shared" si="1"/>
        <v>0</v>
      </c>
      <c r="Q329" s="23">
        <f t="shared" si="2"/>
        <v>0</v>
      </c>
      <c r="R329" s="23">
        <f t="shared" si="3"/>
        <v>0</v>
      </c>
      <c r="S329" s="19"/>
      <c r="T329" s="19"/>
      <c r="U329" s="19"/>
      <c r="V329" s="19"/>
    </row>
    <row r="330">
      <c r="A330" s="22">
        <f>IFERROR(__xludf.DUMMYFUNCTION("""COMPUTED_VALUE"""),42438.66666666667)</f>
        <v>42438.66667</v>
      </c>
      <c r="B330" s="23">
        <f>IFERROR(__xludf.DUMMYFUNCTION("""COMPUTED_VALUE"""),54.13)</f>
        <v>54.13</v>
      </c>
      <c r="C330" s="22">
        <f>IFERROR(__xludf.DUMMYFUNCTION("""COMPUTED_VALUE"""),43698.66666666667)</f>
        <v>43698.66667</v>
      </c>
      <c r="D330" s="23">
        <f>IFERROR(__xludf.DUMMYFUNCTION("""COMPUTED_VALUE"""),108.83)</f>
        <v>108.83</v>
      </c>
      <c r="E330" s="22">
        <f>IFERROR(__xludf.DUMMYFUNCTION("""COMPUTED_VALUE"""),42620.66666666667)</f>
        <v>42620.66667</v>
      </c>
      <c r="F330" s="23">
        <f>IFERROR(__xludf.DUMMYFUNCTION("""COMPUTED_VALUE"""),10.93)</f>
        <v>10.93</v>
      </c>
      <c r="G330" s="22">
        <f>IFERROR(__xludf.DUMMYFUNCTION("""COMPUTED_VALUE"""),43357.66666666667)</f>
        <v>43357.66667</v>
      </c>
      <c r="H330" s="23">
        <f>IFERROR(__xludf.DUMMYFUNCTION("""COMPUTED_VALUE"""),79.38)</f>
        <v>79.38</v>
      </c>
      <c r="I330" s="22">
        <f>IFERROR(__xludf.DUMMYFUNCTION("""COMPUTED_VALUE"""),43357.66666666667)</f>
        <v>43357.66667</v>
      </c>
      <c r="J330" s="23">
        <f>IFERROR(__xludf.DUMMYFUNCTION("""COMPUTED_VALUE"""),208.5)</f>
        <v>208.5</v>
      </c>
      <c r="K330" s="22">
        <f>IFERROR(__xludf.DUMMYFUNCTION("""COMPUTED_VALUE"""),43357.66666666667)</f>
        <v>43357.66667</v>
      </c>
      <c r="L330" s="23">
        <f>IFERROR(__xludf.DUMMYFUNCTION("""COMPUTED_VALUE"""),71.44)</f>
        <v>71.44</v>
      </c>
      <c r="M330" s="23">
        <v>0.0</v>
      </c>
      <c r="N330" s="23">
        <v>0.0</v>
      </c>
      <c r="O330" s="23">
        <v>0.0</v>
      </c>
      <c r="P330" s="23">
        <f t="shared" si="1"/>
        <v>0</v>
      </c>
      <c r="Q330" s="23">
        <f t="shared" si="2"/>
        <v>0</v>
      </c>
      <c r="R330" s="23">
        <f t="shared" si="3"/>
        <v>0</v>
      </c>
      <c r="S330" s="19"/>
      <c r="T330" s="19"/>
      <c r="U330" s="19"/>
      <c r="V330" s="19"/>
    </row>
    <row r="331">
      <c r="A331" s="22">
        <f>IFERROR(__xludf.DUMMYFUNCTION("""COMPUTED_VALUE"""),42439.66666666667)</f>
        <v>42439.66667</v>
      </c>
      <c r="B331" s="23">
        <f>IFERROR(__xludf.DUMMYFUNCTION("""COMPUTED_VALUE"""),53.95)</f>
        <v>53.95</v>
      </c>
      <c r="C331" s="22">
        <f>IFERROR(__xludf.DUMMYFUNCTION("""COMPUTED_VALUE"""),43699.66666666667)</f>
        <v>43699.66667</v>
      </c>
      <c r="D331" s="23">
        <f>IFERROR(__xludf.DUMMYFUNCTION("""COMPUTED_VALUE"""),109.24)</f>
        <v>109.24</v>
      </c>
      <c r="E331" s="22">
        <f>IFERROR(__xludf.DUMMYFUNCTION("""COMPUTED_VALUE"""),42621.66666666667)</f>
        <v>42621.66667</v>
      </c>
      <c r="F331" s="23">
        <f>IFERROR(__xludf.DUMMYFUNCTION("""COMPUTED_VALUE"""),10.9)</f>
        <v>10.9</v>
      </c>
      <c r="G331" s="22">
        <f>IFERROR(__xludf.DUMMYFUNCTION("""COMPUTED_VALUE"""),43364.66666666667)</f>
        <v>43364.66667</v>
      </c>
      <c r="H331" s="23">
        <f>IFERROR(__xludf.DUMMYFUNCTION("""COMPUTED_VALUE"""),79.61)</f>
        <v>79.61</v>
      </c>
      <c r="I331" s="22">
        <f>IFERROR(__xludf.DUMMYFUNCTION("""COMPUTED_VALUE"""),43364.66666666667)</f>
        <v>43364.66667</v>
      </c>
      <c r="J331" s="23">
        <f>IFERROR(__xludf.DUMMYFUNCTION("""COMPUTED_VALUE"""),207.9)</f>
        <v>207.9</v>
      </c>
      <c r="K331" s="22">
        <f>IFERROR(__xludf.DUMMYFUNCTION("""COMPUTED_VALUE"""),43364.66666666667)</f>
        <v>43364.66667</v>
      </c>
      <c r="L331" s="23">
        <f>IFERROR(__xludf.DUMMYFUNCTION("""COMPUTED_VALUE"""),72.38)</f>
        <v>72.38</v>
      </c>
      <c r="M331" s="23">
        <v>0.0</v>
      </c>
      <c r="N331" s="23">
        <v>0.0</v>
      </c>
      <c r="O331" s="23">
        <v>0.0</v>
      </c>
      <c r="P331" s="23">
        <f t="shared" si="1"/>
        <v>0</v>
      </c>
      <c r="Q331" s="23">
        <f t="shared" si="2"/>
        <v>0</v>
      </c>
      <c r="R331" s="23">
        <f t="shared" si="3"/>
        <v>0</v>
      </c>
      <c r="S331" s="19"/>
      <c r="T331" s="19"/>
      <c r="U331" s="19"/>
      <c r="V331" s="19"/>
    </row>
    <row r="332">
      <c r="A332" s="22">
        <f>IFERROR(__xludf.DUMMYFUNCTION("""COMPUTED_VALUE"""),42440.66666666667)</f>
        <v>42440.66667</v>
      </c>
      <c r="B332" s="23">
        <f>IFERROR(__xludf.DUMMYFUNCTION("""COMPUTED_VALUE"""),54.22)</f>
        <v>54.22</v>
      </c>
      <c r="C332" s="22">
        <f>IFERROR(__xludf.DUMMYFUNCTION("""COMPUTED_VALUE"""),43700.66666666667)</f>
        <v>43700.66667</v>
      </c>
      <c r="D332" s="23">
        <f>IFERROR(__xludf.DUMMYFUNCTION("""COMPUTED_VALUE"""),109.45)</f>
        <v>109.45</v>
      </c>
      <c r="E332" s="22">
        <f>IFERROR(__xludf.DUMMYFUNCTION("""COMPUTED_VALUE"""),42622.66666666667)</f>
        <v>42622.66667</v>
      </c>
      <c r="F332" s="23">
        <f>IFERROR(__xludf.DUMMYFUNCTION("""COMPUTED_VALUE"""),10.89)</f>
        <v>10.89</v>
      </c>
      <c r="G332" s="22">
        <f>IFERROR(__xludf.DUMMYFUNCTION("""COMPUTED_VALUE"""),43371.66666666667)</f>
        <v>43371.66667</v>
      </c>
      <c r="H332" s="23">
        <f>IFERROR(__xludf.DUMMYFUNCTION("""COMPUTED_VALUE"""),80.01)</f>
        <v>80.01</v>
      </c>
      <c r="I332" s="22">
        <f>IFERROR(__xludf.DUMMYFUNCTION("""COMPUTED_VALUE"""),43371.66666666667)</f>
        <v>43371.66667</v>
      </c>
      <c r="J332" s="23">
        <f>IFERROR(__xludf.DUMMYFUNCTION("""COMPUTED_VALUE"""),207.79)</f>
        <v>207.79</v>
      </c>
      <c r="K332" s="22">
        <f>IFERROR(__xludf.DUMMYFUNCTION("""COMPUTED_VALUE"""),43371.66666666667)</f>
        <v>43371.66667</v>
      </c>
      <c r="L332" s="23">
        <f>IFERROR(__xludf.DUMMYFUNCTION("""COMPUTED_VALUE"""),72.84)</f>
        <v>72.84</v>
      </c>
      <c r="M332" s="23">
        <v>1000.0</v>
      </c>
      <c r="N332" s="23">
        <v>1000.0</v>
      </c>
      <c r="O332" s="23">
        <v>1000.0</v>
      </c>
      <c r="P332" s="23">
        <f t="shared" si="1"/>
        <v>12.4984377</v>
      </c>
      <c r="Q332" s="23">
        <f t="shared" si="2"/>
        <v>4.812551133</v>
      </c>
      <c r="R332" s="23">
        <f t="shared" si="3"/>
        <v>13.72872048</v>
      </c>
      <c r="S332" s="19"/>
      <c r="T332" s="19"/>
      <c r="U332" s="19"/>
      <c r="V332" s="19"/>
    </row>
    <row r="333">
      <c r="A333" s="22">
        <f>IFERROR(__xludf.DUMMYFUNCTION("""COMPUTED_VALUE"""),42443.66666666667)</f>
        <v>42443.66667</v>
      </c>
      <c r="B333" s="23">
        <f>IFERROR(__xludf.DUMMYFUNCTION("""COMPUTED_VALUE"""),54.17)</f>
        <v>54.17</v>
      </c>
      <c r="C333" s="22">
        <f>IFERROR(__xludf.DUMMYFUNCTION("""COMPUTED_VALUE"""),43703.66666666667)</f>
        <v>43703.66667</v>
      </c>
      <c r="D333" s="23">
        <f>IFERROR(__xludf.DUMMYFUNCTION("""COMPUTED_VALUE"""),107.81)</f>
        <v>107.81</v>
      </c>
      <c r="E333" s="22">
        <f>IFERROR(__xludf.DUMMYFUNCTION("""COMPUTED_VALUE"""),42625.66666666667)</f>
        <v>42625.66667</v>
      </c>
      <c r="F333" s="23">
        <f>IFERROR(__xludf.DUMMYFUNCTION("""COMPUTED_VALUE"""),10.71)</f>
        <v>10.71</v>
      </c>
      <c r="G333" s="22">
        <f>IFERROR(__xludf.DUMMYFUNCTION("""COMPUTED_VALUE"""),43378.66666666667)</f>
        <v>43378.66667</v>
      </c>
      <c r="H333" s="23">
        <f>IFERROR(__xludf.DUMMYFUNCTION("""COMPUTED_VALUE"""),78.53)</f>
        <v>78.53</v>
      </c>
      <c r="I333" s="22">
        <f>IFERROR(__xludf.DUMMYFUNCTION("""COMPUTED_VALUE"""),43378.66666666667)</f>
        <v>43378.66667</v>
      </c>
      <c r="J333" s="23">
        <f>IFERROR(__xludf.DUMMYFUNCTION("""COMPUTED_VALUE"""),210.56)</f>
        <v>210.56</v>
      </c>
      <c r="K333" s="22">
        <f>IFERROR(__xludf.DUMMYFUNCTION("""COMPUTED_VALUE"""),43378.66666666667)</f>
        <v>43378.66667</v>
      </c>
      <c r="L333" s="23">
        <f>IFERROR(__xludf.DUMMYFUNCTION("""COMPUTED_VALUE"""),72.23)</f>
        <v>72.23</v>
      </c>
      <c r="M333" s="23">
        <v>0.0</v>
      </c>
      <c r="N333" s="23">
        <v>0.0</v>
      </c>
      <c r="O333" s="23">
        <v>0.0</v>
      </c>
      <c r="P333" s="23">
        <f t="shared" si="1"/>
        <v>0</v>
      </c>
      <c r="Q333" s="23">
        <f t="shared" si="2"/>
        <v>0</v>
      </c>
      <c r="R333" s="23">
        <f t="shared" si="3"/>
        <v>0</v>
      </c>
      <c r="S333" s="19"/>
      <c r="T333" s="19"/>
      <c r="U333" s="19"/>
      <c r="V333" s="19"/>
    </row>
    <row r="334">
      <c r="A334" s="22">
        <f>IFERROR(__xludf.DUMMYFUNCTION("""COMPUTED_VALUE"""),42444.66666666667)</f>
        <v>42444.66667</v>
      </c>
      <c r="B334" s="23">
        <f>IFERROR(__xludf.DUMMYFUNCTION("""COMPUTED_VALUE"""),54.61)</f>
        <v>54.61</v>
      </c>
      <c r="C334" s="22">
        <f>IFERROR(__xludf.DUMMYFUNCTION("""COMPUTED_VALUE"""),43704.66666666667)</f>
        <v>43704.66667</v>
      </c>
      <c r="D334" s="23">
        <f>IFERROR(__xludf.DUMMYFUNCTION("""COMPUTED_VALUE"""),108.7)</f>
        <v>108.7</v>
      </c>
      <c r="E334" s="22">
        <f>IFERROR(__xludf.DUMMYFUNCTION("""COMPUTED_VALUE"""),42626.66666666667)</f>
        <v>42626.66667</v>
      </c>
      <c r="F334" s="23">
        <f>IFERROR(__xludf.DUMMYFUNCTION("""COMPUTED_VALUE"""),10.92)</f>
        <v>10.92</v>
      </c>
      <c r="G334" s="22">
        <f>IFERROR(__xludf.DUMMYFUNCTION("""COMPUTED_VALUE"""),43385.66666666667)</f>
        <v>43385.66667</v>
      </c>
      <c r="H334" s="23">
        <f>IFERROR(__xludf.DUMMYFUNCTION("""COMPUTED_VALUE"""),74.74)</f>
        <v>74.74</v>
      </c>
      <c r="I334" s="22">
        <f>IFERROR(__xludf.DUMMYFUNCTION("""COMPUTED_VALUE"""),43385.66666666667)</f>
        <v>43385.66667</v>
      </c>
      <c r="J334" s="23">
        <f>IFERROR(__xludf.DUMMYFUNCTION("""COMPUTED_VALUE"""),198.95)</f>
        <v>198.95</v>
      </c>
      <c r="K334" s="22">
        <f>IFERROR(__xludf.DUMMYFUNCTION("""COMPUTED_VALUE"""),43385.66666666667)</f>
        <v>43385.66667</v>
      </c>
      <c r="L334" s="23">
        <f>IFERROR(__xludf.DUMMYFUNCTION("""COMPUTED_VALUE"""),68.94)</f>
        <v>68.94</v>
      </c>
      <c r="M334" s="23">
        <v>0.0</v>
      </c>
      <c r="N334" s="23">
        <v>0.0</v>
      </c>
      <c r="O334" s="23">
        <v>0.0</v>
      </c>
      <c r="P334" s="23">
        <f t="shared" si="1"/>
        <v>0</v>
      </c>
      <c r="Q334" s="23">
        <f t="shared" si="2"/>
        <v>0</v>
      </c>
      <c r="R334" s="23">
        <f t="shared" si="3"/>
        <v>0</v>
      </c>
      <c r="S334" s="19"/>
      <c r="T334" s="19"/>
      <c r="U334" s="19"/>
      <c r="V334" s="19"/>
    </row>
    <row r="335">
      <c r="A335" s="22">
        <f>IFERROR(__xludf.DUMMYFUNCTION("""COMPUTED_VALUE"""),42445.66666666667)</f>
        <v>42445.66667</v>
      </c>
      <c r="B335" s="23">
        <f>IFERROR(__xludf.DUMMYFUNCTION("""COMPUTED_VALUE"""),54.76)</f>
        <v>54.76</v>
      </c>
      <c r="C335" s="22">
        <f>IFERROR(__xludf.DUMMYFUNCTION("""COMPUTED_VALUE"""),43705.66666666667)</f>
        <v>43705.66667</v>
      </c>
      <c r="D335" s="23">
        <f>IFERROR(__xludf.DUMMYFUNCTION("""COMPUTED_VALUE"""),109.38)</f>
        <v>109.38</v>
      </c>
      <c r="E335" s="22">
        <f>IFERROR(__xludf.DUMMYFUNCTION("""COMPUTED_VALUE"""),42627.66666666667)</f>
        <v>42627.66667</v>
      </c>
      <c r="F335" s="23">
        <f>IFERROR(__xludf.DUMMYFUNCTION("""COMPUTED_VALUE"""),10.97)</f>
        <v>10.97</v>
      </c>
      <c r="G335" s="22">
        <f>IFERROR(__xludf.DUMMYFUNCTION("""COMPUTED_VALUE"""),43392.66666666667)</f>
        <v>43392.66667</v>
      </c>
      <c r="H335" s="23">
        <f>IFERROR(__xludf.DUMMYFUNCTION("""COMPUTED_VALUE"""),75.42)</f>
        <v>75.42</v>
      </c>
      <c r="I335" s="22">
        <f>IFERROR(__xludf.DUMMYFUNCTION("""COMPUTED_VALUE"""),43392.66666666667)</f>
        <v>43392.66667</v>
      </c>
      <c r="J335" s="23">
        <f>IFERROR(__xludf.DUMMYFUNCTION("""COMPUTED_VALUE"""),200.03)</f>
        <v>200.03</v>
      </c>
      <c r="K335" s="22">
        <f>IFERROR(__xludf.DUMMYFUNCTION("""COMPUTED_VALUE"""),43392.66666666667)</f>
        <v>43392.66667</v>
      </c>
      <c r="L335" s="23">
        <f>IFERROR(__xludf.DUMMYFUNCTION("""COMPUTED_VALUE"""),68.46)</f>
        <v>68.46</v>
      </c>
      <c r="M335" s="23">
        <v>0.0</v>
      </c>
      <c r="N335" s="23">
        <v>0.0</v>
      </c>
      <c r="O335" s="23">
        <v>0.0</v>
      </c>
      <c r="P335" s="23">
        <f t="shared" si="1"/>
        <v>0</v>
      </c>
      <c r="Q335" s="23">
        <f t="shared" si="2"/>
        <v>0</v>
      </c>
      <c r="R335" s="23">
        <f t="shared" si="3"/>
        <v>0</v>
      </c>
      <c r="S335" s="19"/>
      <c r="T335" s="19"/>
      <c r="U335" s="19"/>
      <c r="V335" s="19"/>
    </row>
    <row r="336">
      <c r="A336" s="22">
        <f>IFERROR(__xludf.DUMMYFUNCTION("""COMPUTED_VALUE"""),42446.66666666667)</f>
        <v>42446.66667</v>
      </c>
      <c r="B336" s="23">
        <f>IFERROR(__xludf.DUMMYFUNCTION("""COMPUTED_VALUE"""),54.1)</f>
        <v>54.1</v>
      </c>
      <c r="C336" s="22">
        <f>IFERROR(__xludf.DUMMYFUNCTION("""COMPUTED_VALUE"""),43706.66666666667)</f>
        <v>43706.66667</v>
      </c>
      <c r="D336" s="23">
        <f>IFERROR(__xludf.DUMMYFUNCTION("""COMPUTED_VALUE"""),109.39)</f>
        <v>109.39</v>
      </c>
      <c r="E336" s="22">
        <f>IFERROR(__xludf.DUMMYFUNCTION("""COMPUTED_VALUE"""),42628.66666666667)</f>
        <v>42628.66667</v>
      </c>
      <c r="F336" s="23">
        <f>IFERROR(__xludf.DUMMYFUNCTION("""COMPUTED_VALUE"""),10.99)</f>
        <v>10.99</v>
      </c>
      <c r="G336" s="22">
        <f>IFERROR(__xludf.DUMMYFUNCTION("""COMPUTED_VALUE"""),43399.66666666667)</f>
        <v>43399.66667</v>
      </c>
      <c r="H336" s="23">
        <f>IFERROR(__xludf.DUMMYFUNCTION("""COMPUTED_VALUE"""),71.9)</f>
        <v>71.9</v>
      </c>
      <c r="I336" s="22">
        <f>IFERROR(__xludf.DUMMYFUNCTION("""COMPUTED_VALUE"""),43399.66666666667)</f>
        <v>43399.66667</v>
      </c>
      <c r="J336" s="23">
        <f>IFERROR(__xludf.DUMMYFUNCTION("""COMPUTED_VALUE"""),193.48)</f>
        <v>193.48</v>
      </c>
      <c r="K336" s="22">
        <f>IFERROR(__xludf.DUMMYFUNCTION("""COMPUTED_VALUE"""),43399.66666666667)</f>
        <v>43399.66667</v>
      </c>
      <c r="L336" s="23">
        <f>IFERROR(__xludf.DUMMYFUNCTION("""COMPUTED_VALUE"""),66.72)</f>
        <v>66.72</v>
      </c>
      <c r="M336" s="23">
        <v>1000.0</v>
      </c>
      <c r="N336" s="23">
        <v>1000.0</v>
      </c>
      <c r="O336" s="23">
        <v>1000.0</v>
      </c>
      <c r="P336" s="23">
        <f t="shared" si="1"/>
        <v>13.90820584</v>
      </c>
      <c r="Q336" s="23">
        <f t="shared" si="2"/>
        <v>5.168492867</v>
      </c>
      <c r="R336" s="23">
        <f t="shared" si="3"/>
        <v>14.98800959</v>
      </c>
      <c r="S336" s="19"/>
      <c r="T336" s="19"/>
      <c r="U336" s="19"/>
      <c r="V336" s="19"/>
    </row>
    <row r="337">
      <c r="A337" s="22">
        <f>IFERROR(__xludf.DUMMYFUNCTION("""COMPUTED_VALUE"""),42447.66666666667)</f>
        <v>42447.66667</v>
      </c>
      <c r="B337" s="23">
        <f>IFERROR(__xludf.DUMMYFUNCTION("""COMPUTED_VALUE"""),54.28)</f>
        <v>54.28</v>
      </c>
      <c r="C337" s="22">
        <f>IFERROR(__xludf.DUMMYFUNCTION("""COMPUTED_VALUE"""),43707.66666666667)</f>
        <v>43707.66667</v>
      </c>
      <c r="D337" s="23">
        <f>IFERROR(__xludf.DUMMYFUNCTION("""COMPUTED_VALUE"""),111.2)</f>
        <v>111.2</v>
      </c>
      <c r="E337" s="22">
        <f>IFERROR(__xludf.DUMMYFUNCTION("""COMPUTED_VALUE"""),42629.66666666667)</f>
        <v>42629.66667</v>
      </c>
      <c r="F337" s="23">
        <f>IFERROR(__xludf.DUMMYFUNCTION("""COMPUTED_VALUE"""),11.13)</f>
        <v>11.13</v>
      </c>
      <c r="G337" s="22">
        <f>IFERROR(__xludf.DUMMYFUNCTION("""COMPUTED_VALUE"""),43406.66666666667)</f>
        <v>43406.66667</v>
      </c>
      <c r="H337" s="23">
        <f>IFERROR(__xludf.DUMMYFUNCTION("""COMPUTED_VALUE"""),74.18)</f>
        <v>74.18</v>
      </c>
      <c r="I337" s="22">
        <f>IFERROR(__xludf.DUMMYFUNCTION("""COMPUTED_VALUE"""),43406.66666666667)</f>
        <v>43406.66667</v>
      </c>
      <c r="J337" s="23">
        <f>IFERROR(__xludf.DUMMYFUNCTION("""COMPUTED_VALUE"""),194.74)</f>
        <v>194.74</v>
      </c>
      <c r="K337" s="22">
        <f>IFERROR(__xludf.DUMMYFUNCTION("""COMPUTED_VALUE"""),43406.66666666667)</f>
        <v>43406.66667</v>
      </c>
      <c r="L337" s="23">
        <f>IFERROR(__xludf.DUMMYFUNCTION("""COMPUTED_VALUE"""),67.46)</f>
        <v>67.46</v>
      </c>
      <c r="M337" s="23">
        <v>0.0</v>
      </c>
      <c r="N337" s="23">
        <v>0.0</v>
      </c>
      <c r="O337" s="23">
        <v>0.0</v>
      </c>
      <c r="P337" s="23">
        <f t="shared" si="1"/>
        <v>0</v>
      </c>
      <c r="Q337" s="23">
        <f t="shared" si="2"/>
        <v>0</v>
      </c>
      <c r="R337" s="23">
        <f t="shared" si="3"/>
        <v>0</v>
      </c>
      <c r="S337" s="19"/>
      <c r="T337" s="19"/>
      <c r="U337" s="19"/>
      <c r="V337" s="19"/>
    </row>
    <row r="338">
      <c r="A338" s="22">
        <f>IFERROR(__xludf.DUMMYFUNCTION("""COMPUTED_VALUE"""),42450.66666666667)</f>
        <v>42450.66667</v>
      </c>
      <c r="B338" s="23">
        <f>IFERROR(__xludf.DUMMYFUNCTION("""COMPUTED_VALUE"""),54.42)</f>
        <v>54.42</v>
      </c>
      <c r="C338" s="22">
        <f>IFERROR(__xludf.DUMMYFUNCTION("""COMPUTED_VALUE"""),43710.66666666667)</f>
        <v>43710.66667</v>
      </c>
      <c r="D338" s="23">
        <f>IFERROR(__xludf.DUMMYFUNCTION("""COMPUTED_VALUE"""),110.71)</f>
        <v>110.71</v>
      </c>
      <c r="E338" s="22">
        <f>IFERROR(__xludf.DUMMYFUNCTION("""COMPUTED_VALUE"""),42633.66666666667)</f>
        <v>42633.66667</v>
      </c>
      <c r="F338" s="23">
        <f>IFERROR(__xludf.DUMMYFUNCTION("""COMPUTED_VALUE"""),11.08)</f>
        <v>11.08</v>
      </c>
      <c r="G338" s="22">
        <f>IFERROR(__xludf.DUMMYFUNCTION("""COMPUTED_VALUE"""),43413.66666666667)</f>
        <v>43413.66667</v>
      </c>
      <c r="H338" s="23">
        <f>IFERROR(__xludf.DUMMYFUNCTION("""COMPUTED_VALUE"""),75.28)</f>
        <v>75.28</v>
      </c>
      <c r="I338" s="22">
        <f>IFERROR(__xludf.DUMMYFUNCTION("""COMPUTED_VALUE"""),43413.66666666667)</f>
        <v>43413.66667</v>
      </c>
      <c r="J338" s="23">
        <f>IFERROR(__xludf.DUMMYFUNCTION("""COMPUTED_VALUE"""),198.5)</f>
        <v>198.5</v>
      </c>
      <c r="K338" s="22">
        <f>IFERROR(__xludf.DUMMYFUNCTION("""COMPUTED_VALUE"""),43413.66666666667)</f>
        <v>43413.66667</v>
      </c>
      <c r="L338" s="23">
        <f>IFERROR(__xludf.DUMMYFUNCTION("""COMPUTED_VALUE"""),67.3)</f>
        <v>67.3</v>
      </c>
      <c r="M338" s="23">
        <v>0.0</v>
      </c>
      <c r="N338" s="23">
        <v>0.0</v>
      </c>
      <c r="O338" s="23">
        <v>0.0</v>
      </c>
      <c r="P338" s="23">
        <f t="shared" si="1"/>
        <v>0</v>
      </c>
      <c r="Q338" s="23">
        <f t="shared" si="2"/>
        <v>0</v>
      </c>
      <c r="R338" s="23">
        <f t="shared" si="3"/>
        <v>0</v>
      </c>
      <c r="S338" s="19"/>
      <c r="T338" s="19"/>
      <c r="U338" s="19"/>
      <c r="V338" s="19"/>
    </row>
    <row r="339">
      <c r="A339" s="22">
        <f>IFERROR(__xludf.DUMMYFUNCTION("""COMPUTED_VALUE"""),42451.66666666667)</f>
        <v>42451.66667</v>
      </c>
      <c r="B339" s="23">
        <f>IFERROR(__xludf.DUMMYFUNCTION("""COMPUTED_VALUE"""),54.6)</f>
        <v>54.6</v>
      </c>
      <c r="C339" s="22">
        <f>IFERROR(__xludf.DUMMYFUNCTION("""COMPUTED_VALUE"""),43711.66666666667)</f>
        <v>43711.66667</v>
      </c>
      <c r="D339" s="23">
        <f>IFERROR(__xludf.DUMMYFUNCTION("""COMPUTED_VALUE"""),110.5)</f>
        <v>110.5</v>
      </c>
      <c r="E339" s="22">
        <f>IFERROR(__xludf.DUMMYFUNCTION("""COMPUTED_VALUE"""),42634.66666666667)</f>
        <v>42634.66667</v>
      </c>
      <c r="F339" s="23">
        <f>IFERROR(__xludf.DUMMYFUNCTION("""COMPUTED_VALUE"""),11.07)</f>
        <v>11.07</v>
      </c>
      <c r="G339" s="22">
        <f>IFERROR(__xludf.DUMMYFUNCTION("""COMPUTED_VALUE"""),43420.66666666667)</f>
        <v>43420.66667</v>
      </c>
      <c r="H339" s="23">
        <f>IFERROR(__xludf.DUMMYFUNCTION("""COMPUTED_VALUE"""),73.07)</f>
        <v>73.07</v>
      </c>
      <c r="I339" s="22">
        <f>IFERROR(__xludf.DUMMYFUNCTION("""COMPUTED_VALUE"""),43420.66666666667)</f>
        <v>43420.66667</v>
      </c>
      <c r="J339" s="23">
        <f>IFERROR(__xludf.DUMMYFUNCTION("""COMPUTED_VALUE"""),192.21)</f>
        <v>192.21</v>
      </c>
      <c r="K339" s="22">
        <f>IFERROR(__xludf.DUMMYFUNCTION("""COMPUTED_VALUE"""),43420.66666666667)</f>
        <v>43420.66667</v>
      </c>
      <c r="L339" s="23">
        <f>IFERROR(__xludf.DUMMYFUNCTION("""COMPUTED_VALUE"""),66.42)</f>
        <v>66.42</v>
      </c>
      <c r="M339" s="23">
        <v>0.0</v>
      </c>
      <c r="N339" s="23">
        <v>0.0</v>
      </c>
      <c r="O339" s="23">
        <v>0.0</v>
      </c>
      <c r="P339" s="23">
        <f t="shared" si="1"/>
        <v>0</v>
      </c>
      <c r="Q339" s="23">
        <f t="shared" si="2"/>
        <v>0</v>
      </c>
      <c r="R339" s="23">
        <f t="shared" si="3"/>
        <v>0</v>
      </c>
      <c r="S339" s="19"/>
      <c r="T339" s="19"/>
      <c r="U339" s="19"/>
      <c r="V339" s="19"/>
    </row>
    <row r="340">
      <c r="A340" s="22">
        <f>IFERROR(__xludf.DUMMYFUNCTION("""COMPUTED_VALUE"""),42452.66666666667)</f>
        <v>42452.66667</v>
      </c>
      <c r="B340" s="23">
        <f>IFERROR(__xludf.DUMMYFUNCTION("""COMPUTED_VALUE"""),54.54)</f>
        <v>54.54</v>
      </c>
      <c r="C340" s="22">
        <f>IFERROR(__xludf.DUMMYFUNCTION("""COMPUTED_VALUE"""),43712.66666666667)</f>
        <v>43712.66667</v>
      </c>
      <c r="D340" s="23">
        <f>IFERROR(__xludf.DUMMYFUNCTION("""COMPUTED_VALUE"""),110.29)</f>
        <v>110.29</v>
      </c>
      <c r="E340" s="22">
        <f>IFERROR(__xludf.DUMMYFUNCTION("""COMPUTED_VALUE"""),42635.66666666667)</f>
        <v>42635.66667</v>
      </c>
      <c r="F340" s="23">
        <f>IFERROR(__xludf.DUMMYFUNCTION("""COMPUTED_VALUE"""),11.03)</f>
        <v>11.03</v>
      </c>
      <c r="G340" s="22">
        <f>IFERROR(__xludf.DUMMYFUNCTION("""COMPUTED_VALUE"""),43427.66666666667)</f>
        <v>43427.66667</v>
      </c>
      <c r="H340" s="23">
        <f>IFERROR(__xludf.DUMMYFUNCTION("""COMPUTED_VALUE"""),72.85)</f>
        <v>72.85</v>
      </c>
      <c r="I340" s="22">
        <f>IFERROR(__xludf.DUMMYFUNCTION("""COMPUTED_VALUE"""),43427.66666666667)</f>
        <v>43427.66667</v>
      </c>
      <c r="J340" s="23">
        <f>IFERROR(__xludf.DUMMYFUNCTION("""COMPUTED_VALUE"""),186.69)</f>
        <v>186.69</v>
      </c>
      <c r="K340" s="22">
        <f>IFERROR(__xludf.DUMMYFUNCTION("""COMPUTED_VALUE"""),43427.66666666667)</f>
        <v>43427.66667</v>
      </c>
      <c r="L340" s="23">
        <f>IFERROR(__xludf.DUMMYFUNCTION("""COMPUTED_VALUE"""),66.15)</f>
        <v>66.15</v>
      </c>
      <c r="M340" s="23">
        <v>1000.0</v>
      </c>
      <c r="N340" s="23">
        <v>1000.0</v>
      </c>
      <c r="O340" s="23">
        <v>1000.0</v>
      </c>
      <c r="P340" s="23">
        <f t="shared" si="1"/>
        <v>13.72683596</v>
      </c>
      <c r="Q340" s="23">
        <f t="shared" si="2"/>
        <v>5.356473298</v>
      </c>
      <c r="R340" s="23">
        <f t="shared" si="3"/>
        <v>15.11715797</v>
      </c>
      <c r="S340" s="19"/>
      <c r="T340" s="19"/>
      <c r="U340" s="19"/>
      <c r="V340" s="19"/>
    </row>
    <row r="341">
      <c r="A341" s="22">
        <f>IFERROR(__xludf.DUMMYFUNCTION("""COMPUTED_VALUE"""),42453.66666666667)</f>
        <v>42453.66667</v>
      </c>
      <c r="B341" s="23">
        <f>IFERROR(__xludf.DUMMYFUNCTION("""COMPUTED_VALUE"""),54.7)</f>
        <v>54.7</v>
      </c>
      <c r="C341" s="22">
        <f>IFERROR(__xludf.DUMMYFUNCTION("""COMPUTED_VALUE"""),43713.66666666667)</f>
        <v>43713.66667</v>
      </c>
      <c r="D341" s="23">
        <f>IFERROR(__xludf.DUMMYFUNCTION("""COMPUTED_VALUE"""),111.95)</f>
        <v>111.95</v>
      </c>
      <c r="E341" s="22">
        <f>IFERROR(__xludf.DUMMYFUNCTION("""COMPUTED_VALUE"""),42636.66666666667)</f>
        <v>42636.66667</v>
      </c>
      <c r="F341" s="23">
        <f>IFERROR(__xludf.DUMMYFUNCTION("""COMPUTED_VALUE"""),11.12)</f>
        <v>11.12</v>
      </c>
      <c r="G341" s="22">
        <f>IFERROR(__xludf.DUMMYFUNCTION("""COMPUTED_VALUE"""),43434.66666666667)</f>
        <v>43434.66667</v>
      </c>
      <c r="H341" s="23">
        <f>IFERROR(__xludf.DUMMYFUNCTION("""COMPUTED_VALUE"""),72.26)</f>
        <v>72.26</v>
      </c>
      <c r="I341" s="22">
        <f>IFERROR(__xludf.DUMMYFUNCTION("""COMPUTED_VALUE"""),43434.66666666667)</f>
        <v>43434.66667</v>
      </c>
      <c r="J341" s="23">
        <f>IFERROR(__xludf.DUMMYFUNCTION("""COMPUTED_VALUE"""),191.95)</f>
        <v>191.95</v>
      </c>
      <c r="K341" s="22">
        <f>IFERROR(__xludf.DUMMYFUNCTION("""COMPUTED_VALUE"""),43434.66666666667)</f>
        <v>43434.66667</v>
      </c>
      <c r="L341" s="23">
        <f>IFERROR(__xludf.DUMMYFUNCTION("""COMPUTED_VALUE"""),66.52)</f>
        <v>66.52</v>
      </c>
      <c r="M341" s="23">
        <v>0.0</v>
      </c>
      <c r="N341" s="23">
        <v>0.0</v>
      </c>
      <c r="O341" s="23">
        <v>0.0</v>
      </c>
      <c r="P341" s="23">
        <f t="shared" si="1"/>
        <v>0</v>
      </c>
      <c r="Q341" s="23">
        <f t="shared" si="2"/>
        <v>0</v>
      </c>
      <c r="R341" s="23">
        <f t="shared" si="3"/>
        <v>0</v>
      </c>
      <c r="S341" s="19"/>
      <c r="T341" s="19"/>
      <c r="U341" s="19"/>
      <c r="V341" s="19"/>
    </row>
    <row r="342">
      <c r="A342" s="22">
        <f>IFERROR(__xludf.DUMMYFUNCTION("""COMPUTED_VALUE"""),42458.66666666667)</f>
        <v>42458.66667</v>
      </c>
      <c r="B342" s="23">
        <f>IFERROR(__xludf.DUMMYFUNCTION("""COMPUTED_VALUE"""),54.72)</f>
        <v>54.72</v>
      </c>
      <c r="C342" s="22">
        <f>IFERROR(__xludf.DUMMYFUNCTION("""COMPUTED_VALUE"""),43714.66666666667)</f>
        <v>43714.66667</v>
      </c>
      <c r="D342" s="23">
        <f>IFERROR(__xludf.DUMMYFUNCTION("""COMPUTED_VALUE"""),112.4)</f>
        <v>112.4</v>
      </c>
      <c r="E342" s="22">
        <f>IFERROR(__xludf.DUMMYFUNCTION("""COMPUTED_VALUE"""),42639.66666666667)</f>
        <v>42639.66667</v>
      </c>
      <c r="F342" s="23">
        <f>IFERROR(__xludf.DUMMYFUNCTION("""COMPUTED_VALUE"""),11.07)</f>
        <v>11.07</v>
      </c>
      <c r="G342" s="22">
        <f>IFERROR(__xludf.DUMMYFUNCTION("""COMPUTED_VALUE"""),43441.66666666667)</f>
        <v>43441.66667</v>
      </c>
      <c r="H342" s="23">
        <f>IFERROR(__xludf.DUMMYFUNCTION("""COMPUTED_VALUE"""),72.52)</f>
        <v>72.52</v>
      </c>
      <c r="I342" s="22">
        <f>IFERROR(__xludf.DUMMYFUNCTION("""COMPUTED_VALUE"""),43441.66666666667)</f>
        <v>43441.66667</v>
      </c>
      <c r="J342" s="23">
        <f>IFERROR(__xludf.DUMMYFUNCTION("""COMPUTED_VALUE"""),190.4)</f>
        <v>190.4</v>
      </c>
      <c r="K342" s="22">
        <f>IFERROR(__xludf.DUMMYFUNCTION("""COMPUTED_VALUE"""),43441.66666666667)</f>
        <v>43441.66667</v>
      </c>
      <c r="L342" s="23">
        <f>IFERROR(__xludf.DUMMYFUNCTION("""COMPUTED_VALUE"""),65.63)</f>
        <v>65.63</v>
      </c>
      <c r="M342" s="23">
        <v>0.0</v>
      </c>
      <c r="N342" s="23">
        <v>0.0</v>
      </c>
      <c r="O342" s="23">
        <v>0.0</v>
      </c>
      <c r="P342" s="23">
        <f t="shared" si="1"/>
        <v>0</v>
      </c>
      <c r="Q342" s="23">
        <f t="shared" si="2"/>
        <v>0</v>
      </c>
      <c r="R342" s="23">
        <f t="shared" si="3"/>
        <v>0</v>
      </c>
      <c r="S342" s="19"/>
      <c r="T342" s="19"/>
      <c r="U342" s="19"/>
      <c r="V342" s="19"/>
    </row>
    <row r="343">
      <c r="A343" s="22">
        <f>IFERROR(__xludf.DUMMYFUNCTION("""COMPUTED_VALUE"""),42459.66666666667)</f>
        <v>42459.66667</v>
      </c>
      <c r="B343" s="23">
        <f>IFERROR(__xludf.DUMMYFUNCTION("""COMPUTED_VALUE"""),54.34)</f>
        <v>54.34</v>
      </c>
      <c r="C343" s="22">
        <f>IFERROR(__xludf.DUMMYFUNCTION("""COMPUTED_VALUE"""),43717.66666666667)</f>
        <v>43717.66667</v>
      </c>
      <c r="D343" s="23">
        <f>IFERROR(__xludf.DUMMYFUNCTION("""COMPUTED_VALUE"""),112.41)</f>
        <v>112.41</v>
      </c>
      <c r="E343" s="22">
        <f>IFERROR(__xludf.DUMMYFUNCTION("""COMPUTED_VALUE"""),42640.66666666667)</f>
        <v>42640.66667</v>
      </c>
      <c r="F343" s="23">
        <f>IFERROR(__xludf.DUMMYFUNCTION("""COMPUTED_VALUE"""),11.0)</f>
        <v>11</v>
      </c>
      <c r="G343" s="22">
        <f>IFERROR(__xludf.DUMMYFUNCTION("""COMPUTED_VALUE"""),43448.66666666667)</f>
        <v>43448.66667</v>
      </c>
      <c r="H343" s="23">
        <f>IFERROR(__xludf.DUMMYFUNCTION("""COMPUTED_VALUE"""),71.42)</f>
        <v>71.42</v>
      </c>
      <c r="I343" s="22">
        <f>IFERROR(__xludf.DUMMYFUNCTION("""COMPUTED_VALUE"""),43448.66666666667)</f>
        <v>43448.66667</v>
      </c>
      <c r="J343" s="23">
        <f>IFERROR(__xludf.DUMMYFUNCTION("""COMPUTED_VALUE"""),186.75)</f>
        <v>186.75</v>
      </c>
      <c r="K343" s="22">
        <f>IFERROR(__xludf.DUMMYFUNCTION("""COMPUTED_VALUE"""),43448.66666666667)</f>
        <v>43448.66667</v>
      </c>
      <c r="L343" s="23">
        <f>IFERROR(__xludf.DUMMYFUNCTION("""COMPUTED_VALUE"""),65.42)</f>
        <v>65.42</v>
      </c>
      <c r="M343" s="23">
        <v>0.0</v>
      </c>
      <c r="N343" s="23">
        <v>0.0</v>
      </c>
      <c r="O343" s="23">
        <v>0.0</v>
      </c>
      <c r="P343" s="23">
        <f t="shared" si="1"/>
        <v>0</v>
      </c>
      <c r="Q343" s="23">
        <f t="shared" si="2"/>
        <v>0</v>
      </c>
      <c r="R343" s="23">
        <f t="shared" si="3"/>
        <v>0</v>
      </c>
      <c r="S343" s="19"/>
      <c r="T343" s="19"/>
      <c r="U343" s="19"/>
      <c r="V343" s="19"/>
    </row>
    <row r="344">
      <c r="A344" s="22">
        <f>IFERROR(__xludf.DUMMYFUNCTION("""COMPUTED_VALUE"""),42460.66666666667)</f>
        <v>42460.66667</v>
      </c>
      <c r="B344" s="23">
        <f>IFERROR(__xludf.DUMMYFUNCTION("""COMPUTED_VALUE"""),54.4)</f>
        <v>54.4</v>
      </c>
      <c r="C344" s="22">
        <f>IFERROR(__xludf.DUMMYFUNCTION("""COMPUTED_VALUE"""),43718.66666666667)</f>
        <v>43718.66667</v>
      </c>
      <c r="D344" s="23">
        <f>IFERROR(__xludf.DUMMYFUNCTION("""COMPUTED_VALUE"""),111.7)</f>
        <v>111.7</v>
      </c>
      <c r="E344" s="22">
        <f>IFERROR(__xludf.DUMMYFUNCTION("""COMPUTED_VALUE"""),42641.66666666667)</f>
        <v>42641.66667</v>
      </c>
      <c r="F344" s="23">
        <f>IFERROR(__xludf.DUMMYFUNCTION("""COMPUTED_VALUE"""),11.01)</f>
        <v>11.01</v>
      </c>
      <c r="G344" s="22">
        <f>IFERROR(__xludf.DUMMYFUNCTION("""COMPUTED_VALUE"""),43455.66666666667)</f>
        <v>43455.66667</v>
      </c>
      <c r="H344" s="23">
        <f>IFERROR(__xludf.DUMMYFUNCTION("""COMPUTED_VALUE"""),69.63)</f>
        <v>69.63</v>
      </c>
      <c r="I344" s="22">
        <f>IFERROR(__xludf.DUMMYFUNCTION("""COMPUTED_VALUE"""),43455.66666666667)</f>
        <v>43455.66667</v>
      </c>
      <c r="J344" s="23">
        <f>IFERROR(__xludf.DUMMYFUNCTION("""COMPUTED_VALUE"""),178.25)</f>
        <v>178.25</v>
      </c>
      <c r="K344" s="22">
        <f>IFERROR(__xludf.DUMMYFUNCTION("""COMPUTED_VALUE"""),43455.66666666667)</f>
        <v>43455.66667</v>
      </c>
      <c r="L344" s="23">
        <f>IFERROR(__xludf.DUMMYFUNCTION("""COMPUTED_VALUE"""),64.33)</f>
        <v>64.33</v>
      </c>
      <c r="M344" s="23">
        <v>1000.0</v>
      </c>
      <c r="N344" s="23">
        <v>1000.0</v>
      </c>
      <c r="O344" s="23">
        <v>1000.0</v>
      </c>
      <c r="P344" s="23">
        <f t="shared" si="1"/>
        <v>14.36162574</v>
      </c>
      <c r="Q344" s="23">
        <f t="shared" si="2"/>
        <v>5.610098177</v>
      </c>
      <c r="R344" s="23">
        <f t="shared" si="3"/>
        <v>15.54484688</v>
      </c>
      <c r="S344" s="19"/>
      <c r="T344" s="19"/>
      <c r="U344" s="19"/>
      <c r="V344" s="19"/>
    </row>
    <row r="345">
      <c r="A345" s="22">
        <f>IFERROR(__xludf.DUMMYFUNCTION("""COMPUTED_VALUE"""),42461.66666666667)</f>
        <v>42461.66667</v>
      </c>
      <c r="B345" s="23">
        <f>IFERROR(__xludf.DUMMYFUNCTION("""COMPUTED_VALUE"""),53.98)</f>
        <v>53.98</v>
      </c>
      <c r="C345" s="22">
        <f>IFERROR(__xludf.DUMMYFUNCTION("""COMPUTED_VALUE"""),43719.66666666667)</f>
        <v>43719.66667</v>
      </c>
      <c r="D345" s="23">
        <f>IFERROR(__xludf.DUMMYFUNCTION("""COMPUTED_VALUE"""),111.99)</f>
        <v>111.99</v>
      </c>
      <c r="E345" s="22">
        <f>IFERROR(__xludf.DUMMYFUNCTION("""COMPUTED_VALUE"""),42642.66666666667)</f>
        <v>42642.66667</v>
      </c>
      <c r="F345" s="23">
        <f>IFERROR(__xludf.DUMMYFUNCTION("""COMPUTED_VALUE"""),11.04)</f>
        <v>11.04</v>
      </c>
      <c r="G345" s="22">
        <f>IFERROR(__xludf.DUMMYFUNCTION("""COMPUTED_VALUE"""),43462.66666666667)</f>
        <v>43462.66667</v>
      </c>
      <c r="H345" s="23">
        <f>IFERROR(__xludf.DUMMYFUNCTION("""COMPUTED_VALUE"""),72.03)</f>
        <v>72.03</v>
      </c>
      <c r="I345" s="22">
        <f>IFERROR(__xludf.DUMMYFUNCTION("""COMPUTED_VALUE"""),43462.66666666667)</f>
        <v>43462.66667</v>
      </c>
      <c r="J345" s="23">
        <f>IFERROR(__xludf.DUMMYFUNCTION("""COMPUTED_VALUE"""),180.5)</f>
        <v>180.5</v>
      </c>
      <c r="K345" s="22">
        <f>IFERROR(__xludf.DUMMYFUNCTION("""COMPUTED_VALUE"""),43462.66666666667)</f>
        <v>43462.66667</v>
      </c>
      <c r="L345" s="23">
        <f>IFERROR(__xludf.DUMMYFUNCTION("""COMPUTED_VALUE"""),64.39)</f>
        <v>64.39</v>
      </c>
      <c r="M345" s="23">
        <v>0.0</v>
      </c>
      <c r="N345" s="23">
        <v>0.0</v>
      </c>
      <c r="O345" s="23">
        <v>0.0</v>
      </c>
      <c r="P345" s="23">
        <f t="shared" si="1"/>
        <v>0</v>
      </c>
      <c r="Q345" s="23">
        <f t="shared" si="2"/>
        <v>0</v>
      </c>
      <c r="R345" s="23">
        <f t="shared" si="3"/>
        <v>0</v>
      </c>
      <c r="S345" s="19"/>
      <c r="T345" s="19"/>
      <c r="U345" s="19"/>
      <c r="V345" s="19"/>
    </row>
    <row r="346">
      <c r="A346" s="22">
        <f>IFERROR(__xludf.DUMMYFUNCTION("""COMPUTED_VALUE"""),42464.66666666667)</f>
        <v>42464.66667</v>
      </c>
      <c r="B346" s="23">
        <f>IFERROR(__xludf.DUMMYFUNCTION("""COMPUTED_VALUE"""),54.23)</f>
        <v>54.23</v>
      </c>
      <c r="C346" s="22">
        <f>IFERROR(__xludf.DUMMYFUNCTION("""COMPUTED_VALUE"""),43720.66666666667)</f>
        <v>43720.66667</v>
      </c>
      <c r="D346" s="23">
        <f>IFERROR(__xludf.DUMMYFUNCTION("""COMPUTED_VALUE"""),112.55)</f>
        <v>112.55</v>
      </c>
      <c r="E346" s="22">
        <f>IFERROR(__xludf.DUMMYFUNCTION("""COMPUTED_VALUE"""),42643.66666666667)</f>
        <v>42643.66667</v>
      </c>
      <c r="F346" s="23">
        <f>IFERROR(__xludf.DUMMYFUNCTION("""COMPUTED_VALUE"""),11.0)</f>
        <v>11</v>
      </c>
      <c r="G346" s="22">
        <f>IFERROR(__xludf.DUMMYFUNCTION("""COMPUTED_VALUE"""),43469.66666666667)</f>
        <v>43469.66667</v>
      </c>
      <c r="H346" s="23">
        <f>IFERROR(__xludf.DUMMYFUNCTION("""COMPUTED_VALUE"""),71.0)</f>
        <v>71</v>
      </c>
      <c r="I346" s="22">
        <f>IFERROR(__xludf.DUMMYFUNCTION("""COMPUTED_VALUE"""),43469.66666666667)</f>
        <v>43469.66667</v>
      </c>
      <c r="J346" s="23">
        <f>IFERROR(__xludf.DUMMYFUNCTION("""COMPUTED_VALUE"""),178.6)</f>
        <v>178.6</v>
      </c>
      <c r="K346" s="22">
        <f>IFERROR(__xludf.DUMMYFUNCTION("""COMPUTED_VALUE"""),43469.66666666667)</f>
        <v>43469.66667</v>
      </c>
      <c r="L346" s="23">
        <f>IFERROR(__xludf.DUMMYFUNCTION("""COMPUTED_VALUE"""),64.5)</f>
        <v>64.5</v>
      </c>
      <c r="M346" s="23">
        <v>0.0</v>
      </c>
      <c r="N346" s="23">
        <v>0.0</v>
      </c>
      <c r="O346" s="23">
        <v>0.0</v>
      </c>
      <c r="P346" s="23">
        <f t="shared" si="1"/>
        <v>0</v>
      </c>
      <c r="Q346" s="23">
        <f t="shared" si="2"/>
        <v>0</v>
      </c>
      <c r="R346" s="23">
        <f t="shared" si="3"/>
        <v>0</v>
      </c>
      <c r="S346" s="19"/>
      <c r="T346" s="19"/>
      <c r="U346" s="19"/>
      <c r="V346" s="19"/>
    </row>
    <row r="347">
      <c r="A347" s="22">
        <f>IFERROR(__xludf.DUMMYFUNCTION("""COMPUTED_VALUE"""),42465.66666666667)</f>
        <v>42465.66667</v>
      </c>
      <c r="B347" s="23">
        <f>IFERROR(__xludf.DUMMYFUNCTION("""COMPUTED_VALUE"""),54.34)</f>
        <v>54.34</v>
      </c>
      <c r="C347" s="22">
        <f>IFERROR(__xludf.DUMMYFUNCTION("""COMPUTED_VALUE"""),43721.66666666667)</f>
        <v>43721.66667</v>
      </c>
      <c r="D347" s="23">
        <f>IFERROR(__xludf.DUMMYFUNCTION("""COMPUTED_VALUE"""),112.61)</f>
        <v>112.61</v>
      </c>
      <c r="E347" s="22">
        <f>IFERROR(__xludf.DUMMYFUNCTION("""COMPUTED_VALUE"""),42646.66666666667)</f>
        <v>42646.66667</v>
      </c>
      <c r="F347" s="23">
        <f>IFERROR(__xludf.DUMMYFUNCTION("""COMPUTED_VALUE"""),11.09)</f>
        <v>11.09</v>
      </c>
      <c r="G347" s="22">
        <f>IFERROR(__xludf.DUMMYFUNCTION("""COMPUTED_VALUE"""),43476.66666666667)</f>
        <v>43476.66667</v>
      </c>
      <c r="H347" s="23">
        <f>IFERROR(__xludf.DUMMYFUNCTION("""COMPUTED_VALUE"""),72.99)</f>
        <v>72.99</v>
      </c>
      <c r="I347" s="22">
        <f>IFERROR(__xludf.DUMMYFUNCTION("""COMPUTED_VALUE"""),43476.66666666667)</f>
        <v>43476.66667</v>
      </c>
      <c r="J347" s="23">
        <f>IFERROR(__xludf.DUMMYFUNCTION("""COMPUTED_VALUE"""),183.77)</f>
        <v>183.77</v>
      </c>
      <c r="K347" s="22">
        <f>IFERROR(__xludf.DUMMYFUNCTION("""COMPUTED_VALUE"""),43476.66666666667)</f>
        <v>43476.66667</v>
      </c>
      <c r="L347" s="23">
        <f>IFERROR(__xludf.DUMMYFUNCTION("""COMPUTED_VALUE"""),66.0)</f>
        <v>66</v>
      </c>
      <c r="M347" s="23">
        <v>0.0</v>
      </c>
      <c r="N347" s="23">
        <v>0.0</v>
      </c>
      <c r="O347" s="23">
        <v>0.0</v>
      </c>
      <c r="P347" s="23">
        <f t="shared" si="1"/>
        <v>0</v>
      </c>
      <c r="Q347" s="23">
        <f t="shared" si="2"/>
        <v>0</v>
      </c>
      <c r="R347" s="23">
        <f t="shared" si="3"/>
        <v>0</v>
      </c>
      <c r="S347" s="19"/>
      <c r="T347" s="19"/>
      <c r="U347" s="19"/>
      <c r="V347" s="19"/>
    </row>
    <row r="348">
      <c r="A348" s="22">
        <f>IFERROR(__xludf.DUMMYFUNCTION("""COMPUTED_VALUE"""),42466.66666666667)</f>
        <v>42466.66667</v>
      </c>
      <c r="B348" s="23">
        <f>IFERROR(__xludf.DUMMYFUNCTION("""COMPUTED_VALUE"""),54.01)</f>
        <v>54.01</v>
      </c>
      <c r="C348" s="22">
        <f>IFERROR(__xludf.DUMMYFUNCTION("""COMPUTED_VALUE"""),43724.66666666667)</f>
        <v>43724.66667</v>
      </c>
      <c r="D348" s="23">
        <f>IFERROR(__xludf.DUMMYFUNCTION("""COMPUTED_VALUE"""),112.9)</f>
        <v>112.9</v>
      </c>
      <c r="E348" s="22">
        <f>IFERROR(__xludf.DUMMYFUNCTION("""COMPUTED_VALUE"""),42647.66666666667)</f>
        <v>42647.66667</v>
      </c>
      <c r="F348" s="23">
        <f>IFERROR(__xludf.DUMMYFUNCTION("""COMPUTED_VALUE"""),11.04)</f>
        <v>11.04</v>
      </c>
      <c r="G348" s="22">
        <f>IFERROR(__xludf.DUMMYFUNCTION("""COMPUTED_VALUE"""),43483.66666666667)</f>
        <v>43483.66667</v>
      </c>
      <c r="H348" s="23">
        <f>IFERROR(__xludf.DUMMYFUNCTION("""COMPUTED_VALUE"""),74.34)</f>
        <v>74.34</v>
      </c>
      <c r="I348" s="22">
        <f>IFERROR(__xludf.DUMMYFUNCTION("""COMPUTED_VALUE"""),43483.66666666667)</f>
        <v>43483.66667</v>
      </c>
      <c r="J348" s="23">
        <f>IFERROR(__xludf.DUMMYFUNCTION("""COMPUTED_VALUE"""),187.91)</f>
        <v>187.91</v>
      </c>
      <c r="K348" s="22">
        <f>IFERROR(__xludf.DUMMYFUNCTION("""COMPUTED_VALUE"""),43483.66666666667)</f>
        <v>43483.66667</v>
      </c>
      <c r="L348" s="23">
        <f>IFERROR(__xludf.DUMMYFUNCTION("""COMPUTED_VALUE"""),66.56)</f>
        <v>66.56</v>
      </c>
      <c r="M348" s="23">
        <v>1000.0</v>
      </c>
      <c r="N348" s="23">
        <v>1000.0</v>
      </c>
      <c r="O348" s="23">
        <v>1000.0</v>
      </c>
      <c r="P348" s="23">
        <f t="shared" si="1"/>
        <v>13.45170837</v>
      </c>
      <c r="Q348" s="23">
        <f t="shared" si="2"/>
        <v>5.321696557</v>
      </c>
      <c r="R348" s="23">
        <f t="shared" si="3"/>
        <v>15.02403846</v>
      </c>
      <c r="S348" s="19"/>
      <c r="T348" s="19"/>
      <c r="U348" s="19"/>
      <c r="V348" s="19"/>
    </row>
    <row r="349">
      <c r="A349" s="22">
        <f>IFERROR(__xludf.DUMMYFUNCTION("""COMPUTED_VALUE"""),42467.66666666667)</f>
        <v>42467.66667</v>
      </c>
      <c r="B349" s="23">
        <f>IFERROR(__xludf.DUMMYFUNCTION("""COMPUTED_VALUE"""),54.2)</f>
        <v>54.2</v>
      </c>
      <c r="C349" s="22">
        <f>IFERROR(__xludf.DUMMYFUNCTION("""COMPUTED_VALUE"""),43725.66666666667)</f>
        <v>43725.66667</v>
      </c>
      <c r="D349" s="23">
        <f>IFERROR(__xludf.DUMMYFUNCTION("""COMPUTED_VALUE"""),113.26)</f>
        <v>113.26</v>
      </c>
      <c r="E349" s="22">
        <f>IFERROR(__xludf.DUMMYFUNCTION("""COMPUTED_VALUE"""),42648.66666666667)</f>
        <v>42648.66667</v>
      </c>
      <c r="F349" s="23">
        <f>IFERROR(__xludf.DUMMYFUNCTION("""COMPUTED_VALUE"""),11.07)</f>
        <v>11.07</v>
      </c>
      <c r="G349" s="22">
        <f>IFERROR(__xludf.DUMMYFUNCTION("""COMPUTED_VALUE"""),43490.66666666667)</f>
        <v>43490.66667</v>
      </c>
      <c r="H349" s="23">
        <f>IFERROR(__xludf.DUMMYFUNCTION("""COMPUTED_VALUE"""),74.75)</f>
        <v>74.75</v>
      </c>
      <c r="I349" s="22">
        <f>IFERROR(__xludf.DUMMYFUNCTION("""COMPUTED_VALUE"""),43490.66666666667)</f>
        <v>43490.66667</v>
      </c>
      <c r="J349" s="23">
        <f>IFERROR(__xludf.DUMMYFUNCTION("""COMPUTED_VALUE"""),191.2)</f>
        <v>191.2</v>
      </c>
      <c r="K349" s="22">
        <f>IFERROR(__xludf.DUMMYFUNCTION("""COMPUTED_VALUE"""),43490.66666666667)</f>
        <v>43490.66667</v>
      </c>
      <c r="L349" s="23">
        <f>IFERROR(__xludf.DUMMYFUNCTION("""COMPUTED_VALUE"""),68.0)</f>
        <v>68</v>
      </c>
      <c r="M349" s="23">
        <v>0.0</v>
      </c>
      <c r="N349" s="23">
        <v>0.0</v>
      </c>
      <c r="O349" s="23">
        <v>0.0</v>
      </c>
      <c r="P349" s="23">
        <f t="shared" si="1"/>
        <v>0</v>
      </c>
      <c r="Q349" s="23">
        <f t="shared" si="2"/>
        <v>0</v>
      </c>
      <c r="R349" s="23">
        <f t="shared" si="3"/>
        <v>0</v>
      </c>
      <c r="S349" s="19"/>
      <c r="T349" s="19"/>
      <c r="U349" s="19"/>
      <c r="V349" s="19"/>
    </row>
    <row r="350">
      <c r="A350" s="22">
        <f>IFERROR(__xludf.DUMMYFUNCTION("""COMPUTED_VALUE"""),42468.66666666667)</f>
        <v>42468.66667</v>
      </c>
      <c r="B350" s="23">
        <f>IFERROR(__xludf.DUMMYFUNCTION("""COMPUTED_VALUE"""),54.26)</f>
        <v>54.26</v>
      </c>
      <c r="C350" s="22">
        <f>IFERROR(__xludf.DUMMYFUNCTION("""COMPUTED_VALUE"""),43726.66666666667)</f>
        <v>43726.66667</v>
      </c>
      <c r="D350" s="23">
        <f>IFERROR(__xludf.DUMMYFUNCTION("""COMPUTED_VALUE"""),113.08)</f>
        <v>113.08</v>
      </c>
      <c r="E350" s="22">
        <f>IFERROR(__xludf.DUMMYFUNCTION("""COMPUTED_VALUE"""),42649.66666666667)</f>
        <v>42649.66667</v>
      </c>
      <c r="F350" s="23">
        <f>IFERROR(__xludf.DUMMYFUNCTION("""COMPUTED_VALUE"""),11.16)</f>
        <v>11.16</v>
      </c>
      <c r="G350" s="22">
        <f>IFERROR(__xludf.DUMMYFUNCTION("""COMPUTED_VALUE"""),43497.66666666667)</f>
        <v>43497.66667</v>
      </c>
      <c r="H350" s="23">
        <f>IFERROR(__xludf.DUMMYFUNCTION("""COMPUTED_VALUE"""),74.17)</f>
        <v>74.17</v>
      </c>
      <c r="I350" s="22">
        <f>IFERROR(__xludf.DUMMYFUNCTION("""COMPUTED_VALUE"""),43497.66666666667)</f>
        <v>43497.66667</v>
      </c>
      <c r="J350" s="23">
        <f>IFERROR(__xludf.DUMMYFUNCTION("""COMPUTED_VALUE"""),191.42)</f>
        <v>191.42</v>
      </c>
      <c r="K350" s="22">
        <f>IFERROR(__xludf.DUMMYFUNCTION("""COMPUTED_VALUE"""),43497.66666666667)</f>
        <v>43497.66667</v>
      </c>
      <c r="L350" s="23">
        <f>IFERROR(__xludf.DUMMYFUNCTION("""COMPUTED_VALUE"""),67.53)</f>
        <v>67.53</v>
      </c>
      <c r="M350" s="23">
        <v>0.0</v>
      </c>
      <c r="N350" s="23">
        <v>0.0</v>
      </c>
      <c r="O350" s="23">
        <v>0.0</v>
      </c>
      <c r="P350" s="23">
        <f t="shared" si="1"/>
        <v>0</v>
      </c>
      <c r="Q350" s="23">
        <f t="shared" si="2"/>
        <v>0</v>
      </c>
      <c r="R350" s="23">
        <f t="shared" si="3"/>
        <v>0</v>
      </c>
      <c r="S350" s="19"/>
      <c r="T350" s="19"/>
      <c r="U350" s="19"/>
      <c r="V350" s="19"/>
    </row>
    <row r="351">
      <c r="A351" s="22">
        <f>IFERROR(__xludf.DUMMYFUNCTION("""COMPUTED_VALUE"""),42471.66666666667)</f>
        <v>42471.66667</v>
      </c>
      <c r="B351" s="23">
        <f>IFERROR(__xludf.DUMMYFUNCTION("""COMPUTED_VALUE"""),54.41)</f>
        <v>54.41</v>
      </c>
      <c r="C351" s="22">
        <f>IFERROR(__xludf.DUMMYFUNCTION("""COMPUTED_VALUE"""),43727.66666666667)</f>
        <v>43727.66667</v>
      </c>
      <c r="D351" s="23">
        <f>IFERROR(__xludf.DUMMYFUNCTION("""COMPUTED_VALUE"""),113.7)</f>
        <v>113.7</v>
      </c>
      <c r="E351" s="22">
        <f>IFERROR(__xludf.DUMMYFUNCTION("""COMPUTED_VALUE"""),42650.66666666667)</f>
        <v>42650.66667</v>
      </c>
      <c r="F351" s="23">
        <f>IFERROR(__xludf.DUMMYFUNCTION("""COMPUTED_VALUE"""),11.17)</f>
        <v>11.17</v>
      </c>
      <c r="G351" s="22">
        <f>IFERROR(__xludf.DUMMYFUNCTION("""COMPUTED_VALUE"""),43504.66666666667)</f>
        <v>43504.66667</v>
      </c>
      <c r="H351" s="23">
        <f>IFERROR(__xludf.DUMMYFUNCTION("""COMPUTED_VALUE"""),76.74)</f>
        <v>76.74</v>
      </c>
      <c r="I351" s="22">
        <f>IFERROR(__xludf.DUMMYFUNCTION("""COMPUTED_VALUE"""),43504.66666666667)</f>
        <v>43504.66667</v>
      </c>
      <c r="J351" s="23">
        <f>IFERROR(__xludf.DUMMYFUNCTION("""COMPUTED_VALUE"""),195.5)</f>
        <v>195.5</v>
      </c>
      <c r="K351" s="22">
        <f>IFERROR(__xludf.DUMMYFUNCTION("""COMPUTED_VALUE"""),43504.66666666667)</f>
        <v>43504.66667</v>
      </c>
      <c r="L351" s="23">
        <f>IFERROR(__xludf.DUMMYFUNCTION("""COMPUTED_VALUE"""),68.42)</f>
        <v>68.42</v>
      </c>
      <c r="M351" s="23">
        <v>0.0</v>
      </c>
      <c r="N351" s="23">
        <v>0.0</v>
      </c>
      <c r="O351" s="23">
        <v>0.0</v>
      </c>
      <c r="P351" s="23">
        <f t="shared" si="1"/>
        <v>0</v>
      </c>
      <c r="Q351" s="23">
        <f t="shared" si="2"/>
        <v>0</v>
      </c>
      <c r="R351" s="23">
        <f t="shared" si="3"/>
        <v>0</v>
      </c>
      <c r="S351" s="19"/>
      <c r="T351" s="19"/>
      <c r="U351" s="19"/>
      <c r="V351" s="19"/>
    </row>
    <row r="352">
      <c r="A352" s="22">
        <f>IFERROR(__xludf.DUMMYFUNCTION("""COMPUTED_VALUE"""),42472.66666666667)</f>
        <v>42472.66667</v>
      </c>
      <c r="B352" s="23">
        <f>IFERROR(__xludf.DUMMYFUNCTION("""COMPUTED_VALUE"""),53.97)</f>
        <v>53.97</v>
      </c>
      <c r="C352" s="22">
        <f>IFERROR(__xludf.DUMMYFUNCTION("""COMPUTED_VALUE"""),43728.66666666667)</f>
        <v>43728.66667</v>
      </c>
      <c r="D352" s="23">
        <f>IFERROR(__xludf.DUMMYFUNCTION("""COMPUTED_VALUE"""),114.11)</f>
        <v>114.11</v>
      </c>
      <c r="E352" s="22">
        <f>IFERROR(__xludf.DUMMYFUNCTION("""COMPUTED_VALUE"""),42653.66666666667)</f>
        <v>42653.66667</v>
      </c>
      <c r="F352" s="23">
        <f>IFERROR(__xludf.DUMMYFUNCTION("""COMPUTED_VALUE"""),11.16)</f>
        <v>11.16</v>
      </c>
      <c r="G352" s="22">
        <f>IFERROR(__xludf.DUMMYFUNCTION("""COMPUTED_VALUE"""),43511.66666666667)</f>
        <v>43511.66667</v>
      </c>
      <c r="H352" s="23">
        <f>IFERROR(__xludf.DUMMYFUNCTION("""COMPUTED_VALUE"""),77.08)</f>
        <v>77.08</v>
      </c>
      <c r="I352" s="22">
        <f>IFERROR(__xludf.DUMMYFUNCTION("""COMPUTED_VALUE"""),43511.66666666667)</f>
        <v>43511.66667</v>
      </c>
      <c r="J352" s="23">
        <f>IFERROR(__xludf.DUMMYFUNCTION("""COMPUTED_VALUE"""),198.2)</f>
        <v>198.2</v>
      </c>
      <c r="K352" s="22">
        <f>IFERROR(__xludf.DUMMYFUNCTION("""COMPUTED_VALUE"""),43511.66666666667)</f>
        <v>43511.66667</v>
      </c>
      <c r="L352" s="23">
        <f>IFERROR(__xludf.DUMMYFUNCTION("""COMPUTED_VALUE"""),68.62)</f>
        <v>68.62</v>
      </c>
      <c r="M352" s="23">
        <v>1000.0</v>
      </c>
      <c r="N352" s="23">
        <v>1000.0</v>
      </c>
      <c r="O352" s="23">
        <v>1000.0</v>
      </c>
      <c r="P352" s="23">
        <f t="shared" si="1"/>
        <v>12.97353399</v>
      </c>
      <c r="Q352" s="23">
        <f t="shared" si="2"/>
        <v>5.045408678</v>
      </c>
      <c r="R352" s="23">
        <f t="shared" si="3"/>
        <v>14.57301078</v>
      </c>
      <c r="S352" s="19"/>
      <c r="T352" s="19"/>
      <c r="U352" s="19"/>
      <c r="V352" s="19"/>
    </row>
    <row r="353">
      <c r="A353" s="22">
        <f>IFERROR(__xludf.DUMMYFUNCTION("""COMPUTED_VALUE"""),42473.66666666667)</f>
        <v>42473.66667</v>
      </c>
      <c r="B353" s="23">
        <f>IFERROR(__xludf.DUMMYFUNCTION("""COMPUTED_VALUE"""),54.18)</f>
        <v>54.18</v>
      </c>
      <c r="C353" s="22">
        <f>IFERROR(__xludf.DUMMYFUNCTION("""COMPUTED_VALUE"""),43731.66666666667)</f>
        <v>43731.66667</v>
      </c>
      <c r="D353" s="23">
        <f>IFERROR(__xludf.DUMMYFUNCTION("""COMPUTED_VALUE"""),114.33)</f>
        <v>114.33</v>
      </c>
      <c r="E353" s="22">
        <f>IFERROR(__xludf.DUMMYFUNCTION("""COMPUTED_VALUE"""),42654.66666666667)</f>
        <v>42654.66667</v>
      </c>
      <c r="F353" s="23">
        <f>IFERROR(__xludf.DUMMYFUNCTION("""COMPUTED_VALUE"""),11.25)</f>
        <v>11.25</v>
      </c>
      <c r="G353" s="22">
        <f>IFERROR(__xludf.DUMMYFUNCTION("""COMPUTED_VALUE"""),43518.66666666667)</f>
        <v>43518.66667</v>
      </c>
      <c r="H353" s="23">
        <f>IFERROR(__xludf.DUMMYFUNCTION("""COMPUTED_VALUE"""),78.37)</f>
        <v>78.37</v>
      </c>
      <c r="I353" s="22">
        <f>IFERROR(__xludf.DUMMYFUNCTION("""COMPUTED_VALUE"""),43518.66666666667)</f>
        <v>43518.66667</v>
      </c>
      <c r="J353" s="23">
        <f>IFERROR(__xludf.DUMMYFUNCTION("""COMPUTED_VALUE"""),201.18)</f>
        <v>201.18</v>
      </c>
      <c r="K353" s="22">
        <f>IFERROR(__xludf.DUMMYFUNCTION("""COMPUTED_VALUE"""),43518.66666666667)</f>
        <v>43518.66667</v>
      </c>
      <c r="L353" s="23">
        <f>IFERROR(__xludf.DUMMYFUNCTION("""COMPUTED_VALUE"""),70.03)</f>
        <v>70.03</v>
      </c>
      <c r="M353" s="23">
        <v>0.0</v>
      </c>
      <c r="N353" s="23">
        <v>0.0</v>
      </c>
      <c r="O353" s="23">
        <v>0.0</v>
      </c>
      <c r="P353" s="23">
        <f t="shared" si="1"/>
        <v>0</v>
      </c>
      <c r="Q353" s="23">
        <f t="shared" si="2"/>
        <v>0</v>
      </c>
      <c r="R353" s="23">
        <f t="shared" si="3"/>
        <v>0</v>
      </c>
      <c r="S353" s="19"/>
      <c r="T353" s="19"/>
      <c r="U353" s="19"/>
      <c r="V353" s="19"/>
    </row>
    <row r="354">
      <c r="A354" s="22">
        <f>IFERROR(__xludf.DUMMYFUNCTION("""COMPUTED_VALUE"""),42474.66666666667)</f>
        <v>42474.66667</v>
      </c>
      <c r="B354" s="23">
        <f>IFERROR(__xludf.DUMMYFUNCTION("""COMPUTED_VALUE"""),54.86)</f>
        <v>54.86</v>
      </c>
      <c r="C354" s="22">
        <f>IFERROR(__xludf.DUMMYFUNCTION("""COMPUTED_VALUE"""),43732.66666666667)</f>
        <v>43732.66667</v>
      </c>
      <c r="D354" s="23">
        <f>IFERROR(__xludf.DUMMYFUNCTION("""COMPUTED_VALUE"""),114.35)</f>
        <v>114.35</v>
      </c>
      <c r="E354" s="22">
        <f>IFERROR(__xludf.DUMMYFUNCTION("""COMPUTED_VALUE"""),42655.66666666667)</f>
        <v>42655.66667</v>
      </c>
      <c r="F354" s="23">
        <f>IFERROR(__xludf.DUMMYFUNCTION("""COMPUTED_VALUE"""),11.09)</f>
        <v>11.09</v>
      </c>
      <c r="G354" s="22">
        <f>IFERROR(__xludf.DUMMYFUNCTION("""COMPUTED_VALUE"""),43525.66666666667)</f>
        <v>43525.66667</v>
      </c>
      <c r="H354" s="23">
        <f>IFERROR(__xludf.DUMMYFUNCTION("""COMPUTED_VALUE"""),79.05)</f>
        <v>79.05</v>
      </c>
      <c r="I354" s="22">
        <f>IFERROR(__xludf.DUMMYFUNCTION("""COMPUTED_VALUE"""),43525.66666666667)</f>
        <v>43525.66667</v>
      </c>
      <c r="J354" s="23">
        <f>IFERROR(__xludf.DUMMYFUNCTION("""COMPUTED_VALUE"""),202.92)</f>
        <v>202.92</v>
      </c>
      <c r="K354" s="22">
        <f>IFERROR(__xludf.DUMMYFUNCTION("""COMPUTED_VALUE"""),43525.66666666667)</f>
        <v>43525.66667</v>
      </c>
      <c r="L354" s="23">
        <f>IFERROR(__xludf.DUMMYFUNCTION("""COMPUTED_VALUE"""),70.47)</f>
        <v>70.47</v>
      </c>
      <c r="M354" s="23">
        <v>0.0</v>
      </c>
      <c r="N354" s="23">
        <v>0.0</v>
      </c>
      <c r="O354" s="23">
        <v>0.0</v>
      </c>
      <c r="P354" s="23">
        <f t="shared" si="1"/>
        <v>0</v>
      </c>
      <c r="Q354" s="23">
        <f t="shared" si="2"/>
        <v>0</v>
      </c>
      <c r="R354" s="23">
        <f t="shared" si="3"/>
        <v>0</v>
      </c>
      <c r="S354" s="19"/>
      <c r="T354" s="19"/>
      <c r="U354" s="19"/>
      <c r="V354" s="19"/>
    </row>
    <row r="355">
      <c r="A355" s="22">
        <f>IFERROR(__xludf.DUMMYFUNCTION("""COMPUTED_VALUE"""),42475.66666666667)</f>
        <v>42475.66667</v>
      </c>
      <c r="B355" s="23">
        <f>IFERROR(__xludf.DUMMYFUNCTION("""COMPUTED_VALUE"""),54.6)</f>
        <v>54.6</v>
      </c>
      <c r="C355" s="22">
        <f>IFERROR(__xludf.DUMMYFUNCTION("""COMPUTED_VALUE"""),43733.66666666667)</f>
        <v>43733.66667</v>
      </c>
      <c r="D355" s="23">
        <f>IFERROR(__xludf.DUMMYFUNCTION("""COMPUTED_VALUE"""),113.83)</f>
        <v>113.83</v>
      </c>
      <c r="E355" s="22">
        <f>IFERROR(__xludf.DUMMYFUNCTION("""COMPUTED_VALUE"""),42656.66666666667)</f>
        <v>42656.66667</v>
      </c>
      <c r="F355" s="23">
        <f>IFERROR(__xludf.DUMMYFUNCTION("""COMPUTED_VALUE"""),11.03)</f>
        <v>11.03</v>
      </c>
      <c r="G355" s="22">
        <f>IFERROR(__xludf.DUMMYFUNCTION("""COMPUTED_VALUE"""),43532.66666666667)</f>
        <v>43532.66667</v>
      </c>
      <c r="H355" s="23">
        <f>IFERROR(__xludf.DUMMYFUNCTION("""COMPUTED_VALUE"""),79.36)</f>
        <v>79.36</v>
      </c>
      <c r="I355" s="22">
        <f>IFERROR(__xludf.DUMMYFUNCTION("""COMPUTED_VALUE"""),43532.66666666667)</f>
        <v>43532.66667</v>
      </c>
      <c r="J355" s="23">
        <f>IFERROR(__xludf.DUMMYFUNCTION("""COMPUTED_VALUE"""),201.21)</f>
        <v>201.21</v>
      </c>
      <c r="K355" s="22">
        <f>IFERROR(__xludf.DUMMYFUNCTION("""COMPUTED_VALUE"""),43532.66666666667)</f>
        <v>43532.66667</v>
      </c>
      <c r="L355" s="23">
        <f>IFERROR(__xludf.DUMMYFUNCTION("""COMPUTED_VALUE"""),70.15)</f>
        <v>70.15</v>
      </c>
      <c r="M355" s="23">
        <v>0.0</v>
      </c>
      <c r="N355" s="23">
        <v>0.0</v>
      </c>
      <c r="O355" s="23">
        <v>0.0</v>
      </c>
      <c r="P355" s="23">
        <f t="shared" si="1"/>
        <v>0</v>
      </c>
      <c r="Q355" s="23">
        <f t="shared" si="2"/>
        <v>0</v>
      </c>
      <c r="R355" s="23">
        <f t="shared" si="3"/>
        <v>0</v>
      </c>
      <c r="S355" s="19"/>
      <c r="T355" s="19"/>
      <c r="U355" s="19"/>
      <c r="V355" s="19"/>
    </row>
    <row r="356">
      <c r="A356" s="22">
        <f>IFERROR(__xludf.DUMMYFUNCTION("""COMPUTED_VALUE"""),42478.66666666667)</f>
        <v>42478.66667</v>
      </c>
      <c r="B356" s="23">
        <f>IFERROR(__xludf.DUMMYFUNCTION("""COMPUTED_VALUE"""),54.43)</f>
        <v>54.43</v>
      </c>
      <c r="C356" s="22">
        <f>IFERROR(__xludf.DUMMYFUNCTION("""COMPUTED_VALUE"""),43734.66666666667)</f>
        <v>43734.66667</v>
      </c>
      <c r="D356" s="23">
        <f>IFERROR(__xludf.DUMMYFUNCTION("""COMPUTED_VALUE"""),112.92)</f>
        <v>112.92</v>
      </c>
      <c r="E356" s="22">
        <f>IFERROR(__xludf.DUMMYFUNCTION("""COMPUTED_VALUE"""),42657.66666666667)</f>
        <v>42657.66667</v>
      </c>
      <c r="F356" s="23">
        <f>IFERROR(__xludf.DUMMYFUNCTION("""COMPUTED_VALUE"""),10.85)</f>
        <v>10.85</v>
      </c>
      <c r="G356" s="22">
        <f>IFERROR(__xludf.DUMMYFUNCTION("""COMPUTED_VALUE"""),43539.66666666667)</f>
        <v>43539.66667</v>
      </c>
      <c r="H356" s="23">
        <f>IFERROR(__xludf.DUMMYFUNCTION("""COMPUTED_VALUE"""),79.2)</f>
        <v>79.2</v>
      </c>
      <c r="I356" s="22">
        <f>IFERROR(__xludf.DUMMYFUNCTION("""COMPUTED_VALUE"""),43539.66666666667)</f>
        <v>43539.66667</v>
      </c>
      <c r="J356" s="23">
        <f>IFERROR(__xludf.DUMMYFUNCTION("""COMPUTED_VALUE"""),204.23)</f>
        <v>204.23</v>
      </c>
      <c r="K356" s="22">
        <f>IFERROR(__xludf.DUMMYFUNCTION("""COMPUTED_VALUE"""),43539.66666666667)</f>
        <v>43539.66667</v>
      </c>
      <c r="L356" s="23">
        <f>IFERROR(__xludf.DUMMYFUNCTION("""COMPUTED_VALUE"""),70.99)</f>
        <v>70.99</v>
      </c>
      <c r="M356" s="23">
        <v>1000.0</v>
      </c>
      <c r="N356" s="23">
        <v>1000.0</v>
      </c>
      <c r="O356" s="23">
        <v>1000.0</v>
      </c>
      <c r="P356" s="23">
        <f t="shared" si="1"/>
        <v>12.62626263</v>
      </c>
      <c r="Q356" s="23">
        <f t="shared" si="2"/>
        <v>4.896440288</v>
      </c>
      <c r="R356" s="23">
        <f t="shared" si="3"/>
        <v>14.08649106</v>
      </c>
      <c r="S356" s="19"/>
      <c r="T356" s="19"/>
      <c r="U356" s="19"/>
      <c r="V356" s="19"/>
    </row>
    <row r="357">
      <c r="A357" s="22">
        <f>IFERROR(__xludf.DUMMYFUNCTION("""COMPUTED_VALUE"""),42479.66666666667)</f>
        <v>42479.66667</v>
      </c>
      <c r="B357" s="23">
        <f>IFERROR(__xludf.DUMMYFUNCTION("""COMPUTED_VALUE"""),54.25)</f>
        <v>54.25</v>
      </c>
      <c r="C357" s="22">
        <f>IFERROR(__xludf.DUMMYFUNCTION("""COMPUTED_VALUE"""),43735.66666666667)</f>
        <v>43735.66667</v>
      </c>
      <c r="D357" s="23">
        <f>IFERROR(__xludf.DUMMYFUNCTION("""COMPUTED_VALUE"""),113.68)</f>
        <v>113.68</v>
      </c>
      <c r="E357" s="22">
        <f>IFERROR(__xludf.DUMMYFUNCTION("""COMPUTED_VALUE"""),42660.66666666667)</f>
        <v>42660.66667</v>
      </c>
      <c r="F357" s="23">
        <f>IFERROR(__xludf.DUMMYFUNCTION("""COMPUTED_VALUE"""),10.96)</f>
        <v>10.96</v>
      </c>
      <c r="G357" s="22">
        <f>IFERROR(__xludf.DUMMYFUNCTION("""COMPUTED_VALUE"""),43546.66666666667)</f>
        <v>43546.66667</v>
      </c>
      <c r="H357" s="23">
        <f>IFERROR(__xludf.DUMMYFUNCTION("""COMPUTED_VALUE"""),79.37)</f>
        <v>79.37</v>
      </c>
      <c r="I357" s="22">
        <f>IFERROR(__xludf.DUMMYFUNCTION("""COMPUTED_VALUE"""),43546.66666666667)</f>
        <v>43546.66667</v>
      </c>
      <c r="J357" s="23">
        <f>IFERROR(__xludf.DUMMYFUNCTION("""COMPUTED_VALUE"""),206.13)</f>
        <v>206.13</v>
      </c>
      <c r="K357" s="22">
        <f>IFERROR(__xludf.DUMMYFUNCTION("""COMPUTED_VALUE"""),43546.66666666667)</f>
        <v>43546.66667</v>
      </c>
      <c r="L357" s="23">
        <f>IFERROR(__xludf.DUMMYFUNCTION("""COMPUTED_VALUE"""),71.43)</f>
        <v>71.43</v>
      </c>
      <c r="M357" s="23">
        <v>0.0</v>
      </c>
      <c r="N357" s="23">
        <v>0.0</v>
      </c>
      <c r="O357" s="23">
        <v>0.0</v>
      </c>
      <c r="P357" s="23">
        <f t="shared" si="1"/>
        <v>0</v>
      </c>
      <c r="Q357" s="23">
        <f t="shared" si="2"/>
        <v>0</v>
      </c>
      <c r="R357" s="23">
        <f t="shared" si="3"/>
        <v>0</v>
      </c>
      <c r="S357" s="19"/>
      <c r="T357" s="19"/>
      <c r="U357" s="19"/>
      <c r="V357" s="19"/>
    </row>
    <row r="358">
      <c r="A358" s="22">
        <f>IFERROR(__xludf.DUMMYFUNCTION("""COMPUTED_VALUE"""),42480.66666666667)</f>
        <v>42480.66667</v>
      </c>
      <c r="B358" s="23">
        <f>IFERROR(__xludf.DUMMYFUNCTION("""COMPUTED_VALUE"""),54.5)</f>
        <v>54.5</v>
      </c>
      <c r="C358" s="22">
        <f>IFERROR(__xludf.DUMMYFUNCTION("""COMPUTED_VALUE"""),43738.66666666667)</f>
        <v>43738.66667</v>
      </c>
      <c r="D358" s="23">
        <f>IFERROR(__xludf.DUMMYFUNCTION("""COMPUTED_VALUE"""),113.28)</f>
        <v>113.28</v>
      </c>
      <c r="E358" s="22">
        <f>IFERROR(__xludf.DUMMYFUNCTION("""COMPUTED_VALUE"""),42661.66666666667)</f>
        <v>42661.66667</v>
      </c>
      <c r="F358" s="23">
        <f>IFERROR(__xludf.DUMMYFUNCTION("""COMPUTED_VALUE"""),10.88)</f>
        <v>10.88</v>
      </c>
      <c r="G358" s="22">
        <f>IFERROR(__xludf.DUMMYFUNCTION("""COMPUTED_VALUE"""),43553.66666666667)</f>
        <v>43553.66667</v>
      </c>
      <c r="H358" s="23">
        <f>IFERROR(__xludf.DUMMYFUNCTION("""COMPUTED_VALUE"""),79.2)</f>
        <v>79.2</v>
      </c>
      <c r="I358" s="22">
        <f>IFERROR(__xludf.DUMMYFUNCTION("""COMPUTED_VALUE"""),43553.66666666667)</f>
        <v>43553.66667</v>
      </c>
      <c r="J358" s="23">
        <f>IFERROR(__xludf.DUMMYFUNCTION("""COMPUTED_VALUE"""),203.22)</f>
        <v>203.22</v>
      </c>
      <c r="K358" s="22">
        <f>IFERROR(__xludf.DUMMYFUNCTION("""COMPUTED_VALUE"""),43553.66666666667)</f>
        <v>43553.66667</v>
      </c>
      <c r="L358" s="23">
        <f>IFERROR(__xludf.DUMMYFUNCTION("""COMPUTED_VALUE"""),70.56)</f>
        <v>70.56</v>
      </c>
      <c r="M358" s="23">
        <v>0.0</v>
      </c>
      <c r="N358" s="23">
        <v>0.0</v>
      </c>
      <c r="O358" s="23">
        <v>0.0</v>
      </c>
      <c r="P358" s="23">
        <f t="shared" si="1"/>
        <v>0</v>
      </c>
      <c r="Q358" s="23">
        <f t="shared" si="2"/>
        <v>0</v>
      </c>
      <c r="R358" s="23">
        <f t="shared" si="3"/>
        <v>0</v>
      </c>
      <c r="S358" s="19"/>
      <c r="T358" s="19"/>
      <c r="U358" s="19"/>
      <c r="V358" s="19"/>
    </row>
    <row r="359">
      <c r="A359" s="22">
        <f>IFERROR(__xludf.DUMMYFUNCTION("""COMPUTED_VALUE"""),42481.66666666667)</f>
        <v>42481.66667</v>
      </c>
      <c r="B359" s="23">
        <f>IFERROR(__xludf.DUMMYFUNCTION("""COMPUTED_VALUE"""),54.65)</f>
        <v>54.65</v>
      </c>
      <c r="C359" s="22">
        <f>IFERROR(__xludf.DUMMYFUNCTION("""COMPUTED_VALUE"""),43739.66666666667)</f>
        <v>43739.66667</v>
      </c>
      <c r="D359" s="23">
        <f>IFERROR(__xludf.DUMMYFUNCTION("""COMPUTED_VALUE"""),112.85)</f>
        <v>112.85</v>
      </c>
      <c r="E359" s="22">
        <f>IFERROR(__xludf.DUMMYFUNCTION("""COMPUTED_VALUE"""),42662.66666666667)</f>
        <v>42662.66667</v>
      </c>
      <c r="F359" s="23">
        <f>IFERROR(__xludf.DUMMYFUNCTION("""COMPUTED_VALUE"""),10.95)</f>
        <v>10.95</v>
      </c>
      <c r="G359" s="22">
        <f>IFERROR(__xludf.DUMMYFUNCTION("""COMPUTED_VALUE"""),43560.66666666667)</f>
        <v>43560.66667</v>
      </c>
      <c r="H359" s="23">
        <f>IFERROR(__xludf.DUMMYFUNCTION("""COMPUTED_VALUE"""),78.29)</f>
        <v>78.29</v>
      </c>
      <c r="I359" s="22">
        <f>IFERROR(__xludf.DUMMYFUNCTION("""COMPUTED_VALUE"""),43560.66666666667)</f>
        <v>43560.66667</v>
      </c>
      <c r="J359" s="23">
        <f>IFERROR(__xludf.DUMMYFUNCTION("""COMPUTED_VALUE"""),206.58)</f>
        <v>206.58</v>
      </c>
      <c r="K359" s="22">
        <f>IFERROR(__xludf.DUMMYFUNCTION("""COMPUTED_VALUE"""),43560.66666666667)</f>
        <v>43560.66667</v>
      </c>
      <c r="L359" s="23">
        <f>IFERROR(__xludf.DUMMYFUNCTION("""COMPUTED_VALUE"""),72.07)</f>
        <v>72.07</v>
      </c>
      <c r="M359" s="23">
        <v>0.0</v>
      </c>
      <c r="N359" s="23">
        <v>0.0</v>
      </c>
      <c r="O359" s="23">
        <v>0.0</v>
      </c>
      <c r="P359" s="23">
        <f t="shared" si="1"/>
        <v>0</v>
      </c>
      <c r="Q359" s="23">
        <f t="shared" si="2"/>
        <v>0</v>
      </c>
      <c r="R359" s="23">
        <f t="shared" si="3"/>
        <v>0</v>
      </c>
      <c r="S359" s="19"/>
      <c r="T359" s="19"/>
      <c r="U359" s="19"/>
      <c r="V359" s="19"/>
    </row>
    <row r="360">
      <c r="A360" s="22">
        <f>IFERROR(__xludf.DUMMYFUNCTION("""COMPUTED_VALUE"""),42482.66666666667)</f>
        <v>42482.66667</v>
      </c>
      <c r="B360" s="23">
        <f>IFERROR(__xludf.DUMMYFUNCTION("""COMPUTED_VALUE"""),54.99)</f>
        <v>54.99</v>
      </c>
      <c r="C360" s="22">
        <f>IFERROR(__xludf.DUMMYFUNCTION("""COMPUTED_VALUE"""),43740.66666666667)</f>
        <v>43740.66667</v>
      </c>
      <c r="D360" s="23">
        <f>IFERROR(__xludf.DUMMYFUNCTION("""COMPUTED_VALUE"""),111.09)</f>
        <v>111.09</v>
      </c>
      <c r="E360" s="22">
        <f>IFERROR(__xludf.DUMMYFUNCTION("""COMPUTED_VALUE"""),42663.66666666667)</f>
        <v>42663.66667</v>
      </c>
      <c r="F360" s="23">
        <f>IFERROR(__xludf.DUMMYFUNCTION("""COMPUTED_VALUE"""),10.94)</f>
        <v>10.94</v>
      </c>
      <c r="G360" s="22">
        <f>IFERROR(__xludf.DUMMYFUNCTION("""COMPUTED_VALUE"""),43567.66666666667)</f>
        <v>43567.66667</v>
      </c>
      <c r="H360" s="23">
        <f>IFERROR(__xludf.DUMMYFUNCTION("""COMPUTED_VALUE"""),79.2)</f>
        <v>79.2</v>
      </c>
      <c r="I360" s="22">
        <f>IFERROR(__xludf.DUMMYFUNCTION("""COMPUTED_VALUE"""),43567.66666666667)</f>
        <v>43567.66667</v>
      </c>
      <c r="J360" s="23">
        <f>IFERROR(__xludf.DUMMYFUNCTION("""COMPUTED_VALUE"""),207.53)</f>
        <v>207.53</v>
      </c>
      <c r="K360" s="22">
        <f>IFERROR(__xludf.DUMMYFUNCTION("""COMPUTED_VALUE"""),43567.66666666667)</f>
        <v>43567.66667</v>
      </c>
      <c r="L360" s="23">
        <f>IFERROR(__xludf.DUMMYFUNCTION("""COMPUTED_VALUE"""),72.14)</f>
        <v>72.14</v>
      </c>
      <c r="M360" s="23">
        <v>1000.0</v>
      </c>
      <c r="N360" s="23">
        <v>1000.0</v>
      </c>
      <c r="O360" s="23">
        <v>1000.0</v>
      </c>
      <c r="P360" s="23">
        <f t="shared" si="1"/>
        <v>12.62626263</v>
      </c>
      <c r="Q360" s="23">
        <f t="shared" si="2"/>
        <v>4.818580446</v>
      </c>
      <c r="R360" s="23">
        <f t="shared" si="3"/>
        <v>13.86193513</v>
      </c>
      <c r="S360" s="19"/>
      <c r="T360" s="19"/>
      <c r="U360" s="19"/>
      <c r="V360" s="19"/>
    </row>
    <row r="361">
      <c r="A361" s="22">
        <f>IFERROR(__xludf.DUMMYFUNCTION("""COMPUTED_VALUE"""),42486.66666666667)</f>
        <v>42486.66667</v>
      </c>
      <c r="B361" s="23">
        <f>IFERROR(__xludf.DUMMYFUNCTION("""COMPUTED_VALUE"""),54.98)</f>
        <v>54.98</v>
      </c>
      <c r="C361" s="22">
        <f>IFERROR(__xludf.DUMMYFUNCTION("""COMPUTED_VALUE"""),43741.66666666667)</f>
        <v>43741.66667</v>
      </c>
      <c r="D361" s="23">
        <f>IFERROR(__xludf.DUMMYFUNCTION("""COMPUTED_VALUE"""),108.82)</f>
        <v>108.82</v>
      </c>
      <c r="E361" s="22">
        <f>IFERROR(__xludf.DUMMYFUNCTION("""COMPUTED_VALUE"""),42664.66666666667)</f>
        <v>42664.66667</v>
      </c>
      <c r="F361" s="23">
        <f>IFERROR(__xludf.DUMMYFUNCTION("""COMPUTED_VALUE"""),11.02)</f>
        <v>11.02</v>
      </c>
      <c r="G361" s="22">
        <f>IFERROR(__xludf.DUMMYFUNCTION("""COMPUTED_VALUE"""),43573.66666666667)</f>
        <v>43573.66667</v>
      </c>
      <c r="H361" s="23">
        <f>IFERROR(__xludf.DUMMYFUNCTION("""COMPUTED_VALUE"""),79.3)</f>
        <v>79.3</v>
      </c>
      <c r="I361" s="22">
        <f>IFERROR(__xludf.DUMMYFUNCTION("""COMPUTED_VALUE"""),43573.66666666667)</f>
        <v>43573.66667</v>
      </c>
      <c r="J361" s="23">
        <f>IFERROR(__xludf.DUMMYFUNCTION("""COMPUTED_VALUE"""),205.55)</f>
        <v>205.55</v>
      </c>
      <c r="K361" s="22">
        <f>IFERROR(__xludf.DUMMYFUNCTION("""COMPUTED_VALUE"""),43573.66666666667)</f>
        <v>43573.66667</v>
      </c>
      <c r="L361" s="23">
        <f>IFERROR(__xludf.DUMMYFUNCTION("""COMPUTED_VALUE"""),71.71)</f>
        <v>71.71</v>
      </c>
      <c r="M361" s="23">
        <v>0.0</v>
      </c>
      <c r="N361" s="23">
        <v>0.0</v>
      </c>
      <c r="O361" s="23">
        <v>0.0</v>
      </c>
      <c r="P361" s="23">
        <f t="shared" si="1"/>
        <v>0</v>
      </c>
      <c r="Q361" s="23">
        <f t="shared" si="2"/>
        <v>0</v>
      </c>
      <c r="R361" s="23">
        <f t="shared" si="3"/>
        <v>0</v>
      </c>
      <c r="S361" s="19"/>
      <c r="T361" s="19"/>
      <c r="U361" s="19"/>
      <c r="V361" s="19"/>
    </row>
    <row r="362">
      <c r="A362" s="22">
        <f>IFERROR(__xludf.DUMMYFUNCTION("""COMPUTED_VALUE"""),42487.66666666667)</f>
        <v>42487.66667</v>
      </c>
      <c r="B362" s="23">
        <f>IFERROR(__xludf.DUMMYFUNCTION("""COMPUTED_VALUE"""),55.48)</f>
        <v>55.48</v>
      </c>
      <c r="C362" s="22">
        <f>IFERROR(__xludf.DUMMYFUNCTION("""COMPUTED_VALUE"""),43742.66666666667)</f>
        <v>43742.66667</v>
      </c>
      <c r="D362" s="23">
        <f>IFERROR(__xludf.DUMMYFUNCTION("""COMPUTED_VALUE"""),109.01)</f>
        <v>109.01</v>
      </c>
      <c r="E362" s="22">
        <f>IFERROR(__xludf.DUMMYFUNCTION("""COMPUTED_VALUE"""),42667.66666666667)</f>
        <v>42667.66667</v>
      </c>
      <c r="F362" s="23">
        <f>IFERROR(__xludf.DUMMYFUNCTION("""COMPUTED_VALUE"""),11.09)</f>
        <v>11.09</v>
      </c>
      <c r="G362" s="22">
        <f>IFERROR(__xludf.DUMMYFUNCTION("""COMPUTED_VALUE"""),43581.66666666667)</f>
        <v>43581.66667</v>
      </c>
      <c r="H362" s="23">
        <f>IFERROR(__xludf.DUMMYFUNCTION("""COMPUTED_VALUE"""),80.9)</f>
        <v>80.9</v>
      </c>
      <c r="I362" s="22">
        <f>IFERROR(__xludf.DUMMYFUNCTION("""COMPUTED_VALUE"""),43581.66666666667)</f>
        <v>43581.66667</v>
      </c>
      <c r="J362" s="23">
        <f>IFERROR(__xludf.DUMMYFUNCTION("""COMPUTED_VALUE"""),212.42)</f>
        <v>212.42</v>
      </c>
      <c r="K362" s="22">
        <f>IFERROR(__xludf.DUMMYFUNCTION("""COMPUTED_VALUE"""),43581.66666666667)</f>
        <v>43581.66667</v>
      </c>
      <c r="L362" s="23">
        <f>IFERROR(__xludf.DUMMYFUNCTION("""COMPUTED_VALUE"""),72.78)</f>
        <v>72.78</v>
      </c>
      <c r="M362" s="23">
        <v>0.0</v>
      </c>
      <c r="N362" s="23">
        <v>0.0</v>
      </c>
      <c r="O362" s="23">
        <v>0.0</v>
      </c>
      <c r="P362" s="23">
        <f t="shared" si="1"/>
        <v>0</v>
      </c>
      <c r="Q362" s="23">
        <f t="shared" si="2"/>
        <v>0</v>
      </c>
      <c r="R362" s="23">
        <f t="shared" si="3"/>
        <v>0</v>
      </c>
      <c r="S362" s="19"/>
      <c r="T362" s="19"/>
      <c r="U362" s="19"/>
      <c r="V362" s="19"/>
    </row>
    <row r="363">
      <c r="A363" s="22">
        <f>IFERROR(__xludf.DUMMYFUNCTION("""COMPUTED_VALUE"""),42488.66666666667)</f>
        <v>42488.66667</v>
      </c>
      <c r="B363" s="23">
        <f>IFERROR(__xludf.DUMMYFUNCTION("""COMPUTED_VALUE"""),55.25)</f>
        <v>55.25</v>
      </c>
      <c r="C363" s="22">
        <f>IFERROR(__xludf.DUMMYFUNCTION("""COMPUTED_VALUE"""),43745.66666666667)</f>
        <v>43745.66667</v>
      </c>
      <c r="D363" s="23">
        <f>IFERROR(__xludf.DUMMYFUNCTION("""COMPUTED_VALUE"""),109.8)</f>
        <v>109.8</v>
      </c>
      <c r="E363" s="22">
        <f>IFERROR(__xludf.DUMMYFUNCTION("""COMPUTED_VALUE"""),42668.66666666667)</f>
        <v>42668.66667</v>
      </c>
      <c r="F363" s="23">
        <f>IFERROR(__xludf.DUMMYFUNCTION("""COMPUTED_VALUE"""),11.19)</f>
        <v>11.19</v>
      </c>
      <c r="G363" s="22">
        <f>IFERROR(__xludf.DUMMYFUNCTION("""COMPUTED_VALUE"""),43588.66666666667)</f>
        <v>43588.66667</v>
      </c>
      <c r="H363" s="23">
        <f>IFERROR(__xludf.DUMMYFUNCTION("""COMPUTED_VALUE"""),80.35)</f>
        <v>80.35</v>
      </c>
      <c r="I363" s="22">
        <f>IFERROR(__xludf.DUMMYFUNCTION("""COMPUTED_VALUE"""),43588.66666666667)</f>
        <v>43588.66667</v>
      </c>
      <c r="J363" s="23">
        <f>IFERROR(__xludf.DUMMYFUNCTION("""COMPUTED_VALUE"""),213.44)</f>
        <v>213.44</v>
      </c>
      <c r="K363" s="22">
        <f>IFERROR(__xludf.DUMMYFUNCTION("""COMPUTED_VALUE"""),43588.66666666667)</f>
        <v>43588.66667</v>
      </c>
      <c r="L363" s="23">
        <f>IFERROR(__xludf.DUMMYFUNCTION("""COMPUTED_VALUE"""),73.16)</f>
        <v>73.16</v>
      </c>
      <c r="M363" s="23">
        <v>0.0</v>
      </c>
      <c r="N363" s="23">
        <v>0.0</v>
      </c>
      <c r="O363" s="23">
        <v>0.0</v>
      </c>
      <c r="P363" s="23">
        <f t="shared" si="1"/>
        <v>0</v>
      </c>
      <c r="Q363" s="23">
        <f t="shared" si="2"/>
        <v>0</v>
      </c>
      <c r="R363" s="23">
        <f t="shared" si="3"/>
        <v>0</v>
      </c>
      <c r="S363" s="19"/>
      <c r="T363" s="19"/>
      <c r="U363" s="19"/>
      <c r="V363" s="19"/>
    </row>
    <row r="364">
      <c r="A364" s="22">
        <f>IFERROR(__xludf.DUMMYFUNCTION("""COMPUTED_VALUE"""),42489.66666666667)</f>
        <v>42489.66667</v>
      </c>
      <c r="B364" s="23">
        <f>IFERROR(__xludf.DUMMYFUNCTION("""COMPUTED_VALUE"""),55.18)</f>
        <v>55.18</v>
      </c>
      <c r="C364" s="22">
        <f>IFERROR(__xludf.DUMMYFUNCTION("""COMPUTED_VALUE"""),43746.66666666667)</f>
        <v>43746.66667</v>
      </c>
      <c r="D364" s="23">
        <f>IFERROR(__xludf.DUMMYFUNCTION("""COMPUTED_VALUE"""),110.23)</f>
        <v>110.23</v>
      </c>
      <c r="E364" s="22">
        <f>IFERROR(__xludf.DUMMYFUNCTION("""COMPUTED_VALUE"""),42669.66666666667)</f>
        <v>42669.66667</v>
      </c>
      <c r="F364" s="23">
        <f>IFERROR(__xludf.DUMMYFUNCTION("""COMPUTED_VALUE"""),11.02)</f>
        <v>11.02</v>
      </c>
      <c r="G364" s="22">
        <f>IFERROR(__xludf.DUMMYFUNCTION("""COMPUTED_VALUE"""),43595.66666666667)</f>
        <v>43595.66667</v>
      </c>
      <c r="H364" s="23">
        <f>IFERROR(__xludf.DUMMYFUNCTION("""COMPUTED_VALUE"""),80.02)</f>
        <v>80.02</v>
      </c>
      <c r="I364" s="22">
        <f>IFERROR(__xludf.DUMMYFUNCTION("""COMPUTED_VALUE"""),43595.66666666667)</f>
        <v>43595.66667</v>
      </c>
      <c r="J364" s="23">
        <f>IFERROR(__xludf.DUMMYFUNCTION("""COMPUTED_VALUE"""),209.92)</f>
        <v>209.92</v>
      </c>
      <c r="K364" s="22">
        <f>IFERROR(__xludf.DUMMYFUNCTION("""COMPUTED_VALUE"""),43595.66666666667)</f>
        <v>43595.66667</v>
      </c>
      <c r="L364" s="23">
        <f>IFERROR(__xludf.DUMMYFUNCTION("""COMPUTED_VALUE"""),71.29)</f>
        <v>71.29</v>
      </c>
      <c r="M364" s="23">
        <v>1000.0</v>
      </c>
      <c r="N364" s="23">
        <v>1000.0</v>
      </c>
      <c r="O364" s="23">
        <v>1000.0</v>
      </c>
      <c r="P364" s="23">
        <f t="shared" si="1"/>
        <v>12.49687578</v>
      </c>
      <c r="Q364" s="23">
        <f t="shared" si="2"/>
        <v>4.763719512</v>
      </c>
      <c r="R364" s="23">
        <f t="shared" si="3"/>
        <v>14.02721279</v>
      </c>
      <c r="S364" s="19"/>
      <c r="T364" s="19"/>
      <c r="U364" s="19"/>
      <c r="V364" s="19"/>
    </row>
    <row r="365">
      <c r="A365" s="22">
        <f>IFERROR(__xludf.DUMMYFUNCTION("""COMPUTED_VALUE"""),42492.66666666667)</f>
        <v>42492.66667</v>
      </c>
      <c r="B365" s="23">
        <f>IFERROR(__xludf.DUMMYFUNCTION("""COMPUTED_VALUE"""),55.4)</f>
        <v>55.4</v>
      </c>
      <c r="C365" s="22">
        <f>IFERROR(__xludf.DUMMYFUNCTION("""COMPUTED_VALUE"""),43747.66666666667)</f>
        <v>43747.66667</v>
      </c>
      <c r="D365" s="23">
        <f>IFERROR(__xludf.DUMMYFUNCTION("""COMPUTED_VALUE"""),109.44)</f>
        <v>109.44</v>
      </c>
      <c r="E365" s="22">
        <f>IFERROR(__xludf.DUMMYFUNCTION("""COMPUTED_VALUE"""),42670.66666666667)</f>
        <v>42670.66667</v>
      </c>
      <c r="F365" s="23">
        <f>IFERROR(__xludf.DUMMYFUNCTION("""COMPUTED_VALUE"""),11.03)</f>
        <v>11.03</v>
      </c>
      <c r="G365" s="22">
        <f>IFERROR(__xludf.DUMMYFUNCTION("""COMPUTED_VALUE"""),43602.66666666667)</f>
        <v>43602.66667</v>
      </c>
      <c r="H365" s="23">
        <f>IFERROR(__xludf.DUMMYFUNCTION("""COMPUTED_VALUE"""),81.13)</f>
        <v>81.13</v>
      </c>
      <c r="I365" s="22">
        <f>IFERROR(__xludf.DUMMYFUNCTION("""COMPUTED_VALUE"""),43602.66666666667)</f>
        <v>43602.66667</v>
      </c>
      <c r="J365" s="23">
        <f>IFERROR(__xludf.DUMMYFUNCTION("""COMPUTED_VALUE"""),213.38)</f>
        <v>213.38</v>
      </c>
      <c r="K365" s="22">
        <f>IFERROR(__xludf.DUMMYFUNCTION("""COMPUTED_VALUE"""),43602.66666666667)</f>
        <v>43602.66667</v>
      </c>
      <c r="L365" s="23">
        <f>IFERROR(__xludf.DUMMYFUNCTION("""COMPUTED_VALUE"""),72.12)</f>
        <v>72.12</v>
      </c>
      <c r="M365" s="23">
        <v>0.0</v>
      </c>
      <c r="N365" s="23">
        <v>0.0</v>
      </c>
      <c r="O365" s="23">
        <v>0.0</v>
      </c>
      <c r="P365" s="23">
        <f t="shared" si="1"/>
        <v>0</v>
      </c>
      <c r="Q365" s="23">
        <f t="shared" si="2"/>
        <v>0</v>
      </c>
      <c r="R365" s="23">
        <f t="shared" si="3"/>
        <v>0</v>
      </c>
      <c r="S365" s="19"/>
      <c r="T365" s="19"/>
      <c r="U365" s="19"/>
      <c r="V365" s="19"/>
    </row>
    <row r="366">
      <c r="A366" s="22">
        <f>IFERROR(__xludf.DUMMYFUNCTION("""COMPUTED_VALUE"""),42493.66666666667)</f>
        <v>42493.66667</v>
      </c>
      <c r="B366" s="23">
        <f>IFERROR(__xludf.DUMMYFUNCTION("""COMPUTED_VALUE"""),55.84)</f>
        <v>55.84</v>
      </c>
      <c r="C366" s="22">
        <f>IFERROR(__xludf.DUMMYFUNCTION("""COMPUTED_VALUE"""),43748.66666666667)</f>
        <v>43748.66667</v>
      </c>
      <c r="D366" s="23">
        <f>IFERROR(__xludf.DUMMYFUNCTION("""COMPUTED_VALUE"""),109.58)</f>
        <v>109.58</v>
      </c>
      <c r="E366" s="22">
        <f>IFERROR(__xludf.DUMMYFUNCTION("""COMPUTED_VALUE"""),42671.66666666667)</f>
        <v>42671.66667</v>
      </c>
      <c r="F366" s="23">
        <f>IFERROR(__xludf.DUMMYFUNCTION("""COMPUTED_VALUE"""),11.02)</f>
        <v>11.02</v>
      </c>
      <c r="G366" s="22">
        <f>IFERROR(__xludf.DUMMYFUNCTION("""COMPUTED_VALUE"""),43609.66666666667)</f>
        <v>43609.66667</v>
      </c>
      <c r="H366" s="23">
        <f>IFERROR(__xludf.DUMMYFUNCTION("""COMPUTED_VALUE"""),82.25)</f>
        <v>82.25</v>
      </c>
      <c r="I366" s="22">
        <f>IFERROR(__xludf.DUMMYFUNCTION("""COMPUTED_VALUE"""),43609.66666666667)</f>
        <v>43609.66667</v>
      </c>
      <c r="J366" s="23">
        <f>IFERROR(__xludf.DUMMYFUNCTION("""COMPUTED_VALUE"""),209.93)</f>
        <v>209.93</v>
      </c>
      <c r="K366" s="22">
        <f>IFERROR(__xludf.DUMMYFUNCTION("""COMPUTED_VALUE"""),43609.66666666667)</f>
        <v>43609.66667</v>
      </c>
      <c r="L366" s="23">
        <f>IFERROR(__xludf.DUMMYFUNCTION("""COMPUTED_VALUE"""),71.27)</f>
        <v>71.27</v>
      </c>
      <c r="M366" s="23">
        <v>0.0</v>
      </c>
      <c r="N366" s="23">
        <v>0.0</v>
      </c>
      <c r="O366" s="23">
        <v>0.0</v>
      </c>
      <c r="P366" s="23">
        <f t="shared" si="1"/>
        <v>0</v>
      </c>
      <c r="Q366" s="23">
        <f t="shared" si="2"/>
        <v>0</v>
      </c>
      <c r="R366" s="23">
        <f t="shared" si="3"/>
        <v>0</v>
      </c>
      <c r="S366" s="19"/>
      <c r="T366" s="19"/>
      <c r="U366" s="19"/>
      <c r="V366" s="19"/>
    </row>
    <row r="367">
      <c r="A367" s="22">
        <f>IFERROR(__xludf.DUMMYFUNCTION("""COMPUTED_VALUE"""),42494.66666666667)</f>
        <v>42494.66667</v>
      </c>
      <c r="B367" s="23">
        <f>IFERROR(__xludf.DUMMYFUNCTION("""COMPUTED_VALUE"""),55.66)</f>
        <v>55.66</v>
      </c>
      <c r="C367" s="22">
        <f>IFERROR(__xludf.DUMMYFUNCTION("""COMPUTED_VALUE"""),43749.66666666667)</f>
        <v>43749.66667</v>
      </c>
      <c r="D367" s="23">
        <f>IFERROR(__xludf.DUMMYFUNCTION("""COMPUTED_VALUE"""),110.53)</f>
        <v>110.53</v>
      </c>
      <c r="E367" s="22">
        <f>IFERROR(__xludf.DUMMYFUNCTION("""COMPUTED_VALUE"""),42674.66666666667)</f>
        <v>42674.66667</v>
      </c>
      <c r="F367" s="23">
        <f>IFERROR(__xludf.DUMMYFUNCTION("""COMPUTED_VALUE"""),11.02)</f>
        <v>11.02</v>
      </c>
      <c r="G367" s="22">
        <f>IFERROR(__xludf.DUMMYFUNCTION("""COMPUTED_VALUE"""),43616.66666666667)</f>
        <v>43616.66667</v>
      </c>
      <c r="H367" s="23">
        <f>IFERROR(__xludf.DUMMYFUNCTION("""COMPUTED_VALUE"""),81.42)</f>
        <v>81.42</v>
      </c>
      <c r="I367" s="22">
        <f>IFERROR(__xludf.DUMMYFUNCTION("""COMPUTED_VALUE"""),43616.66666666667)</f>
        <v>43616.66667</v>
      </c>
      <c r="J367" s="23">
        <f>IFERROR(__xludf.DUMMYFUNCTION("""COMPUTED_VALUE"""),204.63)</f>
        <v>204.63</v>
      </c>
      <c r="K367" s="22">
        <f>IFERROR(__xludf.DUMMYFUNCTION("""COMPUTED_VALUE"""),43616.66666666667)</f>
        <v>43616.66667</v>
      </c>
      <c r="L367" s="23">
        <f>IFERROR(__xludf.DUMMYFUNCTION("""COMPUTED_VALUE"""),70.36)</f>
        <v>70.36</v>
      </c>
      <c r="M367" s="23">
        <v>0.0</v>
      </c>
      <c r="N367" s="23">
        <v>0.0</v>
      </c>
      <c r="O367" s="23">
        <v>0.0</v>
      </c>
      <c r="P367" s="23">
        <f t="shared" si="1"/>
        <v>0</v>
      </c>
      <c r="Q367" s="23">
        <f t="shared" si="2"/>
        <v>0</v>
      </c>
      <c r="R367" s="23">
        <f t="shared" si="3"/>
        <v>0</v>
      </c>
      <c r="S367" s="19"/>
      <c r="T367" s="19"/>
      <c r="U367" s="19"/>
      <c r="V367" s="19"/>
    </row>
    <row r="368">
      <c r="A368" s="22">
        <f>IFERROR(__xludf.DUMMYFUNCTION("""COMPUTED_VALUE"""),42495.66666666667)</f>
        <v>42495.66667</v>
      </c>
      <c r="B368" s="23">
        <f>IFERROR(__xludf.DUMMYFUNCTION("""COMPUTED_VALUE"""),55.44)</f>
        <v>55.44</v>
      </c>
      <c r="C368" s="22">
        <f>IFERROR(__xludf.DUMMYFUNCTION("""COMPUTED_VALUE"""),43752.66666666667)</f>
        <v>43752.66667</v>
      </c>
      <c r="D368" s="23">
        <f>IFERROR(__xludf.DUMMYFUNCTION("""COMPUTED_VALUE"""),111.17)</f>
        <v>111.17</v>
      </c>
      <c r="E368" s="22">
        <f>IFERROR(__xludf.DUMMYFUNCTION("""COMPUTED_VALUE"""),42675.66666666667)</f>
        <v>42675.66667</v>
      </c>
      <c r="F368" s="23">
        <f>IFERROR(__xludf.DUMMYFUNCTION("""COMPUTED_VALUE"""),10.92)</f>
        <v>10.92</v>
      </c>
      <c r="G368" s="22">
        <f>IFERROR(__xludf.DUMMYFUNCTION("""COMPUTED_VALUE"""),43623.66666666667)</f>
        <v>43623.66667</v>
      </c>
      <c r="H368" s="23">
        <f>IFERROR(__xludf.DUMMYFUNCTION("""COMPUTED_VALUE"""),82.11)</f>
        <v>82.11</v>
      </c>
      <c r="I368" s="22">
        <f>IFERROR(__xludf.DUMMYFUNCTION("""COMPUTED_VALUE"""),43623.66666666667)</f>
        <v>43623.66667</v>
      </c>
      <c r="J368" s="23">
        <f>IFERROR(__xludf.DUMMYFUNCTION("""COMPUTED_VALUE"""),209.04)</f>
        <v>209.04</v>
      </c>
      <c r="K368" s="22">
        <f>IFERROR(__xludf.DUMMYFUNCTION("""COMPUTED_VALUE"""),43623.66666666667)</f>
        <v>43623.66667</v>
      </c>
      <c r="L368" s="23">
        <f>IFERROR(__xludf.DUMMYFUNCTION("""COMPUTED_VALUE"""),71.15)</f>
        <v>71.15</v>
      </c>
      <c r="M368" s="23">
        <v>1000.0</v>
      </c>
      <c r="N368" s="23">
        <v>1000.0</v>
      </c>
      <c r="O368" s="23">
        <v>1000.0</v>
      </c>
      <c r="P368" s="23">
        <f t="shared" si="1"/>
        <v>12.17878456</v>
      </c>
      <c r="Q368" s="23">
        <f t="shared" si="2"/>
        <v>4.78377344</v>
      </c>
      <c r="R368" s="23">
        <f t="shared" si="3"/>
        <v>14.05481377</v>
      </c>
      <c r="S368" s="19"/>
      <c r="T368" s="19"/>
      <c r="U368" s="19"/>
      <c r="V368" s="19"/>
    </row>
    <row r="369">
      <c r="A369" s="22">
        <f>IFERROR(__xludf.DUMMYFUNCTION("""COMPUTED_VALUE"""),42496.66666666667)</f>
        <v>42496.66667</v>
      </c>
      <c r="B369" s="23">
        <f>IFERROR(__xludf.DUMMYFUNCTION("""COMPUTED_VALUE"""),55.74)</f>
        <v>55.74</v>
      </c>
      <c r="C369" s="22">
        <f>IFERROR(__xludf.DUMMYFUNCTION("""COMPUTED_VALUE"""),43753.66666666667)</f>
        <v>43753.66667</v>
      </c>
      <c r="D369" s="23">
        <f>IFERROR(__xludf.DUMMYFUNCTION("""COMPUTED_VALUE"""),111.4)</f>
        <v>111.4</v>
      </c>
      <c r="E369" s="22">
        <f>IFERROR(__xludf.DUMMYFUNCTION("""COMPUTED_VALUE"""),42676.66666666667)</f>
        <v>42676.66667</v>
      </c>
      <c r="F369" s="23">
        <f>IFERROR(__xludf.DUMMYFUNCTION("""COMPUTED_VALUE"""),10.79)</f>
        <v>10.79</v>
      </c>
      <c r="G369" s="22">
        <f>IFERROR(__xludf.DUMMYFUNCTION("""COMPUTED_VALUE"""),43630.66666666667)</f>
        <v>43630.66667</v>
      </c>
      <c r="H369" s="23">
        <f>IFERROR(__xludf.DUMMYFUNCTION("""COMPUTED_VALUE"""),83.54)</f>
        <v>83.54</v>
      </c>
      <c r="I369" s="22">
        <f>IFERROR(__xludf.DUMMYFUNCTION("""COMPUTED_VALUE"""),43630.66666666667)</f>
        <v>43630.66667</v>
      </c>
      <c r="J369" s="23">
        <f>IFERROR(__xludf.DUMMYFUNCTION("""COMPUTED_VALUE"""),214.69)</f>
        <v>214.69</v>
      </c>
      <c r="K369" s="22">
        <f>IFERROR(__xludf.DUMMYFUNCTION("""COMPUTED_VALUE"""),43630.66666666667)</f>
        <v>43630.66667</v>
      </c>
      <c r="L369" s="23">
        <f>IFERROR(__xludf.DUMMYFUNCTION("""COMPUTED_VALUE"""),72.85)</f>
        <v>72.85</v>
      </c>
      <c r="M369" s="23">
        <v>0.0</v>
      </c>
      <c r="N369" s="23">
        <v>0.0</v>
      </c>
      <c r="O369" s="23">
        <v>0.0</v>
      </c>
      <c r="P369" s="23">
        <f t="shared" si="1"/>
        <v>0</v>
      </c>
      <c r="Q369" s="23">
        <f t="shared" si="2"/>
        <v>0</v>
      </c>
      <c r="R369" s="23">
        <f t="shared" si="3"/>
        <v>0</v>
      </c>
      <c r="S369" s="19"/>
      <c r="T369" s="19"/>
      <c r="U369" s="19"/>
      <c r="V369" s="19"/>
    </row>
    <row r="370">
      <c r="A370" s="22">
        <f>IFERROR(__xludf.DUMMYFUNCTION("""COMPUTED_VALUE"""),42499.66666666667)</f>
        <v>42499.66667</v>
      </c>
      <c r="B370" s="23">
        <f>IFERROR(__xludf.DUMMYFUNCTION("""COMPUTED_VALUE"""),56.35)</f>
        <v>56.35</v>
      </c>
      <c r="C370" s="22">
        <f>IFERROR(__xludf.DUMMYFUNCTION("""COMPUTED_VALUE"""),43754.66666666667)</f>
        <v>43754.66667</v>
      </c>
      <c r="D370" s="23">
        <f>IFERROR(__xludf.DUMMYFUNCTION("""COMPUTED_VALUE"""),112.73)</f>
        <v>112.73</v>
      </c>
      <c r="E370" s="22">
        <f>IFERROR(__xludf.DUMMYFUNCTION("""COMPUTED_VALUE"""),42677.66666666667)</f>
        <v>42677.66667</v>
      </c>
      <c r="F370" s="23">
        <f>IFERROR(__xludf.DUMMYFUNCTION("""COMPUTED_VALUE"""),10.62)</f>
        <v>10.62</v>
      </c>
      <c r="G370" s="22">
        <f>IFERROR(__xludf.DUMMYFUNCTION("""COMPUTED_VALUE"""),43637.66666666667)</f>
        <v>43637.66667</v>
      </c>
      <c r="H370" s="23">
        <f>IFERROR(__xludf.DUMMYFUNCTION("""COMPUTED_VALUE"""),84.73)</f>
        <v>84.73</v>
      </c>
      <c r="I370" s="22">
        <f>IFERROR(__xludf.DUMMYFUNCTION("""COMPUTED_VALUE"""),43637.66666666667)</f>
        <v>43637.66667</v>
      </c>
      <c r="J370" s="23">
        <f>IFERROR(__xludf.DUMMYFUNCTION("""COMPUTED_VALUE"""),216.61)</f>
        <v>216.61</v>
      </c>
      <c r="K370" s="22">
        <f>IFERROR(__xludf.DUMMYFUNCTION("""COMPUTED_VALUE"""),43637.66666666667)</f>
        <v>43637.66667</v>
      </c>
      <c r="L370" s="23">
        <f>IFERROR(__xludf.DUMMYFUNCTION("""COMPUTED_VALUE"""),73.25)</f>
        <v>73.25</v>
      </c>
      <c r="M370" s="23">
        <v>0.0</v>
      </c>
      <c r="N370" s="23">
        <v>0.0</v>
      </c>
      <c r="O370" s="23">
        <v>0.0</v>
      </c>
      <c r="P370" s="23">
        <f t="shared" si="1"/>
        <v>0</v>
      </c>
      <c r="Q370" s="23">
        <f t="shared" si="2"/>
        <v>0</v>
      </c>
      <c r="R370" s="23">
        <f t="shared" si="3"/>
        <v>0</v>
      </c>
      <c r="S370" s="19"/>
      <c r="T370" s="19"/>
      <c r="U370" s="19"/>
      <c r="V370" s="19"/>
    </row>
    <row r="371">
      <c r="A371" s="22">
        <f>IFERROR(__xludf.DUMMYFUNCTION("""COMPUTED_VALUE"""),42500.66666666667)</f>
        <v>42500.66667</v>
      </c>
      <c r="B371" s="23">
        <f>IFERROR(__xludf.DUMMYFUNCTION("""COMPUTED_VALUE"""),56.7)</f>
        <v>56.7</v>
      </c>
      <c r="C371" s="22">
        <f>IFERROR(__xludf.DUMMYFUNCTION("""COMPUTED_VALUE"""),43755.66666666667)</f>
        <v>43755.66667</v>
      </c>
      <c r="D371" s="23">
        <f>IFERROR(__xludf.DUMMYFUNCTION("""COMPUTED_VALUE"""),112.0)</f>
        <v>112</v>
      </c>
      <c r="E371" s="22">
        <f>IFERROR(__xludf.DUMMYFUNCTION("""COMPUTED_VALUE"""),42678.66666666667)</f>
        <v>42678.66667</v>
      </c>
      <c r="F371" s="23">
        <f>IFERROR(__xludf.DUMMYFUNCTION("""COMPUTED_VALUE"""),10.58)</f>
        <v>10.58</v>
      </c>
      <c r="G371" s="22">
        <f>IFERROR(__xludf.DUMMYFUNCTION("""COMPUTED_VALUE"""),43644.66666666667)</f>
        <v>43644.66667</v>
      </c>
      <c r="H371" s="23">
        <f>IFERROR(__xludf.DUMMYFUNCTION("""COMPUTED_VALUE"""),84.6)</f>
        <v>84.6</v>
      </c>
      <c r="I371" s="22">
        <f>IFERROR(__xludf.DUMMYFUNCTION("""COMPUTED_VALUE"""),43644.66666666667)</f>
        <v>43644.66667</v>
      </c>
      <c r="J371" s="23">
        <f>IFERROR(__xludf.DUMMYFUNCTION("""COMPUTED_VALUE"""),212.8)</f>
        <v>212.8</v>
      </c>
      <c r="K371" s="22">
        <f>IFERROR(__xludf.DUMMYFUNCTION("""COMPUTED_VALUE"""),43644.66666666667)</f>
        <v>43644.66667</v>
      </c>
      <c r="L371" s="23">
        <f>IFERROR(__xludf.DUMMYFUNCTION("""COMPUTED_VALUE"""),72.43)</f>
        <v>72.43</v>
      </c>
      <c r="M371" s="23">
        <v>0.0</v>
      </c>
      <c r="N371" s="23">
        <v>0.0</v>
      </c>
      <c r="O371" s="23">
        <v>0.0</v>
      </c>
      <c r="P371" s="23">
        <f t="shared" si="1"/>
        <v>0</v>
      </c>
      <c r="Q371" s="23">
        <f t="shared" si="2"/>
        <v>0</v>
      </c>
      <c r="R371" s="23">
        <f t="shared" si="3"/>
        <v>0</v>
      </c>
      <c r="S371" s="19"/>
      <c r="T371" s="19"/>
      <c r="U371" s="19"/>
      <c r="V371" s="19"/>
    </row>
    <row r="372">
      <c r="A372" s="22">
        <f>IFERROR(__xludf.DUMMYFUNCTION("""COMPUTED_VALUE"""),42501.66666666667)</f>
        <v>42501.66667</v>
      </c>
      <c r="B372" s="23">
        <f>IFERROR(__xludf.DUMMYFUNCTION("""COMPUTED_VALUE"""),56.91)</f>
        <v>56.91</v>
      </c>
      <c r="C372" s="22">
        <f>IFERROR(__xludf.DUMMYFUNCTION("""COMPUTED_VALUE"""),43756.66666666667)</f>
        <v>43756.66667</v>
      </c>
      <c r="D372" s="23">
        <f>IFERROR(__xludf.DUMMYFUNCTION("""COMPUTED_VALUE"""),111.22)</f>
        <v>111.22</v>
      </c>
      <c r="E372" s="22">
        <f>IFERROR(__xludf.DUMMYFUNCTION("""COMPUTED_VALUE"""),42681.66666666667)</f>
        <v>42681.66667</v>
      </c>
      <c r="F372" s="23">
        <f>IFERROR(__xludf.DUMMYFUNCTION("""COMPUTED_VALUE"""),10.71)</f>
        <v>10.71</v>
      </c>
      <c r="G372" s="22">
        <f>IFERROR(__xludf.DUMMYFUNCTION("""COMPUTED_VALUE"""),43651.66666666667)</f>
        <v>43651.66667</v>
      </c>
      <c r="H372" s="23">
        <f>IFERROR(__xludf.DUMMYFUNCTION("""COMPUTED_VALUE"""),85.41)</f>
        <v>85.41</v>
      </c>
      <c r="I372" s="22">
        <f>IFERROR(__xludf.DUMMYFUNCTION("""COMPUTED_VALUE"""),43651.66666666667)</f>
        <v>43651.66667</v>
      </c>
      <c r="J372" s="23">
        <f>IFERROR(__xludf.DUMMYFUNCTION("""COMPUTED_VALUE"""),217.74)</f>
        <v>217.74</v>
      </c>
      <c r="K372" s="22">
        <f>IFERROR(__xludf.DUMMYFUNCTION("""COMPUTED_VALUE"""),43651.66666666667)</f>
        <v>43651.66667</v>
      </c>
      <c r="L372" s="23">
        <f>IFERROR(__xludf.DUMMYFUNCTION("""COMPUTED_VALUE"""),73.71)</f>
        <v>73.71</v>
      </c>
      <c r="M372" s="23">
        <v>1000.0</v>
      </c>
      <c r="N372" s="23">
        <v>1000.0</v>
      </c>
      <c r="O372" s="23">
        <v>1000.0</v>
      </c>
      <c r="P372" s="23">
        <f t="shared" si="1"/>
        <v>11.70823089</v>
      </c>
      <c r="Q372" s="23">
        <f t="shared" si="2"/>
        <v>4.592633416</v>
      </c>
      <c r="R372" s="23">
        <f t="shared" si="3"/>
        <v>13.56668023</v>
      </c>
      <c r="S372" s="19"/>
      <c r="T372" s="19"/>
      <c r="U372" s="19"/>
      <c r="V372" s="19"/>
    </row>
    <row r="373">
      <c r="A373" s="22">
        <f>IFERROR(__xludf.DUMMYFUNCTION("""COMPUTED_VALUE"""),42502.66666666667)</f>
        <v>42502.66667</v>
      </c>
      <c r="B373" s="23">
        <f>IFERROR(__xludf.DUMMYFUNCTION("""COMPUTED_VALUE"""),56.85)</f>
        <v>56.85</v>
      </c>
      <c r="C373" s="22">
        <f>IFERROR(__xludf.DUMMYFUNCTION("""COMPUTED_VALUE"""),43759.66666666667)</f>
        <v>43759.66667</v>
      </c>
      <c r="D373" s="23">
        <f>IFERROR(__xludf.DUMMYFUNCTION("""COMPUTED_VALUE"""),111.2)</f>
        <v>111.2</v>
      </c>
      <c r="E373" s="22">
        <f>IFERROR(__xludf.DUMMYFUNCTION("""COMPUTED_VALUE"""),42682.66666666667)</f>
        <v>42682.66667</v>
      </c>
      <c r="F373" s="23">
        <f>IFERROR(__xludf.DUMMYFUNCTION("""COMPUTED_VALUE"""),10.76)</f>
        <v>10.76</v>
      </c>
      <c r="G373" s="22">
        <f>IFERROR(__xludf.DUMMYFUNCTION("""COMPUTED_VALUE"""),43658.66666666667)</f>
        <v>43658.66667</v>
      </c>
      <c r="H373" s="23">
        <f>IFERROR(__xludf.DUMMYFUNCTION("""COMPUTED_VALUE"""),84.72)</f>
        <v>84.72</v>
      </c>
      <c r="I373" s="22">
        <f>IFERROR(__xludf.DUMMYFUNCTION("""COMPUTED_VALUE"""),43658.66666666667)</f>
        <v>43658.66667</v>
      </c>
      <c r="J373" s="23">
        <f>IFERROR(__xludf.DUMMYFUNCTION("""COMPUTED_VALUE"""),218.82)</f>
        <v>218.82</v>
      </c>
      <c r="K373" s="22">
        <f>IFERROR(__xludf.DUMMYFUNCTION("""COMPUTED_VALUE"""),43658.66666666667)</f>
        <v>43658.66667</v>
      </c>
      <c r="L373" s="23">
        <f>IFERROR(__xludf.DUMMYFUNCTION("""COMPUTED_VALUE"""),73.2)</f>
        <v>73.2</v>
      </c>
      <c r="M373" s="23">
        <v>0.0</v>
      </c>
      <c r="N373" s="23">
        <v>0.0</v>
      </c>
      <c r="O373" s="23">
        <v>0.0</v>
      </c>
      <c r="P373" s="23">
        <f t="shared" si="1"/>
        <v>0</v>
      </c>
      <c r="Q373" s="23">
        <f t="shared" si="2"/>
        <v>0</v>
      </c>
      <c r="R373" s="23">
        <f t="shared" si="3"/>
        <v>0</v>
      </c>
      <c r="S373" s="19"/>
      <c r="T373" s="19"/>
      <c r="U373" s="19"/>
      <c r="V373" s="19"/>
    </row>
    <row r="374">
      <c r="A374" s="22">
        <f>IFERROR(__xludf.DUMMYFUNCTION("""COMPUTED_VALUE"""),42503.66666666667)</f>
        <v>42503.66667</v>
      </c>
      <c r="B374" s="23">
        <f>IFERROR(__xludf.DUMMYFUNCTION("""COMPUTED_VALUE"""),56.8)</f>
        <v>56.8</v>
      </c>
      <c r="C374" s="22">
        <f>IFERROR(__xludf.DUMMYFUNCTION("""COMPUTED_VALUE"""),43760.66666666667)</f>
        <v>43760.66667</v>
      </c>
      <c r="D374" s="23">
        <f>IFERROR(__xludf.DUMMYFUNCTION("""COMPUTED_VALUE"""),111.7)</f>
        <v>111.7</v>
      </c>
      <c r="E374" s="22">
        <f>IFERROR(__xludf.DUMMYFUNCTION("""COMPUTED_VALUE"""),42683.66666666667)</f>
        <v>42683.66667</v>
      </c>
      <c r="F374" s="23">
        <f>IFERROR(__xludf.DUMMYFUNCTION("""COMPUTED_VALUE"""),10.4)</f>
        <v>10.4</v>
      </c>
      <c r="G374" s="22">
        <f>IFERROR(__xludf.DUMMYFUNCTION("""COMPUTED_VALUE"""),43665.66666666667)</f>
        <v>43665.66667</v>
      </c>
      <c r="H374" s="23">
        <f>IFERROR(__xludf.DUMMYFUNCTION("""COMPUTED_VALUE"""),84.85)</f>
        <v>84.85</v>
      </c>
      <c r="I374" s="22">
        <f>IFERROR(__xludf.DUMMYFUNCTION("""COMPUTED_VALUE"""),43665.66666666667)</f>
        <v>43665.66667</v>
      </c>
      <c r="J374" s="23">
        <f>IFERROR(__xludf.DUMMYFUNCTION("""COMPUTED_VALUE"""),216.82)</f>
        <v>216.82</v>
      </c>
      <c r="K374" s="22">
        <f>IFERROR(__xludf.DUMMYFUNCTION("""COMPUTED_VALUE"""),43665.66666666667)</f>
        <v>43665.66667</v>
      </c>
      <c r="L374" s="23">
        <f>IFERROR(__xludf.DUMMYFUNCTION("""COMPUTED_VALUE"""),72.73)</f>
        <v>72.73</v>
      </c>
      <c r="M374" s="23">
        <v>0.0</v>
      </c>
      <c r="N374" s="23">
        <v>0.0</v>
      </c>
      <c r="O374" s="23">
        <v>0.0</v>
      </c>
      <c r="P374" s="23">
        <f t="shared" si="1"/>
        <v>0</v>
      </c>
      <c r="Q374" s="23">
        <f t="shared" si="2"/>
        <v>0</v>
      </c>
      <c r="R374" s="23">
        <f t="shared" si="3"/>
        <v>0</v>
      </c>
      <c r="S374" s="19"/>
      <c r="T374" s="19"/>
      <c r="U374" s="19"/>
      <c r="V374" s="19"/>
    </row>
    <row r="375">
      <c r="A375" s="22">
        <f>IFERROR(__xludf.DUMMYFUNCTION("""COMPUTED_VALUE"""),42506.66666666667)</f>
        <v>42506.66667</v>
      </c>
      <c r="B375" s="23">
        <f>IFERROR(__xludf.DUMMYFUNCTION("""COMPUTED_VALUE"""),56.94)</f>
        <v>56.94</v>
      </c>
      <c r="C375" s="22">
        <f>IFERROR(__xludf.DUMMYFUNCTION("""COMPUTED_VALUE"""),43761.66666666667)</f>
        <v>43761.66667</v>
      </c>
      <c r="D375" s="23">
        <f>IFERROR(__xludf.DUMMYFUNCTION("""COMPUTED_VALUE"""),111.5)</f>
        <v>111.5</v>
      </c>
      <c r="E375" s="22">
        <f>IFERROR(__xludf.DUMMYFUNCTION("""COMPUTED_VALUE"""),42684.66666666667)</f>
        <v>42684.66667</v>
      </c>
      <c r="F375" s="23">
        <f>IFERROR(__xludf.DUMMYFUNCTION("""COMPUTED_VALUE"""),10.96)</f>
        <v>10.96</v>
      </c>
      <c r="G375" s="22">
        <f>IFERROR(__xludf.DUMMYFUNCTION("""COMPUTED_VALUE"""),43672.66666666667)</f>
        <v>43672.66667</v>
      </c>
      <c r="H375" s="23">
        <f>IFERROR(__xludf.DUMMYFUNCTION("""COMPUTED_VALUE"""),85.99)</f>
        <v>85.99</v>
      </c>
      <c r="I375" s="22">
        <f>IFERROR(__xludf.DUMMYFUNCTION("""COMPUTED_VALUE"""),43672.66666666667)</f>
        <v>43672.66667</v>
      </c>
      <c r="J375" s="23">
        <f>IFERROR(__xludf.DUMMYFUNCTION("""COMPUTED_VALUE"""),221.24)</f>
        <v>221.24</v>
      </c>
      <c r="K375" s="22">
        <f>IFERROR(__xludf.DUMMYFUNCTION("""COMPUTED_VALUE"""),43672.66666666667)</f>
        <v>43672.66667</v>
      </c>
      <c r="L375" s="23">
        <f>IFERROR(__xludf.DUMMYFUNCTION("""COMPUTED_VALUE"""),73.8)</f>
        <v>73.8</v>
      </c>
      <c r="M375" s="23">
        <v>0.0</v>
      </c>
      <c r="N375" s="23">
        <v>0.0</v>
      </c>
      <c r="O375" s="23">
        <v>0.0</v>
      </c>
      <c r="P375" s="23">
        <f t="shared" si="1"/>
        <v>0</v>
      </c>
      <c r="Q375" s="23">
        <f t="shared" si="2"/>
        <v>0</v>
      </c>
      <c r="R375" s="23">
        <f t="shared" si="3"/>
        <v>0</v>
      </c>
      <c r="S375" s="19"/>
      <c r="T375" s="19"/>
      <c r="U375" s="19"/>
      <c r="V375" s="19"/>
    </row>
    <row r="376">
      <c r="A376" s="22">
        <f>IFERROR(__xludf.DUMMYFUNCTION("""COMPUTED_VALUE"""),42507.66666666667)</f>
        <v>42507.66667</v>
      </c>
      <c r="B376" s="23">
        <f>IFERROR(__xludf.DUMMYFUNCTION("""COMPUTED_VALUE"""),56.83)</f>
        <v>56.83</v>
      </c>
      <c r="C376" s="22">
        <f>IFERROR(__xludf.DUMMYFUNCTION("""COMPUTED_VALUE"""),43762.66666666667)</f>
        <v>43762.66667</v>
      </c>
      <c r="D376" s="23">
        <f>IFERROR(__xludf.DUMMYFUNCTION("""COMPUTED_VALUE"""),112.04)</f>
        <v>112.04</v>
      </c>
      <c r="E376" s="22">
        <f>IFERROR(__xludf.DUMMYFUNCTION("""COMPUTED_VALUE"""),42685.66666666667)</f>
        <v>42685.66667</v>
      </c>
      <c r="F376" s="23">
        <f>IFERROR(__xludf.DUMMYFUNCTION("""COMPUTED_VALUE"""),10.74)</f>
        <v>10.74</v>
      </c>
      <c r="G376" s="22">
        <f>IFERROR(__xludf.DUMMYFUNCTION("""COMPUTED_VALUE"""),43679.66666666667)</f>
        <v>43679.66667</v>
      </c>
      <c r="H376" s="23">
        <f>IFERROR(__xludf.DUMMYFUNCTION("""COMPUTED_VALUE"""),85.65)</f>
        <v>85.65</v>
      </c>
      <c r="I376" s="22">
        <f>IFERROR(__xludf.DUMMYFUNCTION("""COMPUTED_VALUE"""),43679.66666666667)</f>
        <v>43679.66667</v>
      </c>
      <c r="J376" s="23">
        <f>IFERROR(__xludf.DUMMYFUNCTION("""COMPUTED_VALUE"""),220.74)</f>
        <v>220.74</v>
      </c>
      <c r="K376" s="22">
        <f>IFERROR(__xludf.DUMMYFUNCTION("""COMPUTED_VALUE"""),43679.66666666667)</f>
        <v>43679.66667</v>
      </c>
      <c r="L376" s="23">
        <f>IFERROR(__xludf.DUMMYFUNCTION("""COMPUTED_VALUE"""),72.7)</f>
        <v>72.7</v>
      </c>
      <c r="M376" s="23">
        <v>1000.0</v>
      </c>
      <c r="N376" s="23">
        <v>1000.0</v>
      </c>
      <c r="O376" s="23">
        <v>1000.0</v>
      </c>
      <c r="P376" s="23">
        <f t="shared" si="1"/>
        <v>11.67542323</v>
      </c>
      <c r="Q376" s="23">
        <f t="shared" si="2"/>
        <v>4.530216544</v>
      </c>
      <c r="R376" s="23">
        <f t="shared" si="3"/>
        <v>13.75515818</v>
      </c>
      <c r="S376" s="19"/>
      <c r="T376" s="19"/>
      <c r="U376" s="19"/>
      <c r="V376" s="19"/>
    </row>
    <row r="377">
      <c r="A377" s="22">
        <f>IFERROR(__xludf.DUMMYFUNCTION("""COMPUTED_VALUE"""),42508.66666666667)</f>
        <v>42508.66667</v>
      </c>
      <c r="B377" s="23">
        <f>IFERROR(__xludf.DUMMYFUNCTION("""COMPUTED_VALUE"""),56.71)</f>
        <v>56.71</v>
      </c>
      <c r="C377" s="22">
        <f>IFERROR(__xludf.DUMMYFUNCTION("""COMPUTED_VALUE"""),43763.66666666667)</f>
        <v>43763.66667</v>
      </c>
      <c r="D377" s="23">
        <f>IFERROR(__xludf.DUMMYFUNCTION("""COMPUTED_VALUE"""),112.8)</f>
        <v>112.8</v>
      </c>
      <c r="E377" s="22">
        <f>IFERROR(__xludf.DUMMYFUNCTION("""COMPUTED_VALUE"""),42688.66666666667)</f>
        <v>42688.66667</v>
      </c>
      <c r="F377" s="23">
        <f>IFERROR(__xludf.DUMMYFUNCTION("""COMPUTED_VALUE"""),11.01)</f>
        <v>11.01</v>
      </c>
      <c r="G377" s="22">
        <f>IFERROR(__xludf.DUMMYFUNCTION("""COMPUTED_VALUE"""),43686.66666666667)</f>
        <v>43686.66667</v>
      </c>
      <c r="H377" s="23">
        <f>IFERROR(__xludf.DUMMYFUNCTION("""COMPUTED_VALUE"""),83.43)</f>
        <v>83.43</v>
      </c>
      <c r="I377" s="22">
        <f>IFERROR(__xludf.DUMMYFUNCTION("""COMPUTED_VALUE"""),43686.66666666667)</f>
        <v>43686.66667</v>
      </c>
      <c r="J377" s="23">
        <f>IFERROR(__xludf.DUMMYFUNCTION("""COMPUTED_VALUE"""),219.39)</f>
        <v>219.39</v>
      </c>
      <c r="K377" s="22">
        <f>IFERROR(__xludf.DUMMYFUNCTION("""COMPUTED_VALUE"""),43686.66666666667)</f>
        <v>43686.66667</v>
      </c>
      <c r="L377" s="23">
        <f>IFERROR(__xludf.DUMMYFUNCTION("""COMPUTED_VALUE"""),71.8)</f>
        <v>71.8</v>
      </c>
      <c r="M377" s="23">
        <v>0.0</v>
      </c>
      <c r="N377" s="23">
        <v>0.0</v>
      </c>
      <c r="O377" s="23">
        <v>0.0</v>
      </c>
      <c r="P377" s="23">
        <f t="shared" si="1"/>
        <v>0</v>
      </c>
      <c r="Q377" s="23">
        <f t="shared" si="2"/>
        <v>0</v>
      </c>
      <c r="R377" s="23">
        <f t="shared" si="3"/>
        <v>0</v>
      </c>
      <c r="S377" s="19"/>
      <c r="T377" s="19"/>
      <c r="U377" s="19"/>
      <c r="V377" s="19"/>
    </row>
    <row r="378">
      <c r="A378" s="22">
        <f>IFERROR(__xludf.DUMMYFUNCTION("""COMPUTED_VALUE"""),42509.66666666667)</f>
        <v>42509.66667</v>
      </c>
      <c r="B378" s="23">
        <f>IFERROR(__xludf.DUMMYFUNCTION("""COMPUTED_VALUE"""),57.31)</f>
        <v>57.31</v>
      </c>
      <c r="C378" s="22">
        <f>IFERROR(__xludf.DUMMYFUNCTION("""COMPUTED_VALUE"""),43766.66666666667)</f>
        <v>43766.66667</v>
      </c>
      <c r="D378" s="23">
        <f>IFERROR(__xludf.DUMMYFUNCTION("""COMPUTED_VALUE"""),112.81)</f>
        <v>112.81</v>
      </c>
      <c r="E378" s="22">
        <f>IFERROR(__xludf.DUMMYFUNCTION("""COMPUTED_VALUE"""),42689.66666666667)</f>
        <v>42689.66667</v>
      </c>
      <c r="F378" s="23">
        <f>IFERROR(__xludf.DUMMYFUNCTION("""COMPUTED_VALUE"""),10.81)</f>
        <v>10.81</v>
      </c>
      <c r="G378" s="22">
        <f>IFERROR(__xludf.DUMMYFUNCTION("""COMPUTED_VALUE"""),43693.66666666667)</f>
        <v>43693.66667</v>
      </c>
      <c r="H378" s="23">
        <f>IFERROR(__xludf.DUMMYFUNCTION("""COMPUTED_VALUE"""),81.34)</f>
        <v>81.34</v>
      </c>
      <c r="I378" s="22">
        <f>IFERROR(__xludf.DUMMYFUNCTION("""COMPUTED_VALUE"""),43693.66666666667)</f>
        <v>43693.66667</v>
      </c>
      <c r="J378" s="23">
        <f>IFERROR(__xludf.DUMMYFUNCTION("""COMPUTED_VALUE"""),215.26)</f>
        <v>215.26</v>
      </c>
      <c r="K378" s="22">
        <f>IFERROR(__xludf.DUMMYFUNCTION("""COMPUTED_VALUE"""),43693.66666666667)</f>
        <v>43693.66667</v>
      </c>
      <c r="L378" s="23">
        <f>IFERROR(__xludf.DUMMYFUNCTION("""COMPUTED_VALUE"""),70.63)</f>
        <v>70.63</v>
      </c>
      <c r="M378" s="23">
        <v>0.0</v>
      </c>
      <c r="N378" s="23">
        <v>0.0</v>
      </c>
      <c r="O378" s="23">
        <v>0.0</v>
      </c>
      <c r="P378" s="23">
        <f t="shared" si="1"/>
        <v>0</v>
      </c>
      <c r="Q378" s="23">
        <f t="shared" si="2"/>
        <v>0</v>
      </c>
      <c r="R378" s="23">
        <f t="shared" si="3"/>
        <v>0</v>
      </c>
      <c r="S378" s="19"/>
      <c r="T378" s="19"/>
      <c r="U378" s="19"/>
      <c r="V378" s="19"/>
    </row>
    <row r="379">
      <c r="A379" s="22">
        <f>IFERROR(__xludf.DUMMYFUNCTION("""COMPUTED_VALUE"""),42510.66666666667)</f>
        <v>42510.66667</v>
      </c>
      <c r="B379" s="23">
        <f>IFERROR(__xludf.DUMMYFUNCTION("""COMPUTED_VALUE"""),57.23)</f>
        <v>57.23</v>
      </c>
      <c r="C379" s="22">
        <f>IFERROR(__xludf.DUMMYFUNCTION("""COMPUTED_VALUE"""),43767.66666666667)</f>
        <v>43767.66667</v>
      </c>
      <c r="D379" s="23">
        <f>IFERROR(__xludf.DUMMYFUNCTION("""COMPUTED_VALUE"""),112.83)</f>
        <v>112.83</v>
      </c>
      <c r="E379" s="22">
        <f>IFERROR(__xludf.DUMMYFUNCTION("""COMPUTED_VALUE"""),42690.66666666667)</f>
        <v>42690.66667</v>
      </c>
      <c r="F379" s="23">
        <f>IFERROR(__xludf.DUMMYFUNCTION("""COMPUTED_VALUE"""),10.97)</f>
        <v>10.97</v>
      </c>
      <c r="G379" s="22">
        <f>IFERROR(__xludf.DUMMYFUNCTION("""COMPUTED_VALUE"""),43700.66666666667)</f>
        <v>43700.66667</v>
      </c>
      <c r="H379" s="23">
        <f>IFERROR(__xludf.DUMMYFUNCTION("""COMPUTED_VALUE"""),82.99)</f>
        <v>82.99</v>
      </c>
      <c r="I379" s="22">
        <f>IFERROR(__xludf.DUMMYFUNCTION("""COMPUTED_VALUE"""),43700.66666666667)</f>
        <v>43700.66667</v>
      </c>
      <c r="J379" s="23">
        <f>IFERROR(__xludf.DUMMYFUNCTION("""COMPUTED_VALUE"""),221.45)</f>
        <v>221.45</v>
      </c>
      <c r="K379" s="22">
        <f>IFERROR(__xludf.DUMMYFUNCTION("""COMPUTED_VALUE"""),43700.66666666667)</f>
        <v>43700.66667</v>
      </c>
      <c r="L379" s="23">
        <f>IFERROR(__xludf.DUMMYFUNCTION("""COMPUTED_VALUE"""),71.93)</f>
        <v>71.93</v>
      </c>
      <c r="M379" s="23">
        <v>0.0</v>
      </c>
      <c r="N379" s="23">
        <v>0.0</v>
      </c>
      <c r="O379" s="23">
        <v>0.0</v>
      </c>
      <c r="P379" s="23">
        <f t="shared" si="1"/>
        <v>0</v>
      </c>
      <c r="Q379" s="23">
        <f t="shared" si="2"/>
        <v>0</v>
      </c>
      <c r="R379" s="23">
        <f t="shared" si="3"/>
        <v>0</v>
      </c>
      <c r="S379" s="19"/>
      <c r="T379" s="19"/>
      <c r="U379" s="19"/>
      <c r="V379" s="19"/>
    </row>
    <row r="380">
      <c r="A380" s="22">
        <f>IFERROR(__xludf.DUMMYFUNCTION("""COMPUTED_VALUE"""),42513.66666666667)</f>
        <v>42513.66667</v>
      </c>
      <c r="B380" s="23">
        <f>IFERROR(__xludf.DUMMYFUNCTION("""COMPUTED_VALUE"""),57.3)</f>
        <v>57.3</v>
      </c>
      <c r="C380" s="22">
        <f>IFERROR(__xludf.DUMMYFUNCTION("""COMPUTED_VALUE"""),43768.66666666667)</f>
        <v>43768.66667</v>
      </c>
      <c r="D380" s="23">
        <f>IFERROR(__xludf.DUMMYFUNCTION("""COMPUTED_VALUE"""),111.77)</f>
        <v>111.77</v>
      </c>
      <c r="E380" s="22">
        <f>IFERROR(__xludf.DUMMYFUNCTION("""COMPUTED_VALUE"""),42691.66666666667)</f>
        <v>42691.66667</v>
      </c>
      <c r="F380" s="23">
        <f>IFERROR(__xludf.DUMMYFUNCTION("""COMPUTED_VALUE"""),11.12)</f>
        <v>11.12</v>
      </c>
      <c r="G380" s="22">
        <f>IFERROR(__xludf.DUMMYFUNCTION("""COMPUTED_VALUE"""),43707.66666666667)</f>
        <v>43707.66667</v>
      </c>
      <c r="H380" s="23">
        <f>IFERROR(__xludf.DUMMYFUNCTION("""COMPUTED_VALUE"""),84.27)</f>
        <v>84.27</v>
      </c>
      <c r="I380" s="22">
        <f>IFERROR(__xludf.DUMMYFUNCTION("""COMPUTED_VALUE"""),43707.66666666667)</f>
        <v>43707.66667</v>
      </c>
      <c r="J380" s="23">
        <f>IFERROR(__xludf.DUMMYFUNCTION("""COMPUTED_VALUE"""),222.23)</f>
        <v>222.23</v>
      </c>
      <c r="K380" s="22">
        <f>IFERROR(__xludf.DUMMYFUNCTION("""COMPUTED_VALUE"""),43707.66666666667)</f>
        <v>43707.66667</v>
      </c>
      <c r="L380" s="23">
        <f>IFERROR(__xludf.DUMMYFUNCTION("""COMPUTED_VALUE"""),72.57)</f>
        <v>72.57</v>
      </c>
      <c r="M380" s="23">
        <v>1000.0</v>
      </c>
      <c r="N380" s="23">
        <v>1000.0</v>
      </c>
      <c r="O380" s="23">
        <v>1000.0</v>
      </c>
      <c r="P380" s="23">
        <f t="shared" si="1"/>
        <v>11.8666192</v>
      </c>
      <c r="Q380" s="23">
        <f t="shared" si="2"/>
        <v>4.499842506</v>
      </c>
      <c r="R380" s="23">
        <f t="shared" si="3"/>
        <v>13.77979881</v>
      </c>
      <c r="S380" s="19"/>
      <c r="T380" s="19"/>
      <c r="U380" s="19"/>
      <c r="V380" s="19"/>
    </row>
    <row r="381">
      <c r="A381" s="22">
        <f>IFERROR(__xludf.DUMMYFUNCTION("""COMPUTED_VALUE"""),42514.66666666667)</f>
        <v>42514.66667</v>
      </c>
      <c r="B381" s="23">
        <f>IFERROR(__xludf.DUMMYFUNCTION("""COMPUTED_VALUE"""),57.32)</f>
        <v>57.32</v>
      </c>
      <c r="C381" s="22">
        <f>IFERROR(__xludf.DUMMYFUNCTION("""COMPUTED_VALUE"""),43769.66666666667)</f>
        <v>43769.66667</v>
      </c>
      <c r="D381" s="23">
        <f>IFERROR(__xludf.DUMMYFUNCTION("""COMPUTED_VALUE"""),111.37)</f>
        <v>111.37</v>
      </c>
      <c r="E381" s="22">
        <f>IFERROR(__xludf.DUMMYFUNCTION("""COMPUTED_VALUE"""),42692.66666666667)</f>
        <v>42692.66667</v>
      </c>
      <c r="F381" s="23">
        <f>IFERROR(__xludf.DUMMYFUNCTION("""COMPUTED_VALUE"""),11.34)</f>
        <v>11.34</v>
      </c>
      <c r="G381" s="22">
        <f>IFERROR(__xludf.DUMMYFUNCTION("""COMPUTED_VALUE"""),43714.66666666667)</f>
        <v>43714.66667</v>
      </c>
      <c r="H381" s="23">
        <f>IFERROR(__xludf.DUMMYFUNCTION("""COMPUTED_VALUE"""),85.17)</f>
        <v>85.17</v>
      </c>
      <c r="I381" s="22">
        <f>IFERROR(__xludf.DUMMYFUNCTION("""COMPUTED_VALUE"""),43714.66666666667)</f>
        <v>43714.66667</v>
      </c>
      <c r="J381" s="23">
        <f>IFERROR(__xludf.DUMMYFUNCTION("""COMPUTED_VALUE"""),222.13)</f>
        <v>222.13</v>
      </c>
      <c r="K381" s="22">
        <f>IFERROR(__xludf.DUMMYFUNCTION("""COMPUTED_VALUE"""),43714.66666666667)</f>
        <v>43714.66667</v>
      </c>
      <c r="L381" s="23">
        <f>IFERROR(__xludf.DUMMYFUNCTION("""COMPUTED_VALUE"""),73.0)</f>
        <v>73</v>
      </c>
      <c r="M381" s="23">
        <v>0.0</v>
      </c>
      <c r="N381" s="23">
        <v>0.0</v>
      </c>
      <c r="O381" s="23">
        <v>0.0</v>
      </c>
      <c r="P381" s="23">
        <f t="shared" si="1"/>
        <v>0</v>
      </c>
      <c r="Q381" s="23">
        <f t="shared" si="2"/>
        <v>0</v>
      </c>
      <c r="R381" s="23">
        <f t="shared" si="3"/>
        <v>0</v>
      </c>
      <c r="S381" s="19"/>
      <c r="T381" s="19"/>
      <c r="U381" s="19"/>
      <c r="V381" s="19"/>
    </row>
    <row r="382">
      <c r="A382" s="22">
        <f>IFERROR(__xludf.DUMMYFUNCTION("""COMPUTED_VALUE"""),42515.66666666667)</f>
        <v>42515.66667</v>
      </c>
      <c r="B382" s="23">
        <f>IFERROR(__xludf.DUMMYFUNCTION("""COMPUTED_VALUE"""),58.38)</f>
        <v>58.38</v>
      </c>
      <c r="C382" s="22">
        <f>IFERROR(__xludf.DUMMYFUNCTION("""COMPUTED_VALUE"""),43770.66666666667)</f>
        <v>43770.66667</v>
      </c>
      <c r="D382" s="23">
        <f>IFERROR(__xludf.DUMMYFUNCTION("""COMPUTED_VALUE"""),111.62)</f>
        <v>111.62</v>
      </c>
      <c r="E382" s="22">
        <f>IFERROR(__xludf.DUMMYFUNCTION("""COMPUTED_VALUE"""),42695.66666666667)</f>
        <v>42695.66667</v>
      </c>
      <c r="F382" s="23">
        <f>IFERROR(__xludf.DUMMYFUNCTION("""COMPUTED_VALUE"""),11.43)</f>
        <v>11.43</v>
      </c>
      <c r="G382" s="22">
        <f>IFERROR(__xludf.DUMMYFUNCTION("""COMPUTED_VALUE"""),43721.66666666667)</f>
        <v>43721.66667</v>
      </c>
      <c r="H382" s="23">
        <f>IFERROR(__xludf.DUMMYFUNCTION("""COMPUTED_VALUE"""),85.49)</f>
        <v>85.49</v>
      </c>
      <c r="I382" s="22">
        <f>IFERROR(__xludf.DUMMYFUNCTION("""COMPUTED_VALUE"""),43721.66666666667)</f>
        <v>43721.66667</v>
      </c>
      <c r="J382" s="23">
        <f>IFERROR(__xludf.DUMMYFUNCTION("""COMPUTED_VALUE"""),223.91)</f>
        <v>223.91</v>
      </c>
      <c r="K382" s="22">
        <f>IFERROR(__xludf.DUMMYFUNCTION("""COMPUTED_VALUE"""),43721.66666666667)</f>
        <v>43721.66667</v>
      </c>
      <c r="L382" s="23">
        <f>IFERROR(__xludf.DUMMYFUNCTION("""COMPUTED_VALUE"""),73.91)</f>
        <v>73.91</v>
      </c>
      <c r="M382" s="23">
        <v>0.0</v>
      </c>
      <c r="N382" s="23">
        <v>0.0</v>
      </c>
      <c r="O382" s="23">
        <v>0.0</v>
      </c>
      <c r="P382" s="23">
        <f t="shared" si="1"/>
        <v>0</v>
      </c>
      <c r="Q382" s="23">
        <f t="shared" si="2"/>
        <v>0</v>
      </c>
      <c r="R382" s="23">
        <f t="shared" si="3"/>
        <v>0</v>
      </c>
      <c r="S382" s="19"/>
      <c r="T382" s="19"/>
      <c r="U382" s="19"/>
      <c r="V382" s="19"/>
    </row>
    <row r="383">
      <c r="A383" s="22">
        <f>IFERROR(__xludf.DUMMYFUNCTION("""COMPUTED_VALUE"""),42516.66666666667)</f>
        <v>42516.66667</v>
      </c>
      <c r="B383" s="23">
        <f>IFERROR(__xludf.DUMMYFUNCTION("""COMPUTED_VALUE"""),58.49)</f>
        <v>58.49</v>
      </c>
      <c r="C383" s="22">
        <f>IFERROR(__xludf.DUMMYFUNCTION("""COMPUTED_VALUE"""),43773.66666666667)</f>
        <v>43773.66667</v>
      </c>
      <c r="D383" s="23">
        <f>IFERROR(__xludf.DUMMYFUNCTION("""COMPUTED_VALUE"""),111.82)</f>
        <v>111.82</v>
      </c>
      <c r="E383" s="22">
        <f>IFERROR(__xludf.DUMMYFUNCTION("""COMPUTED_VALUE"""),42696.66666666667)</f>
        <v>42696.66667</v>
      </c>
      <c r="F383" s="23">
        <f>IFERROR(__xludf.DUMMYFUNCTION("""COMPUTED_VALUE"""),11.47)</f>
        <v>11.47</v>
      </c>
      <c r="G383" s="22">
        <f>IFERROR(__xludf.DUMMYFUNCTION("""COMPUTED_VALUE"""),43728.66666666667)</f>
        <v>43728.66667</v>
      </c>
      <c r="H383" s="23">
        <f>IFERROR(__xludf.DUMMYFUNCTION("""COMPUTED_VALUE"""),86.28)</f>
        <v>86.28</v>
      </c>
      <c r="I383" s="22">
        <f>IFERROR(__xludf.DUMMYFUNCTION("""COMPUTED_VALUE"""),43728.66666666667)</f>
        <v>43728.66667</v>
      </c>
      <c r="J383" s="23">
        <f>IFERROR(__xludf.DUMMYFUNCTION("""COMPUTED_VALUE"""),224.7)</f>
        <v>224.7</v>
      </c>
      <c r="K383" s="22">
        <f>IFERROR(__xludf.DUMMYFUNCTION("""COMPUTED_VALUE"""),43728.66666666667)</f>
        <v>43728.66667</v>
      </c>
      <c r="L383" s="23">
        <f>IFERROR(__xludf.DUMMYFUNCTION("""COMPUTED_VALUE"""),74.77)</f>
        <v>74.77</v>
      </c>
      <c r="M383" s="23">
        <v>0.0</v>
      </c>
      <c r="N383" s="23">
        <v>0.0</v>
      </c>
      <c r="O383" s="23">
        <v>0.0</v>
      </c>
      <c r="P383" s="23">
        <f t="shared" si="1"/>
        <v>0</v>
      </c>
      <c r="Q383" s="23">
        <f t="shared" si="2"/>
        <v>0</v>
      </c>
      <c r="R383" s="23">
        <f t="shared" si="3"/>
        <v>0</v>
      </c>
      <c r="S383" s="19"/>
      <c r="T383" s="19"/>
      <c r="U383" s="19"/>
      <c r="V383" s="19"/>
    </row>
    <row r="384">
      <c r="A384" s="22">
        <f>IFERROR(__xludf.DUMMYFUNCTION("""COMPUTED_VALUE"""),42517.66666666667)</f>
        <v>42517.66667</v>
      </c>
      <c r="B384" s="23">
        <f>IFERROR(__xludf.DUMMYFUNCTION("""COMPUTED_VALUE"""),58.67)</f>
        <v>58.67</v>
      </c>
      <c r="C384" s="22">
        <f>IFERROR(__xludf.DUMMYFUNCTION("""COMPUTED_VALUE"""),43774.66666666667)</f>
        <v>43774.66667</v>
      </c>
      <c r="D384" s="23">
        <f>IFERROR(__xludf.DUMMYFUNCTION("""COMPUTED_VALUE"""),112.2)</f>
        <v>112.2</v>
      </c>
      <c r="E384" s="22">
        <f>IFERROR(__xludf.DUMMYFUNCTION("""COMPUTED_VALUE"""),42697.66666666667)</f>
        <v>42697.66667</v>
      </c>
      <c r="F384" s="23">
        <f>IFERROR(__xludf.DUMMYFUNCTION("""COMPUTED_VALUE"""),11.41)</f>
        <v>11.41</v>
      </c>
      <c r="G384" s="22">
        <f>IFERROR(__xludf.DUMMYFUNCTION("""COMPUTED_VALUE"""),43735.66666666667)</f>
        <v>43735.66667</v>
      </c>
      <c r="H384" s="23">
        <f>IFERROR(__xludf.DUMMYFUNCTION("""COMPUTED_VALUE"""),86.16)</f>
        <v>86.16</v>
      </c>
      <c r="I384" s="22">
        <f>IFERROR(__xludf.DUMMYFUNCTION("""COMPUTED_VALUE"""),43735.66666666667)</f>
        <v>43735.66667</v>
      </c>
      <c r="J384" s="23">
        <f>IFERROR(__xludf.DUMMYFUNCTION("""COMPUTED_VALUE"""),223.92)</f>
        <v>223.92</v>
      </c>
      <c r="K384" s="22">
        <f>IFERROR(__xludf.DUMMYFUNCTION("""COMPUTED_VALUE"""),43735.66666666667)</f>
        <v>43735.66667</v>
      </c>
      <c r="L384" s="23">
        <f>IFERROR(__xludf.DUMMYFUNCTION("""COMPUTED_VALUE"""),73.8)</f>
        <v>73.8</v>
      </c>
      <c r="M384" s="23">
        <v>1000.0</v>
      </c>
      <c r="N384" s="23">
        <v>1000.0</v>
      </c>
      <c r="O384" s="23">
        <v>1000.0</v>
      </c>
      <c r="P384" s="23">
        <f t="shared" si="1"/>
        <v>11.60631383</v>
      </c>
      <c r="Q384" s="23">
        <f t="shared" si="2"/>
        <v>4.465880672</v>
      </c>
      <c r="R384" s="23">
        <f t="shared" si="3"/>
        <v>13.5501355</v>
      </c>
      <c r="S384" s="19"/>
      <c r="T384" s="19"/>
      <c r="U384" s="19"/>
      <c r="V384" s="19"/>
    </row>
    <row r="385">
      <c r="A385" s="22">
        <f>IFERROR(__xludf.DUMMYFUNCTION("""COMPUTED_VALUE"""),42520.66666666667)</f>
        <v>42520.66667</v>
      </c>
      <c r="B385" s="23">
        <f>IFERROR(__xludf.DUMMYFUNCTION("""COMPUTED_VALUE"""),59.35)</f>
        <v>59.35</v>
      </c>
      <c r="C385" s="22">
        <f>IFERROR(__xludf.DUMMYFUNCTION("""COMPUTED_VALUE"""),43775.66666666667)</f>
        <v>43775.66667</v>
      </c>
      <c r="D385" s="23">
        <f>IFERROR(__xludf.DUMMYFUNCTION("""COMPUTED_VALUE"""),111.39)</f>
        <v>111.39</v>
      </c>
      <c r="E385" s="22">
        <f>IFERROR(__xludf.DUMMYFUNCTION("""COMPUTED_VALUE"""),42698.66666666667)</f>
        <v>42698.66667</v>
      </c>
      <c r="F385" s="23">
        <f>IFERROR(__xludf.DUMMYFUNCTION("""COMPUTED_VALUE"""),11.38)</f>
        <v>11.38</v>
      </c>
      <c r="G385" s="22">
        <f>IFERROR(__xludf.DUMMYFUNCTION("""COMPUTED_VALUE"""),43742.66666666667)</f>
        <v>43742.66667</v>
      </c>
      <c r="H385" s="23">
        <f>IFERROR(__xludf.DUMMYFUNCTION("""COMPUTED_VALUE"""),82.64)</f>
        <v>82.64</v>
      </c>
      <c r="I385" s="22">
        <f>IFERROR(__xludf.DUMMYFUNCTION("""COMPUTED_VALUE"""),43742.66666666667)</f>
        <v>43742.66667</v>
      </c>
      <c r="J385" s="23">
        <f>IFERROR(__xludf.DUMMYFUNCTION("""COMPUTED_VALUE"""),218.8)</f>
        <v>218.8</v>
      </c>
      <c r="K385" s="22">
        <f>IFERROR(__xludf.DUMMYFUNCTION("""COMPUTED_VALUE"""),43742.66666666667)</f>
        <v>43742.66667</v>
      </c>
      <c r="L385" s="23">
        <f>IFERROR(__xludf.DUMMYFUNCTION("""COMPUTED_VALUE"""),72.62)</f>
        <v>72.62</v>
      </c>
      <c r="M385" s="23">
        <v>0.0</v>
      </c>
      <c r="N385" s="23">
        <v>0.0</v>
      </c>
      <c r="O385" s="23">
        <v>0.0</v>
      </c>
      <c r="P385" s="23">
        <f t="shared" si="1"/>
        <v>0</v>
      </c>
      <c r="Q385" s="23">
        <f t="shared" si="2"/>
        <v>0</v>
      </c>
      <c r="R385" s="23">
        <f t="shared" si="3"/>
        <v>0</v>
      </c>
      <c r="S385" s="19"/>
      <c r="T385" s="19"/>
      <c r="U385" s="19"/>
      <c r="V385" s="19"/>
    </row>
    <row r="386">
      <c r="A386" s="22">
        <f>IFERROR(__xludf.DUMMYFUNCTION("""COMPUTED_VALUE"""),42521.66666666667)</f>
        <v>42521.66667</v>
      </c>
      <c r="B386" s="23">
        <f>IFERROR(__xludf.DUMMYFUNCTION("""COMPUTED_VALUE"""),59.02)</f>
        <v>59.02</v>
      </c>
      <c r="C386" s="22">
        <f>IFERROR(__xludf.DUMMYFUNCTION("""COMPUTED_VALUE"""),43776.66666666667)</f>
        <v>43776.66667</v>
      </c>
      <c r="D386" s="23">
        <f>IFERROR(__xludf.DUMMYFUNCTION("""COMPUTED_VALUE"""),112.54)</f>
        <v>112.54</v>
      </c>
      <c r="E386" s="22">
        <f>IFERROR(__xludf.DUMMYFUNCTION("""COMPUTED_VALUE"""),42699.66666666667)</f>
        <v>42699.66667</v>
      </c>
      <c r="F386" s="23">
        <f>IFERROR(__xludf.DUMMYFUNCTION("""COMPUTED_VALUE"""),11.35)</f>
        <v>11.35</v>
      </c>
      <c r="G386" s="22">
        <f>IFERROR(__xludf.DUMMYFUNCTION("""COMPUTED_VALUE"""),43749.66666666667)</f>
        <v>43749.66667</v>
      </c>
      <c r="H386" s="23">
        <f>IFERROR(__xludf.DUMMYFUNCTION("""COMPUTED_VALUE"""),83.77)</f>
        <v>83.77</v>
      </c>
      <c r="I386" s="22">
        <f>IFERROR(__xludf.DUMMYFUNCTION("""COMPUTED_VALUE"""),43749.66666666667)</f>
        <v>43749.66667</v>
      </c>
      <c r="J386" s="23">
        <f>IFERROR(__xludf.DUMMYFUNCTION("""COMPUTED_VALUE"""),221.1)</f>
        <v>221.1</v>
      </c>
      <c r="K386" s="22">
        <f>IFERROR(__xludf.DUMMYFUNCTION("""COMPUTED_VALUE"""),43749.66666666667)</f>
        <v>43749.66667</v>
      </c>
      <c r="L386" s="23">
        <f>IFERROR(__xludf.DUMMYFUNCTION("""COMPUTED_VALUE"""),73.39)</f>
        <v>73.39</v>
      </c>
      <c r="M386" s="23">
        <v>0.0</v>
      </c>
      <c r="N386" s="23">
        <v>0.0</v>
      </c>
      <c r="O386" s="23">
        <v>0.0</v>
      </c>
      <c r="P386" s="23">
        <f t="shared" si="1"/>
        <v>0</v>
      </c>
      <c r="Q386" s="23">
        <f t="shared" si="2"/>
        <v>0</v>
      </c>
      <c r="R386" s="23">
        <f t="shared" si="3"/>
        <v>0</v>
      </c>
      <c r="S386" s="19"/>
      <c r="T386" s="19"/>
      <c r="U386" s="19"/>
      <c r="V386" s="19"/>
    </row>
    <row r="387">
      <c r="A387" s="22">
        <f>IFERROR(__xludf.DUMMYFUNCTION("""COMPUTED_VALUE"""),42522.66666666667)</f>
        <v>42522.66667</v>
      </c>
      <c r="B387" s="23">
        <f>IFERROR(__xludf.DUMMYFUNCTION("""COMPUTED_VALUE"""),58.22)</f>
        <v>58.22</v>
      </c>
      <c r="C387" s="22">
        <f>IFERROR(__xludf.DUMMYFUNCTION("""COMPUTED_VALUE"""),43777.66666666667)</f>
        <v>43777.66667</v>
      </c>
      <c r="D387" s="23">
        <f>IFERROR(__xludf.DUMMYFUNCTION("""COMPUTED_VALUE"""),112.38)</f>
        <v>112.38</v>
      </c>
      <c r="E387" s="22">
        <f>IFERROR(__xludf.DUMMYFUNCTION("""COMPUTED_VALUE"""),42702.66666666667)</f>
        <v>42702.66667</v>
      </c>
      <c r="F387" s="23">
        <f>IFERROR(__xludf.DUMMYFUNCTION("""COMPUTED_VALUE"""),11.29)</f>
        <v>11.29</v>
      </c>
      <c r="G387" s="22">
        <f>IFERROR(__xludf.DUMMYFUNCTION("""COMPUTED_VALUE"""),43756.66666666667)</f>
        <v>43756.66667</v>
      </c>
      <c r="H387" s="23">
        <f>IFERROR(__xludf.DUMMYFUNCTION("""COMPUTED_VALUE"""),84.25)</f>
        <v>84.25</v>
      </c>
      <c r="I387" s="22">
        <f>IFERROR(__xludf.DUMMYFUNCTION("""COMPUTED_VALUE"""),43756.66666666667)</f>
        <v>43756.66667</v>
      </c>
      <c r="J387" s="23">
        <f>IFERROR(__xludf.DUMMYFUNCTION("""COMPUTED_VALUE"""),222.52)</f>
        <v>222.52</v>
      </c>
      <c r="K387" s="22">
        <f>IFERROR(__xludf.DUMMYFUNCTION("""COMPUTED_VALUE"""),43756.66666666667)</f>
        <v>43756.66667</v>
      </c>
      <c r="L387" s="23">
        <f>IFERROR(__xludf.DUMMYFUNCTION("""COMPUTED_VALUE"""),74.34)</f>
        <v>74.34</v>
      </c>
      <c r="M387" s="23">
        <v>0.0</v>
      </c>
      <c r="N387" s="23">
        <v>0.0</v>
      </c>
      <c r="O387" s="23">
        <v>0.0</v>
      </c>
      <c r="P387" s="23">
        <f t="shared" si="1"/>
        <v>0</v>
      </c>
      <c r="Q387" s="23">
        <f t="shared" si="2"/>
        <v>0</v>
      </c>
      <c r="R387" s="23">
        <f t="shared" si="3"/>
        <v>0</v>
      </c>
      <c r="S387" s="19"/>
      <c r="T387" s="19"/>
      <c r="U387" s="19"/>
      <c r="V387" s="19"/>
    </row>
    <row r="388">
      <c r="A388" s="22">
        <f>IFERROR(__xludf.DUMMYFUNCTION("""COMPUTED_VALUE"""),42523.66666666667)</f>
        <v>42523.66667</v>
      </c>
      <c r="B388" s="23">
        <f>IFERROR(__xludf.DUMMYFUNCTION("""COMPUTED_VALUE"""),58.3)</f>
        <v>58.3</v>
      </c>
      <c r="C388" s="22">
        <f>IFERROR(__xludf.DUMMYFUNCTION("""COMPUTED_VALUE"""),43780.66666666667)</f>
        <v>43780.66667</v>
      </c>
      <c r="D388" s="23">
        <f>IFERROR(__xludf.DUMMYFUNCTION("""COMPUTED_VALUE"""),113.42)</f>
        <v>113.42</v>
      </c>
      <c r="E388" s="22">
        <f>IFERROR(__xludf.DUMMYFUNCTION("""COMPUTED_VALUE"""),42703.66666666667)</f>
        <v>42703.66667</v>
      </c>
      <c r="F388" s="23">
        <f>IFERROR(__xludf.DUMMYFUNCTION("""COMPUTED_VALUE"""),11.3)</f>
        <v>11.3</v>
      </c>
      <c r="G388" s="22">
        <f>IFERROR(__xludf.DUMMYFUNCTION("""COMPUTED_VALUE"""),43763.66666666667)</f>
        <v>43763.66667</v>
      </c>
      <c r="H388" s="23">
        <f>IFERROR(__xludf.DUMMYFUNCTION("""COMPUTED_VALUE"""),85.39)</f>
        <v>85.39</v>
      </c>
      <c r="I388" s="22">
        <f>IFERROR(__xludf.DUMMYFUNCTION("""COMPUTED_VALUE"""),43763.66666666667)</f>
        <v>43763.66667</v>
      </c>
      <c r="J388" s="23">
        <f>IFERROR(__xludf.DUMMYFUNCTION("""COMPUTED_VALUE"""),223.91)</f>
        <v>223.91</v>
      </c>
      <c r="K388" s="22">
        <f>IFERROR(__xludf.DUMMYFUNCTION("""COMPUTED_VALUE"""),43763.66666666667)</f>
        <v>43763.66667</v>
      </c>
      <c r="L388" s="23">
        <f>IFERROR(__xludf.DUMMYFUNCTION("""COMPUTED_VALUE"""),75.41)</f>
        <v>75.41</v>
      </c>
      <c r="M388" s="23">
        <v>1000.0</v>
      </c>
      <c r="N388" s="23">
        <v>1000.0</v>
      </c>
      <c r="O388" s="23">
        <v>1000.0</v>
      </c>
      <c r="P388" s="23">
        <f t="shared" si="1"/>
        <v>11.71097318</v>
      </c>
      <c r="Q388" s="23">
        <f t="shared" si="2"/>
        <v>4.466080121</v>
      </c>
      <c r="R388" s="23">
        <f t="shared" si="3"/>
        <v>13.26084074</v>
      </c>
      <c r="S388" s="19"/>
      <c r="T388" s="19"/>
      <c r="U388" s="19"/>
      <c r="V388" s="19"/>
    </row>
    <row r="389">
      <c r="A389" s="22">
        <f>IFERROR(__xludf.DUMMYFUNCTION("""COMPUTED_VALUE"""),42524.66666666667)</f>
        <v>42524.66667</v>
      </c>
      <c r="B389" s="23">
        <f>IFERROR(__xludf.DUMMYFUNCTION("""COMPUTED_VALUE"""),58.56)</f>
        <v>58.56</v>
      </c>
      <c r="C389" s="22">
        <f>IFERROR(__xludf.DUMMYFUNCTION("""COMPUTED_VALUE"""),43781.66666666667)</f>
        <v>43781.66667</v>
      </c>
      <c r="D389" s="23">
        <f>IFERROR(__xludf.DUMMYFUNCTION("""COMPUTED_VALUE"""),113.22)</f>
        <v>113.22</v>
      </c>
      <c r="E389" s="22">
        <f>IFERROR(__xludf.DUMMYFUNCTION("""COMPUTED_VALUE"""),42704.66666666667)</f>
        <v>42704.66667</v>
      </c>
      <c r="F389" s="23">
        <f>IFERROR(__xludf.DUMMYFUNCTION("""COMPUTED_VALUE"""),11.31)</f>
        <v>11.31</v>
      </c>
      <c r="G389" s="22">
        <f>IFERROR(__xludf.DUMMYFUNCTION("""COMPUTED_VALUE"""),43770.66666666667)</f>
        <v>43770.66667</v>
      </c>
      <c r="H389" s="23">
        <f>IFERROR(__xludf.DUMMYFUNCTION("""COMPUTED_VALUE"""),84.56)</f>
        <v>84.56</v>
      </c>
      <c r="I389" s="22">
        <f>IFERROR(__xludf.DUMMYFUNCTION("""COMPUTED_VALUE"""),43770.66666666667)</f>
        <v>43770.66667</v>
      </c>
      <c r="J389" s="23">
        <f>IFERROR(__xludf.DUMMYFUNCTION("""COMPUTED_VALUE"""),224.0)</f>
        <v>224</v>
      </c>
      <c r="K389" s="22">
        <f>IFERROR(__xludf.DUMMYFUNCTION("""COMPUTED_VALUE"""),43770.66666666667)</f>
        <v>43770.66667</v>
      </c>
      <c r="L389" s="23">
        <f>IFERROR(__xludf.DUMMYFUNCTION("""COMPUTED_VALUE"""),75.02)</f>
        <v>75.02</v>
      </c>
      <c r="M389" s="23">
        <v>0.0</v>
      </c>
      <c r="N389" s="23">
        <v>0.0</v>
      </c>
      <c r="O389" s="23">
        <v>0.0</v>
      </c>
      <c r="P389" s="23">
        <f t="shared" si="1"/>
        <v>0</v>
      </c>
      <c r="Q389" s="23">
        <f t="shared" si="2"/>
        <v>0</v>
      </c>
      <c r="R389" s="23">
        <f t="shared" si="3"/>
        <v>0</v>
      </c>
      <c r="S389" s="19"/>
      <c r="T389" s="19"/>
      <c r="U389" s="19"/>
      <c r="V389" s="19"/>
    </row>
    <row r="390">
      <c r="A390" s="22">
        <f>IFERROR(__xludf.DUMMYFUNCTION("""COMPUTED_VALUE"""),42527.66666666667)</f>
        <v>42527.66667</v>
      </c>
      <c r="B390" s="23">
        <f>IFERROR(__xludf.DUMMYFUNCTION("""COMPUTED_VALUE"""),57.8)</f>
        <v>57.8</v>
      </c>
      <c r="C390" s="22">
        <f>IFERROR(__xludf.DUMMYFUNCTION("""COMPUTED_VALUE"""),43782.66666666667)</f>
        <v>43782.66667</v>
      </c>
      <c r="D390" s="23">
        <f>IFERROR(__xludf.DUMMYFUNCTION("""COMPUTED_VALUE"""),112.53)</f>
        <v>112.53</v>
      </c>
      <c r="E390" s="22">
        <f>IFERROR(__xludf.DUMMYFUNCTION("""COMPUTED_VALUE"""),42705.66666666667)</f>
        <v>42705.66667</v>
      </c>
      <c r="F390" s="23">
        <f>IFERROR(__xludf.DUMMYFUNCTION("""COMPUTED_VALUE"""),11.29)</f>
        <v>11.29</v>
      </c>
      <c r="G390" s="22">
        <f>IFERROR(__xludf.DUMMYFUNCTION("""COMPUTED_VALUE"""),43777.66666666667)</f>
        <v>43777.66667</v>
      </c>
      <c r="H390" s="23">
        <f>IFERROR(__xludf.DUMMYFUNCTION("""COMPUTED_VALUE"""),85.21)</f>
        <v>85.21</v>
      </c>
      <c r="I390" s="22">
        <f>IFERROR(__xludf.DUMMYFUNCTION("""COMPUTED_VALUE"""),43777.66666666667)</f>
        <v>43777.66667</v>
      </c>
      <c r="J390" s="23">
        <f>IFERROR(__xludf.DUMMYFUNCTION("""COMPUTED_VALUE"""),227.34)</f>
        <v>227.34</v>
      </c>
      <c r="K390" s="22">
        <f>IFERROR(__xludf.DUMMYFUNCTION("""COMPUTED_VALUE"""),43777.66666666667)</f>
        <v>43777.66667</v>
      </c>
      <c r="L390" s="23">
        <f>IFERROR(__xludf.DUMMYFUNCTION("""COMPUTED_VALUE"""),76.18)</f>
        <v>76.18</v>
      </c>
      <c r="M390" s="23">
        <v>0.0</v>
      </c>
      <c r="N390" s="23">
        <v>0.0</v>
      </c>
      <c r="O390" s="23">
        <v>0.0</v>
      </c>
      <c r="P390" s="23">
        <f t="shared" si="1"/>
        <v>0</v>
      </c>
      <c r="Q390" s="23">
        <f t="shared" si="2"/>
        <v>0</v>
      </c>
      <c r="R390" s="23">
        <f t="shared" si="3"/>
        <v>0</v>
      </c>
      <c r="S390" s="19"/>
      <c r="T390" s="19"/>
      <c r="U390" s="19"/>
      <c r="V390" s="19"/>
    </row>
    <row r="391">
      <c r="A391" s="22">
        <f>IFERROR(__xludf.DUMMYFUNCTION("""COMPUTED_VALUE"""),42528.66666666667)</f>
        <v>42528.66667</v>
      </c>
      <c r="B391" s="23">
        <f>IFERROR(__xludf.DUMMYFUNCTION("""COMPUTED_VALUE"""),57.41)</f>
        <v>57.41</v>
      </c>
      <c r="C391" s="22">
        <f>IFERROR(__xludf.DUMMYFUNCTION("""COMPUTED_VALUE"""),43783.66666666667)</f>
        <v>43783.66667</v>
      </c>
      <c r="D391" s="23">
        <f>IFERROR(__xludf.DUMMYFUNCTION("""COMPUTED_VALUE"""),113.29)</f>
        <v>113.29</v>
      </c>
      <c r="E391" s="22">
        <f>IFERROR(__xludf.DUMMYFUNCTION("""COMPUTED_VALUE"""),42706.66666666667)</f>
        <v>42706.66667</v>
      </c>
      <c r="F391" s="23">
        <f>IFERROR(__xludf.DUMMYFUNCTION("""COMPUTED_VALUE"""),11.08)</f>
        <v>11.08</v>
      </c>
      <c r="G391" s="22">
        <f>IFERROR(__xludf.DUMMYFUNCTION("""COMPUTED_VALUE"""),43784.66666666667)</f>
        <v>43784.66667</v>
      </c>
      <c r="H391" s="23">
        <f>IFERROR(__xludf.DUMMYFUNCTION("""COMPUTED_VALUE"""),86.49)</f>
        <v>86.49</v>
      </c>
      <c r="I391" s="22">
        <f>IFERROR(__xludf.DUMMYFUNCTION("""COMPUTED_VALUE"""),43784.66666666667)</f>
        <v>43784.66667</v>
      </c>
      <c r="J391" s="23">
        <f>IFERROR(__xludf.DUMMYFUNCTION("""COMPUTED_VALUE"""),232.56)</f>
        <v>232.56</v>
      </c>
      <c r="K391" s="22">
        <f>IFERROR(__xludf.DUMMYFUNCTION("""COMPUTED_VALUE"""),43784.66666666667)</f>
        <v>43784.66667</v>
      </c>
      <c r="L391" s="23">
        <f>IFERROR(__xludf.DUMMYFUNCTION("""COMPUTED_VALUE"""),76.95)</f>
        <v>76.95</v>
      </c>
      <c r="M391" s="23">
        <v>0.0</v>
      </c>
      <c r="N391" s="23">
        <v>0.0</v>
      </c>
      <c r="O391" s="23">
        <v>0.0</v>
      </c>
      <c r="P391" s="23">
        <f t="shared" si="1"/>
        <v>0</v>
      </c>
      <c r="Q391" s="23">
        <f t="shared" si="2"/>
        <v>0</v>
      </c>
      <c r="R391" s="23">
        <f t="shared" si="3"/>
        <v>0</v>
      </c>
      <c r="S391" s="19"/>
      <c r="T391" s="19"/>
      <c r="U391" s="19"/>
      <c r="V391" s="19"/>
    </row>
    <row r="392">
      <c r="A392" s="22">
        <f>IFERROR(__xludf.DUMMYFUNCTION("""COMPUTED_VALUE"""),42529.66666666667)</f>
        <v>42529.66667</v>
      </c>
      <c r="B392" s="23">
        <f>IFERROR(__xludf.DUMMYFUNCTION("""COMPUTED_VALUE"""),57.41)</f>
        <v>57.41</v>
      </c>
      <c r="C392" s="22">
        <f>IFERROR(__xludf.DUMMYFUNCTION("""COMPUTED_VALUE"""),43784.66666666667)</f>
        <v>43784.66667</v>
      </c>
      <c r="D392" s="23">
        <f>IFERROR(__xludf.DUMMYFUNCTION("""COMPUTED_VALUE"""),114.25)</f>
        <v>114.25</v>
      </c>
      <c r="E392" s="22">
        <f>IFERROR(__xludf.DUMMYFUNCTION("""COMPUTED_VALUE"""),42709.66666666667)</f>
        <v>42709.66667</v>
      </c>
      <c r="F392" s="23">
        <f>IFERROR(__xludf.DUMMYFUNCTION("""COMPUTED_VALUE"""),11.03)</f>
        <v>11.03</v>
      </c>
      <c r="G392" s="22">
        <f>IFERROR(__xludf.DUMMYFUNCTION("""COMPUTED_VALUE"""),43791.66666666667)</f>
        <v>43791.66667</v>
      </c>
      <c r="H392" s="23">
        <f>IFERROR(__xludf.DUMMYFUNCTION("""COMPUTED_VALUE"""),85.42)</f>
        <v>85.42</v>
      </c>
      <c r="I392" s="22">
        <f>IFERROR(__xludf.DUMMYFUNCTION("""COMPUTED_VALUE"""),43791.66666666667)</f>
        <v>43791.66667</v>
      </c>
      <c r="J392" s="23">
        <f>IFERROR(__xludf.DUMMYFUNCTION("""COMPUTED_VALUE"""),232.94)</f>
        <v>232.94</v>
      </c>
      <c r="K392" s="22">
        <f>IFERROR(__xludf.DUMMYFUNCTION("""COMPUTED_VALUE"""),43791.66666666667)</f>
        <v>43791.66667</v>
      </c>
      <c r="L392" s="23">
        <f>IFERROR(__xludf.DUMMYFUNCTION("""COMPUTED_VALUE"""),76.91)</f>
        <v>76.91</v>
      </c>
      <c r="M392" s="23">
        <v>1000.0</v>
      </c>
      <c r="N392" s="23">
        <v>1000.0</v>
      </c>
      <c r="O392" s="23">
        <v>1000.0</v>
      </c>
      <c r="P392" s="23">
        <f t="shared" si="1"/>
        <v>11.70686022</v>
      </c>
      <c r="Q392" s="23">
        <f t="shared" si="2"/>
        <v>4.292950974</v>
      </c>
      <c r="R392" s="23">
        <f t="shared" si="3"/>
        <v>13.00221038</v>
      </c>
      <c r="S392" s="19"/>
      <c r="T392" s="19"/>
      <c r="U392" s="19"/>
      <c r="V392" s="19"/>
    </row>
    <row r="393">
      <c r="A393" s="22">
        <f>IFERROR(__xludf.DUMMYFUNCTION("""COMPUTED_VALUE"""),42530.66666666667)</f>
        <v>42530.66667</v>
      </c>
      <c r="B393" s="23">
        <f>IFERROR(__xludf.DUMMYFUNCTION("""COMPUTED_VALUE"""),57.56)</f>
        <v>57.56</v>
      </c>
      <c r="C393" s="22">
        <f>IFERROR(__xludf.DUMMYFUNCTION("""COMPUTED_VALUE"""),43787.66666666667)</f>
        <v>43787.66667</v>
      </c>
      <c r="D393" s="23">
        <f>IFERROR(__xludf.DUMMYFUNCTION("""COMPUTED_VALUE"""),113.82)</f>
        <v>113.82</v>
      </c>
      <c r="E393" s="22">
        <f>IFERROR(__xludf.DUMMYFUNCTION("""COMPUTED_VALUE"""),42710.66666666667)</f>
        <v>42710.66667</v>
      </c>
      <c r="F393" s="23">
        <f>IFERROR(__xludf.DUMMYFUNCTION("""COMPUTED_VALUE"""),11.11)</f>
        <v>11.11</v>
      </c>
      <c r="G393" s="22">
        <f>IFERROR(__xludf.DUMMYFUNCTION("""COMPUTED_VALUE"""),43798.66666666667)</f>
        <v>43798.66667</v>
      </c>
      <c r="H393" s="23">
        <f>IFERROR(__xludf.DUMMYFUNCTION("""COMPUTED_VALUE"""),87.14)</f>
        <v>87.14</v>
      </c>
      <c r="I393" s="22">
        <f>IFERROR(__xludf.DUMMYFUNCTION("""COMPUTED_VALUE"""),43798.66666666667)</f>
        <v>43798.66667</v>
      </c>
      <c r="J393" s="23">
        <f>IFERROR(__xludf.DUMMYFUNCTION("""COMPUTED_VALUE"""),236.77)</f>
        <v>236.77</v>
      </c>
      <c r="K393" s="22">
        <f>IFERROR(__xludf.DUMMYFUNCTION("""COMPUTED_VALUE"""),43798.66666666667)</f>
        <v>43798.66667</v>
      </c>
      <c r="L393" s="23">
        <f>IFERROR(__xludf.DUMMYFUNCTION("""COMPUTED_VALUE"""),77.14)</f>
        <v>77.14</v>
      </c>
      <c r="M393" s="23">
        <v>0.0</v>
      </c>
      <c r="N393" s="23">
        <v>0.0</v>
      </c>
      <c r="O393" s="23">
        <v>0.0</v>
      </c>
      <c r="P393" s="23">
        <f t="shared" si="1"/>
        <v>0</v>
      </c>
      <c r="Q393" s="23">
        <f t="shared" si="2"/>
        <v>0</v>
      </c>
      <c r="R393" s="23">
        <f t="shared" si="3"/>
        <v>0</v>
      </c>
      <c r="S393" s="19"/>
      <c r="T393" s="19"/>
      <c r="U393" s="19"/>
      <c r="V393" s="19"/>
    </row>
    <row r="394">
      <c r="A394" s="22">
        <f>IFERROR(__xludf.DUMMYFUNCTION("""COMPUTED_VALUE"""),42531.66666666667)</f>
        <v>42531.66667</v>
      </c>
      <c r="B394" s="23">
        <f>IFERROR(__xludf.DUMMYFUNCTION("""COMPUTED_VALUE"""),57.64)</f>
        <v>57.64</v>
      </c>
      <c r="C394" s="22">
        <f>IFERROR(__xludf.DUMMYFUNCTION("""COMPUTED_VALUE"""),43788.66666666667)</f>
        <v>43788.66667</v>
      </c>
      <c r="D394" s="23">
        <f>IFERROR(__xludf.DUMMYFUNCTION("""COMPUTED_VALUE"""),114.3)</f>
        <v>114.3</v>
      </c>
      <c r="E394" s="22">
        <f>IFERROR(__xludf.DUMMYFUNCTION("""COMPUTED_VALUE"""),42711.66666666667)</f>
        <v>42711.66667</v>
      </c>
      <c r="F394" s="23">
        <f>IFERROR(__xludf.DUMMYFUNCTION("""COMPUTED_VALUE"""),11.18)</f>
        <v>11.18</v>
      </c>
      <c r="G394" s="22">
        <f>IFERROR(__xludf.DUMMYFUNCTION("""COMPUTED_VALUE"""),43805.66666666667)</f>
        <v>43805.66667</v>
      </c>
      <c r="H394" s="23">
        <f>IFERROR(__xludf.DUMMYFUNCTION("""COMPUTED_VALUE"""),85.37)</f>
        <v>85.37</v>
      </c>
      <c r="I394" s="22">
        <f>IFERROR(__xludf.DUMMYFUNCTION("""COMPUTED_VALUE"""),43805.66666666667)</f>
        <v>43805.66667</v>
      </c>
      <c r="J394" s="23">
        <f>IFERROR(__xludf.DUMMYFUNCTION("""COMPUTED_VALUE"""),232.58)</f>
        <v>232.58</v>
      </c>
      <c r="K394" s="22">
        <f>IFERROR(__xludf.DUMMYFUNCTION("""COMPUTED_VALUE"""),43805.66666666667)</f>
        <v>43805.66667</v>
      </c>
      <c r="L394" s="23">
        <f>IFERROR(__xludf.DUMMYFUNCTION("""COMPUTED_VALUE"""),76.55)</f>
        <v>76.55</v>
      </c>
      <c r="M394" s="23">
        <v>0.0</v>
      </c>
      <c r="N394" s="23">
        <v>0.0</v>
      </c>
      <c r="O394" s="23">
        <v>0.0</v>
      </c>
      <c r="P394" s="23">
        <f t="shared" si="1"/>
        <v>0</v>
      </c>
      <c r="Q394" s="23">
        <f t="shared" si="2"/>
        <v>0</v>
      </c>
      <c r="R394" s="23">
        <f t="shared" si="3"/>
        <v>0</v>
      </c>
      <c r="S394" s="19"/>
      <c r="T394" s="19"/>
      <c r="U394" s="19"/>
      <c r="V394" s="19"/>
    </row>
    <row r="395">
      <c r="A395" s="22">
        <f>IFERROR(__xludf.DUMMYFUNCTION("""COMPUTED_VALUE"""),42535.66666666667)</f>
        <v>42535.66667</v>
      </c>
      <c r="B395" s="23">
        <f>IFERROR(__xludf.DUMMYFUNCTION("""COMPUTED_VALUE"""),56.3)</f>
        <v>56.3</v>
      </c>
      <c r="C395" s="22">
        <f>IFERROR(__xludf.DUMMYFUNCTION("""COMPUTED_VALUE"""),43789.66666666667)</f>
        <v>43789.66667</v>
      </c>
      <c r="D395" s="23">
        <f>IFERROR(__xludf.DUMMYFUNCTION("""COMPUTED_VALUE"""),113.0)</f>
        <v>113</v>
      </c>
      <c r="E395" s="22">
        <f>IFERROR(__xludf.DUMMYFUNCTION("""COMPUTED_VALUE"""),42712.66666666667)</f>
        <v>42712.66667</v>
      </c>
      <c r="F395" s="23">
        <f>IFERROR(__xludf.DUMMYFUNCTION("""COMPUTED_VALUE"""),11.21)</f>
        <v>11.21</v>
      </c>
      <c r="G395" s="22">
        <f>IFERROR(__xludf.DUMMYFUNCTION("""COMPUTED_VALUE"""),43812.66666666667)</f>
        <v>43812.66667</v>
      </c>
      <c r="H395" s="23">
        <f>IFERROR(__xludf.DUMMYFUNCTION("""COMPUTED_VALUE"""),85.94)</f>
        <v>85.94</v>
      </c>
      <c r="I395" s="22">
        <f>IFERROR(__xludf.DUMMYFUNCTION("""COMPUTED_VALUE"""),43812.66666666667)</f>
        <v>43812.66667</v>
      </c>
      <c r="J395" s="23">
        <f>IFERROR(__xludf.DUMMYFUNCTION("""COMPUTED_VALUE"""),233.78)</f>
        <v>233.78</v>
      </c>
      <c r="K395" s="22">
        <f>IFERROR(__xludf.DUMMYFUNCTION("""COMPUTED_VALUE"""),43812.66666666667)</f>
        <v>43812.66667</v>
      </c>
      <c r="L395" s="23">
        <f>IFERROR(__xludf.DUMMYFUNCTION("""COMPUTED_VALUE"""),77.4)</f>
        <v>77.4</v>
      </c>
      <c r="M395" s="23">
        <v>0.0</v>
      </c>
      <c r="N395" s="23">
        <v>0.0</v>
      </c>
      <c r="O395" s="23">
        <v>0.0</v>
      </c>
      <c r="P395" s="23">
        <f t="shared" si="1"/>
        <v>0</v>
      </c>
      <c r="Q395" s="23">
        <f t="shared" si="2"/>
        <v>0</v>
      </c>
      <c r="R395" s="23">
        <f t="shared" si="3"/>
        <v>0</v>
      </c>
      <c r="S395" s="19"/>
      <c r="T395" s="19"/>
      <c r="U395" s="19"/>
      <c r="V395" s="19"/>
    </row>
    <row r="396">
      <c r="A396" s="22">
        <f>IFERROR(__xludf.DUMMYFUNCTION("""COMPUTED_VALUE"""),42536.66666666667)</f>
        <v>42536.66667</v>
      </c>
      <c r="B396" s="23">
        <f>IFERROR(__xludf.DUMMYFUNCTION("""COMPUTED_VALUE"""),55.9)</f>
        <v>55.9</v>
      </c>
      <c r="C396" s="22">
        <f>IFERROR(__xludf.DUMMYFUNCTION("""COMPUTED_VALUE"""),43790.66666666667)</f>
        <v>43790.66667</v>
      </c>
      <c r="D396" s="23">
        <f>IFERROR(__xludf.DUMMYFUNCTION("""COMPUTED_VALUE"""),112.0)</f>
        <v>112</v>
      </c>
      <c r="E396" s="22">
        <f>IFERROR(__xludf.DUMMYFUNCTION("""COMPUTED_VALUE"""),42713.66666666667)</f>
        <v>42713.66667</v>
      </c>
      <c r="F396" s="23">
        <f>IFERROR(__xludf.DUMMYFUNCTION("""COMPUTED_VALUE"""),11.3)</f>
        <v>11.3</v>
      </c>
      <c r="G396" s="22">
        <f>IFERROR(__xludf.DUMMYFUNCTION("""COMPUTED_VALUE"""),43819.66666666667)</f>
        <v>43819.66667</v>
      </c>
      <c r="H396" s="23">
        <f>IFERROR(__xludf.DUMMYFUNCTION("""COMPUTED_VALUE"""),86.73)</f>
        <v>86.73</v>
      </c>
      <c r="I396" s="22">
        <f>IFERROR(__xludf.DUMMYFUNCTION("""COMPUTED_VALUE"""),43819.66666666667)</f>
        <v>43819.66667</v>
      </c>
      <c r="J396" s="23">
        <f>IFERROR(__xludf.DUMMYFUNCTION("""COMPUTED_VALUE"""),237.2)</f>
        <v>237.2</v>
      </c>
      <c r="K396" s="22">
        <f>IFERROR(__xludf.DUMMYFUNCTION("""COMPUTED_VALUE"""),43819.66666666667)</f>
        <v>43819.66667</v>
      </c>
      <c r="L396" s="23">
        <f>IFERROR(__xludf.DUMMYFUNCTION("""COMPUTED_VALUE"""),78.38)</f>
        <v>78.38</v>
      </c>
      <c r="M396" s="23">
        <v>1000.0</v>
      </c>
      <c r="N396" s="23">
        <v>1000.0</v>
      </c>
      <c r="O396" s="23">
        <v>1000.0</v>
      </c>
      <c r="P396" s="23">
        <f t="shared" si="1"/>
        <v>11.53003574</v>
      </c>
      <c r="Q396" s="23">
        <f t="shared" si="2"/>
        <v>4.215851602</v>
      </c>
      <c r="R396" s="23">
        <f t="shared" si="3"/>
        <v>12.75835672</v>
      </c>
      <c r="S396" s="19"/>
      <c r="T396" s="19"/>
      <c r="U396" s="19"/>
      <c r="V396" s="19"/>
    </row>
    <row r="397">
      <c r="A397" s="22">
        <f>IFERROR(__xludf.DUMMYFUNCTION("""COMPUTED_VALUE"""),42537.66666666667)</f>
        <v>42537.66667</v>
      </c>
      <c r="B397" s="23">
        <f>IFERROR(__xludf.DUMMYFUNCTION("""COMPUTED_VALUE"""),55.64)</f>
        <v>55.64</v>
      </c>
      <c r="C397" s="22">
        <f>IFERROR(__xludf.DUMMYFUNCTION("""COMPUTED_VALUE"""),43791.66666666667)</f>
        <v>43791.66667</v>
      </c>
      <c r="D397" s="23">
        <f>IFERROR(__xludf.DUMMYFUNCTION("""COMPUTED_VALUE"""),112.75)</f>
        <v>112.75</v>
      </c>
      <c r="E397" s="22">
        <f>IFERROR(__xludf.DUMMYFUNCTION("""COMPUTED_VALUE"""),42716.66666666667)</f>
        <v>42716.66667</v>
      </c>
      <c r="F397" s="23">
        <f>IFERROR(__xludf.DUMMYFUNCTION("""COMPUTED_VALUE"""),11.32)</f>
        <v>11.32</v>
      </c>
      <c r="G397" s="22">
        <f>IFERROR(__xludf.DUMMYFUNCTION("""COMPUTED_VALUE"""),43826.66666666667)</f>
        <v>43826.66667</v>
      </c>
      <c r="H397" s="23">
        <f>IFERROR(__xludf.DUMMYFUNCTION("""COMPUTED_VALUE"""),86.81)</f>
        <v>86.81</v>
      </c>
      <c r="I397" s="22">
        <f>IFERROR(__xludf.DUMMYFUNCTION("""COMPUTED_VALUE"""),43826.66666666667)</f>
        <v>43826.66667</v>
      </c>
      <c r="J397" s="23">
        <f>IFERROR(__xludf.DUMMYFUNCTION("""COMPUTED_VALUE"""),236.72)</f>
        <v>236.72</v>
      </c>
      <c r="K397" s="22">
        <f>IFERROR(__xludf.DUMMYFUNCTION("""COMPUTED_VALUE"""),43826.66666666667)</f>
        <v>43826.66667</v>
      </c>
      <c r="L397" s="23">
        <f>IFERROR(__xludf.DUMMYFUNCTION("""COMPUTED_VALUE"""),77.74)</f>
        <v>77.74</v>
      </c>
      <c r="M397" s="23">
        <v>0.0</v>
      </c>
      <c r="N397" s="23">
        <v>0.0</v>
      </c>
      <c r="O397" s="23">
        <v>0.0</v>
      </c>
      <c r="P397" s="23">
        <f t="shared" si="1"/>
        <v>0</v>
      </c>
      <c r="Q397" s="23">
        <f t="shared" si="2"/>
        <v>0</v>
      </c>
      <c r="R397" s="23">
        <f t="shared" si="3"/>
        <v>0</v>
      </c>
      <c r="S397" s="19"/>
      <c r="T397" s="19"/>
      <c r="U397" s="19"/>
      <c r="V397" s="19"/>
    </row>
    <row r="398">
      <c r="A398" s="22">
        <f>IFERROR(__xludf.DUMMYFUNCTION("""COMPUTED_VALUE"""),42538.66666666667)</f>
        <v>42538.66667</v>
      </c>
      <c r="B398" s="23">
        <f>IFERROR(__xludf.DUMMYFUNCTION("""COMPUTED_VALUE"""),56.04)</f>
        <v>56.04</v>
      </c>
      <c r="C398" s="22">
        <f>IFERROR(__xludf.DUMMYFUNCTION("""COMPUTED_VALUE"""),43794.66666666667)</f>
        <v>43794.66667</v>
      </c>
      <c r="D398" s="23">
        <f>IFERROR(__xludf.DUMMYFUNCTION("""COMPUTED_VALUE"""),113.17)</f>
        <v>113.17</v>
      </c>
      <c r="E398" s="22">
        <f>IFERROR(__xludf.DUMMYFUNCTION("""COMPUTED_VALUE"""),42717.66666666667)</f>
        <v>42717.66667</v>
      </c>
      <c r="F398" s="23">
        <f>IFERROR(__xludf.DUMMYFUNCTION("""COMPUTED_VALUE"""),11.24)</f>
        <v>11.24</v>
      </c>
      <c r="G398" s="22">
        <f>IFERROR(__xludf.DUMMYFUNCTION("""COMPUTED_VALUE"""),43833.66666666667)</f>
        <v>43833.66667</v>
      </c>
      <c r="H398" s="23">
        <f>IFERROR(__xludf.DUMMYFUNCTION("""COMPUTED_VALUE"""),85.15)</f>
        <v>85.15</v>
      </c>
      <c r="I398" s="22">
        <f>IFERROR(__xludf.DUMMYFUNCTION("""COMPUTED_VALUE"""),43833.66666666667)</f>
        <v>43833.66667</v>
      </c>
      <c r="J398" s="23">
        <f>IFERROR(__xludf.DUMMYFUNCTION("""COMPUTED_VALUE"""),236.3)</f>
        <v>236.3</v>
      </c>
      <c r="K398" s="22">
        <f>IFERROR(__xludf.DUMMYFUNCTION("""COMPUTED_VALUE"""),43833.66666666667)</f>
        <v>43833.66667</v>
      </c>
      <c r="L398" s="23">
        <f>IFERROR(__xludf.DUMMYFUNCTION("""COMPUTED_VALUE"""),77.75)</f>
        <v>77.75</v>
      </c>
      <c r="M398" s="23">
        <v>0.0</v>
      </c>
      <c r="N398" s="23">
        <v>0.0</v>
      </c>
      <c r="O398" s="23">
        <v>0.0</v>
      </c>
      <c r="P398" s="23">
        <f t="shared" si="1"/>
        <v>0</v>
      </c>
      <c r="Q398" s="23">
        <f t="shared" si="2"/>
        <v>0</v>
      </c>
      <c r="R398" s="23">
        <f t="shared" si="3"/>
        <v>0</v>
      </c>
      <c r="S398" s="19"/>
      <c r="T398" s="19"/>
      <c r="U398" s="19"/>
      <c r="V398" s="19"/>
    </row>
    <row r="399">
      <c r="A399" s="22">
        <f>IFERROR(__xludf.DUMMYFUNCTION("""COMPUTED_VALUE"""),42541.66666666667)</f>
        <v>42541.66667</v>
      </c>
      <c r="B399" s="23">
        <f>IFERROR(__xludf.DUMMYFUNCTION("""COMPUTED_VALUE"""),56.52)</f>
        <v>56.52</v>
      </c>
      <c r="C399" s="22">
        <f>IFERROR(__xludf.DUMMYFUNCTION("""COMPUTED_VALUE"""),43795.66666666667)</f>
        <v>43795.66667</v>
      </c>
      <c r="D399" s="23">
        <f>IFERROR(__xludf.DUMMYFUNCTION("""COMPUTED_VALUE"""),113.94)</f>
        <v>113.94</v>
      </c>
      <c r="E399" s="22">
        <f>IFERROR(__xludf.DUMMYFUNCTION("""COMPUTED_VALUE"""),42718.66666666667)</f>
        <v>42718.66667</v>
      </c>
      <c r="F399" s="23">
        <f>IFERROR(__xludf.DUMMYFUNCTION("""COMPUTED_VALUE"""),11.46)</f>
        <v>11.46</v>
      </c>
      <c r="G399" s="22">
        <f>IFERROR(__xludf.DUMMYFUNCTION("""COMPUTED_VALUE"""),43840.66666666667)</f>
        <v>43840.66667</v>
      </c>
      <c r="H399" s="23">
        <f>IFERROR(__xludf.DUMMYFUNCTION("""COMPUTED_VALUE"""),87.9)</f>
        <v>87.9</v>
      </c>
      <c r="I399" s="22">
        <f>IFERROR(__xludf.DUMMYFUNCTION("""COMPUTED_VALUE"""),43840.66666666667)</f>
        <v>43840.66667</v>
      </c>
      <c r="J399" s="23">
        <f>IFERROR(__xludf.DUMMYFUNCTION("""COMPUTED_VALUE"""),242.13)</f>
        <v>242.13</v>
      </c>
      <c r="K399" s="22">
        <f>IFERROR(__xludf.DUMMYFUNCTION("""COMPUTED_VALUE"""),43840.66666666667)</f>
        <v>43840.66667</v>
      </c>
      <c r="L399" s="23">
        <f>IFERROR(__xludf.DUMMYFUNCTION("""COMPUTED_VALUE"""),78.97)</f>
        <v>78.97</v>
      </c>
      <c r="M399" s="23">
        <v>0.0</v>
      </c>
      <c r="N399" s="23">
        <v>0.0</v>
      </c>
      <c r="O399" s="23">
        <v>0.0</v>
      </c>
      <c r="P399" s="23">
        <f t="shared" si="1"/>
        <v>0</v>
      </c>
      <c r="Q399" s="23">
        <f t="shared" si="2"/>
        <v>0</v>
      </c>
      <c r="R399" s="23">
        <f t="shared" si="3"/>
        <v>0</v>
      </c>
      <c r="S399" s="19"/>
      <c r="T399" s="19"/>
      <c r="U399" s="19"/>
      <c r="V399" s="19"/>
    </row>
    <row r="400">
      <c r="A400" s="22">
        <f>IFERROR(__xludf.DUMMYFUNCTION("""COMPUTED_VALUE"""),42542.66666666667)</f>
        <v>42542.66667</v>
      </c>
      <c r="B400" s="23">
        <f>IFERROR(__xludf.DUMMYFUNCTION("""COMPUTED_VALUE"""),56.47)</f>
        <v>56.47</v>
      </c>
      <c r="C400" s="22">
        <f>IFERROR(__xludf.DUMMYFUNCTION("""COMPUTED_VALUE"""),43796.66666666667)</f>
        <v>43796.66667</v>
      </c>
      <c r="D400" s="23">
        <f>IFERROR(__xludf.DUMMYFUNCTION("""COMPUTED_VALUE"""),115.2)</f>
        <v>115.2</v>
      </c>
      <c r="E400" s="22">
        <f>IFERROR(__xludf.DUMMYFUNCTION("""COMPUTED_VALUE"""),42719.66666666667)</f>
        <v>42719.66667</v>
      </c>
      <c r="F400" s="23">
        <f>IFERROR(__xludf.DUMMYFUNCTION("""COMPUTED_VALUE"""),11.55)</f>
        <v>11.55</v>
      </c>
      <c r="G400" s="22">
        <f>IFERROR(__xludf.DUMMYFUNCTION("""COMPUTED_VALUE"""),43847.66666666667)</f>
        <v>43847.66667</v>
      </c>
      <c r="H400" s="23">
        <f>IFERROR(__xludf.DUMMYFUNCTION("""COMPUTED_VALUE"""),89.5)</f>
        <v>89.5</v>
      </c>
      <c r="I400" s="22">
        <f>IFERROR(__xludf.DUMMYFUNCTION("""COMPUTED_VALUE"""),43847.66666666667)</f>
        <v>43847.66667</v>
      </c>
      <c r="J400" s="23">
        <f>IFERROR(__xludf.DUMMYFUNCTION("""COMPUTED_VALUE"""),244.31)</f>
        <v>244.31</v>
      </c>
      <c r="K400" s="22">
        <f>IFERROR(__xludf.DUMMYFUNCTION("""COMPUTED_VALUE"""),43847.66666666667)</f>
        <v>43847.66667</v>
      </c>
      <c r="L400" s="23">
        <f>IFERROR(__xludf.DUMMYFUNCTION("""COMPUTED_VALUE"""),79.14)</f>
        <v>79.14</v>
      </c>
      <c r="M400" s="23">
        <v>1000.0</v>
      </c>
      <c r="N400" s="23">
        <v>1000.0</v>
      </c>
      <c r="O400" s="23">
        <v>1000.0</v>
      </c>
      <c r="P400" s="23">
        <f t="shared" si="1"/>
        <v>11.17318436</v>
      </c>
      <c r="Q400" s="23">
        <f t="shared" si="2"/>
        <v>4.093160329</v>
      </c>
      <c r="R400" s="23">
        <f t="shared" si="3"/>
        <v>12.63583523</v>
      </c>
      <c r="S400" s="19"/>
      <c r="T400" s="19"/>
      <c r="U400" s="19"/>
      <c r="V400" s="19"/>
    </row>
    <row r="401">
      <c r="A401" s="22">
        <f>IFERROR(__xludf.DUMMYFUNCTION("""COMPUTED_VALUE"""),42543.66666666667)</f>
        <v>42543.66667</v>
      </c>
      <c r="B401" s="23">
        <f>IFERROR(__xludf.DUMMYFUNCTION("""COMPUTED_VALUE"""),56.65)</f>
        <v>56.65</v>
      </c>
      <c r="C401" s="22">
        <f>IFERROR(__xludf.DUMMYFUNCTION("""COMPUTED_VALUE"""),43797.66666666667)</f>
        <v>43797.66667</v>
      </c>
      <c r="D401" s="23">
        <f>IFERROR(__xludf.DUMMYFUNCTION("""COMPUTED_VALUE"""),115.42)</f>
        <v>115.42</v>
      </c>
      <c r="E401" s="22">
        <f>IFERROR(__xludf.DUMMYFUNCTION("""COMPUTED_VALUE"""),42720.66666666667)</f>
        <v>42720.66667</v>
      </c>
      <c r="F401" s="23">
        <f>IFERROR(__xludf.DUMMYFUNCTION("""COMPUTED_VALUE"""),11.64)</f>
        <v>11.64</v>
      </c>
      <c r="G401" s="22">
        <f>IFERROR(__xludf.DUMMYFUNCTION("""COMPUTED_VALUE"""),43854.66666666667)</f>
        <v>43854.66667</v>
      </c>
      <c r="H401" s="23">
        <f>IFERROR(__xludf.DUMMYFUNCTION("""COMPUTED_VALUE"""),89.74)</f>
        <v>89.74</v>
      </c>
      <c r="I401" s="22">
        <f>IFERROR(__xludf.DUMMYFUNCTION("""COMPUTED_VALUE"""),43854.66666666667)</f>
        <v>43854.66667</v>
      </c>
      <c r="J401" s="23">
        <f>IFERROR(__xludf.DUMMYFUNCTION("""COMPUTED_VALUE"""),246.72)</f>
        <v>246.72</v>
      </c>
      <c r="K401" s="22">
        <f>IFERROR(__xludf.DUMMYFUNCTION("""COMPUTED_VALUE"""),43854.66666666667)</f>
        <v>43854.66667</v>
      </c>
      <c r="L401" s="23">
        <f>IFERROR(__xludf.DUMMYFUNCTION("""COMPUTED_VALUE"""),79.18)</f>
        <v>79.18</v>
      </c>
      <c r="M401" s="23">
        <v>0.0</v>
      </c>
      <c r="N401" s="23">
        <v>0.0</v>
      </c>
      <c r="O401" s="23">
        <v>0.0</v>
      </c>
      <c r="P401" s="23">
        <f t="shared" si="1"/>
        <v>0</v>
      </c>
      <c r="Q401" s="23">
        <f t="shared" si="2"/>
        <v>0</v>
      </c>
      <c r="R401" s="23">
        <f t="shared" si="3"/>
        <v>0</v>
      </c>
      <c r="S401" s="19"/>
      <c r="T401" s="19"/>
      <c r="U401" s="19"/>
      <c r="V401" s="19"/>
    </row>
    <row r="402">
      <c r="A402" s="22">
        <f>IFERROR(__xludf.DUMMYFUNCTION("""COMPUTED_VALUE"""),42544.66666666667)</f>
        <v>42544.66667</v>
      </c>
      <c r="B402" s="23">
        <f>IFERROR(__xludf.DUMMYFUNCTION("""COMPUTED_VALUE"""),56.35)</f>
        <v>56.35</v>
      </c>
      <c r="C402" s="22">
        <f>IFERROR(__xludf.DUMMYFUNCTION("""COMPUTED_VALUE"""),43798.66666666667)</f>
        <v>43798.66667</v>
      </c>
      <c r="D402" s="23">
        <f>IFERROR(__xludf.DUMMYFUNCTION("""COMPUTED_VALUE"""),115.12)</f>
        <v>115.12</v>
      </c>
      <c r="E402" s="22">
        <f>IFERROR(__xludf.DUMMYFUNCTION("""COMPUTED_VALUE"""),42723.66666666667)</f>
        <v>42723.66667</v>
      </c>
      <c r="F402" s="23">
        <f>IFERROR(__xludf.DUMMYFUNCTION("""COMPUTED_VALUE"""),11.79)</f>
        <v>11.79</v>
      </c>
      <c r="G402" s="22">
        <f>IFERROR(__xludf.DUMMYFUNCTION("""COMPUTED_VALUE"""),43861.66666666667)</f>
        <v>43861.66667</v>
      </c>
      <c r="H402" s="23">
        <f>IFERROR(__xludf.DUMMYFUNCTION("""COMPUTED_VALUE"""),88.75)</f>
        <v>88.75</v>
      </c>
      <c r="I402" s="22">
        <f>IFERROR(__xludf.DUMMYFUNCTION("""COMPUTED_VALUE"""),43861.66666666667)</f>
        <v>43861.66667</v>
      </c>
      <c r="J402" s="23">
        <f>IFERROR(__xludf.DUMMYFUNCTION("""COMPUTED_VALUE"""),248.56)</f>
        <v>248.56</v>
      </c>
      <c r="K402" s="22">
        <f>IFERROR(__xludf.DUMMYFUNCTION("""COMPUTED_VALUE"""),43861.66666666667)</f>
        <v>43861.66667</v>
      </c>
      <c r="L402" s="23">
        <f>IFERROR(__xludf.DUMMYFUNCTION("""COMPUTED_VALUE"""),78.58)</f>
        <v>78.58</v>
      </c>
      <c r="M402" s="23">
        <v>0.0</v>
      </c>
      <c r="N402" s="23">
        <v>0.0</v>
      </c>
      <c r="O402" s="23">
        <v>0.0</v>
      </c>
      <c r="P402" s="23">
        <f t="shared" si="1"/>
        <v>0</v>
      </c>
      <c r="Q402" s="23">
        <f t="shared" si="2"/>
        <v>0</v>
      </c>
      <c r="R402" s="23">
        <f t="shared" si="3"/>
        <v>0</v>
      </c>
      <c r="S402" s="19"/>
      <c r="T402" s="19"/>
      <c r="U402" s="19"/>
      <c r="V402" s="19"/>
    </row>
    <row r="403">
      <c r="A403" s="22">
        <f>IFERROR(__xludf.DUMMYFUNCTION("""COMPUTED_VALUE"""),42545.66666666667)</f>
        <v>42545.66667</v>
      </c>
      <c r="B403" s="23">
        <f>IFERROR(__xludf.DUMMYFUNCTION("""COMPUTED_VALUE"""),56.92)</f>
        <v>56.92</v>
      </c>
      <c r="C403" s="22">
        <f>IFERROR(__xludf.DUMMYFUNCTION("""COMPUTED_VALUE"""),43801.66666666667)</f>
        <v>43801.66667</v>
      </c>
      <c r="D403" s="23">
        <f>IFERROR(__xludf.DUMMYFUNCTION("""COMPUTED_VALUE"""),115.48)</f>
        <v>115.48</v>
      </c>
      <c r="E403" s="22">
        <f>IFERROR(__xludf.DUMMYFUNCTION("""COMPUTED_VALUE"""),42724.66666666667)</f>
        <v>42724.66667</v>
      </c>
      <c r="F403" s="23">
        <f>IFERROR(__xludf.DUMMYFUNCTION("""COMPUTED_VALUE"""),11.89)</f>
        <v>11.89</v>
      </c>
      <c r="G403" s="22">
        <f>IFERROR(__xludf.DUMMYFUNCTION("""COMPUTED_VALUE"""),43868.66666666667)</f>
        <v>43868.66667</v>
      </c>
      <c r="H403" s="23">
        <f>IFERROR(__xludf.DUMMYFUNCTION("""COMPUTED_VALUE"""),88.79)</f>
        <v>88.79</v>
      </c>
      <c r="I403" s="22">
        <f>IFERROR(__xludf.DUMMYFUNCTION("""COMPUTED_VALUE"""),43868.66666666667)</f>
        <v>43868.66667</v>
      </c>
      <c r="J403" s="23">
        <f>IFERROR(__xludf.DUMMYFUNCTION("""COMPUTED_VALUE"""),252.29)</f>
        <v>252.29</v>
      </c>
      <c r="K403" s="22">
        <f>IFERROR(__xludf.DUMMYFUNCTION("""COMPUTED_VALUE"""),43868.66666666667)</f>
        <v>43868.66667</v>
      </c>
      <c r="L403" s="23">
        <f>IFERROR(__xludf.DUMMYFUNCTION("""COMPUTED_VALUE"""),80.49)</f>
        <v>80.49</v>
      </c>
      <c r="M403" s="23">
        <v>0.0</v>
      </c>
      <c r="N403" s="23">
        <v>0.0</v>
      </c>
      <c r="O403" s="23">
        <v>0.0</v>
      </c>
      <c r="P403" s="23">
        <f t="shared" si="1"/>
        <v>0</v>
      </c>
      <c r="Q403" s="23">
        <f t="shared" si="2"/>
        <v>0</v>
      </c>
      <c r="R403" s="23">
        <f t="shared" si="3"/>
        <v>0</v>
      </c>
      <c r="S403" s="19"/>
      <c r="T403" s="19"/>
      <c r="U403" s="19"/>
      <c r="V403" s="19"/>
    </row>
    <row r="404">
      <c r="A404" s="22">
        <f>IFERROR(__xludf.DUMMYFUNCTION("""COMPUTED_VALUE"""),42548.66666666667)</f>
        <v>42548.66667</v>
      </c>
      <c r="B404" s="23">
        <f>IFERROR(__xludf.DUMMYFUNCTION("""COMPUTED_VALUE"""),54.31)</f>
        <v>54.31</v>
      </c>
      <c r="C404" s="22">
        <f>IFERROR(__xludf.DUMMYFUNCTION("""COMPUTED_VALUE"""),43802.66666666667)</f>
        <v>43802.66667</v>
      </c>
      <c r="D404" s="23">
        <f>IFERROR(__xludf.DUMMYFUNCTION("""COMPUTED_VALUE"""),112.7)</f>
        <v>112.7</v>
      </c>
      <c r="E404" s="22">
        <f>IFERROR(__xludf.DUMMYFUNCTION("""COMPUTED_VALUE"""),42725.66666666667)</f>
        <v>42725.66667</v>
      </c>
      <c r="F404" s="23">
        <f>IFERROR(__xludf.DUMMYFUNCTION("""COMPUTED_VALUE"""),11.92)</f>
        <v>11.92</v>
      </c>
      <c r="G404" s="22">
        <f>IFERROR(__xludf.DUMMYFUNCTION("""COMPUTED_VALUE"""),43875.66666666667)</f>
        <v>43875.66667</v>
      </c>
      <c r="H404" s="23">
        <f>IFERROR(__xludf.DUMMYFUNCTION("""COMPUTED_VALUE"""),90.24)</f>
        <v>90.24</v>
      </c>
      <c r="I404" s="22">
        <f>IFERROR(__xludf.DUMMYFUNCTION("""COMPUTED_VALUE"""),43875.66666666667)</f>
        <v>43875.66667</v>
      </c>
      <c r="J404" s="23">
        <f>IFERROR(__xludf.DUMMYFUNCTION("""COMPUTED_VALUE"""),256.04)</f>
        <v>256.04</v>
      </c>
      <c r="K404" s="22">
        <f>IFERROR(__xludf.DUMMYFUNCTION("""COMPUTED_VALUE"""),43875.66666666667)</f>
        <v>43875.66667</v>
      </c>
      <c r="L404" s="23">
        <f>IFERROR(__xludf.DUMMYFUNCTION("""COMPUTED_VALUE"""),79.96)</f>
        <v>79.96</v>
      </c>
      <c r="M404" s="23">
        <v>1000.0</v>
      </c>
      <c r="N404" s="23">
        <v>1000.0</v>
      </c>
      <c r="O404" s="23">
        <v>1000.0</v>
      </c>
      <c r="P404" s="23">
        <f t="shared" si="1"/>
        <v>11.08156028</v>
      </c>
      <c r="Q404" s="23">
        <f t="shared" si="2"/>
        <v>3.905639744</v>
      </c>
      <c r="R404" s="23">
        <f t="shared" si="3"/>
        <v>12.50625313</v>
      </c>
      <c r="S404" s="19"/>
      <c r="T404" s="19"/>
      <c r="U404" s="19"/>
      <c r="V404" s="19"/>
    </row>
    <row r="405">
      <c r="A405" s="22">
        <f>IFERROR(__xludf.DUMMYFUNCTION("""COMPUTED_VALUE"""),42549.66666666667)</f>
        <v>42549.66667</v>
      </c>
      <c r="B405" s="23">
        <f>IFERROR(__xludf.DUMMYFUNCTION("""COMPUTED_VALUE"""),54.18)</f>
        <v>54.18</v>
      </c>
      <c r="C405" s="22">
        <f>IFERROR(__xludf.DUMMYFUNCTION("""COMPUTED_VALUE"""),43803.66666666667)</f>
        <v>43803.66667</v>
      </c>
      <c r="D405" s="23">
        <f>IFERROR(__xludf.DUMMYFUNCTION("""COMPUTED_VALUE"""),111.23)</f>
        <v>111.23</v>
      </c>
      <c r="E405" s="22">
        <f>IFERROR(__xludf.DUMMYFUNCTION("""COMPUTED_VALUE"""),42726.66666666667)</f>
        <v>42726.66667</v>
      </c>
      <c r="F405" s="23">
        <f>IFERROR(__xludf.DUMMYFUNCTION("""COMPUTED_VALUE"""),11.9)</f>
        <v>11.9</v>
      </c>
      <c r="G405" s="22">
        <f>IFERROR(__xludf.DUMMYFUNCTION("""COMPUTED_VALUE"""),43882.66666666667)</f>
        <v>43882.66667</v>
      </c>
      <c r="H405" s="23">
        <f>IFERROR(__xludf.DUMMYFUNCTION("""COMPUTED_VALUE"""),90.55)</f>
        <v>90.55</v>
      </c>
      <c r="I405" s="22">
        <f>IFERROR(__xludf.DUMMYFUNCTION("""COMPUTED_VALUE"""),43882.66666666667)</f>
        <v>43882.66667</v>
      </c>
      <c r="J405" s="23">
        <f>IFERROR(__xludf.DUMMYFUNCTION("""COMPUTED_VALUE"""),258.88)</f>
        <v>258.88</v>
      </c>
      <c r="K405" s="22">
        <f>IFERROR(__xludf.DUMMYFUNCTION("""COMPUTED_VALUE"""),43882.66666666667)</f>
        <v>43882.66667</v>
      </c>
      <c r="L405" s="23">
        <f>IFERROR(__xludf.DUMMYFUNCTION("""COMPUTED_VALUE"""),80.22)</f>
        <v>80.22</v>
      </c>
      <c r="M405" s="23">
        <v>0.0</v>
      </c>
      <c r="N405" s="23">
        <v>0.0</v>
      </c>
      <c r="O405" s="23">
        <v>0.0</v>
      </c>
      <c r="P405" s="23">
        <f t="shared" si="1"/>
        <v>0</v>
      </c>
      <c r="Q405" s="23">
        <f t="shared" si="2"/>
        <v>0</v>
      </c>
      <c r="R405" s="23">
        <f t="shared" si="3"/>
        <v>0</v>
      </c>
      <c r="S405" s="19"/>
      <c r="T405" s="19"/>
      <c r="U405" s="19"/>
      <c r="V405" s="19"/>
    </row>
    <row r="406">
      <c r="A406" s="22">
        <f>IFERROR(__xludf.DUMMYFUNCTION("""COMPUTED_VALUE"""),42550.66666666667)</f>
        <v>42550.66667</v>
      </c>
      <c r="B406" s="23">
        <f>IFERROR(__xludf.DUMMYFUNCTION("""COMPUTED_VALUE"""),55.3)</f>
        <v>55.3</v>
      </c>
      <c r="C406" s="22">
        <f>IFERROR(__xludf.DUMMYFUNCTION("""COMPUTED_VALUE"""),43804.66666666667)</f>
        <v>43804.66667</v>
      </c>
      <c r="D406" s="23">
        <f>IFERROR(__xludf.DUMMYFUNCTION("""COMPUTED_VALUE"""),112.29)</f>
        <v>112.29</v>
      </c>
      <c r="E406" s="22">
        <f>IFERROR(__xludf.DUMMYFUNCTION("""COMPUTED_VALUE"""),42727.66666666667)</f>
        <v>42727.66667</v>
      </c>
      <c r="F406" s="23">
        <f>IFERROR(__xludf.DUMMYFUNCTION("""COMPUTED_VALUE"""),11.85)</f>
        <v>11.85</v>
      </c>
      <c r="G406" s="22">
        <f>IFERROR(__xludf.DUMMYFUNCTION("""COMPUTED_VALUE"""),43889.66666666667)</f>
        <v>43889.66667</v>
      </c>
      <c r="H406" s="23">
        <f>IFERROR(__xludf.DUMMYFUNCTION("""COMPUTED_VALUE"""),81.85)</f>
        <v>81.85</v>
      </c>
      <c r="I406" s="22">
        <f>IFERROR(__xludf.DUMMYFUNCTION("""COMPUTED_VALUE"""),43889.66666666667)</f>
        <v>43889.66667</v>
      </c>
      <c r="J406" s="23">
        <f>IFERROR(__xludf.DUMMYFUNCTION("""COMPUTED_VALUE"""),228.28)</f>
        <v>228.28</v>
      </c>
      <c r="K406" s="22">
        <f>IFERROR(__xludf.DUMMYFUNCTION("""COMPUTED_VALUE"""),43889.66666666667)</f>
        <v>43889.66667</v>
      </c>
      <c r="L406" s="23">
        <f>IFERROR(__xludf.DUMMYFUNCTION("""COMPUTED_VALUE"""),74.0)</f>
        <v>74</v>
      </c>
      <c r="M406" s="23">
        <v>0.0</v>
      </c>
      <c r="N406" s="23">
        <v>0.0</v>
      </c>
      <c r="O406" s="23">
        <v>0.0</v>
      </c>
      <c r="P406" s="23">
        <f t="shared" si="1"/>
        <v>0</v>
      </c>
      <c r="Q406" s="23">
        <f t="shared" si="2"/>
        <v>0</v>
      </c>
      <c r="R406" s="23">
        <f t="shared" si="3"/>
        <v>0</v>
      </c>
      <c r="S406" s="19"/>
      <c r="T406" s="19"/>
      <c r="U406" s="19"/>
      <c r="V406" s="19"/>
    </row>
    <row r="407">
      <c r="A407" s="22">
        <f>IFERROR(__xludf.DUMMYFUNCTION("""COMPUTED_VALUE"""),42551.66666666667)</f>
        <v>42551.66667</v>
      </c>
      <c r="B407" s="23">
        <f>IFERROR(__xludf.DUMMYFUNCTION("""COMPUTED_VALUE"""),55.8)</f>
        <v>55.8</v>
      </c>
      <c r="C407" s="22">
        <f>IFERROR(__xludf.DUMMYFUNCTION("""COMPUTED_VALUE"""),43805.66666666667)</f>
        <v>43805.66667</v>
      </c>
      <c r="D407" s="23">
        <f>IFERROR(__xludf.DUMMYFUNCTION("""COMPUTED_VALUE"""),112.69)</f>
        <v>112.69</v>
      </c>
      <c r="E407" s="22">
        <f>IFERROR(__xludf.DUMMYFUNCTION("""COMPUTED_VALUE"""),42732.66666666667)</f>
        <v>42732.66667</v>
      </c>
      <c r="F407" s="23">
        <f>IFERROR(__xludf.DUMMYFUNCTION("""COMPUTED_VALUE"""),11.9)</f>
        <v>11.9</v>
      </c>
      <c r="G407" s="22">
        <f>IFERROR(__xludf.DUMMYFUNCTION("""COMPUTED_VALUE"""),43896.66666666667)</f>
        <v>43896.66667</v>
      </c>
      <c r="H407" s="23">
        <f>IFERROR(__xludf.DUMMYFUNCTION("""COMPUTED_VALUE"""),79.5)</f>
        <v>79.5</v>
      </c>
      <c r="I407" s="22">
        <f>IFERROR(__xludf.DUMMYFUNCTION("""COMPUTED_VALUE"""),43896.66666666667)</f>
        <v>43896.66667</v>
      </c>
      <c r="J407" s="23">
        <f>IFERROR(__xludf.DUMMYFUNCTION("""COMPUTED_VALUE"""),229.29)</f>
        <v>229.29</v>
      </c>
      <c r="K407" s="22">
        <f>IFERROR(__xludf.DUMMYFUNCTION("""COMPUTED_VALUE"""),43896.66666666667)</f>
        <v>43896.66667</v>
      </c>
      <c r="L407" s="23">
        <f>IFERROR(__xludf.DUMMYFUNCTION("""COMPUTED_VALUE"""),73.56)</f>
        <v>73.56</v>
      </c>
      <c r="M407" s="23">
        <v>0.0</v>
      </c>
      <c r="N407" s="23">
        <v>0.0</v>
      </c>
      <c r="O407" s="23">
        <v>0.0</v>
      </c>
      <c r="P407" s="23">
        <f t="shared" si="1"/>
        <v>0</v>
      </c>
      <c r="Q407" s="23">
        <f t="shared" si="2"/>
        <v>0</v>
      </c>
      <c r="R407" s="23">
        <f t="shared" si="3"/>
        <v>0</v>
      </c>
      <c r="S407" s="19"/>
      <c r="T407" s="19"/>
      <c r="U407" s="19"/>
      <c r="V407" s="19"/>
    </row>
    <row r="408">
      <c r="A408" s="22">
        <f>IFERROR(__xludf.DUMMYFUNCTION("""COMPUTED_VALUE"""),42552.66666666667)</f>
        <v>42552.66667</v>
      </c>
      <c r="B408" s="23">
        <f>IFERROR(__xludf.DUMMYFUNCTION("""COMPUTED_VALUE"""),54.4)</f>
        <v>54.4</v>
      </c>
      <c r="C408" s="22">
        <f>IFERROR(__xludf.DUMMYFUNCTION("""COMPUTED_VALUE"""),43808.66666666667)</f>
        <v>43808.66667</v>
      </c>
      <c r="D408" s="23">
        <f>IFERROR(__xludf.DUMMYFUNCTION("""COMPUTED_VALUE"""),113.14)</f>
        <v>113.14</v>
      </c>
      <c r="E408" s="22">
        <f>IFERROR(__xludf.DUMMYFUNCTION("""COMPUTED_VALUE"""),42733.66666666667)</f>
        <v>42733.66667</v>
      </c>
      <c r="F408" s="23">
        <f>IFERROR(__xludf.DUMMYFUNCTION("""COMPUTED_VALUE"""),11.83)</f>
        <v>11.83</v>
      </c>
      <c r="G408" s="22">
        <f>IFERROR(__xludf.DUMMYFUNCTION("""COMPUTED_VALUE"""),43903.66666666667)</f>
        <v>43903.66667</v>
      </c>
      <c r="H408" s="23">
        <f>IFERROR(__xludf.DUMMYFUNCTION("""COMPUTED_VALUE"""),70.98)</f>
        <v>70.98</v>
      </c>
      <c r="I408" s="22">
        <f>IFERROR(__xludf.DUMMYFUNCTION("""COMPUTED_VALUE"""),43903.66666666667)</f>
        <v>43903.66667</v>
      </c>
      <c r="J408" s="23">
        <f>IFERROR(__xludf.DUMMYFUNCTION("""COMPUTED_VALUE"""),200.38)</f>
        <v>200.38</v>
      </c>
      <c r="K408" s="22">
        <f>IFERROR(__xludf.DUMMYFUNCTION("""COMPUTED_VALUE"""),43903.66666666667)</f>
        <v>43903.66667</v>
      </c>
      <c r="L408" s="23">
        <f>IFERROR(__xludf.DUMMYFUNCTION("""COMPUTED_VALUE"""),63.01)</f>
        <v>63.01</v>
      </c>
      <c r="M408" s="23">
        <v>1000.0</v>
      </c>
      <c r="N408" s="23">
        <v>1000.0</v>
      </c>
      <c r="O408" s="23">
        <v>1000.0</v>
      </c>
      <c r="P408" s="23">
        <f t="shared" si="1"/>
        <v>14.08847563</v>
      </c>
      <c r="Q408" s="23">
        <f t="shared" si="2"/>
        <v>4.990518016</v>
      </c>
      <c r="R408" s="23">
        <f t="shared" si="3"/>
        <v>15.87049675</v>
      </c>
      <c r="S408" s="19"/>
      <c r="T408" s="19"/>
      <c r="U408" s="19"/>
      <c r="V408" s="19"/>
    </row>
    <row r="409">
      <c r="A409" s="22">
        <f>IFERROR(__xludf.DUMMYFUNCTION("""COMPUTED_VALUE"""),42555.66666666667)</f>
        <v>42555.66667</v>
      </c>
      <c r="B409" s="23">
        <f>IFERROR(__xludf.DUMMYFUNCTION("""COMPUTED_VALUE"""),54.42)</f>
        <v>54.42</v>
      </c>
      <c r="C409" s="22">
        <f>IFERROR(__xludf.DUMMYFUNCTION("""COMPUTED_VALUE"""),43809.66666666667)</f>
        <v>43809.66667</v>
      </c>
      <c r="D409" s="23">
        <f>IFERROR(__xludf.DUMMYFUNCTION("""COMPUTED_VALUE"""),112.81)</f>
        <v>112.81</v>
      </c>
      <c r="E409" s="22">
        <f>IFERROR(__xludf.DUMMYFUNCTION("""COMPUTED_VALUE"""),42734.66666666667)</f>
        <v>42734.66667</v>
      </c>
      <c r="F409" s="23">
        <f>IFERROR(__xludf.DUMMYFUNCTION("""COMPUTED_VALUE"""),11.81)</f>
        <v>11.81</v>
      </c>
      <c r="G409" s="22">
        <f>IFERROR(__xludf.DUMMYFUNCTION("""COMPUTED_VALUE"""),43910.66666666667)</f>
        <v>43910.66667</v>
      </c>
      <c r="H409" s="23">
        <f>IFERROR(__xludf.DUMMYFUNCTION("""COMPUTED_VALUE"""),61.47)</f>
        <v>61.47</v>
      </c>
      <c r="I409" s="22">
        <f>IFERROR(__xludf.DUMMYFUNCTION("""COMPUTED_VALUE"""),43910.66666666667)</f>
        <v>43910.66667</v>
      </c>
      <c r="J409" s="23">
        <f>IFERROR(__xludf.DUMMYFUNCTION("""COMPUTED_VALUE"""),205.68)</f>
        <v>205.68</v>
      </c>
      <c r="K409" s="22">
        <f>IFERROR(__xludf.DUMMYFUNCTION("""COMPUTED_VALUE"""),43910.66666666667)</f>
        <v>43910.66667</v>
      </c>
      <c r="L409" s="23">
        <f>IFERROR(__xludf.DUMMYFUNCTION("""COMPUTED_VALUE"""),64.0)</f>
        <v>64</v>
      </c>
      <c r="M409" s="23">
        <v>0.0</v>
      </c>
      <c r="N409" s="23">
        <v>0.0</v>
      </c>
      <c r="O409" s="23">
        <v>0.0</v>
      </c>
      <c r="P409" s="23">
        <f t="shared" si="1"/>
        <v>0</v>
      </c>
      <c r="Q409" s="23">
        <f t="shared" si="2"/>
        <v>0</v>
      </c>
      <c r="R409" s="23">
        <f t="shared" si="3"/>
        <v>0</v>
      </c>
      <c r="S409" s="19"/>
      <c r="T409" s="19"/>
      <c r="U409" s="19"/>
      <c r="V409" s="19"/>
    </row>
    <row r="410">
      <c r="A410" s="22">
        <f>IFERROR(__xludf.DUMMYFUNCTION("""COMPUTED_VALUE"""),42556.66666666667)</f>
        <v>42556.66667</v>
      </c>
      <c r="B410" s="23">
        <f>IFERROR(__xludf.DUMMYFUNCTION("""COMPUTED_VALUE"""),54.48)</f>
        <v>54.48</v>
      </c>
      <c r="C410" s="22">
        <f>IFERROR(__xludf.DUMMYFUNCTION("""COMPUTED_VALUE"""),43810.66666666667)</f>
        <v>43810.66667</v>
      </c>
      <c r="D410" s="23">
        <f>IFERROR(__xludf.DUMMYFUNCTION("""COMPUTED_VALUE"""),113.5)</f>
        <v>113.5</v>
      </c>
      <c r="E410" s="22">
        <f>IFERROR(__xludf.DUMMYFUNCTION("""COMPUTED_VALUE"""),42738.66666666667)</f>
        <v>42738.66667</v>
      </c>
      <c r="F410" s="23">
        <f>IFERROR(__xludf.DUMMYFUNCTION("""COMPUTED_VALUE"""),11.7)</f>
        <v>11.7</v>
      </c>
      <c r="G410" s="22">
        <f>IFERROR(__xludf.DUMMYFUNCTION("""COMPUTED_VALUE"""),43917.66666666667)</f>
        <v>43917.66667</v>
      </c>
      <c r="H410" s="23">
        <f>IFERROR(__xludf.DUMMYFUNCTION("""COMPUTED_VALUE"""),62.18)</f>
        <v>62.18</v>
      </c>
      <c r="I410" s="22">
        <f>IFERROR(__xludf.DUMMYFUNCTION("""COMPUTED_VALUE"""),43917.66666666667)</f>
        <v>43917.66667</v>
      </c>
      <c r="J410" s="23">
        <f>IFERROR(__xludf.DUMMYFUNCTION("""COMPUTED_VALUE"""),210.37)</f>
        <v>210.37</v>
      </c>
      <c r="K410" s="22">
        <f>IFERROR(__xludf.DUMMYFUNCTION("""COMPUTED_VALUE"""),43917.66666666667)</f>
        <v>43917.66667</v>
      </c>
      <c r="L410" s="23">
        <f>IFERROR(__xludf.DUMMYFUNCTION("""COMPUTED_VALUE"""),67.4)</f>
        <v>67.4</v>
      </c>
      <c r="M410" s="23">
        <v>0.0</v>
      </c>
      <c r="N410" s="23">
        <v>0.0</v>
      </c>
      <c r="O410" s="23">
        <v>0.0</v>
      </c>
      <c r="P410" s="23">
        <f t="shared" si="1"/>
        <v>0</v>
      </c>
      <c r="Q410" s="23">
        <f t="shared" si="2"/>
        <v>0</v>
      </c>
      <c r="R410" s="23">
        <f t="shared" si="3"/>
        <v>0</v>
      </c>
      <c r="S410" s="19"/>
      <c r="T410" s="19"/>
      <c r="U410" s="19"/>
      <c r="V410" s="19"/>
    </row>
    <row r="411">
      <c r="A411" s="22">
        <f>IFERROR(__xludf.DUMMYFUNCTION("""COMPUTED_VALUE"""),42557.66666666667)</f>
        <v>42557.66667</v>
      </c>
      <c r="B411" s="23">
        <f>IFERROR(__xludf.DUMMYFUNCTION("""COMPUTED_VALUE"""),54.02)</f>
        <v>54.02</v>
      </c>
      <c r="C411" s="22">
        <f>IFERROR(__xludf.DUMMYFUNCTION("""COMPUTED_VALUE"""),43811.66666666667)</f>
        <v>43811.66667</v>
      </c>
      <c r="D411" s="23">
        <f>IFERROR(__xludf.DUMMYFUNCTION("""COMPUTED_VALUE"""),112.78)</f>
        <v>112.78</v>
      </c>
      <c r="E411" s="22">
        <f>IFERROR(__xludf.DUMMYFUNCTION("""COMPUTED_VALUE"""),42739.66666666667)</f>
        <v>42739.66667</v>
      </c>
      <c r="F411" s="23">
        <f>IFERROR(__xludf.DUMMYFUNCTION("""COMPUTED_VALUE"""),11.79)</f>
        <v>11.79</v>
      </c>
      <c r="G411" s="22">
        <f>IFERROR(__xludf.DUMMYFUNCTION("""COMPUTED_VALUE"""),43924.66666666667)</f>
        <v>43924.66667</v>
      </c>
      <c r="H411" s="23">
        <f>IFERROR(__xludf.DUMMYFUNCTION("""COMPUTED_VALUE"""),63.93)</f>
        <v>63.93</v>
      </c>
      <c r="I411" s="22">
        <f>IFERROR(__xludf.DUMMYFUNCTION("""COMPUTED_VALUE"""),43924.66666666667)</f>
        <v>43924.66667</v>
      </c>
      <c r="J411" s="23">
        <f>IFERROR(__xludf.DUMMYFUNCTION("""COMPUTED_VALUE"""),204.21)</f>
        <v>204.21</v>
      </c>
      <c r="K411" s="22">
        <f>IFERROR(__xludf.DUMMYFUNCTION("""COMPUTED_VALUE"""),43924.66666666667)</f>
        <v>43924.66667</v>
      </c>
      <c r="L411" s="23">
        <f>IFERROR(__xludf.DUMMYFUNCTION("""COMPUTED_VALUE"""),65.55)</f>
        <v>65.55</v>
      </c>
      <c r="M411" s="23">
        <v>0.0</v>
      </c>
      <c r="N411" s="23">
        <v>0.0</v>
      </c>
      <c r="O411" s="23">
        <v>0.0</v>
      </c>
      <c r="P411" s="23">
        <f t="shared" si="1"/>
        <v>0</v>
      </c>
      <c r="Q411" s="23">
        <f t="shared" si="2"/>
        <v>0</v>
      </c>
      <c r="R411" s="23">
        <f t="shared" si="3"/>
        <v>0</v>
      </c>
      <c r="S411" s="19"/>
      <c r="T411" s="19"/>
      <c r="U411" s="19"/>
      <c r="V411" s="19"/>
    </row>
    <row r="412">
      <c r="A412" s="22">
        <f>IFERROR(__xludf.DUMMYFUNCTION("""COMPUTED_VALUE"""),42558.66666666667)</f>
        <v>42558.66667</v>
      </c>
      <c r="B412" s="23">
        <f>IFERROR(__xludf.DUMMYFUNCTION("""COMPUTED_VALUE"""),54.13)</f>
        <v>54.13</v>
      </c>
      <c r="C412" s="22">
        <f>IFERROR(__xludf.DUMMYFUNCTION("""COMPUTED_VALUE"""),43812.66666666667)</f>
        <v>43812.66667</v>
      </c>
      <c r="D412" s="23">
        <f>IFERROR(__xludf.DUMMYFUNCTION("""COMPUTED_VALUE"""),113.35)</f>
        <v>113.35</v>
      </c>
      <c r="E412" s="22">
        <f>IFERROR(__xludf.DUMMYFUNCTION("""COMPUTED_VALUE"""),42740.66666666667)</f>
        <v>42740.66667</v>
      </c>
      <c r="F412" s="23">
        <f>IFERROR(__xludf.DUMMYFUNCTION("""COMPUTED_VALUE"""),11.71)</f>
        <v>11.71</v>
      </c>
      <c r="G412" s="22">
        <f>IFERROR(__xludf.DUMMYFUNCTION("""COMPUTED_VALUE"""),43930.66666666667)</f>
        <v>43930.66667</v>
      </c>
      <c r="H412" s="23">
        <f>IFERROR(__xludf.DUMMYFUNCTION("""COMPUTED_VALUE"""),68.16)</f>
        <v>68.16</v>
      </c>
      <c r="I412" s="22">
        <f>IFERROR(__xludf.DUMMYFUNCTION("""COMPUTED_VALUE"""),43930.66666666667)</f>
        <v>43930.66667</v>
      </c>
      <c r="J412" s="23">
        <f>IFERROR(__xludf.DUMMYFUNCTION("""COMPUTED_VALUE"""),221.09)</f>
        <v>221.09</v>
      </c>
      <c r="K412" s="22">
        <f>IFERROR(__xludf.DUMMYFUNCTION("""COMPUTED_VALUE"""),43930.66666666667)</f>
        <v>43930.66667</v>
      </c>
      <c r="L412" s="23">
        <f>IFERROR(__xludf.DUMMYFUNCTION("""COMPUTED_VALUE"""),68.14)</f>
        <v>68.14</v>
      </c>
      <c r="M412" s="23">
        <v>1000.0</v>
      </c>
      <c r="N412" s="23">
        <v>1000.0</v>
      </c>
      <c r="O412" s="23">
        <v>1000.0</v>
      </c>
      <c r="P412" s="23">
        <f t="shared" si="1"/>
        <v>14.6713615</v>
      </c>
      <c r="Q412" s="23">
        <f t="shared" si="2"/>
        <v>4.523044914</v>
      </c>
      <c r="R412" s="23">
        <f t="shared" si="3"/>
        <v>14.67566774</v>
      </c>
      <c r="S412" s="19"/>
      <c r="T412" s="19"/>
      <c r="U412" s="19"/>
      <c r="V412" s="19"/>
    </row>
    <row r="413">
      <c r="A413" s="22">
        <f>IFERROR(__xludf.DUMMYFUNCTION("""COMPUTED_VALUE"""),42559.66666666667)</f>
        <v>42559.66667</v>
      </c>
      <c r="B413" s="23">
        <f>IFERROR(__xludf.DUMMYFUNCTION("""COMPUTED_VALUE"""),53.93)</f>
        <v>53.93</v>
      </c>
      <c r="C413" s="22">
        <f>IFERROR(__xludf.DUMMYFUNCTION("""COMPUTED_VALUE"""),43815.66666666667)</f>
        <v>43815.66667</v>
      </c>
      <c r="D413" s="23">
        <f>IFERROR(__xludf.DUMMYFUNCTION("""COMPUTED_VALUE"""),115.15)</f>
        <v>115.15</v>
      </c>
      <c r="E413" s="22">
        <f>IFERROR(__xludf.DUMMYFUNCTION("""COMPUTED_VALUE"""),42741.66666666667)</f>
        <v>42741.66667</v>
      </c>
      <c r="F413" s="23">
        <f>IFERROR(__xludf.DUMMYFUNCTION("""COMPUTED_VALUE"""),11.75)</f>
        <v>11.75</v>
      </c>
      <c r="G413" s="22">
        <f>IFERROR(__xludf.DUMMYFUNCTION("""COMPUTED_VALUE"""),43938.66666666667)</f>
        <v>43938.66667</v>
      </c>
      <c r="H413" s="23">
        <f>IFERROR(__xludf.DUMMYFUNCTION("""COMPUTED_VALUE"""),69.45)</f>
        <v>69.45</v>
      </c>
      <c r="I413" s="22">
        <f>IFERROR(__xludf.DUMMYFUNCTION("""COMPUTED_VALUE"""),43938.66666666667)</f>
        <v>43938.66667</v>
      </c>
      <c r="J413" s="23">
        <f>IFERROR(__xludf.DUMMYFUNCTION("""COMPUTED_VALUE"""),225.74)</f>
        <v>225.74</v>
      </c>
      <c r="K413" s="22">
        <f>IFERROR(__xludf.DUMMYFUNCTION("""COMPUTED_VALUE"""),43938.66666666667)</f>
        <v>43938.66667</v>
      </c>
      <c r="L413" s="23">
        <f>IFERROR(__xludf.DUMMYFUNCTION("""COMPUTED_VALUE"""),68.15)</f>
        <v>68.15</v>
      </c>
      <c r="M413" s="23">
        <v>0.0</v>
      </c>
      <c r="N413" s="23">
        <v>0.0</v>
      </c>
      <c r="O413" s="23">
        <v>0.0</v>
      </c>
      <c r="P413" s="23">
        <f t="shared" si="1"/>
        <v>0</v>
      </c>
      <c r="Q413" s="23">
        <f t="shared" si="2"/>
        <v>0</v>
      </c>
      <c r="R413" s="23">
        <f t="shared" si="3"/>
        <v>0</v>
      </c>
      <c r="S413" s="19"/>
      <c r="T413" s="19"/>
      <c r="U413" s="19"/>
      <c r="V413" s="19"/>
    </row>
    <row r="414">
      <c r="A414" s="22">
        <f>IFERROR(__xludf.DUMMYFUNCTION("""COMPUTED_VALUE"""),42562.66666666667)</f>
        <v>42562.66667</v>
      </c>
      <c r="B414" s="23">
        <f>IFERROR(__xludf.DUMMYFUNCTION("""COMPUTED_VALUE"""),54.61)</f>
        <v>54.61</v>
      </c>
      <c r="C414" s="22">
        <f>IFERROR(__xludf.DUMMYFUNCTION("""COMPUTED_VALUE"""),43816.66666666667)</f>
        <v>43816.66667</v>
      </c>
      <c r="D414" s="23">
        <f>IFERROR(__xludf.DUMMYFUNCTION("""COMPUTED_VALUE"""),115.1)</f>
        <v>115.1</v>
      </c>
      <c r="E414" s="22">
        <f>IFERROR(__xludf.DUMMYFUNCTION("""COMPUTED_VALUE"""),42744.66666666667)</f>
        <v>42744.66667</v>
      </c>
      <c r="F414" s="23">
        <f>IFERROR(__xludf.DUMMYFUNCTION("""COMPUTED_VALUE"""),11.87)</f>
        <v>11.87</v>
      </c>
      <c r="G414" s="22">
        <f>IFERROR(__xludf.DUMMYFUNCTION("""COMPUTED_VALUE"""),43945.66666666667)</f>
        <v>43945.66667</v>
      </c>
      <c r="H414" s="23">
        <f>IFERROR(__xludf.DUMMYFUNCTION("""COMPUTED_VALUE"""),66.43)</f>
        <v>66.43</v>
      </c>
      <c r="I414" s="22">
        <f>IFERROR(__xludf.DUMMYFUNCTION("""COMPUTED_VALUE"""),43945.66666666667)</f>
        <v>43945.66667</v>
      </c>
      <c r="J414" s="23">
        <f>IFERROR(__xludf.DUMMYFUNCTION("""COMPUTED_VALUE"""),218.17)</f>
        <v>218.17</v>
      </c>
      <c r="K414" s="22">
        <f>IFERROR(__xludf.DUMMYFUNCTION("""COMPUTED_VALUE"""),43945.66666666667)</f>
        <v>43945.66667</v>
      </c>
      <c r="L414" s="23">
        <f>IFERROR(__xludf.DUMMYFUNCTION("""COMPUTED_VALUE"""),66.42)</f>
        <v>66.42</v>
      </c>
      <c r="M414" s="23">
        <v>0.0</v>
      </c>
      <c r="N414" s="23">
        <v>0.0</v>
      </c>
      <c r="O414" s="23">
        <v>0.0</v>
      </c>
      <c r="P414" s="23">
        <f t="shared" si="1"/>
        <v>0</v>
      </c>
      <c r="Q414" s="23">
        <f t="shared" si="2"/>
        <v>0</v>
      </c>
      <c r="R414" s="23">
        <f t="shared" si="3"/>
        <v>0</v>
      </c>
      <c r="S414" s="19"/>
      <c r="T414" s="19"/>
      <c r="U414" s="19"/>
      <c r="V414" s="19"/>
    </row>
    <row r="415">
      <c r="A415" s="22">
        <f>IFERROR(__xludf.DUMMYFUNCTION("""COMPUTED_VALUE"""),42563.66666666667)</f>
        <v>42563.66667</v>
      </c>
      <c r="B415" s="23">
        <f>IFERROR(__xludf.DUMMYFUNCTION("""COMPUTED_VALUE"""),54.65)</f>
        <v>54.65</v>
      </c>
      <c r="C415" s="22">
        <f>IFERROR(__xludf.DUMMYFUNCTION("""COMPUTED_VALUE"""),43817.66666666667)</f>
        <v>43817.66667</v>
      </c>
      <c r="D415" s="23">
        <f>IFERROR(__xludf.DUMMYFUNCTION("""COMPUTED_VALUE"""),115.22)</f>
        <v>115.22</v>
      </c>
      <c r="E415" s="22">
        <f>IFERROR(__xludf.DUMMYFUNCTION("""COMPUTED_VALUE"""),42745.66666666667)</f>
        <v>42745.66667</v>
      </c>
      <c r="F415" s="23">
        <f>IFERROR(__xludf.DUMMYFUNCTION("""COMPUTED_VALUE"""),11.76)</f>
        <v>11.76</v>
      </c>
      <c r="G415" s="22">
        <f>IFERROR(__xludf.DUMMYFUNCTION("""COMPUTED_VALUE"""),43952.66666666667)</f>
        <v>43952.66667</v>
      </c>
      <c r="H415" s="23">
        <f>IFERROR(__xludf.DUMMYFUNCTION("""COMPUTED_VALUE"""),67.0)</f>
        <v>67</v>
      </c>
      <c r="I415" s="22">
        <f>IFERROR(__xludf.DUMMYFUNCTION("""COMPUTED_VALUE"""),43952.66666666667)</f>
        <v>43952.66667</v>
      </c>
      <c r="J415" s="23">
        <f>IFERROR(__xludf.DUMMYFUNCTION("""COMPUTED_VALUE"""),222.58)</f>
        <v>222.58</v>
      </c>
      <c r="K415" s="22">
        <f>IFERROR(__xludf.DUMMYFUNCTION("""COMPUTED_VALUE"""),43952.66666666667)</f>
        <v>43952.66667</v>
      </c>
      <c r="L415" s="23">
        <f>IFERROR(__xludf.DUMMYFUNCTION("""COMPUTED_VALUE"""),66.84)</f>
        <v>66.84</v>
      </c>
      <c r="M415" s="23">
        <v>0.0</v>
      </c>
      <c r="N415" s="23">
        <v>0.0</v>
      </c>
      <c r="O415" s="23">
        <v>0.0</v>
      </c>
      <c r="P415" s="23">
        <f t="shared" si="1"/>
        <v>0</v>
      </c>
      <c r="Q415" s="23">
        <f t="shared" si="2"/>
        <v>0</v>
      </c>
      <c r="R415" s="23">
        <f t="shared" si="3"/>
        <v>0</v>
      </c>
      <c r="S415" s="19"/>
      <c r="T415" s="19"/>
      <c r="U415" s="19"/>
      <c r="V415" s="19"/>
    </row>
    <row r="416">
      <c r="A416" s="22">
        <f>IFERROR(__xludf.DUMMYFUNCTION("""COMPUTED_VALUE"""),42564.66666666667)</f>
        <v>42564.66667</v>
      </c>
      <c r="B416" s="23">
        <f>IFERROR(__xludf.DUMMYFUNCTION("""COMPUTED_VALUE"""),54.91)</f>
        <v>54.91</v>
      </c>
      <c r="C416" s="22">
        <f>IFERROR(__xludf.DUMMYFUNCTION("""COMPUTED_VALUE"""),43818.66666666667)</f>
        <v>43818.66667</v>
      </c>
      <c r="D416" s="23">
        <f>IFERROR(__xludf.DUMMYFUNCTION("""COMPUTED_VALUE"""),114.72)</f>
        <v>114.72</v>
      </c>
      <c r="E416" s="22">
        <f>IFERROR(__xludf.DUMMYFUNCTION("""COMPUTED_VALUE"""),42746.66666666667)</f>
        <v>42746.66667</v>
      </c>
      <c r="F416" s="23">
        <f>IFERROR(__xludf.DUMMYFUNCTION("""COMPUTED_VALUE"""),11.81)</f>
        <v>11.81</v>
      </c>
      <c r="G416" s="22">
        <f>IFERROR(__xludf.DUMMYFUNCTION("""COMPUTED_VALUE"""),43959.66666666667)</f>
        <v>43959.66667</v>
      </c>
      <c r="H416" s="23">
        <f>IFERROR(__xludf.DUMMYFUNCTION("""COMPUTED_VALUE"""),68.51)</f>
        <v>68.51</v>
      </c>
      <c r="I416" s="22">
        <f>IFERROR(__xludf.DUMMYFUNCTION("""COMPUTED_VALUE"""),43959.66666666667)</f>
        <v>43959.66667</v>
      </c>
      <c r="J416" s="23">
        <f>IFERROR(__xludf.DUMMYFUNCTION("""COMPUTED_VALUE"""),225.03)</f>
        <v>225.03</v>
      </c>
      <c r="K416" s="22">
        <f>IFERROR(__xludf.DUMMYFUNCTION("""COMPUTED_VALUE"""),43959.66666666667)</f>
        <v>43959.66667</v>
      </c>
      <c r="L416" s="23">
        <f>IFERROR(__xludf.DUMMYFUNCTION("""COMPUTED_VALUE"""),67.13)</f>
        <v>67.13</v>
      </c>
      <c r="M416" s="23">
        <v>1000.0</v>
      </c>
      <c r="N416" s="23">
        <v>1000.0</v>
      </c>
      <c r="O416" s="23">
        <v>1000.0</v>
      </c>
      <c r="P416" s="23">
        <f t="shared" si="1"/>
        <v>14.59640928</v>
      </c>
      <c r="Q416" s="23">
        <f t="shared" si="2"/>
        <v>4.443851931</v>
      </c>
      <c r="R416" s="23">
        <f t="shared" si="3"/>
        <v>14.89646954</v>
      </c>
      <c r="S416" s="19"/>
      <c r="T416" s="19"/>
      <c r="U416" s="19"/>
      <c r="V416" s="19"/>
    </row>
    <row r="417">
      <c r="A417" s="22">
        <f>IFERROR(__xludf.DUMMYFUNCTION("""COMPUTED_VALUE"""),42565.66666666667)</f>
        <v>42565.66667</v>
      </c>
      <c r="B417" s="23">
        <f>IFERROR(__xludf.DUMMYFUNCTION("""COMPUTED_VALUE"""),54.78)</f>
        <v>54.78</v>
      </c>
      <c r="C417" s="22">
        <f>IFERROR(__xludf.DUMMYFUNCTION("""COMPUTED_VALUE"""),43819.66666666667)</f>
        <v>43819.66667</v>
      </c>
      <c r="D417" s="23">
        <f>IFERROR(__xludf.DUMMYFUNCTION("""COMPUTED_VALUE"""),114.49)</f>
        <v>114.49</v>
      </c>
      <c r="E417" s="22">
        <f>IFERROR(__xludf.DUMMYFUNCTION("""COMPUTED_VALUE"""),42747.66666666667)</f>
        <v>42747.66667</v>
      </c>
      <c r="F417" s="23">
        <f>IFERROR(__xludf.DUMMYFUNCTION("""COMPUTED_VALUE"""),11.7)</f>
        <v>11.7</v>
      </c>
      <c r="G417" s="22">
        <f>IFERROR(__xludf.DUMMYFUNCTION("""COMPUTED_VALUE"""),43966.66666666667)</f>
        <v>43966.66667</v>
      </c>
      <c r="H417" s="23">
        <f>IFERROR(__xludf.DUMMYFUNCTION("""COMPUTED_VALUE"""),68.67)</f>
        <v>68.67</v>
      </c>
      <c r="I417" s="22">
        <f>IFERROR(__xludf.DUMMYFUNCTION("""COMPUTED_VALUE"""),43966.66666666667)</f>
        <v>43966.66667</v>
      </c>
      <c r="J417" s="23">
        <f>IFERROR(__xludf.DUMMYFUNCTION("""COMPUTED_VALUE"""),221.4)</f>
        <v>221.4</v>
      </c>
      <c r="K417" s="22">
        <f>IFERROR(__xludf.DUMMYFUNCTION("""COMPUTED_VALUE"""),43966.66666666667)</f>
        <v>43966.66667</v>
      </c>
      <c r="L417" s="23">
        <f>IFERROR(__xludf.DUMMYFUNCTION("""COMPUTED_VALUE"""),66.48)</f>
        <v>66.48</v>
      </c>
      <c r="M417" s="23">
        <v>0.0</v>
      </c>
      <c r="N417" s="23">
        <v>0.0</v>
      </c>
      <c r="O417" s="23">
        <v>0.0</v>
      </c>
      <c r="P417" s="23">
        <f t="shared" si="1"/>
        <v>0</v>
      </c>
      <c r="Q417" s="23">
        <f t="shared" si="2"/>
        <v>0</v>
      </c>
      <c r="R417" s="23">
        <f t="shared" si="3"/>
        <v>0</v>
      </c>
      <c r="S417" s="19"/>
      <c r="T417" s="19"/>
      <c r="U417" s="19"/>
      <c r="V417" s="19"/>
    </row>
    <row r="418">
      <c r="A418" s="22">
        <f>IFERROR(__xludf.DUMMYFUNCTION("""COMPUTED_VALUE"""),42566.66666666667)</f>
        <v>42566.66667</v>
      </c>
      <c r="B418" s="23">
        <f>IFERROR(__xludf.DUMMYFUNCTION("""COMPUTED_VALUE"""),54.94)</f>
        <v>54.94</v>
      </c>
      <c r="C418" s="22">
        <f>IFERROR(__xludf.DUMMYFUNCTION("""COMPUTED_VALUE"""),43822.66666666667)</f>
        <v>43822.66667</v>
      </c>
      <c r="D418" s="23">
        <f>IFERROR(__xludf.DUMMYFUNCTION("""COMPUTED_VALUE"""),114.01)</f>
        <v>114.01</v>
      </c>
      <c r="E418" s="22">
        <f>IFERROR(__xludf.DUMMYFUNCTION("""COMPUTED_VALUE"""),42748.66666666667)</f>
        <v>42748.66667</v>
      </c>
      <c r="F418" s="23">
        <f>IFERROR(__xludf.DUMMYFUNCTION("""COMPUTED_VALUE"""),11.68)</f>
        <v>11.68</v>
      </c>
      <c r="G418" s="22">
        <f>IFERROR(__xludf.DUMMYFUNCTION("""COMPUTED_VALUE"""),43973.66666666667)</f>
        <v>43973.66667</v>
      </c>
      <c r="H418" s="23">
        <f>IFERROR(__xludf.DUMMYFUNCTION("""COMPUTED_VALUE"""),69.94)</f>
        <v>69.94</v>
      </c>
      <c r="I418" s="22">
        <f>IFERROR(__xludf.DUMMYFUNCTION("""COMPUTED_VALUE"""),43973.66666666667)</f>
        <v>43973.66667</v>
      </c>
      <c r="J418" s="23">
        <f>IFERROR(__xludf.DUMMYFUNCTION("""COMPUTED_VALUE"""),225.38)</f>
        <v>225.38</v>
      </c>
      <c r="K418" s="22">
        <f>IFERROR(__xludf.DUMMYFUNCTION("""COMPUTED_VALUE"""),43973.66666666667)</f>
        <v>43973.66667</v>
      </c>
      <c r="L418" s="23">
        <f>IFERROR(__xludf.DUMMYFUNCTION("""COMPUTED_VALUE"""),66.88)</f>
        <v>66.88</v>
      </c>
      <c r="M418" s="23">
        <v>0.0</v>
      </c>
      <c r="N418" s="23">
        <v>0.0</v>
      </c>
      <c r="O418" s="23">
        <v>0.0</v>
      </c>
      <c r="P418" s="23">
        <f t="shared" si="1"/>
        <v>0</v>
      </c>
      <c r="Q418" s="23">
        <f t="shared" si="2"/>
        <v>0</v>
      </c>
      <c r="R418" s="23">
        <f t="shared" si="3"/>
        <v>0</v>
      </c>
      <c r="S418" s="19"/>
      <c r="T418" s="19"/>
      <c r="U418" s="19"/>
      <c r="V418" s="19"/>
    </row>
    <row r="419">
      <c r="A419" s="22">
        <f>IFERROR(__xludf.DUMMYFUNCTION("""COMPUTED_VALUE"""),42569.66666666667)</f>
        <v>42569.66667</v>
      </c>
      <c r="B419" s="23">
        <f>IFERROR(__xludf.DUMMYFUNCTION("""COMPUTED_VALUE"""),55.25)</f>
        <v>55.25</v>
      </c>
      <c r="C419" s="22">
        <f>IFERROR(__xludf.DUMMYFUNCTION("""COMPUTED_VALUE"""),43823.59027777778)</f>
        <v>43823.59028</v>
      </c>
      <c r="D419" s="23">
        <f>IFERROR(__xludf.DUMMYFUNCTION("""COMPUTED_VALUE"""),114.08)</f>
        <v>114.08</v>
      </c>
      <c r="E419" s="22">
        <f>IFERROR(__xludf.DUMMYFUNCTION("""COMPUTED_VALUE"""),42751.66666666667)</f>
        <v>42751.66667</v>
      </c>
      <c r="F419" s="23">
        <f>IFERROR(__xludf.DUMMYFUNCTION("""COMPUTED_VALUE"""),11.72)</f>
        <v>11.72</v>
      </c>
      <c r="G419" s="22">
        <f>IFERROR(__xludf.DUMMYFUNCTION("""COMPUTED_VALUE"""),43980.66666666667)</f>
        <v>43980.66667</v>
      </c>
      <c r="H419" s="23">
        <f>IFERROR(__xludf.DUMMYFUNCTION("""COMPUTED_VALUE"""),73.22)</f>
        <v>73.22</v>
      </c>
      <c r="I419" s="22">
        <f>IFERROR(__xludf.DUMMYFUNCTION("""COMPUTED_VALUE"""),43980.66666666667)</f>
        <v>43980.66667</v>
      </c>
      <c r="J419" s="23">
        <f>IFERROR(__xludf.DUMMYFUNCTION("""COMPUTED_VALUE"""),230.18)</f>
        <v>230.18</v>
      </c>
      <c r="K419" s="22">
        <f>IFERROR(__xludf.DUMMYFUNCTION("""COMPUTED_VALUE"""),43980.66666666667)</f>
        <v>43980.66667</v>
      </c>
      <c r="L419" s="23">
        <f>IFERROR(__xludf.DUMMYFUNCTION("""COMPUTED_VALUE"""),69.02)</f>
        <v>69.02</v>
      </c>
      <c r="M419" s="23">
        <v>0.0</v>
      </c>
      <c r="N419" s="23">
        <v>0.0</v>
      </c>
      <c r="O419" s="23">
        <v>0.0</v>
      </c>
      <c r="P419" s="23">
        <f t="shared" si="1"/>
        <v>0</v>
      </c>
      <c r="Q419" s="23">
        <f t="shared" si="2"/>
        <v>0</v>
      </c>
      <c r="R419" s="23">
        <f t="shared" si="3"/>
        <v>0</v>
      </c>
      <c r="S419" s="19"/>
      <c r="T419" s="19"/>
      <c r="U419" s="19"/>
      <c r="V419" s="19"/>
    </row>
    <row r="420">
      <c r="A420" s="22">
        <f>IFERROR(__xludf.DUMMYFUNCTION("""COMPUTED_VALUE"""),42570.66666666667)</f>
        <v>42570.66667</v>
      </c>
      <c r="B420" s="23">
        <f>IFERROR(__xludf.DUMMYFUNCTION("""COMPUTED_VALUE"""),55.85)</f>
        <v>55.85</v>
      </c>
      <c r="C420" s="22">
        <f>IFERROR(__xludf.DUMMYFUNCTION("""COMPUTED_VALUE"""),43826.66666666667)</f>
        <v>43826.66667</v>
      </c>
      <c r="D420" s="23">
        <f>IFERROR(__xludf.DUMMYFUNCTION("""COMPUTED_VALUE"""),114.63)</f>
        <v>114.63</v>
      </c>
      <c r="E420" s="22">
        <f>IFERROR(__xludf.DUMMYFUNCTION("""COMPUTED_VALUE"""),42752.66666666667)</f>
        <v>42752.66667</v>
      </c>
      <c r="F420" s="23">
        <f>IFERROR(__xludf.DUMMYFUNCTION("""COMPUTED_VALUE"""),11.68)</f>
        <v>11.68</v>
      </c>
      <c r="G420" s="22">
        <f>IFERROR(__xludf.DUMMYFUNCTION("""COMPUTED_VALUE"""),43987.66666666667)</f>
        <v>43987.66667</v>
      </c>
      <c r="H420" s="23">
        <f>IFERROR(__xludf.DUMMYFUNCTION("""COMPUTED_VALUE"""),76.32)</f>
        <v>76.32</v>
      </c>
      <c r="I420" s="22">
        <f>IFERROR(__xludf.DUMMYFUNCTION("""COMPUTED_VALUE"""),43987.66666666667)</f>
        <v>43987.66667</v>
      </c>
      <c r="J420" s="23">
        <f>IFERROR(__xludf.DUMMYFUNCTION("""COMPUTED_VALUE"""),227.49)</f>
        <v>227.49</v>
      </c>
      <c r="K420" s="22">
        <f>IFERROR(__xludf.DUMMYFUNCTION("""COMPUTED_VALUE"""),43987.66666666667)</f>
        <v>43987.66667</v>
      </c>
      <c r="L420" s="23">
        <f>IFERROR(__xludf.DUMMYFUNCTION("""COMPUTED_VALUE"""),69.92)</f>
        <v>69.92</v>
      </c>
      <c r="M420" s="23">
        <v>1000.0</v>
      </c>
      <c r="N420" s="23">
        <v>1000.0</v>
      </c>
      <c r="O420" s="23">
        <v>1000.0</v>
      </c>
      <c r="P420" s="23">
        <f t="shared" si="1"/>
        <v>13.10272537</v>
      </c>
      <c r="Q420" s="23">
        <f t="shared" si="2"/>
        <v>4.395797617</v>
      </c>
      <c r="R420" s="23">
        <f t="shared" si="3"/>
        <v>14.3020595</v>
      </c>
      <c r="S420" s="19"/>
      <c r="T420" s="19"/>
      <c r="U420" s="19"/>
      <c r="V420" s="19"/>
    </row>
    <row r="421">
      <c r="A421" s="22">
        <f>IFERROR(__xludf.DUMMYFUNCTION("""COMPUTED_VALUE"""),42571.66666666667)</f>
        <v>42571.66667</v>
      </c>
      <c r="B421" s="23">
        <f>IFERROR(__xludf.DUMMYFUNCTION("""COMPUTED_VALUE"""),55.93)</f>
        <v>55.93</v>
      </c>
      <c r="C421" s="22">
        <f>IFERROR(__xludf.DUMMYFUNCTION("""COMPUTED_VALUE"""),43829.66666666667)</f>
        <v>43829.66667</v>
      </c>
      <c r="D421" s="23">
        <f>IFERROR(__xludf.DUMMYFUNCTION("""COMPUTED_VALUE"""),114.61)</f>
        <v>114.61</v>
      </c>
      <c r="E421" s="22">
        <f>IFERROR(__xludf.DUMMYFUNCTION("""COMPUTED_VALUE"""),42753.66666666667)</f>
        <v>42753.66667</v>
      </c>
      <c r="F421" s="23">
        <f>IFERROR(__xludf.DUMMYFUNCTION("""COMPUTED_VALUE"""),11.6)</f>
        <v>11.6</v>
      </c>
      <c r="G421" s="22">
        <f>IFERROR(__xludf.DUMMYFUNCTION("""COMPUTED_VALUE"""),43994.66666666667)</f>
        <v>43994.66667</v>
      </c>
      <c r="H421" s="23">
        <f>IFERROR(__xludf.DUMMYFUNCTION("""COMPUTED_VALUE"""),74.41)</f>
        <v>74.41</v>
      </c>
      <c r="I421" s="22">
        <f>IFERROR(__xludf.DUMMYFUNCTION("""COMPUTED_VALUE"""),43994.66666666667)</f>
        <v>43994.66667</v>
      </c>
      <c r="J421" s="23">
        <f>IFERROR(__xludf.DUMMYFUNCTION("""COMPUTED_VALUE"""),224.75)</f>
        <v>224.75</v>
      </c>
      <c r="K421" s="22">
        <f>IFERROR(__xludf.DUMMYFUNCTION("""COMPUTED_VALUE"""),43994.66666666667)</f>
        <v>43994.66667</v>
      </c>
      <c r="L421" s="23">
        <f>IFERROR(__xludf.DUMMYFUNCTION("""COMPUTED_VALUE"""),69.0)</f>
        <v>69</v>
      </c>
      <c r="M421" s="23">
        <v>0.0</v>
      </c>
      <c r="N421" s="23">
        <v>0.0</v>
      </c>
      <c r="O421" s="23">
        <v>0.0</v>
      </c>
      <c r="P421" s="23">
        <f t="shared" si="1"/>
        <v>0</v>
      </c>
      <c r="Q421" s="23">
        <f t="shared" si="2"/>
        <v>0</v>
      </c>
      <c r="R421" s="23">
        <f t="shared" si="3"/>
        <v>0</v>
      </c>
      <c r="S421" s="19"/>
      <c r="T421" s="19"/>
      <c r="U421" s="19"/>
      <c r="V421" s="19"/>
    </row>
    <row r="422">
      <c r="A422" s="22">
        <f>IFERROR(__xludf.DUMMYFUNCTION("""COMPUTED_VALUE"""),42572.66666666667)</f>
        <v>42572.66667</v>
      </c>
      <c r="B422" s="23">
        <f>IFERROR(__xludf.DUMMYFUNCTION("""COMPUTED_VALUE"""),56.33)</f>
        <v>56.33</v>
      </c>
      <c r="C422" s="22">
        <f>IFERROR(__xludf.DUMMYFUNCTION("""COMPUTED_VALUE"""),43830.59027777778)</f>
        <v>43830.59028</v>
      </c>
      <c r="D422" s="23">
        <f>IFERROR(__xludf.DUMMYFUNCTION("""COMPUTED_VALUE"""),112.7)</f>
        <v>112.7</v>
      </c>
      <c r="E422" s="22">
        <f>IFERROR(__xludf.DUMMYFUNCTION("""COMPUTED_VALUE"""),42754.66666666667)</f>
        <v>42754.66667</v>
      </c>
      <c r="F422" s="23">
        <f>IFERROR(__xludf.DUMMYFUNCTION("""COMPUTED_VALUE"""),11.63)</f>
        <v>11.63</v>
      </c>
      <c r="G422" s="22">
        <f>IFERROR(__xludf.DUMMYFUNCTION("""COMPUTED_VALUE"""),44001.66666666667)</f>
        <v>44001.66667</v>
      </c>
      <c r="H422" s="23">
        <f>IFERROR(__xludf.DUMMYFUNCTION("""COMPUTED_VALUE"""),75.65)</f>
        <v>75.65</v>
      </c>
      <c r="I422" s="22">
        <f>IFERROR(__xludf.DUMMYFUNCTION("""COMPUTED_VALUE"""),44001.66666666667)</f>
        <v>44001.66667</v>
      </c>
      <c r="J422" s="23">
        <f>IFERROR(__xludf.DUMMYFUNCTION("""COMPUTED_VALUE"""),230.65)</f>
        <v>230.65</v>
      </c>
      <c r="K422" s="22">
        <f>IFERROR(__xludf.DUMMYFUNCTION("""COMPUTED_VALUE"""),44001.66666666667)</f>
        <v>44001.66667</v>
      </c>
      <c r="L422" s="23">
        <f>IFERROR(__xludf.DUMMYFUNCTION("""COMPUTED_VALUE"""),70.34)</f>
        <v>70.34</v>
      </c>
      <c r="M422" s="23">
        <v>0.0</v>
      </c>
      <c r="N422" s="23">
        <v>0.0</v>
      </c>
      <c r="O422" s="23">
        <v>0.0</v>
      </c>
      <c r="P422" s="23">
        <f t="shared" si="1"/>
        <v>0</v>
      </c>
      <c r="Q422" s="23">
        <f t="shared" si="2"/>
        <v>0</v>
      </c>
      <c r="R422" s="23">
        <f t="shared" si="3"/>
        <v>0</v>
      </c>
      <c r="S422" s="19"/>
      <c r="T422" s="19"/>
      <c r="U422" s="19"/>
      <c r="V422" s="19"/>
    </row>
    <row r="423">
      <c r="A423" s="22">
        <f>IFERROR(__xludf.DUMMYFUNCTION("""COMPUTED_VALUE"""),42573.66666666667)</f>
        <v>42573.66667</v>
      </c>
      <c r="B423" s="23">
        <f>IFERROR(__xludf.DUMMYFUNCTION("""COMPUTED_VALUE"""),56.1)</f>
        <v>56.1</v>
      </c>
      <c r="C423" s="22">
        <f>IFERROR(__xludf.DUMMYFUNCTION("""COMPUTED_VALUE"""),43832.66666666667)</f>
        <v>43832.66667</v>
      </c>
      <c r="D423" s="23">
        <f>IFERROR(__xludf.DUMMYFUNCTION("""COMPUTED_VALUE"""),111.6)</f>
        <v>111.6</v>
      </c>
      <c r="E423" s="22">
        <f>IFERROR(__xludf.DUMMYFUNCTION("""COMPUTED_VALUE"""),42755.66666666667)</f>
        <v>42755.66667</v>
      </c>
      <c r="F423" s="23">
        <f>IFERROR(__xludf.DUMMYFUNCTION("""COMPUTED_VALUE"""),11.57)</f>
        <v>11.57</v>
      </c>
      <c r="G423" s="22">
        <f>IFERROR(__xludf.DUMMYFUNCTION("""COMPUTED_VALUE"""),44008.66666666667)</f>
        <v>44008.66667</v>
      </c>
      <c r="H423" s="23">
        <f>IFERROR(__xludf.DUMMYFUNCTION("""COMPUTED_VALUE"""),75.11)</f>
        <v>75.11</v>
      </c>
      <c r="I423" s="22">
        <f>IFERROR(__xludf.DUMMYFUNCTION("""COMPUTED_VALUE"""),44008.66666666667)</f>
        <v>44008.66667</v>
      </c>
      <c r="J423" s="23">
        <f>IFERROR(__xludf.DUMMYFUNCTION("""COMPUTED_VALUE"""),225.77)</f>
        <v>225.77</v>
      </c>
      <c r="K423" s="22">
        <f>IFERROR(__xludf.DUMMYFUNCTION("""COMPUTED_VALUE"""),44008.66666666667)</f>
        <v>44008.66667</v>
      </c>
      <c r="L423" s="23">
        <f>IFERROR(__xludf.DUMMYFUNCTION("""COMPUTED_VALUE"""),69.75)</f>
        <v>69.75</v>
      </c>
      <c r="M423" s="23">
        <v>0.0</v>
      </c>
      <c r="N423" s="23">
        <v>0.0</v>
      </c>
      <c r="O423" s="23">
        <v>0.0</v>
      </c>
      <c r="P423" s="23">
        <f t="shared" si="1"/>
        <v>0</v>
      </c>
      <c r="Q423" s="23">
        <f t="shared" si="2"/>
        <v>0</v>
      </c>
      <c r="R423" s="23">
        <f t="shared" si="3"/>
        <v>0</v>
      </c>
      <c r="S423" s="19"/>
      <c r="T423" s="19"/>
      <c r="U423" s="19"/>
      <c r="V423" s="19"/>
    </row>
    <row r="424">
      <c r="A424" s="22">
        <f>IFERROR(__xludf.DUMMYFUNCTION("""COMPUTED_VALUE"""),42576.66666666667)</f>
        <v>42576.66667</v>
      </c>
      <c r="B424" s="23">
        <f>IFERROR(__xludf.DUMMYFUNCTION("""COMPUTED_VALUE"""),56.3)</f>
        <v>56.3</v>
      </c>
      <c r="C424" s="22">
        <f>IFERROR(__xludf.DUMMYFUNCTION("""COMPUTED_VALUE"""),43833.66666666667)</f>
        <v>43833.66667</v>
      </c>
      <c r="D424" s="23">
        <f>IFERROR(__xludf.DUMMYFUNCTION("""COMPUTED_VALUE"""),112.22)</f>
        <v>112.22</v>
      </c>
      <c r="E424" s="22">
        <f>IFERROR(__xludf.DUMMYFUNCTION("""COMPUTED_VALUE"""),42758.66666666667)</f>
        <v>42758.66667</v>
      </c>
      <c r="F424" s="23">
        <f>IFERROR(__xludf.DUMMYFUNCTION("""COMPUTED_VALUE"""),11.54)</f>
        <v>11.54</v>
      </c>
      <c r="G424" s="22">
        <f>IFERROR(__xludf.DUMMYFUNCTION("""COMPUTED_VALUE"""),44015.66666666667)</f>
        <v>44015.66667</v>
      </c>
      <c r="H424" s="23">
        <f>IFERROR(__xludf.DUMMYFUNCTION("""COMPUTED_VALUE"""),76.81)</f>
        <v>76.81</v>
      </c>
      <c r="I424" s="22">
        <f>IFERROR(__xludf.DUMMYFUNCTION("""COMPUTED_VALUE"""),44015.66666666667)</f>
        <v>44015.66667</v>
      </c>
      <c r="J424" s="23">
        <f>IFERROR(__xludf.DUMMYFUNCTION("""COMPUTED_VALUE"""),228.57)</f>
        <v>228.57</v>
      </c>
      <c r="K424" s="22">
        <f>IFERROR(__xludf.DUMMYFUNCTION("""COMPUTED_VALUE"""),44015.66666666667)</f>
        <v>44015.66667</v>
      </c>
      <c r="L424" s="23">
        <f>IFERROR(__xludf.DUMMYFUNCTION("""COMPUTED_VALUE"""),70.19)</f>
        <v>70.19</v>
      </c>
      <c r="M424" s="23">
        <v>1000.0</v>
      </c>
      <c r="N424" s="23">
        <v>1000.0</v>
      </c>
      <c r="O424" s="23">
        <v>1000.0</v>
      </c>
      <c r="P424" s="23">
        <f t="shared" si="1"/>
        <v>13.01913813</v>
      </c>
      <c r="Q424" s="23">
        <f t="shared" si="2"/>
        <v>4.375027344</v>
      </c>
      <c r="R424" s="23">
        <f t="shared" si="3"/>
        <v>14.24704374</v>
      </c>
      <c r="S424" s="19"/>
      <c r="T424" s="19"/>
      <c r="U424" s="19"/>
      <c r="V424" s="19"/>
    </row>
    <row r="425">
      <c r="A425" s="22">
        <f>IFERROR(__xludf.DUMMYFUNCTION("""COMPUTED_VALUE"""),42577.66666666667)</f>
        <v>42577.66667</v>
      </c>
      <c r="B425" s="23">
        <f>IFERROR(__xludf.DUMMYFUNCTION("""COMPUTED_VALUE"""),55.95)</f>
        <v>55.95</v>
      </c>
      <c r="C425" s="22">
        <f>IFERROR(__xludf.DUMMYFUNCTION("""COMPUTED_VALUE"""),43836.66666666667)</f>
        <v>43836.66667</v>
      </c>
      <c r="D425" s="23">
        <f>IFERROR(__xludf.DUMMYFUNCTION("""COMPUTED_VALUE"""),112.35)</f>
        <v>112.35</v>
      </c>
      <c r="E425" s="22">
        <f>IFERROR(__xludf.DUMMYFUNCTION("""COMPUTED_VALUE"""),42759.66666666667)</f>
        <v>42759.66667</v>
      </c>
      <c r="F425" s="23">
        <f>IFERROR(__xludf.DUMMYFUNCTION("""COMPUTED_VALUE"""),11.59)</f>
        <v>11.59</v>
      </c>
      <c r="G425" s="22">
        <f>IFERROR(__xludf.DUMMYFUNCTION("""COMPUTED_VALUE"""),44022.66666666667)</f>
        <v>44022.66667</v>
      </c>
      <c r="H425" s="23">
        <f>IFERROR(__xludf.DUMMYFUNCTION("""COMPUTED_VALUE"""),75.12)</f>
        <v>75.12</v>
      </c>
      <c r="I425" s="22">
        <f>IFERROR(__xludf.DUMMYFUNCTION("""COMPUTED_VALUE"""),44022.66666666667)</f>
        <v>44022.66667</v>
      </c>
      <c r="J425" s="23">
        <f>IFERROR(__xludf.DUMMYFUNCTION("""COMPUTED_VALUE"""),227.94)</f>
        <v>227.94</v>
      </c>
      <c r="K425" s="22">
        <f>IFERROR(__xludf.DUMMYFUNCTION("""COMPUTED_VALUE"""),44022.66666666667)</f>
        <v>44022.66667</v>
      </c>
      <c r="L425" s="23">
        <f>IFERROR(__xludf.DUMMYFUNCTION("""COMPUTED_VALUE"""),70.35)</f>
        <v>70.35</v>
      </c>
      <c r="M425" s="23">
        <v>0.0</v>
      </c>
      <c r="N425" s="23">
        <v>0.0</v>
      </c>
      <c r="O425" s="23">
        <v>0.0</v>
      </c>
      <c r="P425" s="23">
        <f t="shared" si="1"/>
        <v>0</v>
      </c>
      <c r="Q425" s="23">
        <f t="shared" si="2"/>
        <v>0</v>
      </c>
      <c r="R425" s="23">
        <f t="shared" si="3"/>
        <v>0</v>
      </c>
      <c r="S425" s="19"/>
      <c r="T425" s="19"/>
      <c r="U425" s="19"/>
      <c r="V425" s="19"/>
    </row>
    <row r="426">
      <c r="A426" s="22">
        <f>IFERROR(__xludf.DUMMYFUNCTION("""COMPUTED_VALUE"""),42578.66666666667)</f>
        <v>42578.66667</v>
      </c>
      <c r="B426" s="23">
        <f>IFERROR(__xludf.DUMMYFUNCTION("""COMPUTED_VALUE"""),56.43)</f>
        <v>56.43</v>
      </c>
      <c r="C426" s="22">
        <f>IFERROR(__xludf.DUMMYFUNCTION("""COMPUTED_VALUE"""),43837.66666666667)</f>
        <v>43837.66667</v>
      </c>
      <c r="D426" s="23">
        <f>IFERROR(__xludf.DUMMYFUNCTION("""COMPUTED_VALUE"""),113.97)</f>
        <v>113.97</v>
      </c>
      <c r="E426" s="22">
        <f>IFERROR(__xludf.DUMMYFUNCTION("""COMPUTED_VALUE"""),42760.66666666667)</f>
        <v>42760.66667</v>
      </c>
      <c r="F426" s="23">
        <f>IFERROR(__xludf.DUMMYFUNCTION("""COMPUTED_VALUE"""),11.74)</f>
        <v>11.74</v>
      </c>
      <c r="G426" s="22">
        <f>IFERROR(__xludf.DUMMYFUNCTION("""COMPUTED_VALUE"""),44029.66666666667)</f>
        <v>44029.66667</v>
      </c>
      <c r="H426" s="23">
        <f>IFERROR(__xludf.DUMMYFUNCTION("""COMPUTED_VALUE"""),76.54)</f>
        <v>76.54</v>
      </c>
      <c r="I426" s="22">
        <f>IFERROR(__xludf.DUMMYFUNCTION("""COMPUTED_VALUE"""),44029.66666666667)</f>
        <v>44029.66667</v>
      </c>
      <c r="J426" s="23">
        <f>IFERROR(__xludf.DUMMYFUNCTION("""COMPUTED_VALUE"""),232.52)</f>
        <v>232.52</v>
      </c>
      <c r="K426" s="22">
        <f>IFERROR(__xludf.DUMMYFUNCTION("""COMPUTED_VALUE"""),44029.66666666667)</f>
        <v>44029.66667</v>
      </c>
      <c r="L426" s="23">
        <f>IFERROR(__xludf.DUMMYFUNCTION("""COMPUTED_VALUE"""),71.16)</f>
        <v>71.16</v>
      </c>
      <c r="M426" s="23">
        <v>0.0</v>
      </c>
      <c r="N426" s="23">
        <v>0.0</v>
      </c>
      <c r="O426" s="23">
        <v>0.0</v>
      </c>
      <c r="P426" s="23">
        <f t="shared" si="1"/>
        <v>0</v>
      </c>
      <c r="Q426" s="23">
        <f t="shared" si="2"/>
        <v>0</v>
      </c>
      <c r="R426" s="23">
        <f t="shared" si="3"/>
        <v>0</v>
      </c>
      <c r="S426" s="19"/>
      <c r="T426" s="19"/>
      <c r="U426" s="19"/>
      <c r="V426" s="19"/>
    </row>
    <row r="427">
      <c r="A427" s="22">
        <f>IFERROR(__xludf.DUMMYFUNCTION("""COMPUTED_VALUE"""),42579.66666666667)</f>
        <v>42579.66667</v>
      </c>
      <c r="B427" s="23">
        <f>IFERROR(__xludf.DUMMYFUNCTION("""COMPUTED_VALUE"""),56.17)</f>
        <v>56.17</v>
      </c>
      <c r="C427" s="22">
        <f>IFERROR(__xludf.DUMMYFUNCTION("""COMPUTED_VALUE"""),43838.66666666667)</f>
        <v>43838.66667</v>
      </c>
      <c r="D427" s="23">
        <f>IFERROR(__xludf.DUMMYFUNCTION("""COMPUTED_VALUE"""),113.65)</f>
        <v>113.65</v>
      </c>
      <c r="E427" s="22">
        <f>IFERROR(__xludf.DUMMYFUNCTION("""COMPUTED_VALUE"""),42762.66666666667)</f>
        <v>42762.66667</v>
      </c>
      <c r="F427" s="23">
        <f>IFERROR(__xludf.DUMMYFUNCTION("""COMPUTED_VALUE"""),11.86)</f>
        <v>11.86</v>
      </c>
      <c r="G427" s="22">
        <f>IFERROR(__xludf.DUMMYFUNCTION("""COMPUTED_VALUE"""),44036.66666666667)</f>
        <v>44036.66667</v>
      </c>
      <c r="H427" s="23">
        <f>IFERROR(__xludf.DUMMYFUNCTION("""COMPUTED_VALUE"""),76.5)</f>
        <v>76.5</v>
      </c>
      <c r="I427" s="22">
        <f>IFERROR(__xludf.DUMMYFUNCTION("""COMPUTED_VALUE"""),44036.66666666667)</f>
        <v>44036.66667</v>
      </c>
      <c r="J427" s="23">
        <f>IFERROR(__xludf.DUMMYFUNCTION("""COMPUTED_VALUE"""),230.27)</f>
        <v>230.27</v>
      </c>
      <c r="K427" s="22">
        <f>IFERROR(__xludf.DUMMYFUNCTION("""COMPUTED_VALUE"""),44036.66666666667)</f>
        <v>44036.66667</v>
      </c>
      <c r="L427" s="23">
        <f>IFERROR(__xludf.DUMMYFUNCTION("""COMPUTED_VALUE"""),70.96)</f>
        <v>70.96</v>
      </c>
      <c r="M427" s="23">
        <v>0.0</v>
      </c>
      <c r="N427" s="23">
        <v>0.0</v>
      </c>
      <c r="O427" s="23">
        <v>0.0</v>
      </c>
      <c r="P427" s="23">
        <f t="shared" si="1"/>
        <v>0</v>
      </c>
      <c r="Q427" s="23">
        <f t="shared" si="2"/>
        <v>0</v>
      </c>
      <c r="R427" s="23">
        <f t="shared" si="3"/>
        <v>0</v>
      </c>
      <c r="S427" s="19"/>
      <c r="T427" s="19"/>
      <c r="U427" s="19"/>
      <c r="V427" s="19"/>
    </row>
    <row r="428">
      <c r="A428" s="22">
        <f>IFERROR(__xludf.DUMMYFUNCTION("""COMPUTED_VALUE"""),42580.66666666667)</f>
        <v>42580.66667</v>
      </c>
      <c r="B428" s="23">
        <f>IFERROR(__xludf.DUMMYFUNCTION("""COMPUTED_VALUE"""),55.9)</f>
        <v>55.9</v>
      </c>
      <c r="C428" s="22">
        <f>IFERROR(__xludf.DUMMYFUNCTION("""COMPUTED_VALUE"""),43839.66666666667)</f>
        <v>43839.66667</v>
      </c>
      <c r="D428" s="23">
        <f>IFERROR(__xludf.DUMMYFUNCTION("""COMPUTED_VALUE"""),114.48)</f>
        <v>114.48</v>
      </c>
      <c r="E428" s="22">
        <f>IFERROR(__xludf.DUMMYFUNCTION("""COMPUTED_VALUE"""),42765.66666666667)</f>
        <v>42765.66667</v>
      </c>
      <c r="F428" s="23">
        <f>IFERROR(__xludf.DUMMYFUNCTION("""COMPUTED_VALUE"""),11.75)</f>
        <v>11.75</v>
      </c>
      <c r="G428" s="22">
        <f>IFERROR(__xludf.DUMMYFUNCTION("""COMPUTED_VALUE"""),44043.66666666667)</f>
        <v>44043.66667</v>
      </c>
      <c r="H428" s="23">
        <f>IFERROR(__xludf.DUMMYFUNCTION("""COMPUTED_VALUE"""),75.33)</f>
        <v>75.33</v>
      </c>
      <c r="I428" s="22">
        <f>IFERROR(__xludf.DUMMYFUNCTION("""COMPUTED_VALUE"""),44043.66666666667)</f>
        <v>44043.66667</v>
      </c>
      <c r="J428" s="23">
        <f>IFERROR(__xludf.DUMMYFUNCTION("""COMPUTED_VALUE"""),228.56)</f>
        <v>228.56</v>
      </c>
      <c r="K428" s="22">
        <f>IFERROR(__xludf.DUMMYFUNCTION("""COMPUTED_VALUE"""),44043.66666666667)</f>
        <v>44043.66667</v>
      </c>
      <c r="L428" s="23">
        <f>IFERROR(__xludf.DUMMYFUNCTION("""COMPUTED_VALUE"""),69.5)</f>
        <v>69.5</v>
      </c>
      <c r="M428" s="23">
        <v>1000.0</v>
      </c>
      <c r="N428" s="23">
        <v>1000.0</v>
      </c>
      <c r="O428" s="23">
        <v>1000.0</v>
      </c>
      <c r="P428" s="23">
        <f t="shared" si="1"/>
        <v>13.27492367</v>
      </c>
      <c r="Q428" s="23">
        <f t="shared" si="2"/>
        <v>4.375218761</v>
      </c>
      <c r="R428" s="23">
        <f t="shared" si="3"/>
        <v>14.38848921</v>
      </c>
      <c r="S428" s="19"/>
      <c r="T428" s="19"/>
      <c r="U428" s="19"/>
      <c r="V428" s="19"/>
    </row>
    <row r="429">
      <c r="A429" s="22">
        <f>IFERROR(__xludf.DUMMYFUNCTION("""COMPUTED_VALUE"""),42583.66666666667)</f>
        <v>42583.66667</v>
      </c>
      <c r="B429" s="23">
        <f>IFERROR(__xludf.DUMMYFUNCTION("""COMPUTED_VALUE"""),56.08)</f>
        <v>56.08</v>
      </c>
      <c r="C429" s="22">
        <f>IFERROR(__xludf.DUMMYFUNCTION("""COMPUTED_VALUE"""),43840.66666666667)</f>
        <v>43840.66667</v>
      </c>
      <c r="D429" s="23">
        <f>IFERROR(__xludf.DUMMYFUNCTION("""COMPUTED_VALUE"""),115.55)</f>
        <v>115.55</v>
      </c>
      <c r="E429" s="22">
        <f>IFERROR(__xludf.DUMMYFUNCTION("""COMPUTED_VALUE"""),42766.66666666667)</f>
        <v>42766.66667</v>
      </c>
      <c r="F429" s="23">
        <f>IFERROR(__xludf.DUMMYFUNCTION("""COMPUTED_VALUE"""),11.72)</f>
        <v>11.72</v>
      </c>
      <c r="G429" s="22">
        <f>IFERROR(__xludf.DUMMYFUNCTION("""COMPUTED_VALUE"""),44050.66666666667)</f>
        <v>44050.66667</v>
      </c>
      <c r="H429" s="23">
        <f>IFERROR(__xludf.DUMMYFUNCTION("""COMPUTED_VALUE"""),76.38)</f>
        <v>76.38</v>
      </c>
      <c r="I429" s="22">
        <f>IFERROR(__xludf.DUMMYFUNCTION("""COMPUTED_VALUE"""),44050.66666666667)</f>
        <v>44050.66667</v>
      </c>
      <c r="J429" s="23">
        <f>IFERROR(__xludf.DUMMYFUNCTION("""COMPUTED_VALUE"""),234.88)</f>
        <v>234.88</v>
      </c>
      <c r="K429" s="22">
        <f>IFERROR(__xludf.DUMMYFUNCTION("""COMPUTED_VALUE"""),44050.66666666667)</f>
        <v>44050.66667</v>
      </c>
      <c r="L429" s="23">
        <f>IFERROR(__xludf.DUMMYFUNCTION("""COMPUTED_VALUE"""),70.33)</f>
        <v>70.33</v>
      </c>
      <c r="M429" s="23">
        <v>0.0</v>
      </c>
      <c r="N429" s="23">
        <v>0.0</v>
      </c>
      <c r="O429" s="23">
        <v>0.0</v>
      </c>
      <c r="P429" s="23">
        <f t="shared" si="1"/>
        <v>0</v>
      </c>
      <c r="Q429" s="23">
        <f t="shared" si="2"/>
        <v>0</v>
      </c>
      <c r="R429" s="23">
        <f t="shared" si="3"/>
        <v>0</v>
      </c>
      <c r="S429" s="19"/>
      <c r="T429" s="19"/>
      <c r="U429" s="19"/>
      <c r="V429" s="19"/>
    </row>
    <row r="430">
      <c r="A430" s="22">
        <f>IFERROR(__xludf.DUMMYFUNCTION("""COMPUTED_VALUE"""),42584.66666666667)</f>
        <v>42584.66667</v>
      </c>
      <c r="B430" s="23">
        <f>IFERROR(__xludf.DUMMYFUNCTION("""COMPUTED_VALUE"""),56.18)</f>
        <v>56.18</v>
      </c>
      <c r="C430" s="22">
        <f>IFERROR(__xludf.DUMMYFUNCTION("""COMPUTED_VALUE"""),43843.66666666667)</f>
        <v>43843.66667</v>
      </c>
      <c r="D430" s="23">
        <f>IFERROR(__xludf.DUMMYFUNCTION("""COMPUTED_VALUE"""),114.92)</f>
        <v>114.92</v>
      </c>
      <c r="E430" s="22">
        <f>IFERROR(__xludf.DUMMYFUNCTION("""COMPUTED_VALUE"""),42767.66666666667)</f>
        <v>42767.66667</v>
      </c>
      <c r="F430" s="23">
        <f>IFERROR(__xludf.DUMMYFUNCTION("""COMPUTED_VALUE"""),11.76)</f>
        <v>11.76</v>
      </c>
      <c r="G430" s="22">
        <f>IFERROR(__xludf.DUMMYFUNCTION("""COMPUTED_VALUE"""),44057.66666666667)</f>
        <v>44057.66667</v>
      </c>
      <c r="H430" s="23">
        <f>IFERROR(__xludf.DUMMYFUNCTION("""COMPUTED_VALUE"""),77.81)</f>
        <v>77.81</v>
      </c>
      <c r="I430" s="22">
        <f>IFERROR(__xludf.DUMMYFUNCTION("""COMPUTED_VALUE"""),44057.66666666667)</f>
        <v>44057.66667</v>
      </c>
      <c r="J430" s="23">
        <f>IFERROR(__xludf.DUMMYFUNCTION("""COMPUTED_VALUE"""),239.68)</f>
        <v>239.68</v>
      </c>
      <c r="K430" s="22">
        <f>IFERROR(__xludf.DUMMYFUNCTION("""COMPUTED_VALUE"""),44057.66666666667)</f>
        <v>44057.66667</v>
      </c>
      <c r="L430" s="23">
        <f>IFERROR(__xludf.DUMMYFUNCTION("""COMPUTED_VALUE"""),72.2)</f>
        <v>72.2</v>
      </c>
      <c r="M430" s="23">
        <v>0.0</v>
      </c>
      <c r="N430" s="23">
        <v>0.0</v>
      </c>
      <c r="O430" s="23">
        <v>0.0</v>
      </c>
      <c r="P430" s="23">
        <f t="shared" si="1"/>
        <v>0</v>
      </c>
      <c r="Q430" s="23">
        <f t="shared" si="2"/>
        <v>0</v>
      </c>
      <c r="R430" s="23">
        <f t="shared" si="3"/>
        <v>0</v>
      </c>
      <c r="S430" s="19"/>
      <c r="T430" s="19"/>
      <c r="U430" s="19"/>
      <c r="V430" s="19"/>
    </row>
    <row r="431">
      <c r="A431" s="22">
        <f>IFERROR(__xludf.DUMMYFUNCTION("""COMPUTED_VALUE"""),42585.66666666667)</f>
        <v>42585.66667</v>
      </c>
      <c r="B431" s="23">
        <f>IFERROR(__xludf.DUMMYFUNCTION("""COMPUTED_VALUE"""),55.38)</f>
        <v>55.38</v>
      </c>
      <c r="C431" s="22">
        <f>IFERROR(__xludf.DUMMYFUNCTION("""COMPUTED_VALUE"""),43844.66666666667)</f>
        <v>43844.66667</v>
      </c>
      <c r="D431" s="23">
        <f>IFERROR(__xludf.DUMMYFUNCTION("""COMPUTED_VALUE"""),115.87)</f>
        <v>115.87</v>
      </c>
      <c r="E431" s="22">
        <f>IFERROR(__xludf.DUMMYFUNCTION("""COMPUTED_VALUE"""),42768.66666666667)</f>
        <v>42768.66667</v>
      </c>
      <c r="F431" s="23">
        <f>IFERROR(__xludf.DUMMYFUNCTION("""COMPUTED_VALUE"""),11.66)</f>
        <v>11.66</v>
      </c>
      <c r="G431" s="22">
        <f>IFERROR(__xludf.DUMMYFUNCTION("""COMPUTED_VALUE"""),44064.66666666667)</f>
        <v>44064.66667</v>
      </c>
      <c r="H431" s="23">
        <f>IFERROR(__xludf.DUMMYFUNCTION("""COMPUTED_VALUE"""),77.8)</f>
        <v>77.8</v>
      </c>
      <c r="I431" s="22">
        <f>IFERROR(__xludf.DUMMYFUNCTION("""COMPUTED_VALUE"""),44064.66666666667)</f>
        <v>44064.66667</v>
      </c>
      <c r="J431" s="23">
        <f>IFERROR(__xludf.DUMMYFUNCTION("""COMPUTED_VALUE"""),238.9)</f>
        <v>238.9</v>
      </c>
      <c r="K431" s="22">
        <f>IFERROR(__xludf.DUMMYFUNCTION("""COMPUTED_VALUE"""),44064.66666666667)</f>
        <v>44064.66667</v>
      </c>
      <c r="L431" s="23">
        <f>IFERROR(__xludf.DUMMYFUNCTION("""COMPUTED_VALUE"""),71.46)</f>
        <v>71.46</v>
      </c>
      <c r="M431" s="23">
        <v>0.0</v>
      </c>
      <c r="N431" s="23">
        <v>0.0</v>
      </c>
      <c r="O431" s="23">
        <v>0.0</v>
      </c>
      <c r="P431" s="23">
        <f t="shared" si="1"/>
        <v>0</v>
      </c>
      <c r="Q431" s="23">
        <f t="shared" si="2"/>
        <v>0</v>
      </c>
      <c r="R431" s="23">
        <f t="shared" si="3"/>
        <v>0</v>
      </c>
      <c r="S431" s="19"/>
      <c r="T431" s="19"/>
      <c r="U431" s="19"/>
      <c r="V431" s="19"/>
    </row>
    <row r="432">
      <c r="A432" s="22">
        <f>IFERROR(__xludf.DUMMYFUNCTION("""COMPUTED_VALUE"""),42586.66666666667)</f>
        <v>42586.66667</v>
      </c>
      <c r="B432" s="23">
        <f>IFERROR(__xludf.DUMMYFUNCTION("""COMPUTED_VALUE"""),55.25)</f>
        <v>55.25</v>
      </c>
      <c r="C432" s="22">
        <f>IFERROR(__xludf.DUMMYFUNCTION("""COMPUTED_VALUE"""),43845.66666666667)</f>
        <v>43845.66667</v>
      </c>
      <c r="D432" s="23">
        <f>IFERROR(__xludf.DUMMYFUNCTION("""COMPUTED_VALUE"""),116.45)</f>
        <v>116.45</v>
      </c>
      <c r="E432" s="22">
        <f>IFERROR(__xludf.DUMMYFUNCTION("""COMPUTED_VALUE"""),42769.66666666667)</f>
        <v>42769.66667</v>
      </c>
      <c r="F432" s="23">
        <f>IFERROR(__xludf.DUMMYFUNCTION("""COMPUTED_VALUE"""),11.6)</f>
        <v>11.6</v>
      </c>
      <c r="G432" s="22">
        <f>IFERROR(__xludf.DUMMYFUNCTION("""COMPUTED_VALUE"""),44071.66666666667)</f>
        <v>44071.66667</v>
      </c>
      <c r="H432" s="23">
        <f>IFERROR(__xludf.DUMMYFUNCTION("""COMPUTED_VALUE"""),77.6)</f>
        <v>77.6</v>
      </c>
      <c r="I432" s="22">
        <f>IFERROR(__xludf.DUMMYFUNCTION("""COMPUTED_VALUE"""),44071.66666666667)</f>
        <v>44071.66667</v>
      </c>
      <c r="J432" s="23">
        <f>IFERROR(__xludf.DUMMYFUNCTION("""COMPUTED_VALUE"""),243.36)</f>
        <v>243.36</v>
      </c>
      <c r="K432" s="22">
        <f>IFERROR(__xludf.DUMMYFUNCTION("""COMPUTED_VALUE"""),44071.66666666667)</f>
        <v>44071.66667</v>
      </c>
      <c r="L432" s="23">
        <f>IFERROR(__xludf.DUMMYFUNCTION("""COMPUTED_VALUE"""),71.6)</f>
        <v>71.6</v>
      </c>
      <c r="M432" s="23">
        <v>1000.0</v>
      </c>
      <c r="N432" s="23">
        <v>1000.0</v>
      </c>
      <c r="O432" s="23">
        <v>1000.0</v>
      </c>
      <c r="P432" s="23">
        <f t="shared" si="1"/>
        <v>12.88659794</v>
      </c>
      <c r="Q432" s="23">
        <f t="shared" si="2"/>
        <v>4.109138725</v>
      </c>
      <c r="R432" s="23">
        <f t="shared" si="3"/>
        <v>13.96648045</v>
      </c>
      <c r="S432" s="19"/>
      <c r="T432" s="19"/>
      <c r="U432" s="19"/>
      <c r="V432" s="19"/>
    </row>
    <row r="433">
      <c r="A433" s="22">
        <f>IFERROR(__xludf.DUMMYFUNCTION("""COMPUTED_VALUE"""),42587.66666666667)</f>
        <v>42587.66667</v>
      </c>
      <c r="B433" s="23">
        <f>IFERROR(__xludf.DUMMYFUNCTION("""COMPUTED_VALUE"""),55.21)</f>
        <v>55.21</v>
      </c>
      <c r="C433" s="22">
        <f>IFERROR(__xludf.DUMMYFUNCTION("""COMPUTED_VALUE"""),43846.66666666667)</f>
        <v>43846.66667</v>
      </c>
      <c r="D433" s="23">
        <f>IFERROR(__xludf.DUMMYFUNCTION("""COMPUTED_VALUE"""),117.33)</f>
        <v>117.33</v>
      </c>
      <c r="E433" s="22">
        <f>IFERROR(__xludf.DUMMYFUNCTION("""COMPUTED_VALUE"""),42772.66666666667)</f>
        <v>42772.66667</v>
      </c>
      <c r="F433" s="23">
        <f>IFERROR(__xludf.DUMMYFUNCTION("""COMPUTED_VALUE"""),11.62)</f>
        <v>11.62</v>
      </c>
      <c r="G433" s="22">
        <f>IFERROR(__xludf.DUMMYFUNCTION("""COMPUTED_VALUE"""),44078.66666666667)</f>
        <v>44078.66667</v>
      </c>
      <c r="H433" s="23">
        <f>IFERROR(__xludf.DUMMYFUNCTION("""COMPUTED_VALUE"""),76.03)</f>
        <v>76.03</v>
      </c>
      <c r="I433" s="22">
        <f>IFERROR(__xludf.DUMMYFUNCTION("""COMPUTED_VALUE"""),44078.66666666667)</f>
        <v>44078.66667</v>
      </c>
      <c r="J433" s="23">
        <f>IFERROR(__xludf.DUMMYFUNCTION("""COMPUTED_VALUE"""),240.72)</f>
        <v>240.72</v>
      </c>
      <c r="K433" s="22">
        <f>IFERROR(__xludf.DUMMYFUNCTION("""COMPUTED_VALUE"""),44078.66666666667)</f>
        <v>44078.66667</v>
      </c>
      <c r="L433" s="23">
        <f>IFERROR(__xludf.DUMMYFUNCTION("""COMPUTED_VALUE"""),70.78)</f>
        <v>70.78</v>
      </c>
      <c r="M433" s="23">
        <v>0.0</v>
      </c>
      <c r="N433" s="23">
        <v>0.0</v>
      </c>
      <c r="O433" s="23">
        <v>0.0</v>
      </c>
      <c r="P433" s="23">
        <f t="shared" si="1"/>
        <v>0</v>
      </c>
      <c r="Q433" s="23">
        <f t="shared" si="2"/>
        <v>0</v>
      </c>
      <c r="R433" s="23">
        <f t="shared" si="3"/>
        <v>0</v>
      </c>
      <c r="S433" s="19"/>
      <c r="T433" s="19"/>
      <c r="U433" s="19"/>
      <c r="V433" s="19"/>
    </row>
    <row r="434">
      <c r="A434" s="22">
        <f>IFERROR(__xludf.DUMMYFUNCTION("""COMPUTED_VALUE"""),42590.66666666667)</f>
        <v>42590.66667</v>
      </c>
      <c r="B434" s="23">
        <f>IFERROR(__xludf.DUMMYFUNCTION("""COMPUTED_VALUE"""),55.88)</f>
        <v>55.88</v>
      </c>
      <c r="C434" s="22">
        <f>IFERROR(__xludf.DUMMYFUNCTION("""COMPUTED_VALUE"""),43847.66666666667)</f>
        <v>43847.66667</v>
      </c>
      <c r="D434" s="23">
        <f>IFERROR(__xludf.DUMMYFUNCTION("""COMPUTED_VALUE"""),117.85)</f>
        <v>117.85</v>
      </c>
      <c r="E434" s="22">
        <f>IFERROR(__xludf.DUMMYFUNCTION("""COMPUTED_VALUE"""),42773.66666666667)</f>
        <v>42773.66667</v>
      </c>
      <c r="F434" s="23">
        <f>IFERROR(__xludf.DUMMYFUNCTION("""COMPUTED_VALUE"""),11.68)</f>
        <v>11.68</v>
      </c>
      <c r="G434" s="22">
        <f>IFERROR(__xludf.DUMMYFUNCTION("""COMPUTED_VALUE"""),44085.66666666667)</f>
        <v>44085.66667</v>
      </c>
      <c r="H434" s="23">
        <f>IFERROR(__xludf.DUMMYFUNCTION("""COMPUTED_VALUE"""),75.3)</f>
        <v>75.3</v>
      </c>
      <c r="I434" s="22">
        <f>IFERROR(__xludf.DUMMYFUNCTION("""COMPUTED_VALUE"""),44085.66666666667)</f>
        <v>44085.66667</v>
      </c>
      <c r="J434" s="23">
        <f>IFERROR(__xludf.DUMMYFUNCTION("""COMPUTED_VALUE"""),234.06)</f>
        <v>234.06</v>
      </c>
      <c r="K434" s="22">
        <f>IFERROR(__xludf.DUMMYFUNCTION("""COMPUTED_VALUE"""),44085.66666666667)</f>
        <v>44085.66667</v>
      </c>
      <c r="L434" s="23">
        <f>IFERROR(__xludf.DUMMYFUNCTION("""COMPUTED_VALUE"""),70.69)</f>
        <v>70.69</v>
      </c>
      <c r="M434" s="23">
        <v>0.0</v>
      </c>
      <c r="N434" s="23">
        <v>0.0</v>
      </c>
      <c r="O434" s="23">
        <v>0.0</v>
      </c>
      <c r="P434" s="23">
        <f t="shared" si="1"/>
        <v>0</v>
      </c>
      <c r="Q434" s="23">
        <f t="shared" si="2"/>
        <v>0</v>
      </c>
      <c r="R434" s="23">
        <f t="shared" si="3"/>
        <v>0</v>
      </c>
      <c r="S434" s="19"/>
      <c r="T434" s="19"/>
      <c r="U434" s="19"/>
      <c r="V434" s="19"/>
    </row>
    <row r="435">
      <c r="A435" s="22">
        <f>IFERROR(__xludf.DUMMYFUNCTION("""COMPUTED_VALUE"""),42591.66666666667)</f>
        <v>42591.66667</v>
      </c>
      <c r="B435" s="23">
        <f>IFERROR(__xludf.DUMMYFUNCTION("""COMPUTED_VALUE"""),55.67)</f>
        <v>55.67</v>
      </c>
      <c r="C435" s="22">
        <f>IFERROR(__xludf.DUMMYFUNCTION("""COMPUTED_VALUE"""),43850.66666666667)</f>
        <v>43850.66667</v>
      </c>
      <c r="D435" s="23">
        <f>IFERROR(__xludf.DUMMYFUNCTION("""COMPUTED_VALUE"""),118.03)</f>
        <v>118.03</v>
      </c>
      <c r="E435" s="22">
        <f>IFERROR(__xludf.DUMMYFUNCTION("""COMPUTED_VALUE"""),42774.66666666667)</f>
        <v>42774.66667</v>
      </c>
      <c r="F435" s="23">
        <f>IFERROR(__xludf.DUMMYFUNCTION("""COMPUTED_VALUE"""),11.79)</f>
        <v>11.79</v>
      </c>
      <c r="G435" s="22">
        <f>IFERROR(__xludf.DUMMYFUNCTION("""COMPUTED_VALUE"""),44092.66666666667)</f>
        <v>44092.66667</v>
      </c>
      <c r="H435" s="23">
        <f>IFERROR(__xludf.DUMMYFUNCTION("""COMPUTED_VALUE"""),75.47)</f>
        <v>75.47</v>
      </c>
      <c r="I435" s="22">
        <f>IFERROR(__xludf.DUMMYFUNCTION("""COMPUTED_VALUE"""),44092.66666666667)</f>
        <v>44092.66667</v>
      </c>
      <c r="J435" s="23">
        <f>IFERROR(__xludf.DUMMYFUNCTION("""COMPUTED_VALUE"""),233.56)</f>
        <v>233.56</v>
      </c>
      <c r="K435" s="22">
        <f>IFERROR(__xludf.DUMMYFUNCTION("""COMPUTED_VALUE"""),44092.66666666667)</f>
        <v>44092.66667</v>
      </c>
      <c r="L435" s="23">
        <f>IFERROR(__xludf.DUMMYFUNCTION("""COMPUTED_VALUE"""),71.25)</f>
        <v>71.25</v>
      </c>
      <c r="M435" s="23">
        <v>0.0</v>
      </c>
      <c r="N435" s="23">
        <v>0.0</v>
      </c>
      <c r="O435" s="23">
        <v>0.0</v>
      </c>
      <c r="P435" s="23">
        <f t="shared" si="1"/>
        <v>0</v>
      </c>
      <c r="Q435" s="23">
        <f t="shared" si="2"/>
        <v>0</v>
      </c>
      <c r="R435" s="23">
        <f t="shared" si="3"/>
        <v>0</v>
      </c>
      <c r="S435" s="19"/>
      <c r="T435" s="19"/>
      <c r="U435" s="19"/>
      <c r="V435" s="19"/>
    </row>
    <row r="436">
      <c r="A436" s="22">
        <f>IFERROR(__xludf.DUMMYFUNCTION("""COMPUTED_VALUE"""),42592.66666666667)</f>
        <v>42592.66667</v>
      </c>
      <c r="B436" s="23">
        <f>IFERROR(__xludf.DUMMYFUNCTION("""COMPUTED_VALUE"""),55.48)</f>
        <v>55.48</v>
      </c>
      <c r="C436" s="22">
        <f>IFERROR(__xludf.DUMMYFUNCTION("""COMPUTED_VALUE"""),43851.66666666667)</f>
        <v>43851.66667</v>
      </c>
      <c r="D436" s="23">
        <f>IFERROR(__xludf.DUMMYFUNCTION("""COMPUTED_VALUE"""),117.58)</f>
        <v>117.58</v>
      </c>
      <c r="E436" s="22">
        <f>IFERROR(__xludf.DUMMYFUNCTION("""COMPUTED_VALUE"""),42775.66666666667)</f>
        <v>42775.66667</v>
      </c>
      <c r="F436" s="23">
        <f>IFERROR(__xludf.DUMMYFUNCTION("""COMPUTED_VALUE"""),11.83)</f>
        <v>11.83</v>
      </c>
      <c r="G436" s="22">
        <f>IFERROR(__xludf.DUMMYFUNCTION("""COMPUTED_VALUE"""),44099.66666666667)</f>
        <v>44099.66667</v>
      </c>
      <c r="H436" s="23">
        <f>IFERROR(__xludf.DUMMYFUNCTION("""COMPUTED_VALUE"""),76.6)</f>
        <v>76.6</v>
      </c>
      <c r="I436" s="22">
        <f>IFERROR(__xludf.DUMMYFUNCTION("""COMPUTED_VALUE"""),44099.66666666667)</f>
        <v>44099.66667</v>
      </c>
      <c r="J436" s="23">
        <f>IFERROR(__xludf.DUMMYFUNCTION("""COMPUTED_VALUE"""),234.99)</f>
        <v>234.99</v>
      </c>
      <c r="K436" s="22">
        <f>IFERROR(__xludf.DUMMYFUNCTION("""COMPUTED_VALUE"""),44099.66666666667)</f>
        <v>44099.66667</v>
      </c>
      <c r="L436" s="23">
        <f>IFERROR(__xludf.DUMMYFUNCTION("""COMPUTED_VALUE"""),70.5)</f>
        <v>70.5</v>
      </c>
      <c r="M436" s="23">
        <v>1000.0</v>
      </c>
      <c r="N436" s="23">
        <v>1000.0</v>
      </c>
      <c r="O436" s="23">
        <v>1000.0</v>
      </c>
      <c r="P436" s="23">
        <f t="shared" si="1"/>
        <v>13.05483029</v>
      </c>
      <c r="Q436" s="23">
        <f t="shared" si="2"/>
        <v>4.255500234</v>
      </c>
      <c r="R436" s="23">
        <f t="shared" si="3"/>
        <v>14.18439716</v>
      </c>
      <c r="S436" s="19"/>
      <c r="T436" s="19"/>
      <c r="U436" s="19"/>
      <c r="V436" s="19"/>
    </row>
    <row r="437">
      <c r="A437" s="22">
        <f>IFERROR(__xludf.DUMMYFUNCTION("""COMPUTED_VALUE"""),42593.66666666667)</f>
        <v>42593.66667</v>
      </c>
      <c r="B437" s="23">
        <f>IFERROR(__xludf.DUMMYFUNCTION("""COMPUTED_VALUE"""),55.46)</f>
        <v>55.46</v>
      </c>
      <c r="C437" s="22">
        <f>IFERROR(__xludf.DUMMYFUNCTION("""COMPUTED_VALUE"""),43852.66666666667)</f>
        <v>43852.66667</v>
      </c>
      <c r="D437" s="23">
        <f>IFERROR(__xludf.DUMMYFUNCTION("""COMPUTED_VALUE"""),118.9)</f>
        <v>118.9</v>
      </c>
      <c r="E437" s="22">
        <f>IFERROR(__xludf.DUMMYFUNCTION("""COMPUTED_VALUE"""),42776.66666666667)</f>
        <v>42776.66667</v>
      </c>
      <c r="F437" s="23">
        <f>IFERROR(__xludf.DUMMYFUNCTION("""COMPUTED_VALUE"""),11.88)</f>
        <v>11.88</v>
      </c>
      <c r="G437" s="22">
        <f>IFERROR(__xludf.DUMMYFUNCTION("""COMPUTED_VALUE"""),44106.66666666667)</f>
        <v>44106.66667</v>
      </c>
      <c r="H437" s="23">
        <f>IFERROR(__xludf.DUMMYFUNCTION("""COMPUTED_VALUE"""),73.99)</f>
        <v>73.99</v>
      </c>
      <c r="I437" s="22">
        <f>IFERROR(__xludf.DUMMYFUNCTION("""COMPUTED_VALUE"""),44106.66666666667)</f>
        <v>44106.66667</v>
      </c>
      <c r="J437" s="23">
        <f>IFERROR(__xludf.DUMMYFUNCTION("""COMPUTED_VALUE"""),236.08)</f>
        <v>236.08</v>
      </c>
      <c r="K437" s="22">
        <f>IFERROR(__xludf.DUMMYFUNCTION("""COMPUTED_VALUE"""),44106.66666666667)</f>
        <v>44106.66667</v>
      </c>
      <c r="L437" s="23">
        <f>IFERROR(__xludf.DUMMYFUNCTION("""COMPUTED_VALUE"""),70.18)</f>
        <v>70.18</v>
      </c>
      <c r="M437" s="23">
        <v>0.0</v>
      </c>
      <c r="N437" s="23">
        <v>0.0</v>
      </c>
      <c r="O437" s="23">
        <v>0.0</v>
      </c>
      <c r="P437" s="23">
        <f t="shared" si="1"/>
        <v>0</v>
      </c>
      <c r="Q437" s="23">
        <f t="shared" si="2"/>
        <v>0</v>
      </c>
      <c r="R437" s="23">
        <f t="shared" si="3"/>
        <v>0</v>
      </c>
      <c r="S437" s="19"/>
      <c r="T437" s="19"/>
      <c r="U437" s="19"/>
      <c r="V437" s="19"/>
    </row>
    <row r="438">
      <c r="A438" s="22">
        <f>IFERROR(__xludf.DUMMYFUNCTION("""COMPUTED_VALUE"""),42594.66666666667)</f>
        <v>42594.66667</v>
      </c>
      <c r="B438" s="23">
        <f>IFERROR(__xludf.DUMMYFUNCTION("""COMPUTED_VALUE"""),55.78)</f>
        <v>55.78</v>
      </c>
      <c r="C438" s="22">
        <f>IFERROR(__xludf.DUMMYFUNCTION("""COMPUTED_VALUE"""),43853.66666666667)</f>
        <v>43853.66667</v>
      </c>
      <c r="D438" s="23">
        <f>IFERROR(__xludf.DUMMYFUNCTION("""COMPUTED_VALUE"""),118.08)</f>
        <v>118.08</v>
      </c>
      <c r="E438" s="22">
        <f>IFERROR(__xludf.DUMMYFUNCTION("""COMPUTED_VALUE"""),42779.66666666667)</f>
        <v>42779.66667</v>
      </c>
      <c r="F438" s="23">
        <f>IFERROR(__xludf.DUMMYFUNCTION("""COMPUTED_VALUE"""),11.86)</f>
        <v>11.86</v>
      </c>
      <c r="G438" s="22">
        <f>IFERROR(__xludf.DUMMYFUNCTION("""COMPUTED_VALUE"""),44113.66666666667)</f>
        <v>44113.66667</v>
      </c>
      <c r="H438" s="23">
        <f>IFERROR(__xludf.DUMMYFUNCTION("""COMPUTED_VALUE"""),77.99)</f>
        <v>77.99</v>
      </c>
      <c r="I438" s="22">
        <f>IFERROR(__xludf.DUMMYFUNCTION("""COMPUTED_VALUE"""),44113.66666666667)</f>
        <v>44113.66667</v>
      </c>
      <c r="J438" s="23">
        <f>IFERROR(__xludf.DUMMYFUNCTION("""COMPUTED_VALUE"""),246.12)</f>
        <v>246.12</v>
      </c>
      <c r="K438" s="22">
        <f>IFERROR(__xludf.DUMMYFUNCTION("""COMPUTED_VALUE"""),44113.66666666667)</f>
        <v>44113.66667</v>
      </c>
      <c r="L438" s="23">
        <f>IFERROR(__xludf.DUMMYFUNCTION("""COMPUTED_VALUE"""),72.27)</f>
        <v>72.27</v>
      </c>
      <c r="M438" s="23">
        <v>0.0</v>
      </c>
      <c r="N438" s="23">
        <v>0.0</v>
      </c>
      <c r="O438" s="23">
        <v>0.0</v>
      </c>
      <c r="P438" s="23">
        <f t="shared" si="1"/>
        <v>0</v>
      </c>
      <c r="Q438" s="23">
        <f t="shared" si="2"/>
        <v>0</v>
      </c>
      <c r="R438" s="23">
        <f t="shared" si="3"/>
        <v>0</v>
      </c>
      <c r="S438" s="19"/>
      <c r="T438" s="19"/>
      <c r="U438" s="19"/>
      <c r="V438" s="19"/>
    </row>
    <row r="439">
      <c r="A439" s="22">
        <f>IFERROR(__xludf.DUMMYFUNCTION("""COMPUTED_VALUE"""),42597.66666666667)</f>
        <v>42597.66667</v>
      </c>
      <c r="B439" s="23">
        <f>IFERROR(__xludf.DUMMYFUNCTION("""COMPUTED_VALUE"""),56.17)</f>
        <v>56.17</v>
      </c>
      <c r="C439" s="22">
        <f>IFERROR(__xludf.DUMMYFUNCTION("""COMPUTED_VALUE"""),43854.66666666667)</f>
        <v>43854.66667</v>
      </c>
      <c r="D439" s="23">
        <f>IFERROR(__xludf.DUMMYFUNCTION("""COMPUTED_VALUE"""),118.18)</f>
        <v>118.18</v>
      </c>
      <c r="E439" s="22">
        <f>IFERROR(__xludf.DUMMYFUNCTION("""COMPUTED_VALUE"""),42780.66666666667)</f>
        <v>42780.66667</v>
      </c>
      <c r="F439" s="23">
        <f>IFERROR(__xludf.DUMMYFUNCTION("""COMPUTED_VALUE"""),11.89)</f>
        <v>11.89</v>
      </c>
      <c r="G439" s="22">
        <f>IFERROR(__xludf.DUMMYFUNCTION("""COMPUTED_VALUE"""),44120.66666666667)</f>
        <v>44120.66667</v>
      </c>
      <c r="H439" s="23">
        <f>IFERROR(__xludf.DUMMYFUNCTION("""COMPUTED_VALUE"""),78.87)</f>
        <v>78.87</v>
      </c>
      <c r="I439" s="22">
        <f>IFERROR(__xludf.DUMMYFUNCTION("""COMPUTED_VALUE"""),44120.66666666667)</f>
        <v>44120.66667</v>
      </c>
      <c r="J439" s="23">
        <f>IFERROR(__xludf.DUMMYFUNCTION("""COMPUTED_VALUE"""),251.5)</f>
        <v>251.5</v>
      </c>
      <c r="K439" s="22">
        <f>IFERROR(__xludf.DUMMYFUNCTION("""COMPUTED_VALUE"""),44120.66666666667)</f>
        <v>44120.66667</v>
      </c>
      <c r="L439" s="23">
        <f>IFERROR(__xludf.DUMMYFUNCTION("""COMPUTED_VALUE"""),72.48)</f>
        <v>72.48</v>
      </c>
      <c r="M439" s="23">
        <v>0.0</v>
      </c>
      <c r="N439" s="23">
        <v>0.0</v>
      </c>
      <c r="O439" s="23">
        <v>0.0</v>
      </c>
      <c r="P439" s="23">
        <f t="shared" si="1"/>
        <v>0</v>
      </c>
      <c r="Q439" s="23">
        <f t="shared" si="2"/>
        <v>0</v>
      </c>
      <c r="R439" s="23">
        <f t="shared" si="3"/>
        <v>0</v>
      </c>
      <c r="S439" s="19"/>
      <c r="T439" s="19"/>
      <c r="U439" s="19"/>
      <c r="V439" s="19"/>
    </row>
    <row r="440">
      <c r="A440" s="22">
        <f>IFERROR(__xludf.DUMMYFUNCTION("""COMPUTED_VALUE"""),42598.66666666667)</f>
        <v>42598.66667</v>
      </c>
      <c r="B440" s="23">
        <f>IFERROR(__xludf.DUMMYFUNCTION("""COMPUTED_VALUE"""),55.71)</f>
        <v>55.71</v>
      </c>
      <c r="C440" s="22">
        <f>IFERROR(__xludf.DUMMYFUNCTION("""COMPUTED_VALUE"""),43858.66666666667)</f>
        <v>43858.66667</v>
      </c>
      <c r="D440" s="23">
        <f>IFERROR(__xludf.DUMMYFUNCTION("""COMPUTED_VALUE"""),116.56)</f>
        <v>116.56</v>
      </c>
      <c r="E440" s="22">
        <f>IFERROR(__xludf.DUMMYFUNCTION("""COMPUTED_VALUE"""),42781.66666666667)</f>
        <v>42781.66667</v>
      </c>
      <c r="F440" s="23">
        <f>IFERROR(__xludf.DUMMYFUNCTION("""COMPUTED_VALUE"""),11.91)</f>
        <v>11.91</v>
      </c>
      <c r="G440" s="22">
        <f>IFERROR(__xludf.DUMMYFUNCTION("""COMPUTED_VALUE"""),44127.66666666667)</f>
        <v>44127.66667</v>
      </c>
      <c r="H440" s="23">
        <f>IFERROR(__xludf.DUMMYFUNCTION("""COMPUTED_VALUE"""),78.95)</f>
        <v>78.95</v>
      </c>
      <c r="I440" s="22">
        <f>IFERROR(__xludf.DUMMYFUNCTION("""COMPUTED_VALUE"""),44127.66666666667)</f>
        <v>44127.66667</v>
      </c>
      <c r="J440" s="23">
        <f>IFERROR(__xludf.DUMMYFUNCTION("""COMPUTED_VALUE"""),248.35)</f>
        <v>248.35</v>
      </c>
      <c r="K440" s="22">
        <f>IFERROR(__xludf.DUMMYFUNCTION("""COMPUTED_VALUE"""),44127.66666666667)</f>
        <v>44127.66667</v>
      </c>
      <c r="L440" s="23">
        <f>IFERROR(__xludf.DUMMYFUNCTION("""COMPUTED_VALUE"""),72.82)</f>
        <v>72.82</v>
      </c>
      <c r="M440" s="23">
        <v>1000.0</v>
      </c>
      <c r="N440" s="23">
        <v>1000.0</v>
      </c>
      <c r="O440" s="23">
        <v>1000.0</v>
      </c>
      <c r="P440" s="23">
        <f t="shared" si="1"/>
        <v>12.66624446</v>
      </c>
      <c r="Q440" s="23">
        <f t="shared" si="2"/>
        <v>4.026575398</v>
      </c>
      <c r="R440" s="23">
        <f t="shared" si="3"/>
        <v>13.73249107</v>
      </c>
      <c r="S440" s="19"/>
      <c r="T440" s="19"/>
      <c r="U440" s="19"/>
      <c r="V440" s="19"/>
    </row>
    <row r="441">
      <c r="A441" s="22">
        <f>IFERROR(__xludf.DUMMYFUNCTION("""COMPUTED_VALUE"""),42599.66666666667)</f>
        <v>42599.66667</v>
      </c>
      <c r="B441" s="23">
        <f>IFERROR(__xludf.DUMMYFUNCTION("""COMPUTED_VALUE"""),55.91)</f>
        <v>55.91</v>
      </c>
      <c r="C441" s="22">
        <f>IFERROR(__xludf.DUMMYFUNCTION("""COMPUTED_VALUE"""),43859.66666666667)</f>
        <v>43859.66667</v>
      </c>
      <c r="D441" s="23">
        <f>IFERROR(__xludf.DUMMYFUNCTION("""COMPUTED_VALUE"""),117.23)</f>
        <v>117.23</v>
      </c>
      <c r="E441" s="22">
        <f>IFERROR(__xludf.DUMMYFUNCTION("""COMPUTED_VALUE"""),42782.66666666667)</f>
        <v>42782.66667</v>
      </c>
      <c r="F441" s="23">
        <f>IFERROR(__xludf.DUMMYFUNCTION("""COMPUTED_VALUE"""),11.95)</f>
        <v>11.95</v>
      </c>
      <c r="G441" s="22">
        <f>IFERROR(__xludf.DUMMYFUNCTION("""COMPUTED_VALUE"""),44134.66666666667)</f>
        <v>44134.66667</v>
      </c>
      <c r="H441" s="23">
        <f>IFERROR(__xludf.DUMMYFUNCTION("""COMPUTED_VALUE"""),75.62)</f>
        <v>75.62</v>
      </c>
      <c r="I441" s="22">
        <f>IFERROR(__xludf.DUMMYFUNCTION("""COMPUTED_VALUE"""),44134.66666666667)</f>
        <v>44134.66667</v>
      </c>
      <c r="J441" s="23">
        <f>IFERROR(__xludf.DUMMYFUNCTION("""COMPUTED_VALUE"""),237.67)</f>
        <v>237.67</v>
      </c>
      <c r="K441" s="22">
        <f>IFERROR(__xludf.DUMMYFUNCTION("""COMPUTED_VALUE"""),44134.66666666667)</f>
        <v>44134.66667</v>
      </c>
      <c r="L441" s="23">
        <f>IFERROR(__xludf.DUMMYFUNCTION("""COMPUTED_VALUE"""),70.25)</f>
        <v>70.25</v>
      </c>
      <c r="M441" s="23">
        <v>0.0</v>
      </c>
      <c r="N441" s="23">
        <v>0.0</v>
      </c>
      <c r="O441" s="23">
        <v>0.0</v>
      </c>
      <c r="P441" s="23">
        <f t="shared" si="1"/>
        <v>0</v>
      </c>
      <c r="Q441" s="23">
        <f t="shared" si="2"/>
        <v>0</v>
      </c>
      <c r="R441" s="23">
        <f t="shared" si="3"/>
        <v>0</v>
      </c>
      <c r="S441" s="19"/>
      <c r="T441" s="19"/>
      <c r="U441" s="19"/>
      <c r="V441" s="19"/>
    </row>
    <row r="442">
      <c r="A442" s="22">
        <f>IFERROR(__xludf.DUMMYFUNCTION("""COMPUTED_VALUE"""),42600.66666666667)</f>
        <v>42600.66667</v>
      </c>
      <c r="B442" s="23">
        <f>IFERROR(__xludf.DUMMYFUNCTION("""COMPUTED_VALUE"""),55.64)</f>
        <v>55.64</v>
      </c>
      <c r="C442" s="22">
        <f>IFERROR(__xludf.DUMMYFUNCTION("""COMPUTED_VALUE"""),43860.66666666667)</f>
        <v>43860.66667</v>
      </c>
      <c r="D442" s="23">
        <f>IFERROR(__xludf.DUMMYFUNCTION("""COMPUTED_VALUE"""),116.77)</f>
        <v>116.77</v>
      </c>
      <c r="E442" s="22">
        <f>IFERROR(__xludf.DUMMYFUNCTION("""COMPUTED_VALUE"""),42783.66666666667)</f>
        <v>42783.66667</v>
      </c>
      <c r="F442" s="23">
        <f>IFERROR(__xludf.DUMMYFUNCTION("""COMPUTED_VALUE"""),11.93)</f>
        <v>11.93</v>
      </c>
      <c r="G442" s="22">
        <f>IFERROR(__xludf.DUMMYFUNCTION("""COMPUTED_VALUE"""),44141.66666666667)</f>
        <v>44141.66667</v>
      </c>
      <c r="H442" s="23">
        <f>IFERROR(__xludf.DUMMYFUNCTION("""COMPUTED_VALUE"""),78.95)</f>
        <v>78.95</v>
      </c>
      <c r="I442" s="22">
        <f>IFERROR(__xludf.DUMMYFUNCTION("""COMPUTED_VALUE"""),44141.66666666667)</f>
        <v>44141.66667</v>
      </c>
      <c r="J442" s="23">
        <f>IFERROR(__xludf.DUMMYFUNCTION("""COMPUTED_VALUE"""),245.19)</f>
        <v>245.19</v>
      </c>
      <c r="K442" s="22">
        <f>IFERROR(__xludf.DUMMYFUNCTION("""COMPUTED_VALUE"""),44141.66666666667)</f>
        <v>44141.66667</v>
      </c>
      <c r="L442" s="23">
        <f>IFERROR(__xludf.DUMMYFUNCTION("""COMPUTED_VALUE"""),72.56)</f>
        <v>72.56</v>
      </c>
      <c r="M442" s="23">
        <v>0.0</v>
      </c>
      <c r="N442" s="23">
        <v>0.0</v>
      </c>
      <c r="O442" s="23">
        <v>0.0</v>
      </c>
      <c r="P442" s="23">
        <f t="shared" si="1"/>
        <v>0</v>
      </c>
      <c r="Q442" s="23">
        <f t="shared" si="2"/>
        <v>0</v>
      </c>
      <c r="R442" s="23">
        <f t="shared" si="3"/>
        <v>0</v>
      </c>
      <c r="S442" s="19"/>
      <c r="T442" s="19"/>
      <c r="U442" s="19"/>
      <c r="V442" s="19"/>
    </row>
    <row r="443">
      <c r="A443" s="22">
        <f>IFERROR(__xludf.DUMMYFUNCTION("""COMPUTED_VALUE"""),42601.66666666667)</f>
        <v>42601.66667</v>
      </c>
      <c r="B443" s="23">
        <f>IFERROR(__xludf.DUMMYFUNCTION("""COMPUTED_VALUE"""),56.1)</f>
        <v>56.1</v>
      </c>
      <c r="C443" s="22">
        <f>IFERROR(__xludf.DUMMYFUNCTION("""COMPUTED_VALUE"""),43861.66666666667)</f>
        <v>43861.66667</v>
      </c>
      <c r="D443" s="23">
        <f>IFERROR(__xludf.DUMMYFUNCTION("""COMPUTED_VALUE"""),116.96)</f>
        <v>116.96</v>
      </c>
      <c r="E443" s="22">
        <f>IFERROR(__xludf.DUMMYFUNCTION("""COMPUTED_VALUE"""),42786.66666666667)</f>
        <v>42786.66667</v>
      </c>
      <c r="F443" s="23">
        <f>IFERROR(__xludf.DUMMYFUNCTION("""COMPUTED_VALUE"""),12.05)</f>
        <v>12.05</v>
      </c>
      <c r="G443" s="22">
        <f>IFERROR(__xludf.DUMMYFUNCTION("""COMPUTED_VALUE"""),44148.66666666667)</f>
        <v>44148.66667</v>
      </c>
      <c r="H443" s="23">
        <f>IFERROR(__xludf.DUMMYFUNCTION("""COMPUTED_VALUE"""),81.85)</f>
        <v>81.85</v>
      </c>
      <c r="I443" s="22">
        <f>IFERROR(__xludf.DUMMYFUNCTION("""COMPUTED_VALUE"""),44148.66666666667)</f>
        <v>44148.66667</v>
      </c>
      <c r="J443" s="23">
        <f>IFERROR(__xludf.DUMMYFUNCTION("""COMPUTED_VALUE"""),250.17)</f>
        <v>250.17</v>
      </c>
      <c r="K443" s="22">
        <f>IFERROR(__xludf.DUMMYFUNCTION("""COMPUTED_VALUE"""),44148.66666666667)</f>
        <v>44148.66667</v>
      </c>
      <c r="L443" s="23">
        <f>IFERROR(__xludf.DUMMYFUNCTION("""COMPUTED_VALUE"""),75.08)</f>
        <v>75.08</v>
      </c>
      <c r="M443" s="23">
        <v>0.0</v>
      </c>
      <c r="N443" s="23">
        <v>0.0</v>
      </c>
      <c r="O443" s="23">
        <v>0.0</v>
      </c>
      <c r="P443" s="23">
        <f t="shared" si="1"/>
        <v>0</v>
      </c>
      <c r="Q443" s="23">
        <f t="shared" si="2"/>
        <v>0</v>
      </c>
      <c r="R443" s="23">
        <f t="shared" si="3"/>
        <v>0</v>
      </c>
      <c r="S443" s="19"/>
      <c r="T443" s="19"/>
      <c r="U443" s="19"/>
      <c r="V443" s="19"/>
    </row>
    <row r="444">
      <c r="A444" s="22">
        <f>IFERROR(__xludf.DUMMYFUNCTION("""COMPUTED_VALUE"""),42604.66666666667)</f>
        <v>42604.66667</v>
      </c>
      <c r="B444" s="23">
        <f>IFERROR(__xludf.DUMMYFUNCTION("""COMPUTED_VALUE"""),56.2)</f>
        <v>56.2</v>
      </c>
      <c r="C444" s="22">
        <f>IFERROR(__xludf.DUMMYFUNCTION("""COMPUTED_VALUE"""),43864.66666666667)</f>
        <v>43864.66667</v>
      </c>
      <c r="D444" s="23">
        <f>IFERROR(__xludf.DUMMYFUNCTION("""COMPUTED_VALUE"""),115.5)</f>
        <v>115.5</v>
      </c>
      <c r="E444" s="22">
        <f>IFERROR(__xludf.DUMMYFUNCTION("""COMPUTED_VALUE"""),42787.66666666667)</f>
        <v>42787.66667</v>
      </c>
      <c r="F444" s="23">
        <f>IFERROR(__xludf.DUMMYFUNCTION("""COMPUTED_VALUE"""),12.08)</f>
        <v>12.08</v>
      </c>
      <c r="G444" s="22">
        <f>IFERROR(__xludf.DUMMYFUNCTION("""COMPUTED_VALUE"""),44155.66666666667)</f>
        <v>44155.66667</v>
      </c>
      <c r="H444" s="23">
        <f>IFERROR(__xludf.DUMMYFUNCTION("""COMPUTED_VALUE"""),83.57)</f>
        <v>83.57</v>
      </c>
      <c r="I444" s="22">
        <f>IFERROR(__xludf.DUMMYFUNCTION("""COMPUTED_VALUE"""),44155.66666666667)</f>
        <v>44155.66667</v>
      </c>
      <c r="J444" s="23">
        <f>IFERROR(__xludf.DUMMYFUNCTION("""COMPUTED_VALUE"""),251.67)</f>
        <v>251.67</v>
      </c>
      <c r="K444" s="22">
        <f>IFERROR(__xludf.DUMMYFUNCTION("""COMPUTED_VALUE"""),44155.66666666667)</f>
        <v>44155.66667</v>
      </c>
      <c r="L444" s="23">
        <f>IFERROR(__xludf.DUMMYFUNCTION("""COMPUTED_VALUE"""),76.0)</f>
        <v>76</v>
      </c>
      <c r="M444" s="23">
        <v>1000.0</v>
      </c>
      <c r="N444" s="23">
        <v>1000.0</v>
      </c>
      <c r="O444" s="23">
        <v>1000.0</v>
      </c>
      <c r="P444" s="23">
        <f t="shared" si="1"/>
        <v>11.96601651</v>
      </c>
      <c r="Q444" s="23">
        <f t="shared" si="2"/>
        <v>3.973457305</v>
      </c>
      <c r="R444" s="23">
        <f t="shared" si="3"/>
        <v>13.15789474</v>
      </c>
      <c r="S444" s="19"/>
      <c r="T444" s="19"/>
      <c r="U444" s="19"/>
      <c r="V444" s="19"/>
    </row>
    <row r="445">
      <c r="A445" s="22">
        <f>IFERROR(__xludf.DUMMYFUNCTION("""COMPUTED_VALUE"""),42605.66666666667)</f>
        <v>42605.66667</v>
      </c>
      <c r="B445" s="23">
        <f>IFERROR(__xludf.DUMMYFUNCTION("""COMPUTED_VALUE"""),56.0)</f>
        <v>56</v>
      </c>
      <c r="C445" s="22">
        <f>IFERROR(__xludf.DUMMYFUNCTION("""COMPUTED_VALUE"""),43865.66666666667)</f>
        <v>43865.66667</v>
      </c>
      <c r="D445" s="23">
        <f>IFERROR(__xludf.DUMMYFUNCTION("""COMPUTED_VALUE"""),115.85)</f>
        <v>115.85</v>
      </c>
      <c r="E445" s="22">
        <f>IFERROR(__xludf.DUMMYFUNCTION("""COMPUTED_VALUE"""),42788.66666666667)</f>
        <v>42788.66667</v>
      </c>
      <c r="F445" s="23">
        <f>IFERROR(__xludf.DUMMYFUNCTION("""COMPUTED_VALUE"""),12.07)</f>
        <v>12.07</v>
      </c>
      <c r="G445" s="22">
        <f>IFERROR(__xludf.DUMMYFUNCTION("""COMPUTED_VALUE"""),44162.66666666667)</f>
        <v>44162.66667</v>
      </c>
      <c r="H445" s="23">
        <f>IFERROR(__xludf.DUMMYFUNCTION("""COMPUTED_VALUE"""),84.38)</f>
        <v>84.38</v>
      </c>
      <c r="I445" s="22">
        <f>IFERROR(__xludf.DUMMYFUNCTION("""COMPUTED_VALUE"""),44162.66666666667)</f>
        <v>44162.66667</v>
      </c>
      <c r="J445" s="23">
        <f>IFERROR(__xludf.DUMMYFUNCTION("""COMPUTED_VALUE"""),254.05)</f>
        <v>254.05</v>
      </c>
      <c r="K445" s="22">
        <f>IFERROR(__xludf.DUMMYFUNCTION("""COMPUTED_VALUE"""),44162.66666666667)</f>
        <v>44162.66667</v>
      </c>
      <c r="L445" s="23">
        <f>IFERROR(__xludf.DUMMYFUNCTION("""COMPUTED_VALUE"""),76.99)</f>
        <v>76.99</v>
      </c>
      <c r="M445" s="23">
        <v>0.0</v>
      </c>
      <c r="N445" s="23">
        <v>0.0</v>
      </c>
      <c r="O445" s="23">
        <v>0.0</v>
      </c>
      <c r="P445" s="23">
        <f t="shared" si="1"/>
        <v>0</v>
      </c>
      <c r="Q445" s="23">
        <f t="shared" si="2"/>
        <v>0</v>
      </c>
      <c r="R445" s="23">
        <f t="shared" si="3"/>
        <v>0</v>
      </c>
      <c r="S445" s="19"/>
      <c r="T445" s="19"/>
      <c r="U445" s="19"/>
      <c r="V445" s="19"/>
    </row>
    <row r="446">
      <c r="A446" s="22">
        <f>IFERROR(__xludf.DUMMYFUNCTION("""COMPUTED_VALUE"""),42606.66666666667)</f>
        <v>42606.66667</v>
      </c>
      <c r="B446" s="23">
        <f>IFERROR(__xludf.DUMMYFUNCTION("""COMPUTED_VALUE"""),56.3)</f>
        <v>56.3</v>
      </c>
      <c r="C446" s="22">
        <f>IFERROR(__xludf.DUMMYFUNCTION("""COMPUTED_VALUE"""),43866.66666666667)</f>
        <v>43866.66667</v>
      </c>
      <c r="D446" s="23">
        <f>IFERROR(__xludf.DUMMYFUNCTION("""COMPUTED_VALUE"""),116.29)</f>
        <v>116.29</v>
      </c>
      <c r="E446" s="22">
        <f>IFERROR(__xludf.DUMMYFUNCTION("""COMPUTED_VALUE"""),42789.66666666667)</f>
        <v>42789.66667</v>
      </c>
      <c r="F446" s="23">
        <f>IFERROR(__xludf.DUMMYFUNCTION("""COMPUTED_VALUE"""),12.08)</f>
        <v>12.08</v>
      </c>
      <c r="G446" s="22">
        <f>IFERROR(__xludf.DUMMYFUNCTION("""COMPUTED_VALUE"""),44169.66666666667)</f>
        <v>44169.66667</v>
      </c>
      <c r="H446" s="23">
        <f>IFERROR(__xludf.DUMMYFUNCTION("""COMPUTED_VALUE"""),84.89)</f>
        <v>84.89</v>
      </c>
      <c r="I446" s="22">
        <f>IFERROR(__xludf.DUMMYFUNCTION("""COMPUTED_VALUE"""),44169.66666666667)</f>
        <v>44169.66667</v>
      </c>
      <c r="J446" s="23">
        <f>IFERROR(__xludf.DUMMYFUNCTION("""COMPUTED_VALUE"""),255.57)</f>
        <v>255.57</v>
      </c>
      <c r="K446" s="22">
        <f>IFERROR(__xludf.DUMMYFUNCTION("""COMPUTED_VALUE"""),44169.66666666667)</f>
        <v>44169.66667</v>
      </c>
      <c r="L446" s="23">
        <f>IFERROR(__xludf.DUMMYFUNCTION("""COMPUTED_VALUE"""),77.27)</f>
        <v>77.27</v>
      </c>
      <c r="M446" s="23">
        <v>0.0</v>
      </c>
      <c r="N446" s="23">
        <v>0.0</v>
      </c>
      <c r="O446" s="23">
        <v>0.0</v>
      </c>
      <c r="P446" s="23">
        <f t="shared" si="1"/>
        <v>0</v>
      </c>
      <c r="Q446" s="23">
        <f t="shared" si="2"/>
        <v>0</v>
      </c>
      <c r="R446" s="23">
        <f t="shared" si="3"/>
        <v>0</v>
      </c>
      <c r="S446" s="19"/>
      <c r="T446" s="19"/>
      <c r="U446" s="19"/>
      <c r="V446" s="19"/>
    </row>
    <row r="447">
      <c r="A447" s="22">
        <f>IFERROR(__xludf.DUMMYFUNCTION("""COMPUTED_VALUE"""),42607.66666666667)</f>
        <v>42607.66667</v>
      </c>
      <c r="B447" s="23">
        <f>IFERROR(__xludf.DUMMYFUNCTION("""COMPUTED_VALUE"""),56.17)</f>
        <v>56.17</v>
      </c>
      <c r="C447" s="22">
        <f>IFERROR(__xludf.DUMMYFUNCTION("""COMPUTED_VALUE"""),43867.66666666667)</f>
        <v>43867.66667</v>
      </c>
      <c r="D447" s="23">
        <f>IFERROR(__xludf.DUMMYFUNCTION("""COMPUTED_VALUE"""),117.5)</f>
        <v>117.5</v>
      </c>
      <c r="E447" s="22">
        <f>IFERROR(__xludf.DUMMYFUNCTION("""COMPUTED_VALUE"""),42790.66666666667)</f>
        <v>42790.66667</v>
      </c>
      <c r="F447" s="23">
        <f>IFERROR(__xludf.DUMMYFUNCTION("""COMPUTED_VALUE"""),11.95)</f>
        <v>11.95</v>
      </c>
      <c r="G447" s="22">
        <f>IFERROR(__xludf.DUMMYFUNCTION("""COMPUTED_VALUE"""),44176.66666666667)</f>
        <v>44176.66667</v>
      </c>
      <c r="H447" s="23">
        <f>IFERROR(__xludf.DUMMYFUNCTION("""COMPUTED_VALUE"""),84.94)</f>
        <v>84.94</v>
      </c>
      <c r="I447" s="22">
        <f>IFERROR(__xludf.DUMMYFUNCTION("""COMPUTED_VALUE"""),44176.66666666667)</f>
        <v>44176.66667</v>
      </c>
      <c r="J447" s="23">
        <f>IFERROR(__xludf.DUMMYFUNCTION("""COMPUTED_VALUE"""),251.79)</f>
        <v>251.79</v>
      </c>
      <c r="K447" s="22">
        <f>IFERROR(__xludf.DUMMYFUNCTION("""COMPUTED_VALUE"""),44176.66666666667)</f>
        <v>44176.66667</v>
      </c>
      <c r="L447" s="23">
        <f>IFERROR(__xludf.DUMMYFUNCTION("""COMPUTED_VALUE"""),76.4)</f>
        <v>76.4</v>
      </c>
      <c r="M447" s="23">
        <v>0.0</v>
      </c>
      <c r="N447" s="23">
        <v>0.0</v>
      </c>
      <c r="O447" s="23">
        <v>0.0</v>
      </c>
      <c r="P447" s="23">
        <f t="shared" si="1"/>
        <v>0</v>
      </c>
      <c r="Q447" s="23">
        <f t="shared" si="2"/>
        <v>0</v>
      </c>
      <c r="R447" s="23">
        <f t="shared" si="3"/>
        <v>0</v>
      </c>
      <c r="S447" s="19"/>
      <c r="T447" s="19"/>
      <c r="U447" s="19"/>
      <c r="V447" s="19"/>
    </row>
    <row r="448">
      <c r="A448" s="22">
        <f>IFERROR(__xludf.DUMMYFUNCTION("""COMPUTED_VALUE"""),42608.66666666667)</f>
        <v>42608.66667</v>
      </c>
      <c r="B448" s="23">
        <f>IFERROR(__xludf.DUMMYFUNCTION("""COMPUTED_VALUE"""),56.03)</f>
        <v>56.03</v>
      </c>
      <c r="C448" s="22">
        <f>IFERROR(__xludf.DUMMYFUNCTION("""COMPUTED_VALUE"""),43868.66666666667)</f>
        <v>43868.66667</v>
      </c>
      <c r="D448" s="23">
        <f>IFERROR(__xludf.DUMMYFUNCTION("""COMPUTED_VALUE"""),116.86)</f>
        <v>116.86</v>
      </c>
      <c r="E448" s="22">
        <f>IFERROR(__xludf.DUMMYFUNCTION("""COMPUTED_VALUE"""),42793.66666666667)</f>
        <v>42793.66667</v>
      </c>
      <c r="F448" s="23">
        <f>IFERROR(__xludf.DUMMYFUNCTION("""COMPUTED_VALUE"""),12.07)</f>
        <v>12.07</v>
      </c>
      <c r="G448" s="22">
        <f>IFERROR(__xludf.DUMMYFUNCTION("""COMPUTED_VALUE"""),44183.66666666667)</f>
        <v>44183.66667</v>
      </c>
      <c r="H448" s="23">
        <f>IFERROR(__xludf.DUMMYFUNCTION("""COMPUTED_VALUE"""),85.36)</f>
        <v>85.36</v>
      </c>
      <c r="I448" s="22">
        <f>IFERROR(__xludf.DUMMYFUNCTION("""COMPUTED_VALUE"""),44183.66666666667)</f>
        <v>44183.66667</v>
      </c>
      <c r="J448" s="23">
        <f>IFERROR(__xludf.DUMMYFUNCTION("""COMPUTED_VALUE"""),254.64)</f>
        <v>254.64</v>
      </c>
      <c r="K448" s="22">
        <f>IFERROR(__xludf.DUMMYFUNCTION("""COMPUTED_VALUE"""),44183.66666666667)</f>
        <v>44183.66667</v>
      </c>
      <c r="L448" s="23">
        <f>IFERROR(__xludf.DUMMYFUNCTION("""COMPUTED_VALUE"""),77.08)</f>
        <v>77.08</v>
      </c>
      <c r="M448" s="23">
        <v>1000.0</v>
      </c>
      <c r="N448" s="23">
        <v>1000.0</v>
      </c>
      <c r="O448" s="23">
        <v>1000.0</v>
      </c>
      <c r="P448" s="23">
        <f t="shared" si="1"/>
        <v>11.71508903</v>
      </c>
      <c r="Q448" s="23">
        <f t="shared" si="2"/>
        <v>3.927112787</v>
      </c>
      <c r="R448" s="23">
        <f t="shared" si="3"/>
        <v>12.97353399</v>
      </c>
      <c r="S448" s="19"/>
      <c r="T448" s="19"/>
      <c r="U448" s="19"/>
      <c r="V448" s="19"/>
    </row>
    <row r="449">
      <c r="A449" s="22">
        <f>IFERROR(__xludf.DUMMYFUNCTION("""COMPUTED_VALUE"""),42611.66666666667)</f>
        <v>42611.66667</v>
      </c>
      <c r="B449" s="23">
        <f>IFERROR(__xludf.DUMMYFUNCTION("""COMPUTED_VALUE"""),56.35)</f>
        <v>56.35</v>
      </c>
      <c r="C449" s="22">
        <f>IFERROR(__xludf.DUMMYFUNCTION("""COMPUTED_VALUE"""),43871.66666666667)</f>
        <v>43871.66667</v>
      </c>
      <c r="D449" s="23">
        <f>IFERROR(__xludf.DUMMYFUNCTION("""COMPUTED_VALUE"""),116.86)</f>
        <v>116.86</v>
      </c>
      <c r="E449" s="22">
        <f>IFERROR(__xludf.DUMMYFUNCTION("""COMPUTED_VALUE"""),42794.66666666667)</f>
        <v>42794.66667</v>
      </c>
      <c r="F449" s="23">
        <f>IFERROR(__xludf.DUMMYFUNCTION("""COMPUTED_VALUE"""),12.09)</f>
        <v>12.09</v>
      </c>
      <c r="G449" s="22">
        <f>IFERROR(__xludf.DUMMYFUNCTION("""COMPUTED_VALUE"""),44189.66666666667)</f>
        <v>44189.66667</v>
      </c>
      <c r="H449" s="23">
        <f>IFERROR(__xludf.DUMMYFUNCTION("""COMPUTED_VALUE"""),85.33)</f>
        <v>85.33</v>
      </c>
      <c r="I449" s="22">
        <f>IFERROR(__xludf.DUMMYFUNCTION("""COMPUTED_VALUE"""),44189.66666666667)</f>
        <v>44189.66667</v>
      </c>
      <c r="J449" s="23">
        <f>IFERROR(__xludf.DUMMYFUNCTION("""COMPUTED_VALUE"""),256.99)</f>
        <v>256.99</v>
      </c>
      <c r="K449" s="22">
        <f>IFERROR(__xludf.DUMMYFUNCTION("""COMPUTED_VALUE"""),44189.66666666667)</f>
        <v>44189.66667</v>
      </c>
      <c r="L449" s="23">
        <f>IFERROR(__xludf.DUMMYFUNCTION("""COMPUTED_VALUE"""),76.25)</f>
        <v>76.25</v>
      </c>
      <c r="M449" s="23">
        <v>0.0</v>
      </c>
      <c r="N449" s="23">
        <v>0.0</v>
      </c>
      <c r="O449" s="23">
        <v>0.0</v>
      </c>
      <c r="P449" s="23">
        <f t="shared" si="1"/>
        <v>0</v>
      </c>
      <c r="Q449" s="23">
        <f t="shared" si="2"/>
        <v>0</v>
      </c>
      <c r="R449" s="23">
        <f t="shared" si="3"/>
        <v>0</v>
      </c>
      <c r="S449" s="19"/>
      <c r="T449" s="19"/>
      <c r="U449" s="19"/>
      <c r="V449" s="19"/>
    </row>
    <row r="450">
      <c r="A450" s="22">
        <f>IFERROR(__xludf.DUMMYFUNCTION("""COMPUTED_VALUE"""),42612.66666666667)</f>
        <v>42612.66667</v>
      </c>
      <c r="B450" s="23">
        <f>IFERROR(__xludf.DUMMYFUNCTION("""COMPUTED_VALUE"""),56.51)</f>
        <v>56.51</v>
      </c>
      <c r="C450" s="22">
        <f>IFERROR(__xludf.DUMMYFUNCTION("""COMPUTED_VALUE"""),43872.66666666667)</f>
        <v>43872.66667</v>
      </c>
      <c r="D450" s="23">
        <f>IFERROR(__xludf.DUMMYFUNCTION("""COMPUTED_VALUE"""),117.4)</f>
        <v>117.4</v>
      </c>
      <c r="E450" s="22">
        <f>IFERROR(__xludf.DUMMYFUNCTION("""COMPUTED_VALUE"""),42795.66666666667)</f>
        <v>42795.66667</v>
      </c>
      <c r="F450" s="23">
        <f>IFERROR(__xludf.DUMMYFUNCTION("""COMPUTED_VALUE"""),12.11)</f>
        <v>12.11</v>
      </c>
      <c r="G450" s="22">
        <f>IFERROR(__xludf.DUMMYFUNCTION("""COMPUTED_VALUE"""),44196.66666666667)</f>
        <v>44196.66667</v>
      </c>
      <c r="H450" s="23">
        <f>IFERROR(__xludf.DUMMYFUNCTION("""COMPUTED_VALUE"""),84.56)</f>
        <v>84.56</v>
      </c>
      <c r="I450" s="22">
        <f>IFERROR(__xludf.DUMMYFUNCTION("""COMPUTED_VALUE"""),44196.66666666667)</f>
        <v>44196.66667</v>
      </c>
      <c r="J450" s="23">
        <f>IFERROR(__xludf.DUMMYFUNCTION("""COMPUTED_VALUE"""),252.07)</f>
        <v>252.07</v>
      </c>
      <c r="K450" s="22">
        <f>IFERROR(__xludf.DUMMYFUNCTION("""COMPUTED_VALUE"""),44196.66666666667)</f>
        <v>44196.66667</v>
      </c>
      <c r="L450" s="23">
        <f>IFERROR(__xludf.DUMMYFUNCTION("""COMPUTED_VALUE"""),76.35)</f>
        <v>76.35</v>
      </c>
      <c r="M450" s="23">
        <v>0.0</v>
      </c>
      <c r="N450" s="23">
        <v>0.0</v>
      </c>
      <c r="O450" s="23">
        <v>0.0</v>
      </c>
      <c r="P450" s="23">
        <f t="shared" si="1"/>
        <v>0</v>
      </c>
      <c r="Q450" s="23">
        <f t="shared" si="2"/>
        <v>0</v>
      </c>
      <c r="R450" s="23">
        <f t="shared" si="3"/>
        <v>0</v>
      </c>
      <c r="S450" s="19"/>
      <c r="T450" s="19"/>
      <c r="U450" s="19"/>
      <c r="V450" s="19"/>
    </row>
    <row r="451">
      <c r="A451" s="22">
        <f>IFERROR(__xludf.DUMMYFUNCTION("""COMPUTED_VALUE"""),42613.66666666667)</f>
        <v>42613.66667</v>
      </c>
      <c r="B451" s="23">
        <f>IFERROR(__xludf.DUMMYFUNCTION("""COMPUTED_VALUE"""),56.74)</f>
        <v>56.74</v>
      </c>
      <c r="C451" s="22">
        <f>IFERROR(__xludf.DUMMYFUNCTION("""COMPUTED_VALUE"""),43873.66666666667)</f>
        <v>43873.66667</v>
      </c>
      <c r="D451" s="23">
        <f>IFERROR(__xludf.DUMMYFUNCTION("""COMPUTED_VALUE"""),118.14)</f>
        <v>118.14</v>
      </c>
      <c r="E451" s="22">
        <f>IFERROR(__xludf.DUMMYFUNCTION("""COMPUTED_VALUE"""),42796.66666666667)</f>
        <v>42796.66667</v>
      </c>
      <c r="F451" s="23">
        <f>IFERROR(__xludf.DUMMYFUNCTION("""COMPUTED_VALUE"""),12.21)</f>
        <v>12.21</v>
      </c>
      <c r="G451" s="22">
        <f>IFERROR(__xludf.DUMMYFUNCTION("""COMPUTED_VALUE"""),44204.66666666667)</f>
        <v>44204.66667</v>
      </c>
      <c r="H451" s="23">
        <f>IFERROR(__xludf.DUMMYFUNCTION("""COMPUTED_VALUE"""),86.11)</f>
        <v>86.11</v>
      </c>
      <c r="I451" s="22">
        <f>IFERROR(__xludf.DUMMYFUNCTION("""COMPUTED_VALUE"""),44204.66666666667)</f>
        <v>44204.66667</v>
      </c>
      <c r="J451" s="23">
        <f>IFERROR(__xludf.DUMMYFUNCTION("""COMPUTED_VALUE"""),256.47)</f>
        <v>256.47</v>
      </c>
      <c r="K451" s="22">
        <f>IFERROR(__xludf.DUMMYFUNCTION("""COMPUTED_VALUE"""),44204.66666666667)</f>
        <v>44204.66667</v>
      </c>
      <c r="L451" s="23">
        <f>IFERROR(__xludf.DUMMYFUNCTION("""COMPUTED_VALUE"""),77.89)</f>
        <v>77.89</v>
      </c>
      <c r="M451" s="23">
        <v>0.0</v>
      </c>
      <c r="N451" s="23">
        <v>0.0</v>
      </c>
      <c r="O451" s="23">
        <v>0.0</v>
      </c>
      <c r="P451" s="23">
        <f t="shared" si="1"/>
        <v>0</v>
      </c>
      <c r="Q451" s="23">
        <f t="shared" si="2"/>
        <v>0</v>
      </c>
      <c r="R451" s="23">
        <f t="shared" si="3"/>
        <v>0</v>
      </c>
      <c r="S451" s="19"/>
      <c r="T451" s="19"/>
      <c r="U451" s="19"/>
      <c r="V451" s="19"/>
    </row>
    <row r="452">
      <c r="A452" s="22">
        <f>IFERROR(__xludf.DUMMYFUNCTION("""COMPUTED_VALUE"""),42614.66666666667)</f>
        <v>42614.66667</v>
      </c>
      <c r="B452" s="23">
        <f>IFERROR(__xludf.DUMMYFUNCTION("""COMPUTED_VALUE"""),56.6)</f>
        <v>56.6</v>
      </c>
      <c r="C452" s="22">
        <f>IFERROR(__xludf.DUMMYFUNCTION("""COMPUTED_VALUE"""),43874.66666666667)</f>
        <v>43874.66667</v>
      </c>
      <c r="D452" s="23">
        <f>IFERROR(__xludf.DUMMYFUNCTION("""COMPUTED_VALUE"""),118.1)</f>
        <v>118.1</v>
      </c>
      <c r="E452" s="22">
        <f>IFERROR(__xludf.DUMMYFUNCTION("""COMPUTED_VALUE"""),42797.66666666667)</f>
        <v>42797.66667</v>
      </c>
      <c r="F452" s="23">
        <f>IFERROR(__xludf.DUMMYFUNCTION("""COMPUTED_VALUE"""),12.28)</f>
        <v>12.28</v>
      </c>
      <c r="G452" s="22">
        <f>IFERROR(__xludf.DUMMYFUNCTION("""COMPUTED_VALUE"""),44211.66666666667)</f>
        <v>44211.66667</v>
      </c>
      <c r="H452" s="23">
        <f>IFERROR(__xludf.DUMMYFUNCTION("""COMPUTED_VALUE"""),85.67)</f>
        <v>85.67</v>
      </c>
      <c r="I452" s="22">
        <f>IFERROR(__xludf.DUMMYFUNCTION("""COMPUTED_VALUE"""),44211.66666666667)</f>
        <v>44211.66667</v>
      </c>
      <c r="J452" s="23">
        <f>IFERROR(__xludf.DUMMYFUNCTION("""COMPUTED_VALUE"""),255.17)</f>
        <v>255.17</v>
      </c>
      <c r="K452" s="22">
        <f>IFERROR(__xludf.DUMMYFUNCTION("""COMPUTED_VALUE"""),44211.66666666667)</f>
        <v>44211.66667</v>
      </c>
      <c r="L452" s="23">
        <f>IFERROR(__xludf.DUMMYFUNCTION("""COMPUTED_VALUE"""),78.09)</f>
        <v>78.09</v>
      </c>
      <c r="M452" s="23">
        <v>1000.0</v>
      </c>
      <c r="N452" s="23">
        <v>1000.0</v>
      </c>
      <c r="O452" s="23">
        <v>1000.0</v>
      </c>
      <c r="P452" s="23">
        <f t="shared" si="1"/>
        <v>11.67269756</v>
      </c>
      <c r="Q452" s="23">
        <f t="shared" si="2"/>
        <v>3.91895599</v>
      </c>
      <c r="R452" s="23">
        <f t="shared" si="3"/>
        <v>12.80573697</v>
      </c>
      <c r="S452" s="19"/>
      <c r="T452" s="19"/>
      <c r="U452" s="19"/>
      <c r="V452" s="19"/>
    </row>
    <row r="453">
      <c r="A453" s="22">
        <f>IFERROR(__xludf.DUMMYFUNCTION("""COMPUTED_VALUE"""),42615.66666666667)</f>
        <v>42615.66667</v>
      </c>
      <c r="B453" s="23">
        <f>IFERROR(__xludf.DUMMYFUNCTION("""COMPUTED_VALUE"""),56.39)</f>
        <v>56.39</v>
      </c>
      <c r="C453" s="22">
        <f>IFERROR(__xludf.DUMMYFUNCTION("""COMPUTED_VALUE"""),43875.66666666667)</f>
        <v>43875.66667</v>
      </c>
      <c r="D453" s="23">
        <f>IFERROR(__xludf.DUMMYFUNCTION("""COMPUTED_VALUE"""),118.98)</f>
        <v>118.98</v>
      </c>
      <c r="E453" s="22">
        <f>IFERROR(__xludf.DUMMYFUNCTION("""COMPUTED_VALUE"""),42800.66666666667)</f>
        <v>42800.66667</v>
      </c>
      <c r="F453" s="23">
        <f>IFERROR(__xludf.DUMMYFUNCTION("""COMPUTED_VALUE"""),12.26)</f>
        <v>12.26</v>
      </c>
      <c r="G453" s="22">
        <f>IFERROR(__xludf.DUMMYFUNCTION("""COMPUTED_VALUE"""),44218.66666666667)</f>
        <v>44218.66667</v>
      </c>
      <c r="H453" s="23">
        <f>IFERROR(__xludf.DUMMYFUNCTION("""COMPUTED_VALUE"""),86.72)</f>
        <v>86.72</v>
      </c>
      <c r="I453" s="22">
        <f>IFERROR(__xludf.DUMMYFUNCTION("""COMPUTED_VALUE"""),44218.66666666667)</f>
        <v>44218.66667</v>
      </c>
      <c r="J453" s="23">
        <f>IFERROR(__xludf.DUMMYFUNCTION("""COMPUTED_VALUE"""),259.01)</f>
        <v>259.01</v>
      </c>
      <c r="K453" s="22">
        <f>IFERROR(__xludf.DUMMYFUNCTION("""COMPUTED_VALUE"""),44218.66666666667)</f>
        <v>44218.66667</v>
      </c>
      <c r="L453" s="23">
        <f>IFERROR(__xludf.DUMMYFUNCTION("""COMPUTED_VALUE"""),79.0)</f>
        <v>79</v>
      </c>
      <c r="M453" s="23">
        <v>0.0</v>
      </c>
      <c r="N453" s="23">
        <v>0.0</v>
      </c>
      <c r="O453" s="23">
        <v>0.0</v>
      </c>
      <c r="P453" s="23">
        <f t="shared" si="1"/>
        <v>0</v>
      </c>
      <c r="Q453" s="23">
        <f t="shared" si="2"/>
        <v>0</v>
      </c>
      <c r="R453" s="23">
        <f t="shared" si="3"/>
        <v>0</v>
      </c>
      <c r="S453" s="19"/>
      <c r="T453" s="19"/>
      <c r="U453" s="19"/>
      <c r="V453" s="19"/>
    </row>
    <row r="454">
      <c r="A454" s="22">
        <f>IFERROR(__xludf.DUMMYFUNCTION("""COMPUTED_VALUE"""),42618.66666666667)</f>
        <v>42618.66667</v>
      </c>
      <c r="B454" s="23">
        <f>IFERROR(__xludf.DUMMYFUNCTION("""COMPUTED_VALUE"""),56.58)</f>
        <v>56.58</v>
      </c>
      <c r="C454" s="22">
        <f>IFERROR(__xludf.DUMMYFUNCTION("""COMPUTED_VALUE"""),43878.66666666667)</f>
        <v>43878.66667</v>
      </c>
      <c r="D454" s="23">
        <f>IFERROR(__xludf.DUMMYFUNCTION("""COMPUTED_VALUE"""),118.75)</f>
        <v>118.75</v>
      </c>
      <c r="E454" s="22">
        <f>IFERROR(__xludf.DUMMYFUNCTION("""COMPUTED_VALUE"""),42801.66666666667)</f>
        <v>42801.66667</v>
      </c>
      <c r="F454" s="23">
        <f>IFERROR(__xludf.DUMMYFUNCTION("""COMPUTED_VALUE"""),12.19)</f>
        <v>12.19</v>
      </c>
      <c r="G454" s="22">
        <f>IFERROR(__xludf.DUMMYFUNCTION("""COMPUTED_VALUE"""),44225.66666666667)</f>
        <v>44225.66667</v>
      </c>
      <c r="H454" s="23">
        <f>IFERROR(__xludf.DUMMYFUNCTION("""COMPUTED_VALUE"""),84.36)</f>
        <v>84.36</v>
      </c>
      <c r="I454" s="22">
        <f>IFERROR(__xludf.DUMMYFUNCTION("""COMPUTED_VALUE"""),44225.66666666667)</f>
        <v>44225.66667</v>
      </c>
      <c r="J454" s="23">
        <f>IFERROR(__xludf.DUMMYFUNCTION("""COMPUTED_VALUE"""),255.09)</f>
        <v>255.09</v>
      </c>
      <c r="K454" s="22">
        <f>IFERROR(__xludf.DUMMYFUNCTION("""COMPUTED_VALUE"""),44225.66666666667)</f>
        <v>44225.66667</v>
      </c>
      <c r="L454" s="23">
        <f>IFERROR(__xludf.DUMMYFUNCTION("""COMPUTED_VALUE"""),77.19)</f>
        <v>77.19</v>
      </c>
      <c r="M454" s="23">
        <v>0.0</v>
      </c>
      <c r="N454" s="23">
        <v>0.0</v>
      </c>
      <c r="O454" s="23">
        <v>0.0</v>
      </c>
      <c r="P454" s="23">
        <f t="shared" si="1"/>
        <v>0</v>
      </c>
      <c r="Q454" s="23">
        <f t="shared" si="2"/>
        <v>0</v>
      </c>
      <c r="R454" s="23">
        <f t="shared" si="3"/>
        <v>0</v>
      </c>
      <c r="S454" s="19"/>
      <c r="T454" s="19"/>
      <c r="U454" s="19"/>
      <c r="V454" s="19"/>
    </row>
    <row r="455">
      <c r="A455" s="22">
        <f>IFERROR(__xludf.DUMMYFUNCTION("""COMPUTED_VALUE"""),42619.66666666667)</f>
        <v>42619.66667</v>
      </c>
      <c r="B455" s="23">
        <f>IFERROR(__xludf.DUMMYFUNCTION("""COMPUTED_VALUE"""),56.52)</f>
        <v>56.52</v>
      </c>
      <c r="C455" s="22">
        <f>IFERROR(__xludf.DUMMYFUNCTION("""COMPUTED_VALUE"""),43879.66666666667)</f>
        <v>43879.66667</v>
      </c>
      <c r="D455" s="23">
        <f>IFERROR(__xludf.DUMMYFUNCTION("""COMPUTED_VALUE"""),118.61)</f>
        <v>118.61</v>
      </c>
      <c r="E455" s="22">
        <f>IFERROR(__xludf.DUMMYFUNCTION("""COMPUTED_VALUE"""),42802.66666666667)</f>
        <v>42802.66667</v>
      </c>
      <c r="F455" s="23">
        <f>IFERROR(__xludf.DUMMYFUNCTION("""COMPUTED_VALUE"""),12.2)</f>
        <v>12.2</v>
      </c>
      <c r="G455" s="22">
        <f>IFERROR(__xludf.DUMMYFUNCTION("""COMPUTED_VALUE"""),44232.66666666667)</f>
        <v>44232.66667</v>
      </c>
      <c r="H455" s="23">
        <f>IFERROR(__xludf.DUMMYFUNCTION("""COMPUTED_VALUE"""),87.33)</f>
        <v>87.33</v>
      </c>
      <c r="I455" s="22">
        <f>IFERROR(__xludf.DUMMYFUNCTION("""COMPUTED_VALUE"""),44232.66666666667)</f>
        <v>44232.66667</v>
      </c>
      <c r="J455" s="23">
        <f>IFERROR(__xludf.DUMMYFUNCTION("""COMPUTED_VALUE"""),267.82)</f>
        <v>267.82</v>
      </c>
      <c r="K455" s="22">
        <f>IFERROR(__xludf.DUMMYFUNCTION("""COMPUTED_VALUE"""),44232.66666666667)</f>
        <v>44232.66667</v>
      </c>
      <c r="L455" s="23">
        <f>IFERROR(__xludf.DUMMYFUNCTION("""COMPUTED_VALUE"""),79.78)</f>
        <v>79.78</v>
      </c>
      <c r="M455" s="23">
        <v>0.0</v>
      </c>
      <c r="N455" s="23">
        <v>0.0</v>
      </c>
      <c r="O455" s="23">
        <v>0.0</v>
      </c>
      <c r="P455" s="23">
        <f t="shared" si="1"/>
        <v>0</v>
      </c>
      <c r="Q455" s="23">
        <f t="shared" si="2"/>
        <v>0</v>
      </c>
      <c r="R455" s="23">
        <f t="shared" si="3"/>
        <v>0</v>
      </c>
      <c r="S455" s="19"/>
      <c r="T455" s="19"/>
      <c r="U455" s="19"/>
      <c r="V455" s="19"/>
    </row>
    <row r="456">
      <c r="A456" s="22">
        <f>IFERROR(__xludf.DUMMYFUNCTION("""COMPUTED_VALUE"""),42620.66666666667)</f>
        <v>42620.66667</v>
      </c>
      <c r="B456" s="23">
        <f>IFERROR(__xludf.DUMMYFUNCTION("""COMPUTED_VALUE"""),56.29)</f>
        <v>56.29</v>
      </c>
      <c r="C456" s="22">
        <f>IFERROR(__xludf.DUMMYFUNCTION("""COMPUTED_VALUE"""),43880.66666666667)</f>
        <v>43880.66667</v>
      </c>
      <c r="D456" s="23">
        <f>IFERROR(__xludf.DUMMYFUNCTION("""COMPUTED_VALUE"""),119.38)</f>
        <v>119.38</v>
      </c>
      <c r="E456" s="22">
        <f>IFERROR(__xludf.DUMMYFUNCTION("""COMPUTED_VALUE"""),42803.66666666667)</f>
        <v>42803.66667</v>
      </c>
      <c r="F456" s="23">
        <f>IFERROR(__xludf.DUMMYFUNCTION("""COMPUTED_VALUE"""),12.4)</f>
        <v>12.4</v>
      </c>
      <c r="G456" s="22">
        <f>IFERROR(__xludf.DUMMYFUNCTION("""COMPUTED_VALUE"""),44239.66666666667)</f>
        <v>44239.66667</v>
      </c>
      <c r="H456" s="23">
        <f>IFERROR(__xludf.DUMMYFUNCTION("""COMPUTED_VALUE"""),86.9)</f>
        <v>86.9</v>
      </c>
      <c r="I456" s="22">
        <f>IFERROR(__xludf.DUMMYFUNCTION("""COMPUTED_VALUE"""),44239.66666666667)</f>
        <v>44239.66667</v>
      </c>
      <c r="J456" s="23">
        <f>IFERROR(__xludf.DUMMYFUNCTION("""COMPUTED_VALUE"""),265.87)</f>
        <v>265.87</v>
      </c>
      <c r="K456" s="22">
        <f>IFERROR(__xludf.DUMMYFUNCTION("""COMPUTED_VALUE"""),44239.66666666667)</f>
        <v>44239.66667</v>
      </c>
      <c r="L456" s="23">
        <f>IFERROR(__xludf.DUMMYFUNCTION("""COMPUTED_VALUE"""),80.03)</f>
        <v>80.03</v>
      </c>
      <c r="M456" s="23">
        <v>1000.0</v>
      </c>
      <c r="N456" s="23">
        <v>1000.0</v>
      </c>
      <c r="O456" s="23">
        <v>1000.0</v>
      </c>
      <c r="P456" s="23">
        <f t="shared" si="1"/>
        <v>11.50747986</v>
      </c>
      <c r="Q456" s="23">
        <f t="shared" si="2"/>
        <v>3.761236695</v>
      </c>
      <c r="R456" s="23">
        <f t="shared" si="3"/>
        <v>12.49531426</v>
      </c>
      <c r="S456" s="19"/>
      <c r="T456" s="19"/>
      <c r="U456" s="19"/>
      <c r="V456" s="19"/>
    </row>
    <row r="457">
      <c r="A457" s="22">
        <f>IFERROR(__xludf.DUMMYFUNCTION("""COMPUTED_VALUE"""),42621.66666666667)</f>
        <v>42621.66667</v>
      </c>
      <c r="B457" s="23">
        <f>IFERROR(__xludf.DUMMYFUNCTION("""COMPUTED_VALUE"""),56.28)</f>
        <v>56.28</v>
      </c>
      <c r="C457" s="22">
        <f>IFERROR(__xludf.DUMMYFUNCTION("""COMPUTED_VALUE"""),43881.66666666667)</f>
        <v>43881.66667</v>
      </c>
      <c r="D457" s="23">
        <f>IFERROR(__xludf.DUMMYFUNCTION("""COMPUTED_VALUE"""),119.7)</f>
        <v>119.7</v>
      </c>
      <c r="E457" s="22">
        <f>IFERROR(__xludf.DUMMYFUNCTION("""COMPUTED_VALUE"""),42804.66666666667)</f>
        <v>42804.66667</v>
      </c>
      <c r="F457" s="23">
        <f>IFERROR(__xludf.DUMMYFUNCTION("""COMPUTED_VALUE"""),12.43)</f>
        <v>12.43</v>
      </c>
      <c r="G457" s="22">
        <f>IFERROR(__xludf.DUMMYFUNCTION("""COMPUTED_VALUE"""),44246.66666666667)</f>
        <v>44246.66667</v>
      </c>
      <c r="H457" s="23">
        <f>IFERROR(__xludf.DUMMYFUNCTION("""COMPUTED_VALUE"""),86.99)</f>
        <v>86.99</v>
      </c>
      <c r="I457" s="22">
        <f>IFERROR(__xludf.DUMMYFUNCTION("""COMPUTED_VALUE"""),44246.66666666667)</f>
        <v>44246.66667</v>
      </c>
      <c r="J457" s="23">
        <f>IFERROR(__xludf.DUMMYFUNCTION("""COMPUTED_VALUE"""),264.0)</f>
        <v>264</v>
      </c>
      <c r="K457" s="22">
        <f>IFERROR(__xludf.DUMMYFUNCTION("""COMPUTED_VALUE"""),44246.66666666667)</f>
        <v>44246.66667</v>
      </c>
      <c r="L457" s="23">
        <f>IFERROR(__xludf.DUMMYFUNCTION("""COMPUTED_VALUE"""),79.57)</f>
        <v>79.57</v>
      </c>
      <c r="M457" s="23">
        <v>0.0</v>
      </c>
      <c r="N457" s="23">
        <v>0.0</v>
      </c>
      <c r="O457" s="23">
        <v>0.0</v>
      </c>
      <c r="P457" s="23">
        <f t="shared" si="1"/>
        <v>0</v>
      </c>
      <c r="Q457" s="23">
        <f t="shared" si="2"/>
        <v>0</v>
      </c>
      <c r="R457" s="23">
        <f t="shared" si="3"/>
        <v>0</v>
      </c>
      <c r="S457" s="19"/>
      <c r="T457" s="19"/>
      <c r="U457" s="19"/>
      <c r="V457" s="19"/>
    </row>
    <row r="458">
      <c r="A458" s="22">
        <f>IFERROR(__xludf.DUMMYFUNCTION("""COMPUTED_VALUE"""),42622.66666666667)</f>
        <v>42622.66667</v>
      </c>
      <c r="B458" s="23">
        <f>IFERROR(__xludf.DUMMYFUNCTION("""COMPUTED_VALUE"""),56.41)</f>
        <v>56.41</v>
      </c>
      <c r="C458" s="22">
        <f>IFERROR(__xludf.DUMMYFUNCTION("""COMPUTED_VALUE"""),43882.66666666667)</f>
        <v>43882.66667</v>
      </c>
      <c r="D458" s="23">
        <f>IFERROR(__xludf.DUMMYFUNCTION("""COMPUTED_VALUE"""),119.33)</f>
        <v>119.33</v>
      </c>
      <c r="E458" s="22">
        <f>IFERROR(__xludf.DUMMYFUNCTION("""COMPUTED_VALUE"""),42807.66666666667)</f>
        <v>42807.66667</v>
      </c>
      <c r="F458" s="23">
        <f>IFERROR(__xludf.DUMMYFUNCTION("""COMPUTED_VALUE"""),12.32)</f>
        <v>12.32</v>
      </c>
      <c r="G458" s="22">
        <f>IFERROR(__xludf.DUMMYFUNCTION("""COMPUTED_VALUE"""),44253.66666666667)</f>
        <v>44253.66667</v>
      </c>
      <c r="H458" s="23">
        <f>IFERROR(__xludf.DUMMYFUNCTION("""COMPUTED_VALUE"""),85.51)</f>
        <v>85.51</v>
      </c>
      <c r="I458" s="22">
        <f>IFERROR(__xludf.DUMMYFUNCTION("""COMPUTED_VALUE"""),44253.66666666667)</f>
        <v>44253.66667</v>
      </c>
      <c r="J458" s="23">
        <f>IFERROR(__xludf.DUMMYFUNCTION("""COMPUTED_VALUE"""),255.46)</f>
        <v>255.46</v>
      </c>
      <c r="K458" s="22">
        <f>IFERROR(__xludf.DUMMYFUNCTION("""COMPUTED_VALUE"""),44253.66666666667)</f>
        <v>44253.66667</v>
      </c>
      <c r="L458" s="23">
        <f>IFERROR(__xludf.DUMMYFUNCTION("""COMPUTED_VALUE"""),76.96)</f>
        <v>76.96</v>
      </c>
      <c r="M458" s="23">
        <v>0.0</v>
      </c>
      <c r="N458" s="23">
        <v>0.0</v>
      </c>
      <c r="O458" s="23">
        <v>0.0</v>
      </c>
      <c r="P458" s="23">
        <f t="shared" si="1"/>
        <v>0</v>
      </c>
      <c r="Q458" s="23">
        <f t="shared" si="2"/>
        <v>0</v>
      </c>
      <c r="R458" s="23">
        <f t="shared" si="3"/>
        <v>0</v>
      </c>
      <c r="S458" s="19"/>
      <c r="T458" s="19"/>
      <c r="U458" s="19"/>
      <c r="V458" s="19"/>
    </row>
    <row r="459">
      <c r="A459" s="22">
        <f>IFERROR(__xludf.DUMMYFUNCTION("""COMPUTED_VALUE"""),42625.66666666667)</f>
        <v>42625.66667</v>
      </c>
      <c r="B459" s="23">
        <f>IFERROR(__xludf.DUMMYFUNCTION("""COMPUTED_VALUE"""),55.62)</f>
        <v>55.62</v>
      </c>
      <c r="C459" s="22">
        <f>IFERROR(__xludf.DUMMYFUNCTION("""COMPUTED_VALUE"""),43885.66666666667)</f>
        <v>43885.66667</v>
      </c>
      <c r="D459" s="23">
        <f>IFERROR(__xludf.DUMMYFUNCTION("""COMPUTED_VALUE"""),116.82)</f>
        <v>116.82</v>
      </c>
      <c r="E459" s="22">
        <f>IFERROR(__xludf.DUMMYFUNCTION("""COMPUTED_VALUE"""),42808.66666666667)</f>
        <v>42808.66667</v>
      </c>
      <c r="F459" s="23">
        <f>IFERROR(__xludf.DUMMYFUNCTION("""COMPUTED_VALUE"""),12.37)</f>
        <v>12.37</v>
      </c>
      <c r="G459" s="22">
        <f>IFERROR(__xludf.DUMMYFUNCTION("""COMPUTED_VALUE"""),44260.66666666667)</f>
        <v>44260.66667</v>
      </c>
      <c r="H459" s="23">
        <f>IFERROR(__xludf.DUMMYFUNCTION("""COMPUTED_VALUE"""),86.37)</f>
        <v>86.37</v>
      </c>
      <c r="I459" s="22">
        <f>IFERROR(__xludf.DUMMYFUNCTION("""COMPUTED_VALUE"""),44260.66666666667)</f>
        <v>44260.66667</v>
      </c>
      <c r="J459" s="23">
        <f>IFERROR(__xludf.DUMMYFUNCTION("""COMPUTED_VALUE"""),254.95)</f>
        <v>254.95</v>
      </c>
      <c r="K459" s="22">
        <f>IFERROR(__xludf.DUMMYFUNCTION("""COMPUTED_VALUE"""),44260.66666666667)</f>
        <v>44260.66667</v>
      </c>
      <c r="L459" s="23">
        <f>IFERROR(__xludf.DUMMYFUNCTION("""COMPUTED_VALUE"""),77.55)</f>
        <v>77.55</v>
      </c>
      <c r="M459" s="23">
        <v>0.0</v>
      </c>
      <c r="N459" s="23">
        <v>0.0</v>
      </c>
      <c r="O459" s="23">
        <v>0.0</v>
      </c>
      <c r="P459" s="23">
        <f t="shared" si="1"/>
        <v>0</v>
      </c>
      <c r="Q459" s="23">
        <f t="shared" si="2"/>
        <v>0</v>
      </c>
      <c r="R459" s="23">
        <f t="shared" si="3"/>
        <v>0</v>
      </c>
      <c r="S459" s="19"/>
      <c r="T459" s="19"/>
      <c r="U459" s="19"/>
      <c r="V459" s="19"/>
    </row>
    <row r="460">
      <c r="A460" s="22">
        <f>IFERROR(__xludf.DUMMYFUNCTION("""COMPUTED_VALUE"""),42626.66666666667)</f>
        <v>42626.66667</v>
      </c>
      <c r="B460" s="23">
        <f>IFERROR(__xludf.DUMMYFUNCTION("""COMPUTED_VALUE"""),56.31)</f>
        <v>56.31</v>
      </c>
      <c r="C460" s="22">
        <f>IFERROR(__xludf.DUMMYFUNCTION("""COMPUTED_VALUE"""),43886.66666666667)</f>
        <v>43886.66667</v>
      </c>
      <c r="D460" s="23">
        <f>IFERROR(__xludf.DUMMYFUNCTION("""COMPUTED_VALUE"""),114.91)</f>
        <v>114.91</v>
      </c>
      <c r="E460" s="22">
        <f>IFERROR(__xludf.DUMMYFUNCTION("""COMPUTED_VALUE"""),42809.66666666667)</f>
        <v>42809.66667</v>
      </c>
      <c r="F460" s="23">
        <f>IFERROR(__xludf.DUMMYFUNCTION("""COMPUTED_VALUE"""),12.36)</f>
        <v>12.36</v>
      </c>
      <c r="G460" s="22">
        <f>IFERROR(__xludf.DUMMYFUNCTION("""COMPUTED_VALUE"""),44267.66666666667)</f>
        <v>44267.66667</v>
      </c>
      <c r="H460" s="23">
        <f>IFERROR(__xludf.DUMMYFUNCTION("""COMPUTED_VALUE"""),87.22)</f>
        <v>87.22</v>
      </c>
      <c r="I460" s="22">
        <f>IFERROR(__xludf.DUMMYFUNCTION("""COMPUTED_VALUE"""),44267.66666666667)</f>
        <v>44267.66667</v>
      </c>
      <c r="J460" s="23">
        <f>IFERROR(__xludf.DUMMYFUNCTION("""COMPUTED_VALUE"""),266.46)</f>
        <v>266.46</v>
      </c>
      <c r="K460" s="22">
        <f>IFERROR(__xludf.DUMMYFUNCTION("""COMPUTED_VALUE"""),44267.66666666667)</f>
        <v>44267.66667</v>
      </c>
      <c r="L460" s="23">
        <f>IFERROR(__xludf.DUMMYFUNCTION("""COMPUTED_VALUE"""),79.07)</f>
        <v>79.07</v>
      </c>
      <c r="M460" s="23">
        <v>1000.0</v>
      </c>
      <c r="N460" s="23">
        <v>1000.0</v>
      </c>
      <c r="O460" s="23">
        <v>1000.0</v>
      </c>
      <c r="P460" s="23">
        <f t="shared" si="1"/>
        <v>11.46526026</v>
      </c>
      <c r="Q460" s="23">
        <f t="shared" si="2"/>
        <v>3.752908504</v>
      </c>
      <c r="R460" s="23">
        <f t="shared" si="3"/>
        <v>12.64702163</v>
      </c>
      <c r="S460" s="19"/>
      <c r="T460" s="19"/>
      <c r="U460" s="19"/>
      <c r="V460" s="19"/>
    </row>
    <row r="461">
      <c r="A461" s="22">
        <f>IFERROR(__xludf.DUMMYFUNCTION("""COMPUTED_VALUE"""),42627.66666666667)</f>
        <v>42627.66667</v>
      </c>
      <c r="B461" s="23">
        <f>IFERROR(__xludf.DUMMYFUNCTION("""COMPUTED_VALUE"""),56.3)</f>
        <v>56.3</v>
      </c>
      <c r="C461" s="22">
        <f>IFERROR(__xludf.DUMMYFUNCTION("""COMPUTED_VALUE"""),43887.66666666667)</f>
        <v>43887.66667</v>
      </c>
      <c r="D461" s="23">
        <f>IFERROR(__xludf.DUMMYFUNCTION("""COMPUTED_VALUE"""),112.5)</f>
        <v>112.5</v>
      </c>
      <c r="E461" s="22">
        <f>IFERROR(__xludf.DUMMYFUNCTION("""COMPUTED_VALUE"""),42810.66666666667)</f>
        <v>42810.66667</v>
      </c>
      <c r="F461" s="23">
        <f>IFERROR(__xludf.DUMMYFUNCTION("""COMPUTED_VALUE"""),12.27)</f>
        <v>12.27</v>
      </c>
      <c r="G461" s="22">
        <f>IFERROR(__xludf.DUMMYFUNCTION("""COMPUTED_VALUE"""),44274.66666666667)</f>
        <v>44274.66667</v>
      </c>
      <c r="H461" s="23">
        <f>IFERROR(__xludf.DUMMYFUNCTION("""COMPUTED_VALUE"""),86.79)</f>
        <v>86.79</v>
      </c>
      <c r="I461" s="22">
        <f>IFERROR(__xludf.DUMMYFUNCTION("""COMPUTED_VALUE"""),44274.66666666667)</f>
        <v>44274.66667</v>
      </c>
      <c r="J461" s="23">
        <f>IFERROR(__xludf.DUMMYFUNCTION("""COMPUTED_VALUE"""),265.2)</f>
        <v>265.2</v>
      </c>
      <c r="K461" s="22">
        <f>IFERROR(__xludf.DUMMYFUNCTION("""COMPUTED_VALUE"""),44274.66666666667)</f>
        <v>44274.66667</v>
      </c>
      <c r="L461" s="23">
        <f>IFERROR(__xludf.DUMMYFUNCTION("""COMPUTED_VALUE"""),79.55)</f>
        <v>79.55</v>
      </c>
      <c r="M461" s="23">
        <v>0.0</v>
      </c>
      <c r="N461" s="23">
        <v>0.0</v>
      </c>
      <c r="O461" s="23">
        <v>0.0</v>
      </c>
      <c r="P461" s="23">
        <f t="shared" si="1"/>
        <v>0</v>
      </c>
      <c r="Q461" s="23">
        <f t="shared" si="2"/>
        <v>0</v>
      </c>
      <c r="R461" s="23">
        <f t="shared" si="3"/>
        <v>0</v>
      </c>
      <c r="S461" s="19"/>
      <c r="T461" s="19"/>
      <c r="U461" s="19"/>
      <c r="V461" s="19"/>
    </row>
    <row r="462">
      <c r="A462" s="22">
        <f>IFERROR(__xludf.DUMMYFUNCTION("""COMPUTED_VALUE"""),42628.66666666667)</f>
        <v>42628.66667</v>
      </c>
      <c r="B462" s="23">
        <f>IFERROR(__xludf.DUMMYFUNCTION("""COMPUTED_VALUE"""),56.04)</f>
        <v>56.04</v>
      </c>
      <c r="C462" s="22">
        <f>IFERROR(__xludf.DUMMYFUNCTION("""COMPUTED_VALUE"""),43888.66666666667)</f>
        <v>43888.66667</v>
      </c>
      <c r="D462" s="23">
        <f>IFERROR(__xludf.DUMMYFUNCTION("""COMPUTED_VALUE"""),111.42)</f>
        <v>111.42</v>
      </c>
      <c r="E462" s="22">
        <f>IFERROR(__xludf.DUMMYFUNCTION("""COMPUTED_VALUE"""),42811.66666666667)</f>
        <v>42811.66667</v>
      </c>
      <c r="F462" s="23">
        <f>IFERROR(__xludf.DUMMYFUNCTION("""COMPUTED_VALUE"""),12.22)</f>
        <v>12.22</v>
      </c>
      <c r="G462" s="22">
        <f>IFERROR(__xludf.DUMMYFUNCTION("""COMPUTED_VALUE"""),44281.66666666667)</f>
        <v>44281.66667</v>
      </c>
      <c r="H462" s="23">
        <f>IFERROR(__xludf.DUMMYFUNCTION("""COMPUTED_VALUE"""),88.04)</f>
        <v>88.04</v>
      </c>
      <c r="I462" s="22">
        <f>IFERROR(__xludf.DUMMYFUNCTION("""COMPUTED_VALUE"""),44281.66666666667)</f>
        <v>44281.66667</v>
      </c>
      <c r="J462" s="23">
        <f>IFERROR(__xludf.DUMMYFUNCTION("""COMPUTED_VALUE"""),267.9)</f>
        <v>267.9</v>
      </c>
      <c r="K462" s="22">
        <f>IFERROR(__xludf.DUMMYFUNCTION("""COMPUTED_VALUE"""),44281.66666666667)</f>
        <v>44281.66667</v>
      </c>
      <c r="L462" s="23">
        <f>IFERROR(__xludf.DUMMYFUNCTION("""COMPUTED_VALUE"""),79.23)</f>
        <v>79.23</v>
      </c>
      <c r="M462" s="23">
        <v>0.0</v>
      </c>
      <c r="N462" s="23">
        <v>0.0</v>
      </c>
      <c r="O462" s="23">
        <v>0.0</v>
      </c>
      <c r="P462" s="23">
        <f t="shared" si="1"/>
        <v>0</v>
      </c>
      <c r="Q462" s="23">
        <f t="shared" si="2"/>
        <v>0</v>
      </c>
      <c r="R462" s="23">
        <f t="shared" si="3"/>
        <v>0</v>
      </c>
      <c r="S462" s="19"/>
      <c r="T462" s="19"/>
      <c r="U462" s="19"/>
      <c r="V462" s="19"/>
    </row>
    <row r="463">
      <c r="A463" s="22">
        <f>IFERROR(__xludf.DUMMYFUNCTION("""COMPUTED_VALUE"""),42629.66666666667)</f>
        <v>42629.66667</v>
      </c>
      <c r="B463" s="23">
        <f>IFERROR(__xludf.DUMMYFUNCTION("""COMPUTED_VALUE"""),56.13)</f>
        <v>56.13</v>
      </c>
      <c r="C463" s="22">
        <f>IFERROR(__xludf.DUMMYFUNCTION("""COMPUTED_VALUE"""),43889.66666666667)</f>
        <v>43889.66667</v>
      </c>
      <c r="D463" s="23">
        <f>IFERROR(__xludf.DUMMYFUNCTION("""COMPUTED_VALUE"""),107.88)</f>
        <v>107.88</v>
      </c>
      <c r="E463" s="22">
        <f>IFERROR(__xludf.DUMMYFUNCTION("""COMPUTED_VALUE"""),42814.66666666667)</f>
        <v>42814.66667</v>
      </c>
      <c r="F463" s="23">
        <f>IFERROR(__xludf.DUMMYFUNCTION("""COMPUTED_VALUE"""),12.15)</f>
        <v>12.15</v>
      </c>
      <c r="G463" s="22">
        <f>IFERROR(__xludf.DUMMYFUNCTION("""COMPUTED_VALUE"""),44287.66666666667)</f>
        <v>44287.66667</v>
      </c>
      <c r="H463" s="23">
        <f>IFERROR(__xludf.DUMMYFUNCTION("""COMPUTED_VALUE"""),88.0)</f>
        <v>88</v>
      </c>
      <c r="I463" s="22">
        <f>IFERROR(__xludf.DUMMYFUNCTION("""COMPUTED_VALUE"""),44287.66666666667)</f>
        <v>44287.66667</v>
      </c>
      <c r="J463" s="23">
        <f>IFERROR(__xludf.DUMMYFUNCTION("""COMPUTED_VALUE"""),274.01)</f>
        <v>274.01</v>
      </c>
      <c r="K463" s="22">
        <f>IFERROR(__xludf.DUMMYFUNCTION("""COMPUTED_VALUE"""),44287.66666666667)</f>
        <v>44287.66667</v>
      </c>
      <c r="L463" s="23">
        <f>IFERROR(__xludf.DUMMYFUNCTION("""COMPUTED_VALUE"""),80.25)</f>
        <v>80.25</v>
      </c>
      <c r="M463" s="23">
        <v>0.0</v>
      </c>
      <c r="N463" s="23">
        <v>0.0</v>
      </c>
      <c r="O463" s="23">
        <v>0.0</v>
      </c>
      <c r="P463" s="23">
        <f t="shared" si="1"/>
        <v>0</v>
      </c>
      <c r="Q463" s="23">
        <f t="shared" si="2"/>
        <v>0</v>
      </c>
      <c r="R463" s="23">
        <f t="shared" si="3"/>
        <v>0</v>
      </c>
      <c r="S463" s="19"/>
      <c r="T463" s="19"/>
      <c r="U463" s="19"/>
      <c r="V463" s="19"/>
    </row>
    <row r="464">
      <c r="A464" s="22">
        <f>IFERROR(__xludf.DUMMYFUNCTION("""COMPUTED_VALUE"""),42633.66666666667)</f>
        <v>42633.66667</v>
      </c>
      <c r="B464" s="23">
        <f>IFERROR(__xludf.DUMMYFUNCTION("""COMPUTED_VALUE"""),56.04)</f>
        <v>56.04</v>
      </c>
      <c r="C464" s="22">
        <f>IFERROR(__xludf.DUMMYFUNCTION("""COMPUTED_VALUE"""),43892.66666666667)</f>
        <v>43892.66667</v>
      </c>
      <c r="D464" s="23">
        <f>IFERROR(__xludf.DUMMYFUNCTION("""COMPUTED_VALUE"""),107.25)</f>
        <v>107.25</v>
      </c>
      <c r="E464" s="22">
        <f>IFERROR(__xludf.DUMMYFUNCTION("""COMPUTED_VALUE"""),42815.66666666667)</f>
        <v>42815.66667</v>
      </c>
      <c r="F464" s="23">
        <f>IFERROR(__xludf.DUMMYFUNCTION("""COMPUTED_VALUE"""),12.22)</f>
        <v>12.22</v>
      </c>
      <c r="G464" s="22">
        <f>IFERROR(__xludf.DUMMYFUNCTION("""COMPUTED_VALUE"""),44295.66666666667)</f>
        <v>44295.66667</v>
      </c>
      <c r="H464" s="23">
        <f>IFERROR(__xludf.DUMMYFUNCTION("""COMPUTED_VALUE"""),89.5)</f>
        <v>89.5</v>
      </c>
      <c r="I464" s="22">
        <f>IFERROR(__xludf.DUMMYFUNCTION("""COMPUTED_VALUE"""),44295.66666666667)</f>
        <v>44295.66667</v>
      </c>
      <c r="J464" s="23">
        <f>IFERROR(__xludf.DUMMYFUNCTION("""COMPUTED_VALUE"""),279.47)</f>
        <v>279.47</v>
      </c>
      <c r="K464" s="22">
        <f>IFERROR(__xludf.DUMMYFUNCTION("""COMPUTED_VALUE"""),44295.66666666667)</f>
        <v>44295.66667</v>
      </c>
      <c r="L464" s="23">
        <f>IFERROR(__xludf.DUMMYFUNCTION("""COMPUTED_VALUE"""),81.1)</f>
        <v>81.1</v>
      </c>
      <c r="M464" s="23">
        <v>1000.0</v>
      </c>
      <c r="N464" s="23">
        <v>1000.0</v>
      </c>
      <c r="O464" s="23">
        <v>1000.0</v>
      </c>
      <c r="P464" s="23">
        <f t="shared" si="1"/>
        <v>11.17318436</v>
      </c>
      <c r="Q464" s="23">
        <f t="shared" si="2"/>
        <v>3.578201596</v>
      </c>
      <c r="R464" s="23">
        <f t="shared" si="3"/>
        <v>12.33045623</v>
      </c>
      <c r="S464" s="19"/>
      <c r="T464" s="19"/>
      <c r="U464" s="19"/>
      <c r="V464" s="19"/>
    </row>
    <row r="465">
      <c r="A465" s="22">
        <f>IFERROR(__xludf.DUMMYFUNCTION("""COMPUTED_VALUE"""),42634.66666666667)</f>
        <v>42634.66667</v>
      </c>
      <c r="B465" s="23">
        <f>IFERROR(__xludf.DUMMYFUNCTION("""COMPUTED_VALUE"""),55.95)</f>
        <v>55.95</v>
      </c>
      <c r="C465" s="22">
        <f>IFERROR(__xludf.DUMMYFUNCTION("""COMPUTED_VALUE"""),43893.66666666667)</f>
        <v>43893.66667</v>
      </c>
      <c r="D465" s="23">
        <f>IFERROR(__xludf.DUMMYFUNCTION("""COMPUTED_VALUE"""),108.1)</f>
        <v>108.1</v>
      </c>
      <c r="E465" s="22">
        <f>IFERROR(__xludf.DUMMYFUNCTION("""COMPUTED_VALUE"""),42816.66666666667)</f>
        <v>42816.66667</v>
      </c>
      <c r="F465" s="23">
        <f>IFERROR(__xludf.DUMMYFUNCTION("""COMPUTED_VALUE"""),12.05)</f>
        <v>12.05</v>
      </c>
      <c r="G465" s="22">
        <f>IFERROR(__xludf.DUMMYFUNCTION("""COMPUTED_VALUE"""),44302.66666666667)</f>
        <v>44302.66667</v>
      </c>
      <c r="H465" s="23">
        <f>IFERROR(__xludf.DUMMYFUNCTION("""COMPUTED_VALUE"""),90.37)</f>
        <v>90.37</v>
      </c>
      <c r="I465" s="22">
        <f>IFERROR(__xludf.DUMMYFUNCTION("""COMPUTED_VALUE"""),44302.66666666667)</f>
        <v>44302.66667</v>
      </c>
      <c r="J465" s="23">
        <f>IFERROR(__xludf.DUMMYFUNCTION("""COMPUTED_VALUE"""),279.31)</f>
        <v>279.31</v>
      </c>
      <c r="K465" s="22">
        <f>IFERROR(__xludf.DUMMYFUNCTION("""COMPUTED_VALUE"""),44302.66666666667)</f>
        <v>44302.66667</v>
      </c>
      <c r="L465" s="23">
        <f>IFERROR(__xludf.DUMMYFUNCTION("""COMPUTED_VALUE"""),80.89)</f>
        <v>80.89</v>
      </c>
      <c r="M465" s="23">
        <v>0.0</v>
      </c>
      <c r="N465" s="23">
        <v>0.0</v>
      </c>
      <c r="O465" s="23">
        <v>0.0</v>
      </c>
      <c r="P465" s="23">
        <f t="shared" si="1"/>
        <v>0</v>
      </c>
      <c r="Q465" s="23">
        <f t="shared" si="2"/>
        <v>0</v>
      </c>
      <c r="R465" s="23">
        <f t="shared" si="3"/>
        <v>0</v>
      </c>
      <c r="S465" s="19"/>
      <c r="T465" s="19"/>
      <c r="U465" s="19"/>
      <c r="V465" s="19"/>
    </row>
    <row r="466">
      <c r="A466" s="22">
        <f>IFERROR(__xludf.DUMMYFUNCTION("""COMPUTED_VALUE"""),42635.66666666667)</f>
        <v>42635.66667</v>
      </c>
      <c r="B466" s="23">
        <f>IFERROR(__xludf.DUMMYFUNCTION("""COMPUTED_VALUE"""),56.0)</f>
        <v>56</v>
      </c>
      <c r="C466" s="22">
        <f>IFERROR(__xludf.DUMMYFUNCTION("""COMPUTED_VALUE"""),43894.66666666667)</f>
        <v>43894.66667</v>
      </c>
      <c r="D466" s="23">
        <f>IFERROR(__xludf.DUMMYFUNCTION("""COMPUTED_VALUE"""),106.17)</f>
        <v>106.17</v>
      </c>
      <c r="E466" s="22">
        <f>IFERROR(__xludf.DUMMYFUNCTION("""COMPUTED_VALUE"""),42817.66666666667)</f>
        <v>42817.66667</v>
      </c>
      <c r="F466" s="23">
        <f>IFERROR(__xludf.DUMMYFUNCTION("""COMPUTED_VALUE"""),12.17)</f>
        <v>12.17</v>
      </c>
      <c r="G466" s="22">
        <f>IFERROR(__xludf.DUMMYFUNCTION("""COMPUTED_VALUE"""),44309.66666666667)</f>
        <v>44309.66667</v>
      </c>
      <c r="H466" s="23">
        <f>IFERROR(__xludf.DUMMYFUNCTION("""COMPUTED_VALUE"""),90.3)</f>
        <v>90.3</v>
      </c>
      <c r="I466" s="22">
        <f>IFERROR(__xludf.DUMMYFUNCTION("""COMPUTED_VALUE"""),44309.66666666667)</f>
        <v>44309.66667</v>
      </c>
      <c r="J466" s="23">
        <f>IFERROR(__xludf.DUMMYFUNCTION("""COMPUTED_VALUE"""),278.25)</f>
        <v>278.25</v>
      </c>
      <c r="K466" s="22">
        <f>IFERROR(__xludf.DUMMYFUNCTION("""COMPUTED_VALUE"""),44309.66666666667)</f>
        <v>44309.66667</v>
      </c>
      <c r="L466" s="23">
        <f>IFERROR(__xludf.DUMMYFUNCTION("""COMPUTED_VALUE"""),80.88)</f>
        <v>80.88</v>
      </c>
      <c r="M466" s="23">
        <v>0.0</v>
      </c>
      <c r="N466" s="23">
        <v>0.0</v>
      </c>
      <c r="O466" s="23">
        <v>0.0</v>
      </c>
      <c r="P466" s="23">
        <f t="shared" si="1"/>
        <v>0</v>
      </c>
      <c r="Q466" s="23">
        <f t="shared" si="2"/>
        <v>0</v>
      </c>
      <c r="R466" s="23">
        <f t="shared" si="3"/>
        <v>0</v>
      </c>
      <c r="S466" s="19"/>
      <c r="T466" s="19"/>
      <c r="U466" s="19"/>
      <c r="V466" s="19"/>
    </row>
    <row r="467">
      <c r="A467" s="22">
        <f>IFERROR(__xludf.DUMMYFUNCTION("""COMPUTED_VALUE"""),42636.66666666667)</f>
        <v>42636.66667</v>
      </c>
      <c r="B467" s="23">
        <f>IFERROR(__xludf.DUMMYFUNCTION("""COMPUTED_VALUE"""),56.41)</f>
        <v>56.41</v>
      </c>
      <c r="C467" s="22">
        <f>IFERROR(__xludf.DUMMYFUNCTION("""COMPUTED_VALUE"""),43895.66666666667)</f>
        <v>43895.66667</v>
      </c>
      <c r="D467" s="23">
        <f>IFERROR(__xludf.DUMMYFUNCTION("""COMPUTED_VALUE"""),107.68)</f>
        <v>107.68</v>
      </c>
      <c r="E467" s="22">
        <f>IFERROR(__xludf.DUMMYFUNCTION("""COMPUTED_VALUE"""),42818.66666666667)</f>
        <v>42818.66667</v>
      </c>
      <c r="F467" s="23">
        <f>IFERROR(__xludf.DUMMYFUNCTION("""COMPUTED_VALUE"""),12.21)</f>
        <v>12.21</v>
      </c>
      <c r="G467" s="22">
        <f>IFERROR(__xludf.DUMMYFUNCTION("""COMPUTED_VALUE"""),44316.66666666667)</f>
        <v>44316.66667</v>
      </c>
      <c r="H467" s="23">
        <f>IFERROR(__xludf.DUMMYFUNCTION("""COMPUTED_VALUE"""),89.95)</f>
        <v>89.95</v>
      </c>
      <c r="I467" s="22">
        <f>IFERROR(__xludf.DUMMYFUNCTION("""COMPUTED_VALUE"""),44316.66666666667)</f>
        <v>44316.66667</v>
      </c>
      <c r="J467" s="23">
        <f>IFERROR(__xludf.DUMMYFUNCTION("""COMPUTED_VALUE"""),280.26)</f>
        <v>280.26</v>
      </c>
      <c r="K467" s="22">
        <f>IFERROR(__xludf.DUMMYFUNCTION("""COMPUTED_VALUE"""),44316.66666666667)</f>
        <v>44316.66667</v>
      </c>
      <c r="L467" s="23">
        <f>IFERROR(__xludf.DUMMYFUNCTION("""COMPUTED_VALUE"""),80.6)</f>
        <v>80.6</v>
      </c>
      <c r="M467" s="23">
        <v>0.0</v>
      </c>
      <c r="N467" s="23">
        <v>0.0</v>
      </c>
      <c r="O467" s="23">
        <v>0.0</v>
      </c>
      <c r="P467" s="23">
        <f t="shared" si="1"/>
        <v>0</v>
      </c>
      <c r="Q467" s="23">
        <f t="shared" si="2"/>
        <v>0</v>
      </c>
      <c r="R467" s="23">
        <f t="shared" si="3"/>
        <v>0</v>
      </c>
      <c r="S467" s="19"/>
      <c r="T467" s="19"/>
      <c r="U467" s="19"/>
      <c r="V467" s="19"/>
    </row>
    <row r="468">
      <c r="A468" s="22">
        <f>IFERROR(__xludf.DUMMYFUNCTION("""COMPUTED_VALUE"""),42639.66666666667)</f>
        <v>42639.66667</v>
      </c>
      <c r="B468" s="23">
        <f>IFERROR(__xludf.DUMMYFUNCTION("""COMPUTED_VALUE"""),56.11)</f>
        <v>56.11</v>
      </c>
      <c r="C468" s="22">
        <f>IFERROR(__xludf.DUMMYFUNCTION("""COMPUTED_VALUE"""),43896.66666666667)</f>
        <v>43896.66667</v>
      </c>
      <c r="D468" s="23">
        <f>IFERROR(__xludf.DUMMYFUNCTION("""COMPUTED_VALUE"""),104.87)</f>
        <v>104.87</v>
      </c>
      <c r="E468" s="22">
        <f>IFERROR(__xludf.DUMMYFUNCTION("""COMPUTED_VALUE"""),42821.66666666667)</f>
        <v>42821.66667</v>
      </c>
      <c r="F468" s="23">
        <f>IFERROR(__xludf.DUMMYFUNCTION("""COMPUTED_VALUE"""),12.14)</f>
        <v>12.14</v>
      </c>
      <c r="G468" s="22">
        <f>IFERROR(__xludf.DUMMYFUNCTION("""COMPUTED_VALUE"""),44323.66666666667)</f>
        <v>44323.66667</v>
      </c>
      <c r="H468" s="23">
        <f>IFERROR(__xludf.DUMMYFUNCTION("""COMPUTED_VALUE"""),90.6)</f>
        <v>90.6</v>
      </c>
      <c r="I468" s="22">
        <f>IFERROR(__xludf.DUMMYFUNCTION("""COMPUTED_VALUE"""),44323.66666666667)</f>
        <v>44323.66667</v>
      </c>
      <c r="J468" s="23">
        <f>IFERROR(__xludf.DUMMYFUNCTION("""COMPUTED_VALUE"""),279.11)</f>
        <v>279.11</v>
      </c>
      <c r="K468" s="22">
        <f>IFERROR(__xludf.DUMMYFUNCTION("""COMPUTED_VALUE"""),44323.66666666667)</f>
        <v>44323.66667</v>
      </c>
      <c r="L468" s="23">
        <f>IFERROR(__xludf.DUMMYFUNCTION("""COMPUTED_VALUE"""),81.07)</f>
        <v>81.07</v>
      </c>
      <c r="M468" s="23">
        <v>1000.0</v>
      </c>
      <c r="N468" s="23">
        <v>1000.0</v>
      </c>
      <c r="O468" s="23">
        <v>1000.0</v>
      </c>
      <c r="P468" s="23">
        <f t="shared" si="1"/>
        <v>11.03752759</v>
      </c>
      <c r="Q468" s="23">
        <f t="shared" si="2"/>
        <v>3.582816811</v>
      </c>
      <c r="R468" s="23">
        <f t="shared" si="3"/>
        <v>12.33501912</v>
      </c>
      <c r="S468" s="19"/>
      <c r="T468" s="19"/>
      <c r="U468" s="19"/>
      <c r="V468" s="19"/>
    </row>
    <row r="469">
      <c r="A469" s="22">
        <f>IFERROR(__xludf.DUMMYFUNCTION("""COMPUTED_VALUE"""),42640.66666666667)</f>
        <v>42640.66667</v>
      </c>
      <c r="B469" s="23">
        <f>IFERROR(__xludf.DUMMYFUNCTION("""COMPUTED_VALUE"""),55.79)</f>
        <v>55.79</v>
      </c>
      <c r="C469" s="22">
        <f>IFERROR(__xludf.DUMMYFUNCTION("""COMPUTED_VALUE"""),43899.66666666667)</f>
        <v>43899.66667</v>
      </c>
      <c r="D469" s="23">
        <f>IFERROR(__xludf.DUMMYFUNCTION("""COMPUTED_VALUE"""),97.32)</f>
        <v>97.32</v>
      </c>
      <c r="E469" s="22">
        <f>IFERROR(__xludf.DUMMYFUNCTION("""COMPUTED_VALUE"""),42822.66666666667)</f>
        <v>42822.66667</v>
      </c>
      <c r="F469" s="23">
        <f>IFERROR(__xludf.DUMMYFUNCTION("""COMPUTED_VALUE"""),12.27)</f>
        <v>12.27</v>
      </c>
      <c r="G469" s="22">
        <f>IFERROR(__xludf.DUMMYFUNCTION("""COMPUTED_VALUE"""),44330.66666666667)</f>
        <v>44330.66667</v>
      </c>
      <c r="H469" s="23">
        <f>IFERROR(__xludf.DUMMYFUNCTION("""COMPUTED_VALUE"""),89.98)</f>
        <v>89.98</v>
      </c>
      <c r="I469" s="22">
        <f>IFERROR(__xludf.DUMMYFUNCTION("""COMPUTED_VALUE"""),44330.66666666667)</f>
        <v>44330.66667</v>
      </c>
      <c r="J469" s="23">
        <f>IFERROR(__xludf.DUMMYFUNCTION("""COMPUTED_VALUE"""),275.55)</f>
        <v>275.55</v>
      </c>
      <c r="K469" s="22">
        <f>IFERROR(__xludf.DUMMYFUNCTION("""COMPUTED_VALUE"""),44330.66666666667)</f>
        <v>44330.66667</v>
      </c>
      <c r="L469" s="23">
        <f>IFERROR(__xludf.DUMMYFUNCTION("""COMPUTED_VALUE"""),80.28)</f>
        <v>80.28</v>
      </c>
      <c r="M469" s="23">
        <v>0.0</v>
      </c>
      <c r="N469" s="23">
        <v>0.0</v>
      </c>
      <c r="O469" s="23">
        <v>0.0</v>
      </c>
      <c r="P469" s="23">
        <f t="shared" si="1"/>
        <v>0</v>
      </c>
      <c r="Q469" s="23">
        <f t="shared" si="2"/>
        <v>0</v>
      </c>
      <c r="R469" s="23">
        <f t="shared" si="3"/>
        <v>0</v>
      </c>
      <c r="S469" s="19"/>
      <c r="T469" s="19"/>
      <c r="U469" s="19"/>
      <c r="V469" s="19"/>
    </row>
    <row r="470">
      <c r="A470" s="22">
        <f>IFERROR(__xludf.DUMMYFUNCTION("""COMPUTED_VALUE"""),42641.66666666667)</f>
        <v>42641.66667</v>
      </c>
      <c r="B470" s="23">
        <f>IFERROR(__xludf.DUMMYFUNCTION("""COMPUTED_VALUE"""),55.45)</f>
        <v>55.45</v>
      </c>
      <c r="C470" s="22">
        <f>IFERROR(__xludf.DUMMYFUNCTION("""COMPUTED_VALUE"""),43900.66666666667)</f>
        <v>43900.66667</v>
      </c>
      <c r="D470" s="23">
        <f>IFERROR(__xludf.DUMMYFUNCTION("""COMPUTED_VALUE"""),100.07)</f>
        <v>100.07</v>
      </c>
      <c r="E470" s="22">
        <f>IFERROR(__xludf.DUMMYFUNCTION("""COMPUTED_VALUE"""),42823.66666666667)</f>
        <v>42823.66667</v>
      </c>
      <c r="F470" s="23">
        <f>IFERROR(__xludf.DUMMYFUNCTION("""COMPUTED_VALUE"""),12.29)</f>
        <v>12.29</v>
      </c>
      <c r="G470" s="22">
        <f>IFERROR(__xludf.DUMMYFUNCTION("""COMPUTED_VALUE"""),44337.66666666667)</f>
        <v>44337.66667</v>
      </c>
      <c r="H470" s="23">
        <f>IFERROR(__xludf.DUMMYFUNCTION("""COMPUTED_VALUE"""),90.34)</f>
        <v>90.34</v>
      </c>
      <c r="I470" s="22">
        <f>IFERROR(__xludf.DUMMYFUNCTION("""COMPUTED_VALUE"""),44337.66666666667)</f>
        <v>44337.66667</v>
      </c>
      <c r="J470" s="23">
        <f>IFERROR(__xludf.DUMMYFUNCTION("""COMPUTED_VALUE"""),277.89)</f>
        <v>277.89</v>
      </c>
      <c r="K470" s="22">
        <f>IFERROR(__xludf.DUMMYFUNCTION("""COMPUTED_VALUE"""),44337.66666666667)</f>
        <v>44337.66667</v>
      </c>
      <c r="L470" s="23">
        <f>IFERROR(__xludf.DUMMYFUNCTION("""COMPUTED_VALUE"""),81.7)</f>
        <v>81.7</v>
      </c>
      <c r="M470" s="23">
        <v>0.0</v>
      </c>
      <c r="N470" s="23">
        <v>0.0</v>
      </c>
      <c r="O470" s="23">
        <v>0.0</v>
      </c>
      <c r="P470" s="23">
        <f t="shared" si="1"/>
        <v>0</v>
      </c>
      <c r="Q470" s="23">
        <f t="shared" si="2"/>
        <v>0</v>
      </c>
      <c r="R470" s="23">
        <f t="shared" si="3"/>
        <v>0</v>
      </c>
      <c r="S470" s="19"/>
      <c r="T470" s="19"/>
      <c r="U470" s="19"/>
      <c r="V470" s="19"/>
    </row>
    <row r="471">
      <c r="A471" s="22">
        <f>IFERROR(__xludf.DUMMYFUNCTION("""COMPUTED_VALUE"""),42642.66666666667)</f>
        <v>42642.66667</v>
      </c>
      <c r="B471" s="23">
        <f>IFERROR(__xludf.DUMMYFUNCTION("""COMPUTED_VALUE"""),55.9)</f>
        <v>55.9</v>
      </c>
      <c r="C471" s="22">
        <f>IFERROR(__xludf.DUMMYFUNCTION("""COMPUTED_VALUE"""),43901.66666666667)</f>
        <v>43901.66667</v>
      </c>
      <c r="D471" s="23">
        <f>IFERROR(__xludf.DUMMYFUNCTION("""COMPUTED_VALUE"""),96.57)</f>
        <v>96.57</v>
      </c>
      <c r="E471" s="22">
        <f>IFERROR(__xludf.DUMMYFUNCTION("""COMPUTED_VALUE"""),42824.66666666667)</f>
        <v>42824.66667</v>
      </c>
      <c r="F471" s="23">
        <f>IFERROR(__xludf.DUMMYFUNCTION("""COMPUTED_VALUE"""),12.32)</f>
        <v>12.32</v>
      </c>
      <c r="G471" s="22">
        <f>IFERROR(__xludf.DUMMYFUNCTION("""COMPUTED_VALUE"""),44344.66666666667)</f>
        <v>44344.66667</v>
      </c>
      <c r="H471" s="23">
        <f>IFERROR(__xludf.DUMMYFUNCTION("""COMPUTED_VALUE"""),92.18)</f>
        <v>92.18</v>
      </c>
      <c r="I471" s="22">
        <f>IFERROR(__xludf.DUMMYFUNCTION("""COMPUTED_VALUE"""),44344.66666666667)</f>
        <v>44344.66667</v>
      </c>
      <c r="J471" s="23">
        <f>IFERROR(__xludf.DUMMYFUNCTION("""COMPUTED_VALUE"""),282.99)</f>
        <v>282.99</v>
      </c>
      <c r="K471" s="22">
        <f>IFERROR(__xludf.DUMMYFUNCTION("""COMPUTED_VALUE"""),44344.66666666667)</f>
        <v>44344.66667</v>
      </c>
      <c r="L471" s="23">
        <f>IFERROR(__xludf.DUMMYFUNCTION("""COMPUTED_VALUE"""),83.04)</f>
        <v>83.04</v>
      </c>
      <c r="M471" s="23">
        <v>0.0</v>
      </c>
      <c r="N471" s="23">
        <v>0.0</v>
      </c>
      <c r="O471" s="23">
        <v>0.0</v>
      </c>
      <c r="P471" s="23">
        <f t="shared" si="1"/>
        <v>0</v>
      </c>
      <c r="Q471" s="23">
        <f t="shared" si="2"/>
        <v>0</v>
      </c>
      <c r="R471" s="23">
        <f t="shared" si="3"/>
        <v>0</v>
      </c>
      <c r="S471" s="19"/>
      <c r="T471" s="19"/>
      <c r="U471" s="19"/>
      <c r="V471" s="19"/>
    </row>
    <row r="472">
      <c r="A472" s="22">
        <f>IFERROR(__xludf.DUMMYFUNCTION("""COMPUTED_VALUE"""),42643.66666666667)</f>
        <v>42643.66667</v>
      </c>
      <c r="B472" s="23">
        <f>IFERROR(__xludf.DUMMYFUNCTION("""COMPUTED_VALUE"""),55.62)</f>
        <v>55.62</v>
      </c>
      <c r="C472" s="22">
        <f>IFERROR(__xludf.DUMMYFUNCTION("""COMPUTED_VALUE"""),43902.66666666667)</f>
        <v>43902.66667</v>
      </c>
      <c r="D472" s="23">
        <f>IFERROR(__xludf.DUMMYFUNCTION("""COMPUTED_VALUE"""),90.16)</f>
        <v>90.16</v>
      </c>
      <c r="E472" s="22">
        <f>IFERROR(__xludf.DUMMYFUNCTION("""COMPUTED_VALUE"""),42825.66666666667)</f>
        <v>42825.66667</v>
      </c>
      <c r="F472" s="23">
        <f>IFERROR(__xludf.DUMMYFUNCTION("""COMPUTED_VALUE"""),12.32)</f>
        <v>12.32</v>
      </c>
      <c r="G472" s="22">
        <f>IFERROR(__xludf.DUMMYFUNCTION("""COMPUTED_VALUE"""),44351.66666666667)</f>
        <v>44351.66667</v>
      </c>
      <c r="H472" s="23">
        <f>IFERROR(__xludf.DUMMYFUNCTION("""COMPUTED_VALUE"""),93.66)</f>
        <v>93.66</v>
      </c>
      <c r="I472" s="22">
        <f>IFERROR(__xludf.DUMMYFUNCTION("""COMPUTED_VALUE"""),44351.66666666667)</f>
        <v>44351.66667</v>
      </c>
      <c r="J472" s="23">
        <f>IFERROR(__xludf.DUMMYFUNCTION("""COMPUTED_VALUE"""),284.0)</f>
        <v>284</v>
      </c>
      <c r="K472" s="22">
        <f>IFERROR(__xludf.DUMMYFUNCTION("""COMPUTED_VALUE"""),44351.66666666667)</f>
        <v>44351.66667</v>
      </c>
      <c r="L472" s="23">
        <f>IFERROR(__xludf.DUMMYFUNCTION("""COMPUTED_VALUE"""),84.25)</f>
        <v>84.25</v>
      </c>
      <c r="M472" s="23">
        <v>1000.0</v>
      </c>
      <c r="N472" s="23">
        <v>1000.0</v>
      </c>
      <c r="O472" s="23">
        <v>1000.0</v>
      </c>
      <c r="P472" s="23">
        <f t="shared" si="1"/>
        <v>10.67691651</v>
      </c>
      <c r="Q472" s="23">
        <f t="shared" si="2"/>
        <v>3.521126761</v>
      </c>
      <c r="R472" s="23">
        <f t="shared" si="3"/>
        <v>11.8694362</v>
      </c>
      <c r="S472" s="19"/>
      <c r="T472" s="19"/>
      <c r="U472" s="19"/>
      <c r="V472" s="19"/>
    </row>
    <row r="473">
      <c r="A473" s="22">
        <f>IFERROR(__xludf.DUMMYFUNCTION("""COMPUTED_VALUE"""),42646.66666666667)</f>
        <v>42646.66667</v>
      </c>
      <c r="B473" s="23">
        <f>IFERROR(__xludf.DUMMYFUNCTION("""COMPUTED_VALUE"""),55.95)</f>
        <v>55.95</v>
      </c>
      <c r="C473" s="22">
        <f>IFERROR(__xludf.DUMMYFUNCTION("""COMPUTED_VALUE"""),43903.66666666667)</f>
        <v>43903.66667</v>
      </c>
      <c r="D473" s="23">
        <f>IFERROR(__xludf.DUMMYFUNCTION("""COMPUTED_VALUE"""),93.09)</f>
        <v>93.09</v>
      </c>
      <c r="E473" s="22">
        <f>IFERROR(__xludf.DUMMYFUNCTION("""COMPUTED_VALUE"""),42828.66666666667)</f>
        <v>42828.66667</v>
      </c>
      <c r="F473" s="23">
        <f>IFERROR(__xludf.DUMMYFUNCTION("""COMPUTED_VALUE"""),12.43)</f>
        <v>12.43</v>
      </c>
      <c r="G473" s="22">
        <f>IFERROR(__xludf.DUMMYFUNCTION("""COMPUTED_VALUE"""),44358.66666666667)</f>
        <v>44358.66667</v>
      </c>
      <c r="H473" s="23">
        <f>IFERROR(__xludf.DUMMYFUNCTION("""COMPUTED_VALUE"""),93.97)</f>
        <v>93.97</v>
      </c>
      <c r="I473" s="22">
        <f>IFERROR(__xludf.DUMMYFUNCTION("""COMPUTED_VALUE"""),44358.66666666667)</f>
        <v>44358.66667</v>
      </c>
      <c r="J473" s="23">
        <f>IFERROR(__xludf.DUMMYFUNCTION("""COMPUTED_VALUE"""),284.3)</f>
        <v>284.3</v>
      </c>
      <c r="K473" s="22">
        <f>IFERROR(__xludf.DUMMYFUNCTION("""COMPUTED_VALUE"""),44358.66666666667)</f>
        <v>44358.66667</v>
      </c>
      <c r="L473" s="23">
        <f>IFERROR(__xludf.DUMMYFUNCTION("""COMPUTED_VALUE"""),83.95)</f>
        <v>83.95</v>
      </c>
      <c r="M473" s="23">
        <v>0.0</v>
      </c>
      <c r="N473" s="23">
        <v>0.0</v>
      </c>
      <c r="O473" s="23">
        <v>0.0</v>
      </c>
      <c r="P473" s="23">
        <f t="shared" si="1"/>
        <v>0</v>
      </c>
      <c r="Q473" s="23">
        <f t="shared" si="2"/>
        <v>0</v>
      </c>
      <c r="R473" s="23">
        <f t="shared" si="3"/>
        <v>0</v>
      </c>
      <c r="S473" s="19"/>
      <c r="T473" s="19"/>
      <c r="U473" s="19"/>
      <c r="V473" s="19"/>
    </row>
    <row r="474">
      <c r="A474" s="22">
        <f>IFERROR(__xludf.DUMMYFUNCTION("""COMPUTED_VALUE"""),42647.66666666667)</f>
        <v>42647.66667</v>
      </c>
      <c r="B474" s="23">
        <f>IFERROR(__xludf.DUMMYFUNCTION("""COMPUTED_VALUE"""),55.37)</f>
        <v>55.37</v>
      </c>
      <c r="C474" s="22">
        <f>IFERROR(__xludf.DUMMYFUNCTION("""COMPUTED_VALUE"""),43906.66666666667)</f>
        <v>43906.66667</v>
      </c>
      <c r="D474" s="23">
        <f>IFERROR(__xludf.DUMMYFUNCTION("""COMPUTED_VALUE"""),84.61)</f>
        <v>84.61</v>
      </c>
      <c r="E474" s="22">
        <f>IFERROR(__xludf.DUMMYFUNCTION("""COMPUTED_VALUE"""),42829.66666666667)</f>
        <v>42829.66667</v>
      </c>
      <c r="F474" s="23">
        <f>IFERROR(__xludf.DUMMYFUNCTION("""COMPUTED_VALUE"""),12.44)</f>
        <v>12.44</v>
      </c>
      <c r="G474" s="22">
        <f>IFERROR(__xludf.DUMMYFUNCTION("""COMPUTED_VALUE"""),44365.66666666667)</f>
        <v>44365.66667</v>
      </c>
      <c r="H474" s="23">
        <f>IFERROR(__xludf.DUMMYFUNCTION("""COMPUTED_VALUE"""),94.55)</f>
        <v>94.55</v>
      </c>
      <c r="I474" s="22">
        <f>IFERROR(__xludf.DUMMYFUNCTION("""COMPUTED_VALUE"""),44365.66666666667)</f>
        <v>44365.66667</v>
      </c>
      <c r="J474" s="23">
        <f>IFERROR(__xludf.DUMMYFUNCTION("""COMPUTED_VALUE"""),291.32)</f>
        <v>291.32</v>
      </c>
      <c r="K474" s="22">
        <f>IFERROR(__xludf.DUMMYFUNCTION("""COMPUTED_VALUE"""),44365.66666666667)</f>
        <v>44365.66667</v>
      </c>
      <c r="L474" s="23">
        <f>IFERROR(__xludf.DUMMYFUNCTION("""COMPUTED_VALUE"""),85.33)</f>
        <v>85.33</v>
      </c>
      <c r="M474" s="23">
        <v>0.0</v>
      </c>
      <c r="N474" s="23">
        <v>0.0</v>
      </c>
      <c r="O474" s="23">
        <v>0.0</v>
      </c>
      <c r="P474" s="23">
        <f t="shared" si="1"/>
        <v>0</v>
      </c>
      <c r="Q474" s="23">
        <f t="shared" si="2"/>
        <v>0</v>
      </c>
      <c r="R474" s="23">
        <f t="shared" si="3"/>
        <v>0</v>
      </c>
      <c r="S474" s="19"/>
      <c r="T474" s="19"/>
      <c r="U474" s="19"/>
      <c r="V474" s="19"/>
    </row>
    <row r="475">
      <c r="A475" s="22">
        <f>IFERROR(__xludf.DUMMYFUNCTION("""COMPUTED_VALUE"""),42648.66666666667)</f>
        <v>42648.66667</v>
      </c>
      <c r="B475" s="23">
        <f>IFERROR(__xludf.DUMMYFUNCTION("""COMPUTED_VALUE"""),55.56)</f>
        <v>55.56</v>
      </c>
      <c r="C475" s="22">
        <f>IFERROR(__xludf.DUMMYFUNCTION("""COMPUTED_VALUE"""),43907.66666666667)</f>
        <v>43907.66667</v>
      </c>
      <c r="D475" s="23">
        <f>IFERROR(__xludf.DUMMYFUNCTION("""COMPUTED_VALUE"""),89.19)</f>
        <v>89.19</v>
      </c>
      <c r="E475" s="22">
        <f>IFERROR(__xludf.DUMMYFUNCTION("""COMPUTED_VALUE"""),42830.66666666667)</f>
        <v>42830.66667</v>
      </c>
      <c r="F475" s="23">
        <f>IFERROR(__xludf.DUMMYFUNCTION("""COMPUTED_VALUE"""),12.47)</f>
        <v>12.47</v>
      </c>
      <c r="G475" s="22">
        <f>IFERROR(__xludf.DUMMYFUNCTION("""COMPUTED_VALUE"""),44372.66666666667)</f>
        <v>44372.66667</v>
      </c>
      <c r="H475" s="23">
        <f>IFERROR(__xludf.DUMMYFUNCTION("""COMPUTED_VALUE"""),93.88)</f>
        <v>93.88</v>
      </c>
      <c r="I475" s="22">
        <f>IFERROR(__xludf.DUMMYFUNCTION("""COMPUTED_VALUE"""),44372.66666666667)</f>
        <v>44372.66667</v>
      </c>
      <c r="J475" s="23">
        <f>IFERROR(__xludf.DUMMYFUNCTION("""COMPUTED_VALUE"""),292.5)</f>
        <v>292.5</v>
      </c>
      <c r="K475" s="22">
        <f>IFERROR(__xludf.DUMMYFUNCTION("""COMPUTED_VALUE"""),44372.66666666667)</f>
        <v>44372.66667</v>
      </c>
      <c r="L475" s="23">
        <f>IFERROR(__xludf.DUMMYFUNCTION("""COMPUTED_VALUE"""),84.35)</f>
        <v>84.35</v>
      </c>
      <c r="M475" s="23">
        <v>0.0</v>
      </c>
      <c r="N475" s="23">
        <v>0.0</v>
      </c>
      <c r="O475" s="23">
        <v>0.0</v>
      </c>
      <c r="P475" s="23">
        <f t="shared" si="1"/>
        <v>0</v>
      </c>
      <c r="Q475" s="23">
        <f t="shared" si="2"/>
        <v>0</v>
      </c>
      <c r="R475" s="23">
        <f t="shared" si="3"/>
        <v>0</v>
      </c>
      <c r="S475" s="19"/>
      <c r="T475" s="19"/>
      <c r="U475" s="19"/>
      <c r="V475" s="19"/>
    </row>
    <row r="476">
      <c r="A476" s="22">
        <f>IFERROR(__xludf.DUMMYFUNCTION("""COMPUTED_VALUE"""),42649.66666666667)</f>
        <v>42649.66667</v>
      </c>
      <c r="B476" s="23">
        <f>IFERROR(__xludf.DUMMYFUNCTION("""COMPUTED_VALUE"""),55.9)</f>
        <v>55.9</v>
      </c>
      <c r="C476" s="22">
        <f>IFERROR(__xludf.DUMMYFUNCTION("""COMPUTED_VALUE"""),43908.66666666667)</f>
        <v>43908.66667</v>
      </c>
      <c r="D476" s="23">
        <f>IFERROR(__xludf.DUMMYFUNCTION("""COMPUTED_VALUE"""),83.98)</f>
        <v>83.98</v>
      </c>
      <c r="E476" s="22">
        <f>IFERROR(__xludf.DUMMYFUNCTION("""COMPUTED_VALUE"""),42831.66666666667)</f>
        <v>42831.66667</v>
      </c>
      <c r="F476" s="23">
        <f>IFERROR(__xludf.DUMMYFUNCTION("""COMPUTED_VALUE"""),12.42)</f>
        <v>12.42</v>
      </c>
      <c r="G476" s="22">
        <f>IFERROR(__xludf.DUMMYFUNCTION("""COMPUTED_VALUE"""),44379.66666666667)</f>
        <v>44379.66667</v>
      </c>
      <c r="H476" s="23">
        <f>IFERROR(__xludf.DUMMYFUNCTION("""COMPUTED_VALUE"""),93.5)</f>
        <v>93.5</v>
      </c>
      <c r="I476" s="22">
        <f>IFERROR(__xludf.DUMMYFUNCTION("""COMPUTED_VALUE"""),44379.66666666667)</f>
        <v>44379.66667</v>
      </c>
      <c r="J476" s="23">
        <f>IFERROR(__xludf.DUMMYFUNCTION("""COMPUTED_VALUE"""),300.2)</f>
        <v>300.2</v>
      </c>
      <c r="K476" s="22">
        <f>IFERROR(__xludf.DUMMYFUNCTION("""COMPUTED_VALUE"""),44379.66666666667)</f>
        <v>44379.66667</v>
      </c>
      <c r="L476" s="23">
        <f>IFERROR(__xludf.DUMMYFUNCTION("""COMPUTED_VALUE"""),84.61)</f>
        <v>84.61</v>
      </c>
      <c r="M476" s="23">
        <v>1000.0</v>
      </c>
      <c r="N476" s="23">
        <v>1000.0</v>
      </c>
      <c r="O476" s="23">
        <v>1000.0</v>
      </c>
      <c r="P476" s="23">
        <f t="shared" si="1"/>
        <v>10.69518717</v>
      </c>
      <c r="Q476" s="23">
        <f t="shared" si="2"/>
        <v>3.331112592</v>
      </c>
      <c r="R476" s="23">
        <f t="shared" si="3"/>
        <v>11.81893393</v>
      </c>
      <c r="S476" s="19"/>
      <c r="T476" s="19"/>
      <c r="U476" s="19"/>
      <c r="V476" s="19"/>
    </row>
    <row r="477">
      <c r="A477" s="22">
        <f>IFERROR(__xludf.DUMMYFUNCTION("""COMPUTED_VALUE"""),42650.66666666667)</f>
        <v>42650.66667</v>
      </c>
      <c r="B477" s="23">
        <f>IFERROR(__xludf.DUMMYFUNCTION("""COMPUTED_VALUE"""),55.91)</f>
        <v>55.91</v>
      </c>
      <c r="C477" s="22">
        <f>IFERROR(__xludf.DUMMYFUNCTION("""COMPUTED_VALUE"""),43909.66666666667)</f>
        <v>43909.66667</v>
      </c>
      <c r="D477" s="23">
        <f>IFERROR(__xludf.DUMMYFUNCTION("""COMPUTED_VALUE"""),80.81)</f>
        <v>80.81</v>
      </c>
      <c r="E477" s="22">
        <f>IFERROR(__xludf.DUMMYFUNCTION("""COMPUTED_VALUE"""),42832.66666666667)</f>
        <v>42832.66667</v>
      </c>
      <c r="F477" s="23">
        <f>IFERROR(__xludf.DUMMYFUNCTION("""COMPUTED_VALUE"""),12.46)</f>
        <v>12.46</v>
      </c>
      <c r="G477" s="22">
        <f>IFERROR(__xludf.DUMMYFUNCTION("""COMPUTED_VALUE"""),44386.66666666667)</f>
        <v>44386.66667</v>
      </c>
      <c r="H477" s="23">
        <f>IFERROR(__xludf.DUMMYFUNCTION("""COMPUTED_VALUE"""),92.96)</f>
        <v>92.96</v>
      </c>
      <c r="I477" s="22">
        <f>IFERROR(__xludf.DUMMYFUNCTION("""COMPUTED_VALUE"""),44386.66666666667)</f>
        <v>44386.66667</v>
      </c>
      <c r="J477" s="23">
        <f>IFERROR(__xludf.DUMMYFUNCTION("""COMPUTED_VALUE"""),300.4)</f>
        <v>300.4</v>
      </c>
      <c r="K477" s="22">
        <f>IFERROR(__xludf.DUMMYFUNCTION("""COMPUTED_VALUE"""),44386.66666666667)</f>
        <v>44386.66667</v>
      </c>
      <c r="L477" s="23">
        <f>IFERROR(__xludf.DUMMYFUNCTION("""COMPUTED_VALUE"""),84.0)</f>
        <v>84</v>
      </c>
      <c r="M477" s="23">
        <v>0.0</v>
      </c>
      <c r="N477" s="23">
        <v>0.0</v>
      </c>
      <c r="O477" s="23">
        <v>0.0</v>
      </c>
      <c r="P477" s="23">
        <f t="shared" si="1"/>
        <v>0</v>
      </c>
      <c r="Q477" s="23">
        <f t="shared" si="2"/>
        <v>0</v>
      </c>
      <c r="R477" s="23">
        <f t="shared" si="3"/>
        <v>0</v>
      </c>
      <c r="S477" s="19"/>
      <c r="T477" s="19"/>
      <c r="U477" s="19"/>
      <c r="V477" s="19"/>
    </row>
    <row r="478">
      <c r="A478" s="22">
        <f>IFERROR(__xludf.DUMMYFUNCTION("""COMPUTED_VALUE"""),42653.66666666667)</f>
        <v>42653.66667</v>
      </c>
      <c r="B478" s="23">
        <f>IFERROR(__xludf.DUMMYFUNCTION("""COMPUTED_VALUE"""),55.72)</f>
        <v>55.72</v>
      </c>
      <c r="C478" s="22">
        <f>IFERROR(__xludf.DUMMYFUNCTION("""COMPUTED_VALUE"""),43910.66666666667)</f>
        <v>43910.66667</v>
      </c>
      <c r="D478" s="23">
        <f>IFERROR(__xludf.DUMMYFUNCTION("""COMPUTED_VALUE"""),81.35)</f>
        <v>81.35</v>
      </c>
      <c r="E478" s="22">
        <f>IFERROR(__xludf.DUMMYFUNCTION("""COMPUTED_VALUE"""),42835.66666666667)</f>
        <v>42835.66667</v>
      </c>
      <c r="F478" s="23">
        <f>IFERROR(__xludf.DUMMYFUNCTION("""COMPUTED_VALUE"""),12.63)</f>
        <v>12.63</v>
      </c>
      <c r="G478" s="22">
        <f>IFERROR(__xludf.DUMMYFUNCTION("""COMPUTED_VALUE"""),44393.66666666667)</f>
        <v>44393.66667</v>
      </c>
      <c r="H478" s="23">
        <f>IFERROR(__xludf.DUMMYFUNCTION("""COMPUTED_VALUE"""),93.99)</f>
        <v>93.99</v>
      </c>
      <c r="I478" s="22">
        <f>IFERROR(__xludf.DUMMYFUNCTION("""COMPUTED_VALUE"""),44393.66666666667)</f>
        <v>44393.66667</v>
      </c>
      <c r="J478" s="23">
        <f>IFERROR(__xludf.DUMMYFUNCTION("""COMPUTED_VALUE"""),301.4)</f>
        <v>301.4</v>
      </c>
      <c r="K478" s="22">
        <f>IFERROR(__xludf.DUMMYFUNCTION("""COMPUTED_VALUE"""),44393.66666666667)</f>
        <v>44393.66667</v>
      </c>
      <c r="L478" s="23">
        <f>IFERROR(__xludf.DUMMYFUNCTION("""COMPUTED_VALUE"""),84.82)</f>
        <v>84.82</v>
      </c>
      <c r="M478" s="23">
        <v>0.0</v>
      </c>
      <c r="N478" s="23">
        <v>0.0</v>
      </c>
      <c r="O478" s="23">
        <v>0.0</v>
      </c>
      <c r="P478" s="23">
        <f t="shared" si="1"/>
        <v>0</v>
      </c>
      <c r="Q478" s="23">
        <f t="shared" si="2"/>
        <v>0</v>
      </c>
      <c r="R478" s="23">
        <f t="shared" si="3"/>
        <v>0</v>
      </c>
      <c r="S478" s="19"/>
      <c r="T478" s="19"/>
      <c r="U478" s="19"/>
      <c r="V478" s="19"/>
    </row>
    <row r="479">
      <c r="A479" s="22">
        <f>IFERROR(__xludf.DUMMYFUNCTION("""COMPUTED_VALUE"""),42654.66666666667)</f>
        <v>42654.66667</v>
      </c>
      <c r="B479" s="23">
        <f>IFERROR(__xludf.DUMMYFUNCTION("""COMPUTED_VALUE"""),56.02)</f>
        <v>56.02</v>
      </c>
      <c r="C479" s="22">
        <f>IFERROR(__xludf.DUMMYFUNCTION("""COMPUTED_VALUE"""),43913.66666666667)</f>
        <v>43913.66667</v>
      </c>
      <c r="D479" s="23">
        <f>IFERROR(__xludf.DUMMYFUNCTION("""COMPUTED_VALUE"""),77.15)</f>
        <v>77.15</v>
      </c>
      <c r="E479" s="22">
        <f>IFERROR(__xludf.DUMMYFUNCTION("""COMPUTED_VALUE"""),42836.66666666667)</f>
        <v>42836.66667</v>
      </c>
      <c r="F479" s="23">
        <f>IFERROR(__xludf.DUMMYFUNCTION("""COMPUTED_VALUE"""),12.53)</f>
        <v>12.53</v>
      </c>
      <c r="G479" s="22">
        <f>IFERROR(__xludf.DUMMYFUNCTION("""COMPUTED_VALUE"""),44400.66666666667)</f>
        <v>44400.66667</v>
      </c>
      <c r="H479" s="23">
        <f>IFERROR(__xludf.DUMMYFUNCTION("""COMPUTED_VALUE"""),94.55)</f>
        <v>94.55</v>
      </c>
      <c r="I479" s="22">
        <f>IFERROR(__xludf.DUMMYFUNCTION("""COMPUTED_VALUE"""),44400.66666666667)</f>
        <v>44400.66667</v>
      </c>
      <c r="J479" s="23">
        <f>IFERROR(__xludf.DUMMYFUNCTION("""COMPUTED_VALUE"""),306.49)</f>
        <v>306.49</v>
      </c>
      <c r="K479" s="22">
        <f>IFERROR(__xludf.DUMMYFUNCTION("""COMPUTED_VALUE"""),44400.66666666667)</f>
        <v>44400.66667</v>
      </c>
      <c r="L479" s="23">
        <f>IFERROR(__xludf.DUMMYFUNCTION("""COMPUTED_VALUE"""),84.98)</f>
        <v>84.98</v>
      </c>
      <c r="M479" s="23">
        <v>0.0</v>
      </c>
      <c r="N479" s="23">
        <v>0.0</v>
      </c>
      <c r="O479" s="23">
        <v>0.0</v>
      </c>
      <c r="P479" s="23">
        <f t="shared" si="1"/>
        <v>0</v>
      </c>
      <c r="Q479" s="23">
        <f t="shared" si="2"/>
        <v>0</v>
      </c>
      <c r="R479" s="23">
        <f t="shared" si="3"/>
        <v>0</v>
      </c>
      <c r="S479" s="19"/>
      <c r="T479" s="19"/>
      <c r="U479" s="19"/>
      <c r="V479" s="19"/>
    </row>
    <row r="480">
      <c r="A480" s="22">
        <f>IFERROR(__xludf.DUMMYFUNCTION("""COMPUTED_VALUE"""),42655.66666666667)</f>
        <v>42655.66667</v>
      </c>
      <c r="B480" s="23">
        <f>IFERROR(__xludf.DUMMYFUNCTION("""COMPUTED_VALUE"""),55.53)</f>
        <v>55.53</v>
      </c>
      <c r="C480" s="22">
        <f>IFERROR(__xludf.DUMMYFUNCTION("""COMPUTED_VALUE"""),43914.66666666667)</f>
        <v>43914.66667</v>
      </c>
      <c r="D480" s="23">
        <f>IFERROR(__xludf.DUMMYFUNCTION("""COMPUTED_VALUE"""),79.4)</f>
        <v>79.4</v>
      </c>
      <c r="E480" s="22">
        <f>IFERROR(__xludf.DUMMYFUNCTION("""COMPUTED_VALUE"""),42837.66666666667)</f>
        <v>42837.66667</v>
      </c>
      <c r="F480" s="23">
        <f>IFERROR(__xludf.DUMMYFUNCTION("""COMPUTED_VALUE"""),12.5)</f>
        <v>12.5</v>
      </c>
      <c r="G480" s="22">
        <f>IFERROR(__xludf.DUMMYFUNCTION("""COMPUTED_VALUE"""),44407.66666666667)</f>
        <v>44407.66667</v>
      </c>
      <c r="H480" s="23">
        <f>IFERROR(__xludf.DUMMYFUNCTION("""COMPUTED_VALUE"""),94.56)</f>
        <v>94.56</v>
      </c>
      <c r="I480" s="22">
        <f>IFERROR(__xludf.DUMMYFUNCTION("""COMPUTED_VALUE"""),44407.66666666667)</f>
        <v>44407.66667</v>
      </c>
      <c r="J480" s="23">
        <f>IFERROR(__xludf.DUMMYFUNCTION("""COMPUTED_VALUE"""),306.53)</f>
        <v>306.53</v>
      </c>
      <c r="K480" s="22">
        <f>IFERROR(__xludf.DUMMYFUNCTION("""COMPUTED_VALUE"""),44407.66666666667)</f>
        <v>44407.66667</v>
      </c>
      <c r="L480" s="23">
        <f>IFERROR(__xludf.DUMMYFUNCTION("""COMPUTED_VALUE"""),84.5)</f>
        <v>84.5</v>
      </c>
      <c r="M480" s="23">
        <v>1000.0</v>
      </c>
      <c r="N480" s="23">
        <v>1000.0</v>
      </c>
      <c r="O480" s="23">
        <v>1000.0</v>
      </c>
      <c r="P480" s="23">
        <f t="shared" si="1"/>
        <v>10.57529611</v>
      </c>
      <c r="Q480" s="23">
        <f t="shared" si="2"/>
        <v>3.262323427</v>
      </c>
      <c r="R480" s="23">
        <f t="shared" si="3"/>
        <v>11.83431953</v>
      </c>
      <c r="S480" s="19"/>
      <c r="T480" s="19"/>
      <c r="U480" s="19"/>
      <c r="V480" s="19"/>
    </row>
    <row r="481">
      <c r="A481" s="22">
        <f>IFERROR(__xludf.DUMMYFUNCTION("""COMPUTED_VALUE"""),42656.66666666667)</f>
        <v>42656.66667</v>
      </c>
      <c r="B481" s="23">
        <f>IFERROR(__xludf.DUMMYFUNCTION("""COMPUTED_VALUE"""),55.11)</f>
        <v>55.11</v>
      </c>
      <c r="C481" s="22">
        <f>IFERROR(__xludf.DUMMYFUNCTION("""COMPUTED_VALUE"""),43915.66666666667)</f>
        <v>43915.66667</v>
      </c>
      <c r="D481" s="23">
        <f>IFERROR(__xludf.DUMMYFUNCTION("""COMPUTED_VALUE"""),84.29)</f>
        <v>84.29</v>
      </c>
      <c r="E481" s="22">
        <f>IFERROR(__xludf.DUMMYFUNCTION("""COMPUTED_VALUE"""),42838.66666666667)</f>
        <v>42838.66667</v>
      </c>
      <c r="F481" s="23">
        <f>IFERROR(__xludf.DUMMYFUNCTION("""COMPUTED_VALUE"""),12.32)</f>
        <v>12.32</v>
      </c>
      <c r="G481" s="22">
        <f>IFERROR(__xludf.DUMMYFUNCTION("""COMPUTED_VALUE"""),44414.66666666667)</f>
        <v>44414.66667</v>
      </c>
      <c r="H481" s="23">
        <f>IFERROR(__xludf.DUMMYFUNCTION("""COMPUTED_VALUE"""),96.37)</f>
        <v>96.37</v>
      </c>
      <c r="I481" s="22">
        <f>IFERROR(__xludf.DUMMYFUNCTION("""COMPUTED_VALUE"""),44414.66666666667)</f>
        <v>44414.66667</v>
      </c>
      <c r="J481" s="23">
        <f>IFERROR(__xludf.DUMMYFUNCTION("""COMPUTED_VALUE"""),309.27)</f>
        <v>309.27</v>
      </c>
      <c r="K481" s="22">
        <f>IFERROR(__xludf.DUMMYFUNCTION("""COMPUTED_VALUE"""),44414.66666666667)</f>
        <v>44414.66667</v>
      </c>
      <c r="L481" s="23">
        <f>IFERROR(__xludf.DUMMYFUNCTION("""COMPUTED_VALUE"""),85.61)</f>
        <v>85.61</v>
      </c>
      <c r="M481" s="23">
        <v>0.0</v>
      </c>
      <c r="N481" s="23">
        <v>0.0</v>
      </c>
      <c r="O481" s="23">
        <v>0.0</v>
      </c>
      <c r="P481" s="23">
        <f t="shared" si="1"/>
        <v>0</v>
      </c>
      <c r="Q481" s="23">
        <f t="shared" si="2"/>
        <v>0</v>
      </c>
      <c r="R481" s="23">
        <f t="shared" si="3"/>
        <v>0</v>
      </c>
      <c r="S481" s="19"/>
      <c r="T481" s="19"/>
      <c r="U481" s="19"/>
      <c r="V481" s="19"/>
    </row>
    <row r="482">
      <c r="A482" s="22">
        <f>IFERROR(__xludf.DUMMYFUNCTION("""COMPUTED_VALUE"""),42657.66666666667)</f>
        <v>42657.66667</v>
      </c>
      <c r="B482" s="23">
        <f>IFERROR(__xludf.DUMMYFUNCTION("""COMPUTED_VALUE"""),54.94)</f>
        <v>54.94</v>
      </c>
      <c r="C482" s="22">
        <f>IFERROR(__xludf.DUMMYFUNCTION("""COMPUTED_VALUE"""),43916.66666666667)</f>
        <v>43916.66667</v>
      </c>
      <c r="D482" s="23">
        <f>IFERROR(__xludf.DUMMYFUNCTION("""COMPUTED_VALUE"""),86.0)</f>
        <v>86</v>
      </c>
      <c r="E482" s="22">
        <f>IFERROR(__xludf.DUMMYFUNCTION("""COMPUTED_VALUE"""),42843.66666666667)</f>
        <v>42843.66667</v>
      </c>
      <c r="F482" s="23">
        <f>IFERROR(__xludf.DUMMYFUNCTION("""COMPUTED_VALUE"""),12.4)</f>
        <v>12.4</v>
      </c>
      <c r="G482" s="22">
        <f>IFERROR(__xludf.DUMMYFUNCTION("""COMPUTED_VALUE"""),44421.66666666667)</f>
        <v>44421.66667</v>
      </c>
      <c r="H482" s="23">
        <f>IFERROR(__xludf.DUMMYFUNCTION("""COMPUTED_VALUE"""),97.75)</f>
        <v>97.75</v>
      </c>
      <c r="I482" s="22">
        <f>IFERROR(__xludf.DUMMYFUNCTION("""COMPUTED_VALUE"""),44421.66666666667)</f>
        <v>44421.66667</v>
      </c>
      <c r="J482" s="23">
        <f>IFERROR(__xludf.DUMMYFUNCTION("""COMPUTED_VALUE"""),313.32)</f>
        <v>313.32</v>
      </c>
      <c r="K482" s="22">
        <f>IFERROR(__xludf.DUMMYFUNCTION("""COMPUTED_VALUE"""),44421.66666666667)</f>
        <v>44421.66667</v>
      </c>
      <c r="L482" s="23">
        <f>IFERROR(__xludf.DUMMYFUNCTION("""COMPUTED_VALUE"""),86.14)</f>
        <v>86.14</v>
      </c>
      <c r="M482" s="23">
        <v>0.0</v>
      </c>
      <c r="N482" s="23">
        <v>0.0</v>
      </c>
      <c r="O482" s="23">
        <v>0.0</v>
      </c>
      <c r="P482" s="23">
        <f t="shared" si="1"/>
        <v>0</v>
      </c>
      <c r="Q482" s="23">
        <f t="shared" si="2"/>
        <v>0</v>
      </c>
      <c r="R482" s="23">
        <f t="shared" si="3"/>
        <v>0</v>
      </c>
      <c r="S482" s="19"/>
      <c r="T482" s="19"/>
      <c r="U482" s="19"/>
      <c r="V482" s="19"/>
    </row>
    <row r="483">
      <c r="A483" s="22">
        <f>IFERROR(__xludf.DUMMYFUNCTION("""COMPUTED_VALUE"""),42660.66666666667)</f>
        <v>42660.66667</v>
      </c>
      <c r="B483" s="23">
        <f>IFERROR(__xludf.DUMMYFUNCTION("""COMPUTED_VALUE"""),54.79)</f>
        <v>54.79</v>
      </c>
      <c r="C483" s="22">
        <f>IFERROR(__xludf.DUMMYFUNCTION("""COMPUTED_VALUE"""),43917.66666666667)</f>
        <v>43917.66667</v>
      </c>
      <c r="D483" s="23">
        <f>IFERROR(__xludf.DUMMYFUNCTION("""COMPUTED_VALUE"""),83.0)</f>
        <v>83</v>
      </c>
      <c r="E483" s="22">
        <f>IFERROR(__xludf.DUMMYFUNCTION("""COMPUTED_VALUE"""),42844.66666666667)</f>
        <v>42844.66667</v>
      </c>
      <c r="F483" s="23">
        <f>IFERROR(__xludf.DUMMYFUNCTION("""COMPUTED_VALUE"""),12.45)</f>
        <v>12.45</v>
      </c>
      <c r="G483" s="22">
        <f>IFERROR(__xludf.DUMMYFUNCTION("""COMPUTED_VALUE"""),44428.66666666667)</f>
        <v>44428.66667</v>
      </c>
      <c r="H483" s="23">
        <f>IFERROR(__xludf.DUMMYFUNCTION("""COMPUTED_VALUE"""),95.81)</f>
        <v>95.81</v>
      </c>
      <c r="I483" s="22">
        <f>IFERROR(__xludf.DUMMYFUNCTION("""COMPUTED_VALUE"""),44428.66666666667)</f>
        <v>44428.66667</v>
      </c>
      <c r="J483" s="23">
        <f>IFERROR(__xludf.DUMMYFUNCTION("""COMPUTED_VALUE"""),316.48)</f>
        <v>316.48</v>
      </c>
      <c r="K483" s="22">
        <f>IFERROR(__xludf.DUMMYFUNCTION("""COMPUTED_VALUE"""),44428.66666666667)</f>
        <v>44428.66667</v>
      </c>
      <c r="L483" s="23">
        <f>IFERROR(__xludf.DUMMYFUNCTION("""COMPUTED_VALUE"""),85.99)</f>
        <v>85.99</v>
      </c>
      <c r="M483" s="23">
        <v>0.0</v>
      </c>
      <c r="N483" s="23">
        <v>0.0</v>
      </c>
      <c r="O483" s="23">
        <v>0.0</v>
      </c>
      <c r="P483" s="23">
        <f t="shared" si="1"/>
        <v>0</v>
      </c>
      <c r="Q483" s="23">
        <f t="shared" si="2"/>
        <v>0</v>
      </c>
      <c r="R483" s="23">
        <f t="shared" si="3"/>
        <v>0</v>
      </c>
      <c r="S483" s="19"/>
      <c r="T483" s="19"/>
      <c r="U483" s="19"/>
      <c r="V483" s="19"/>
    </row>
    <row r="484">
      <c r="A484" s="22">
        <f>IFERROR(__xludf.DUMMYFUNCTION("""COMPUTED_VALUE"""),42661.66666666667)</f>
        <v>42661.66667</v>
      </c>
      <c r="B484" s="23">
        <f>IFERROR(__xludf.DUMMYFUNCTION("""COMPUTED_VALUE"""),54.55)</f>
        <v>54.55</v>
      </c>
      <c r="C484" s="22">
        <f>IFERROR(__xludf.DUMMYFUNCTION("""COMPUTED_VALUE"""),43920.66666666667)</f>
        <v>43920.66667</v>
      </c>
      <c r="D484" s="23">
        <f>IFERROR(__xludf.DUMMYFUNCTION("""COMPUTED_VALUE"""),86.57)</f>
        <v>86.57</v>
      </c>
      <c r="E484" s="22">
        <f>IFERROR(__xludf.DUMMYFUNCTION("""COMPUTED_VALUE"""),42845.66666666667)</f>
        <v>42845.66667</v>
      </c>
      <c r="F484" s="23">
        <f>IFERROR(__xludf.DUMMYFUNCTION("""COMPUTED_VALUE"""),12.49)</f>
        <v>12.49</v>
      </c>
      <c r="G484" s="22">
        <f>IFERROR(__xludf.DUMMYFUNCTION("""COMPUTED_VALUE"""),44435.66666666667)</f>
        <v>44435.66667</v>
      </c>
      <c r="H484" s="23">
        <f>IFERROR(__xludf.DUMMYFUNCTION("""COMPUTED_VALUE"""),96.39)</f>
        <v>96.39</v>
      </c>
      <c r="I484" s="22">
        <f>IFERROR(__xludf.DUMMYFUNCTION("""COMPUTED_VALUE"""),44435.66666666667)</f>
        <v>44435.66667</v>
      </c>
      <c r="J484" s="23">
        <f>IFERROR(__xludf.DUMMYFUNCTION("""COMPUTED_VALUE"""),318.42)</f>
        <v>318.42</v>
      </c>
      <c r="K484" s="22">
        <f>IFERROR(__xludf.DUMMYFUNCTION("""COMPUTED_VALUE"""),44435.66666666667)</f>
        <v>44435.66667</v>
      </c>
      <c r="L484" s="23">
        <f>IFERROR(__xludf.DUMMYFUNCTION("""COMPUTED_VALUE"""),86.56)</f>
        <v>86.56</v>
      </c>
      <c r="M484" s="23">
        <v>1000.0</v>
      </c>
      <c r="N484" s="23">
        <v>1000.0</v>
      </c>
      <c r="O484" s="23">
        <v>1000.0</v>
      </c>
      <c r="P484" s="23">
        <f t="shared" si="1"/>
        <v>10.37452018</v>
      </c>
      <c r="Q484" s="23">
        <f t="shared" si="2"/>
        <v>3.14050625</v>
      </c>
      <c r="R484" s="23">
        <f t="shared" si="3"/>
        <v>11.55268022</v>
      </c>
      <c r="S484" s="19"/>
      <c r="T484" s="19"/>
      <c r="U484" s="19"/>
      <c r="V484" s="19"/>
    </row>
    <row r="485">
      <c r="A485" s="22">
        <f>IFERROR(__xludf.DUMMYFUNCTION("""COMPUTED_VALUE"""),42662.66666666667)</f>
        <v>42662.66667</v>
      </c>
      <c r="B485" s="23">
        <f>IFERROR(__xludf.DUMMYFUNCTION("""COMPUTED_VALUE"""),54.68)</f>
        <v>54.68</v>
      </c>
      <c r="C485" s="22">
        <f>IFERROR(__xludf.DUMMYFUNCTION("""COMPUTED_VALUE"""),43921.66666666667)</f>
        <v>43921.66667</v>
      </c>
      <c r="D485" s="23">
        <f>IFERROR(__xludf.DUMMYFUNCTION("""COMPUTED_VALUE"""),84.65)</f>
        <v>84.65</v>
      </c>
      <c r="E485" s="22">
        <f>IFERROR(__xludf.DUMMYFUNCTION("""COMPUTED_VALUE"""),42846.66666666667)</f>
        <v>42846.66667</v>
      </c>
      <c r="F485" s="23">
        <f>IFERROR(__xludf.DUMMYFUNCTION("""COMPUTED_VALUE"""),12.54)</f>
        <v>12.54</v>
      </c>
      <c r="G485" s="22">
        <f>IFERROR(__xludf.DUMMYFUNCTION("""COMPUTED_VALUE"""),44442.66666666667)</f>
        <v>44442.66667</v>
      </c>
      <c r="H485" s="23">
        <f>IFERROR(__xludf.DUMMYFUNCTION("""COMPUTED_VALUE"""),97.46)</f>
        <v>97.46</v>
      </c>
      <c r="I485" s="22">
        <f>IFERROR(__xludf.DUMMYFUNCTION("""COMPUTED_VALUE"""),44442.66666666667)</f>
        <v>44442.66667</v>
      </c>
      <c r="J485" s="23">
        <f>IFERROR(__xludf.DUMMYFUNCTION("""COMPUTED_VALUE"""),316.58)</f>
        <v>316.58</v>
      </c>
      <c r="K485" s="22">
        <f>IFERROR(__xludf.DUMMYFUNCTION("""COMPUTED_VALUE"""),44442.66666666667)</f>
        <v>44442.66667</v>
      </c>
      <c r="L485" s="23">
        <f>IFERROR(__xludf.DUMMYFUNCTION("""COMPUTED_VALUE"""),86.8)</f>
        <v>86.8</v>
      </c>
      <c r="M485" s="23">
        <v>0.0</v>
      </c>
      <c r="N485" s="23">
        <v>0.0</v>
      </c>
      <c r="O485" s="23">
        <v>0.0</v>
      </c>
      <c r="P485" s="23">
        <f t="shared" si="1"/>
        <v>0</v>
      </c>
      <c r="Q485" s="23">
        <f t="shared" si="2"/>
        <v>0</v>
      </c>
      <c r="R485" s="23">
        <f t="shared" si="3"/>
        <v>0</v>
      </c>
      <c r="S485" s="19"/>
      <c r="T485" s="19"/>
      <c r="U485" s="19"/>
      <c r="V485" s="19"/>
    </row>
    <row r="486">
      <c r="A486" s="22">
        <f>IFERROR(__xludf.DUMMYFUNCTION("""COMPUTED_VALUE"""),42663.66666666667)</f>
        <v>42663.66667</v>
      </c>
      <c r="B486" s="23">
        <f>IFERROR(__xludf.DUMMYFUNCTION("""COMPUTED_VALUE"""),54.9)</f>
        <v>54.9</v>
      </c>
      <c r="C486" s="22">
        <f>IFERROR(__xludf.DUMMYFUNCTION("""COMPUTED_VALUE"""),43922.66666666667)</f>
        <v>43922.66667</v>
      </c>
      <c r="D486" s="23">
        <f>IFERROR(__xludf.DUMMYFUNCTION("""COMPUTED_VALUE"""),88.09)</f>
        <v>88.09</v>
      </c>
      <c r="E486" s="22">
        <f>IFERROR(__xludf.DUMMYFUNCTION("""COMPUTED_VALUE"""),42849.66666666667)</f>
        <v>42849.66667</v>
      </c>
      <c r="F486" s="23">
        <f>IFERROR(__xludf.DUMMYFUNCTION("""COMPUTED_VALUE"""),12.61)</f>
        <v>12.61</v>
      </c>
      <c r="G486" s="22">
        <f>IFERROR(__xludf.DUMMYFUNCTION("""COMPUTED_VALUE"""),44449.66666666667)</f>
        <v>44449.66667</v>
      </c>
      <c r="H486" s="23">
        <f>IFERROR(__xludf.DUMMYFUNCTION("""COMPUTED_VALUE"""),96.16)</f>
        <v>96.16</v>
      </c>
      <c r="I486" s="22">
        <f>IFERROR(__xludf.DUMMYFUNCTION("""COMPUTED_VALUE"""),44449.66666666667)</f>
        <v>44449.66667</v>
      </c>
      <c r="J486" s="23">
        <f>IFERROR(__xludf.DUMMYFUNCTION("""COMPUTED_VALUE"""),315.1)</f>
        <v>315.1</v>
      </c>
      <c r="K486" s="22">
        <f>IFERROR(__xludf.DUMMYFUNCTION("""COMPUTED_VALUE"""),44449.66666666667)</f>
        <v>44449.66667</v>
      </c>
      <c r="L486" s="23">
        <f>IFERROR(__xludf.DUMMYFUNCTION("""COMPUTED_VALUE"""),87.08)</f>
        <v>87.08</v>
      </c>
      <c r="M486" s="23">
        <v>0.0</v>
      </c>
      <c r="N486" s="23">
        <v>0.0</v>
      </c>
      <c r="O486" s="23">
        <v>0.0</v>
      </c>
      <c r="P486" s="23">
        <f t="shared" si="1"/>
        <v>0</v>
      </c>
      <c r="Q486" s="23">
        <f t="shared" si="2"/>
        <v>0</v>
      </c>
      <c r="R486" s="23">
        <f t="shared" si="3"/>
        <v>0</v>
      </c>
      <c r="S486" s="19"/>
      <c r="T486" s="19"/>
      <c r="U486" s="19"/>
      <c r="V486" s="19"/>
    </row>
    <row r="487">
      <c r="A487" s="22">
        <f>IFERROR(__xludf.DUMMYFUNCTION("""COMPUTED_VALUE"""),42664.66666666667)</f>
        <v>42664.66667</v>
      </c>
      <c r="B487" s="23">
        <f>IFERROR(__xludf.DUMMYFUNCTION("""COMPUTED_VALUE"""),55.04)</f>
        <v>55.04</v>
      </c>
      <c r="C487" s="22">
        <f>IFERROR(__xludf.DUMMYFUNCTION("""COMPUTED_VALUE"""),43923.66666666667)</f>
        <v>43923.66667</v>
      </c>
      <c r="D487" s="23">
        <f>IFERROR(__xludf.DUMMYFUNCTION("""COMPUTED_VALUE"""),86.75)</f>
        <v>86.75</v>
      </c>
      <c r="E487" s="22">
        <f>IFERROR(__xludf.DUMMYFUNCTION("""COMPUTED_VALUE"""),42851.66666666667)</f>
        <v>42851.66667</v>
      </c>
      <c r="F487" s="23">
        <f>IFERROR(__xludf.DUMMYFUNCTION("""COMPUTED_VALUE"""),12.83)</f>
        <v>12.83</v>
      </c>
      <c r="G487" s="22">
        <f>IFERROR(__xludf.DUMMYFUNCTION("""COMPUTED_VALUE"""),44456.66666666667)</f>
        <v>44456.66667</v>
      </c>
      <c r="H487" s="23">
        <f>IFERROR(__xludf.DUMMYFUNCTION("""COMPUTED_VALUE"""),96.03)</f>
        <v>96.03</v>
      </c>
      <c r="I487" s="22">
        <f>IFERROR(__xludf.DUMMYFUNCTION("""COMPUTED_VALUE"""),44456.66666666667)</f>
        <v>44456.66667</v>
      </c>
      <c r="J487" s="23">
        <f>IFERROR(__xludf.DUMMYFUNCTION("""COMPUTED_VALUE"""),316.41)</f>
        <v>316.41</v>
      </c>
      <c r="K487" s="22">
        <f>IFERROR(__xludf.DUMMYFUNCTION("""COMPUTED_VALUE"""),44456.66666666667)</f>
        <v>44456.66667</v>
      </c>
      <c r="L487" s="23">
        <f>IFERROR(__xludf.DUMMYFUNCTION("""COMPUTED_VALUE"""),87.21)</f>
        <v>87.21</v>
      </c>
      <c r="M487" s="23">
        <v>0.0</v>
      </c>
      <c r="N487" s="23">
        <v>0.0</v>
      </c>
      <c r="O487" s="23">
        <v>0.0</v>
      </c>
      <c r="P487" s="23">
        <f t="shared" si="1"/>
        <v>0</v>
      </c>
      <c r="Q487" s="23">
        <f t="shared" si="2"/>
        <v>0</v>
      </c>
      <c r="R487" s="23">
        <f t="shared" si="3"/>
        <v>0</v>
      </c>
      <c r="S487" s="19"/>
      <c r="T487" s="19"/>
      <c r="U487" s="19"/>
      <c r="V487" s="19"/>
    </row>
    <row r="488">
      <c r="A488" s="22">
        <f>IFERROR(__xludf.DUMMYFUNCTION("""COMPUTED_VALUE"""),42667.66666666667)</f>
        <v>42667.66667</v>
      </c>
      <c r="B488" s="23">
        <f>IFERROR(__xludf.DUMMYFUNCTION("""COMPUTED_VALUE"""),55.32)</f>
        <v>55.32</v>
      </c>
      <c r="C488" s="22">
        <f>IFERROR(__xludf.DUMMYFUNCTION("""COMPUTED_VALUE"""),43924.66666666667)</f>
        <v>43924.66667</v>
      </c>
      <c r="D488" s="23">
        <f>IFERROR(__xludf.DUMMYFUNCTION("""COMPUTED_VALUE"""),84.45)</f>
        <v>84.45</v>
      </c>
      <c r="E488" s="22">
        <f>IFERROR(__xludf.DUMMYFUNCTION("""COMPUTED_VALUE"""),42852.66666666667)</f>
        <v>42852.66667</v>
      </c>
      <c r="F488" s="23">
        <f>IFERROR(__xludf.DUMMYFUNCTION("""COMPUTED_VALUE"""),12.86)</f>
        <v>12.86</v>
      </c>
      <c r="G488" s="22">
        <f>IFERROR(__xludf.DUMMYFUNCTION("""COMPUTED_VALUE"""),44463.66666666667)</f>
        <v>44463.66667</v>
      </c>
      <c r="H488" s="23">
        <f>IFERROR(__xludf.DUMMYFUNCTION("""COMPUTED_VALUE"""),95.44)</f>
        <v>95.44</v>
      </c>
      <c r="I488" s="22">
        <f>IFERROR(__xludf.DUMMYFUNCTION("""COMPUTED_VALUE"""),44463.66666666667)</f>
        <v>44463.66667</v>
      </c>
      <c r="J488" s="23">
        <f>IFERROR(__xludf.DUMMYFUNCTION("""COMPUTED_VALUE"""),315.42)</f>
        <v>315.42</v>
      </c>
      <c r="K488" s="22">
        <f>IFERROR(__xludf.DUMMYFUNCTION("""COMPUTED_VALUE"""),44463.66666666667)</f>
        <v>44463.66667</v>
      </c>
      <c r="L488" s="23">
        <f>IFERROR(__xludf.DUMMYFUNCTION("""COMPUTED_VALUE"""),86.22)</f>
        <v>86.22</v>
      </c>
      <c r="M488" s="23">
        <v>1000.0</v>
      </c>
      <c r="N488" s="23">
        <v>1000.0</v>
      </c>
      <c r="O488" s="23">
        <v>1000.0</v>
      </c>
      <c r="P488" s="23">
        <f t="shared" si="1"/>
        <v>10.47778709</v>
      </c>
      <c r="Q488" s="23">
        <f t="shared" si="2"/>
        <v>3.170376007</v>
      </c>
      <c r="R488" s="23">
        <f t="shared" si="3"/>
        <v>11.59823707</v>
      </c>
      <c r="S488" s="19"/>
      <c r="T488" s="19"/>
      <c r="U488" s="19"/>
      <c r="V488" s="19"/>
    </row>
    <row r="489">
      <c r="A489" s="22">
        <f>IFERROR(__xludf.DUMMYFUNCTION("""COMPUTED_VALUE"""),42668.66666666667)</f>
        <v>42668.66667</v>
      </c>
      <c r="B489" s="23">
        <f>IFERROR(__xludf.DUMMYFUNCTION("""COMPUTED_VALUE"""),55.32)</f>
        <v>55.32</v>
      </c>
      <c r="C489" s="22">
        <f>IFERROR(__xludf.DUMMYFUNCTION("""COMPUTED_VALUE"""),43927.66666666667)</f>
        <v>43927.66667</v>
      </c>
      <c r="D489" s="23">
        <f>IFERROR(__xludf.DUMMYFUNCTION("""COMPUTED_VALUE"""),88.7)</f>
        <v>88.7</v>
      </c>
      <c r="E489" s="22">
        <f>IFERROR(__xludf.DUMMYFUNCTION("""COMPUTED_VALUE"""),42853.66666666667)</f>
        <v>42853.66667</v>
      </c>
      <c r="F489" s="23">
        <f>IFERROR(__xludf.DUMMYFUNCTION("""COMPUTED_VALUE"""),12.99)</f>
        <v>12.99</v>
      </c>
      <c r="G489" s="22">
        <f>IFERROR(__xludf.DUMMYFUNCTION("""COMPUTED_VALUE"""),44470.66666666667)</f>
        <v>44470.66667</v>
      </c>
      <c r="H489" s="23">
        <f>IFERROR(__xludf.DUMMYFUNCTION("""COMPUTED_VALUE"""),92.02)</f>
        <v>92.02</v>
      </c>
      <c r="I489" s="22">
        <f>IFERROR(__xludf.DUMMYFUNCTION("""COMPUTED_VALUE"""),44470.66666666667)</f>
        <v>44470.66667</v>
      </c>
      <c r="J489" s="23">
        <f>IFERROR(__xludf.DUMMYFUNCTION("""COMPUTED_VALUE"""),306.83)</f>
        <v>306.83</v>
      </c>
      <c r="K489" s="22">
        <f>IFERROR(__xludf.DUMMYFUNCTION("""COMPUTED_VALUE"""),44470.66666666667)</f>
        <v>44470.66667</v>
      </c>
      <c r="L489" s="23">
        <f>IFERROR(__xludf.DUMMYFUNCTION("""COMPUTED_VALUE"""),83.8)</f>
        <v>83.8</v>
      </c>
      <c r="M489" s="23">
        <v>0.0</v>
      </c>
      <c r="N489" s="23">
        <v>0.0</v>
      </c>
      <c r="O489" s="23">
        <v>0.0</v>
      </c>
      <c r="P489" s="23">
        <f t="shared" si="1"/>
        <v>0</v>
      </c>
      <c r="Q489" s="23">
        <f t="shared" si="2"/>
        <v>0</v>
      </c>
      <c r="R489" s="23">
        <f t="shared" si="3"/>
        <v>0</v>
      </c>
      <c r="S489" s="19"/>
      <c r="T489" s="19"/>
      <c r="U489" s="19"/>
      <c r="V489" s="19"/>
    </row>
    <row r="490">
      <c r="A490" s="22">
        <f>IFERROR(__xludf.DUMMYFUNCTION("""COMPUTED_VALUE"""),42669.66666666667)</f>
        <v>42669.66667</v>
      </c>
      <c r="B490" s="23">
        <f>IFERROR(__xludf.DUMMYFUNCTION("""COMPUTED_VALUE"""),54.64)</f>
        <v>54.64</v>
      </c>
      <c r="C490" s="22">
        <f>IFERROR(__xludf.DUMMYFUNCTION("""COMPUTED_VALUE"""),43928.66666666667)</f>
        <v>43928.66667</v>
      </c>
      <c r="D490" s="23">
        <f>IFERROR(__xludf.DUMMYFUNCTION("""COMPUTED_VALUE"""),87.99)</f>
        <v>87.99</v>
      </c>
      <c r="E490" s="22">
        <f>IFERROR(__xludf.DUMMYFUNCTION("""COMPUTED_VALUE"""),42856.66666666667)</f>
        <v>42856.66667</v>
      </c>
      <c r="F490" s="23">
        <f>IFERROR(__xludf.DUMMYFUNCTION("""COMPUTED_VALUE"""),12.97)</f>
        <v>12.97</v>
      </c>
      <c r="G490" s="22">
        <f>IFERROR(__xludf.DUMMYFUNCTION("""COMPUTED_VALUE"""),44477.66666666667)</f>
        <v>44477.66667</v>
      </c>
      <c r="H490" s="23">
        <f>IFERROR(__xludf.DUMMYFUNCTION("""COMPUTED_VALUE"""),93.56)</f>
        <v>93.56</v>
      </c>
      <c r="I490" s="22">
        <f>IFERROR(__xludf.DUMMYFUNCTION("""COMPUTED_VALUE"""),44477.66666666667)</f>
        <v>44477.66667</v>
      </c>
      <c r="J490" s="23">
        <f>IFERROR(__xludf.DUMMYFUNCTION("""COMPUTED_VALUE"""),310.91)</f>
        <v>310.91</v>
      </c>
      <c r="K490" s="22">
        <f>IFERROR(__xludf.DUMMYFUNCTION("""COMPUTED_VALUE"""),44477.66666666667)</f>
        <v>44477.66667</v>
      </c>
      <c r="L490" s="23">
        <f>IFERROR(__xludf.DUMMYFUNCTION("""COMPUTED_VALUE"""),83.7)</f>
        <v>83.7</v>
      </c>
      <c r="M490" s="23">
        <v>0.0</v>
      </c>
      <c r="N490" s="23">
        <v>0.0</v>
      </c>
      <c r="O490" s="23">
        <v>0.0</v>
      </c>
      <c r="P490" s="23">
        <f t="shared" si="1"/>
        <v>0</v>
      </c>
      <c r="Q490" s="23">
        <f t="shared" si="2"/>
        <v>0</v>
      </c>
      <c r="R490" s="23">
        <f t="shared" si="3"/>
        <v>0</v>
      </c>
      <c r="S490" s="19"/>
      <c r="T490" s="19"/>
      <c r="U490" s="19"/>
      <c r="V490" s="19"/>
    </row>
    <row r="491">
      <c r="A491" s="22">
        <f>IFERROR(__xludf.DUMMYFUNCTION("""COMPUTED_VALUE"""),42670.66666666667)</f>
        <v>42670.66667</v>
      </c>
      <c r="B491" s="23">
        <f>IFERROR(__xludf.DUMMYFUNCTION("""COMPUTED_VALUE"""),54.77)</f>
        <v>54.77</v>
      </c>
      <c r="C491" s="22">
        <f>IFERROR(__xludf.DUMMYFUNCTION("""COMPUTED_VALUE"""),43929.66666666667)</f>
        <v>43929.66667</v>
      </c>
      <c r="D491" s="23">
        <f>IFERROR(__xludf.DUMMYFUNCTION("""COMPUTED_VALUE"""),88.14)</f>
        <v>88.14</v>
      </c>
      <c r="E491" s="22">
        <f>IFERROR(__xludf.DUMMYFUNCTION("""COMPUTED_VALUE"""),42857.66666666667)</f>
        <v>42857.66667</v>
      </c>
      <c r="F491" s="23">
        <f>IFERROR(__xludf.DUMMYFUNCTION("""COMPUTED_VALUE"""),12.97)</f>
        <v>12.97</v>
      </c>
      <c r="G491" s="22">
        <f>IFERROR(__xludf.DUMMYFUNCTION("""COMPUTED_VALUE"""),44484.66666666667)</f>
        <v>44484.66667</v>
      </c>
      <c r="H491" s="23">
        <f>IFERROR(__xludf.DUMMYFUNCTION("""COMPUTED_VALUE"""),94.37)</f>
        <v>94.37</v>
      </c>
      <c r="I491" s="22">
        <f>IFERROR(__xludf.DUMMYFUNCTION("""COMPUTED_VALUE"""),44484.66666666667)</f>
        <v>44484.66667</v>
      </c>
      <c r="J491" s="23">
        <f>IFERROR(__xludf.DUMMYFUNCTION("""COMPUTED_VALUE"""),310.26)</f>
        <v>310.26</v>
      </c>
      <c r="K491" s="22">
        <f>IFERROR(__xludf.DUMMYFUNCTION("""COMPUTED_VALUE"""),44484.66666666667)</f>
        <v>44484.66667</v>
      </c>
      <c r="L491" s="23">
        <f>IFERROR(__xludf.DUMMYFUNCTION("""COMPUTED_VALUE"""),84.15)</f>
        <v>84.15</v>
      </c>
      <c r="M491" s="23">
        <v>0.0</v>
      </c>
      <c r="N491" s="23">
        <v>0.0</v>
      </c>
      <c r="O491" s="23">
        <v>0.0</v>
      </c>
      <c r="P491" s="23">
        <f t="shared" si="1"/>
        <v>0</v>
      </c>
      <c r="Q491" s="23">
        <f t="shared" si="2"/>
        <v>0</v>
      </c>
      <c r="R491" s="23">
        <f t="shared" si="3"/>
        <v>0</v>
      </c>
      <c r="S491" s="19"/>
      <c r="T491" s="19"/>
      <c r="U491" s="19"/>
      <c r="V491" s="19"/>
    </row>
    <row r="492">
      <c r="A492" s="22">
        <f>IFERROR(__xludf.DUMMYFUNCTION("""COMPUTED_VALUE"""),42671.66666666667)</f>
        <v>42671.66667</v>
      </c>
      <c r="B492" s="23">
        <f>IFERROR(__xludf.DUMMYFUNCTION("""COMPUTED_VALUE"""),54.95)</f>
        <v>54.95</v>
      </c>
      <c r="C492" s="22">
        <f>IFERROR(__xludf.DUMMYFUNCTION("""COMPUTED_VALUE"""),43930.66666666667)</f>
        <v>43930.66667</v>
      </c>
      <c r="D492" s="23">
        <f>IFERROR(__xludf.DUMMYFUNCTION("""COMPUTED_VALUE"""),89.87)</f>
        <v>89.87</v>
      </c>
      <c r="E492" s="22">
        <f>IFERROR(__xludf.DUMMYFUNCTION("""COMPUTED_VALUE"""),42858.66666666667)</f>
        <v>42858.66667</v>
      </c>
      <c r="F492" s="23">
        <f>IFERROR(__xludf.DUMMYFUNCTION("""COMPUTED_VALUE"""),13.0)</f>
        <v>13</v>
      </c>
      <c r="G492" s="22">
        <f>IFERROR(__xludf.DUMMYFUNCTION("""COMPUTED_VALUE"""),44491.66666666667)</f>
        <v>44491.66667</v>
      </c>
      <c r="H492" s="23">
        <f>IFERROR(__xludf.DUMMYFUNCTION("""COMPUTED_VALUE"""),95.01)</f>
        <v>95.01</v>
      </c>
      <c r="I492" s="22">
        <f>IFERROR(__xludf.DUMMYFUNCTION("""COMPUTED_VALUE"""),44491.66666666667)</f>
        <v>44491.66667</v>
      </c>
      <c r="J492" s="23">
        <f>IFERROR(__xludf.DUMMYFUNCTION("""COMPUTED_VALUE"""),313.88)</f>
        <v>313.88</v>
      </c>
      <c r="K492" s="22">
        <f>IFERROR(__xludf.DUMMYFUNCTION("""COMPUTED_VALUE"""),44491.66666666667)</f>
        <v>44491.66667</v>
      </c>
      <c r="L492" s="23">
        <f>IFERROR(__xludf.DUMMYFUNCTION("""COMPUTED_VALUE"""),84.16)</f>
        <v>84.16</v>
      </c>
      <c r="M492" s="23">
        <v>1000.0</v>
      </c>
      <c r="N492" s="23">
        <v>1000.0</v>
      </c>
      <c r="O492" s="23">
        <v>1000.0</v>
      </c>
      <c r="P492" s="23">
        <f t="shared" si="1"/>
        <v>10.52520787</v>
      </c>
      <c r="Q492" s="23">
        <f t="shared" si="2"/>
        <v>3.185930929</v>
      </c>
      <c r="R492" s="23">
        <f t="shared" si="3"/>
        <v>11.88212928</v>
      </c>
      <c r="S492" s="19"/>
      <c r="T492" s="19"/>
      <c r="U492" s="19"/>
      <c r="V492" s="19"/>
    </row>
    <row r="493">
      <c r="A493" s="22">
        <f>IFERROR(__xludf.DUMMYFUNCTION("""COMPUTED_VALUE"""),42674.66666666667)</f>
        <v>42674.66667</v>
      </c>
      <c r="B493" s="23">
        <f>IFERROR(__xludf.DUMMYFUNCTION("""COMPUTED_VALUE"""),54.95)</f>
        <v>54.95</v>
      </c>
      <c r="C493" s="22">
        <f>IFERROR(__xludf.DUMMYFUNCTION("""COMPUTED_VALUE"""),43935.66666666667)</f>
        <v>43935.66667</v>
      </c>
      <c r="D493" s="23">
        <f>IFERROR(__xludf.DUMMYFUNCTION("""COMPUTED_VALUE"""),92.11)</f>
        <v>92.11</v>
      </c>
      <c r="E493" s="22">
        <f>IFERROR(__xludf.DUMMYFUNCTION("""COMPUTED_VALUE"""),42859.66666666667)</f>
        <v>42859.66667</v>
      </c>
      <c r="F493" s="23">
        <f>IFERROR(__xludf.DUMMYFUNCTION("""COMPUTED_VALUE"""),13.18)</f>
        <v>13.18</v>
      </c>
      <c r="G493" s="22">
        <f>IFERROR(__xludf.DUMMYFUNCTION("""COMPUTED_VALUE"""),44498.66666666667)</f>
        <v>44498.66667</v>
      </c>
      <c r="H493" s="23">
        <f>IFERROR(__xludf.DUMMYFUNCTION("""COMPUTED_VALUE"""),93.72)</f>
        <v>93.72</v>
      </c>
      <c r="I493" s="22">
        <f>IFERROR(__xludf.DUMMYFUNCTION("""COMPUTED_VALUE"""),44498.66666666667)</f>
        <v>44498.66667</v>
      </c>
      <c r="J493" s="23">
        <f>IFERROR(__xludf.DUMMYFUNCTION("""COMPUTED_VALUE"""),312.38)</f>
        <v>312.38</v>
      </c>
      <c r="K493" s="22">
        <f>IFERROR(__xludf.DUMMYFUNCTION("""COMPUTED_VALUE"""),44498.66666666667)</f>
        <v>44498.66667</v>
      </c>
      <c r="L493" s="23">
        <f>IFERROR(__xludf.DUMMYFUNCTION("""COMPUTED_VALUE"""),83.25)</f>
        <v>83.25</v>
      </c>
      <c r="M493" s="23">
        <v>0.0</v>
      </c>
      <c r="N493" s="23">
        <v>0.0</v>
      </c>
      <c r="O493" s="23">
        <v>0.0</v>
      </c>
      <c r="P493" s="23">
        <f t="shared" si="1"/>
        <v>0</v>
      </c>
      <c r="Q493" s="23">
        <f t="shared" si="2"/>
        <v>0</v>
      </c>
      <c r="R493" s="23">
        <f t="shared" si="3"/>
        <v>0</v>
      </c>
      <c r="S493" s="19"/>
      <c r="T493" s="19"/>
      <c r="U493" s="19"/>
      <c r="V493" s="19"/>
    </row>
    <row r="494">
      <c r="A494" s="22">
        <f>IFERROR(__xludf.DUMMYFUNCTION("""COMPUTED_VALUE"""),42675.66666666667)</f>
        <v>42675.66667</v>
      </c>
      <c r="B494" s="23">
        <f>IFERROR(__xludf.DUMMYFUNCTION("""COMPUTED_VALUE"""),54.65)</f>
        <v>54.65</v>
      </c>
      <c r="C494" s="22">
        <f>IFERROR(__xludf.DUMMYFUNCTION("""COMPUTED_VALUE"""),43936.66666666667)</f>
        <v>43936.66667</v>
      </c>
      <c r="D494" s="23">
        <f>IFERROR(__xludf.DUMMYFUNCTION("""COMPUTED_VALUE"""),91.5)</f>
        <v>91.5</v>
      </c>
      <c r="E494" s="22">
        <f>IFERROR(__xludf.DUMMYFUNCTION("""COMPUTED_VALUE"""),42860.66666666667)</f>
        <v>42860.66667</v>
      </c>
      <c r="F494" s="23">
        <f>IFERROR(__xludf.DUMMYFUNCTION("""COMPUTED_VALUE"""),13.22)</f>
        <v>13.22</v>
      </c>
      <c r="G494" s="22">
        <f>IFERROR(__xludf.DUMMYFUNCTION("""COMPUTED_VALUE"""),44505.66666666667)</f>
        <v>44505.66667</v>
      </c>
      <c r="H494" s="23">
        <f>IFERROR(__xludf.DUMMYFUNCTION("""COMPUTED_VALUE"""),95.78)</f>
        <v>95.78</v>
      </c>
      <c r="I494" s="22">
        <f>IFERROR(__xludf.DUMMYFUNCTION("""COMPUTED_VALUE"""),44505.66666666667)</f>
        <v>44505.66667</v>
      </c>
      <c r="J494" s="23">
        <f>IFERROR(__xludf.DUMMYFUNCTION("""COMPUTED_VALUE"""),326.5)</f>
        <v>326.5</v>
      </c>
      <c r="K494" s="22">
        <f>IFERROR(__xludf.DUMMYFUNCTION("""COMPUTED_VALUE"""),44505.66666666667)</f>
        <v>44505.66667</v>
      </c>
      <c r="L494" s="23">
        <f>IFERROR(__xludf.DUMMYFUNCTION("""COMPUTED_VALUE"""),85.64)</f>
        <v>85.64</v>
      </c>
      <c r="M494" s="23">
        <v>0.0</v>
      </c>
      <c r="N494" s="23">
        <v>0.0</v>
      </c>
      <c r="O494" s="23">
        <v>0.0</v>
      </c>
      <c r="P494" s="23">
        <f t="shared" si="1"/>
        <v>0</v>
      </c>
      <c r="Q494" s="23">
        <f t="shared" si="2"/>
        <v>0</v>
      </c>
      <c r="R494" s="23">
        <f t="shared" si="3"/>
        <v>0</v>
      </c>
      <c r="S494" s="19"/>
      <c r="T494" s="19"/>
      <c r="U494" s="19"/>
      <c r="V494" s="19"/>
    </row>
    <row r="495">
      <c r="A495" s="22">
        <f>IFERROR(__xludf.DUMMYFUNCTION("""COMPUTED_VALUE"""),42676.66666666667)</f>
        <v>42676.66667</v>
      </c>
      <c r="B495" s="23">
        <f>IFERROR(__xludf.DUMMYFUNCTION("""COMPUTED_VALUE"""),54.19)</f>
        <v>54.19</v>
      </c>
      <c r="C495" s="22">
        <f>IFERROR(__xludf.DUMMYFUNCTION("""COMPUTED_VALUE"""),43937.66666666667)</f>
        <v>43937.66667</v>
      </c>
      <c r="D495" s="23">
        <f>IFERROR(__xludf.DUMMYFUNCTION("""COMPUTED_VALUE"""),90.66)</f>
        <v>90.66</v>
      </c>
      <c r="E495" s="22">
        <f>IFERROR(__xludf.DUMMYFUNCTION("""COMPUTED_VALUE"""),42863.66666666667)</f>
        <v>42863.66667</v>
      </c>
      <c r="F495" s="23">
        <f>IFERROR(__xludf.DUMMYFUNCTION("""COMPUTED_VALUE"""),13.24)</f>
        <v>13.24</v>
      </c>
      <c r="G495" s="22">
        <f>IFERROR(__xludf.DUMMYFUNCTION("""COMPUTED_VALUE"""),44512.66666666667)</f>
        <v>44512.66667</v>
      </c>
      <c r="H495" s="23">
        <f>IFERROR(__xludf.DUMMYFUNCTION("""COMPUTED_VALUE"""),95.71)</f>
        <v>95.71</v>
      </c>
      <c r="I495" s="22">
        <f>IFERROR(__xludf.DUMMYFUNCTION("""COMPUTED_VALUE"""),44512.66666666667)</f>
        <v>44512.66667</v>
      </c>
      <c r="J495" s="23">
        <f>IFERROR(__xludf.DUMMYFUNCTION("""COMPUTED_VALUE"""),329.65)</f>
        <v>329.65</v>
      </c>
      <c r="K495" s="22">
        <f>IFERROR(__xludf.DUMMYFUNCTION("""COMPUTED_VALUE"""),44512.66666666667)</f>
        <v>44512.66667</v>
      </c>
      <c r="L495" s="23">
        <f>IFERROR(__xludf.DUMMYFUNCTION("""COMPUTED_VALUE"""),86.95)</f>
        <v>86.95</v>
      </c>
      <c r="M495" s="23">
        <v>0.0</v>
      </c>
      <c r="N495" s="23">
        <v>0.0</v>
      </c>
      <c r="O495" s="23">
        <v>0.0</v>
      </c>
      <c r="P495" s="23">
        <f t="shared" si="1"/>
        <v>0</v>
      </c>
      <c r="Q495" s="23">
        <f t="shared" si="2"/>
        <v>0</v>
      </c>
      <c r="R495" s="23">
        <f t="shared" si="3"/>
        <v>0</v>
      </c>
      <c r="S495" s="19"/>
      <c r="T495" s="19"/>
      <c r="U495" s="19"/>
      <c r="V495" s="19"/>
    </row>
    <row r="496">
      <c r="A496" s="22">
        <f>IFERROR(__xludf.DUMMYFUNCTION("""COMPUTED_VALUE"""),42677.66666666667)</f>
        <v>42677.66667</v>
      </c>
      <c r="B496" s="23">
        <f>IFERROR(__xludf.DUMMYFUNCTION("""COMPUTED_VALUE"""),53.79)</f>
        <v>53.79</v>
      </c>
      <c r="C496" s="22">
        <f>IFERROR(__xludf.DUMMYFUNCTION("""COMPUTED_VALUE"""),43938.66666666667)</f>
        <v>43938.66667</v>
      </c>
      <c r="D496" s="23">
        <f>IFERROR(__xludf.DUMMYFUNCTION("""COMPUTED_VALUE"""),92.38)</f>
        <v>92.38</v>
      </c>
      <c r="E496" s="22">
        <f>IFERROR(__xludf.DUMMYFUNCTION("""COMPUTED_VALUE"""),42864.66666666667)</f>
        <v>42864.66667</v>
      </c>
      <c r="F496" s="23">
        <f>IFERROR(__xludf.DUMMYFUNCTION("""COMPUTED_VALUE"""),13.37)</f>
        <v>13.37</v>
      </c>
      <c r="G496" s="22">
        <f>IFERROR(__xludf.DUMMYFUNCTION("""COMPUTED_VALUE"""),44519.66666666667)</f>
        <v>44519.66667</v>
      </c>
      <c r="H496" s="23">
        <f>IFERROR(__xludf.DUMMYFUNCTION("""COMPUTED_VALUE"""),95.28)</f>
        <v>95.28</v>
      </c>
      <c r="I496" s="22">
        <f>IFERROR(__xludf.DUMMYFUNCTION("""COMPUTED_VALUE"""),44519.66666666667)</f>
        <v>44519.66667</v>
      </c>
      <c r="J496" s="23">
        <f>IFERROR(__xludf.DUMMYFUNCTION("""COMPUTED_VALUE"""),334.25)</f>
        <v>334.25</v>
      </c>
      <c r="K496" s="22">
        <f>IFERROR(__xludf.DUMMYFUNCTION("""COMPUTED_VALUE"""),44519.66666666667)</f>
        <v>44519.66667</v>
      </c>
      <c r="L496" s="23">
        <f>IFERROR(__xludf.DUMMYFUNCTION("""COMPUTED_VALUE"""),86.77)</f>
        <v>86.77</v>
      </c>
      <c r="M496" s="23">
        <v>1000.0</v>
      </c>
      <c r="N496" s="23">
        <v>1000.0</v>
      </c>
      <c r="O496" s="23">
        <v>1000.0</v>
      </c>
      <c r="P496" s="23">
        <f t="shared" si="1"/>
        <v>10.49538203</v>
      </c>
      <c r="Q496" s="23">
        <f t="shared" si="2"/>
        <v>2.991772625</v>
      </c>
      <c r="R496" s="23">
        <f t="shared" si="3"/>
        <v>11.52472053</v>
      </c>
      <c r="S496" s="19"/>
      <c r="T496" s="19"/>
      <c r="U496" s="19"/>
      <c r="V496" s="19"/>
    </row>
    <row r="497">
      <c r="A497" s="22">
        <f>IFERROR(__xludf.DUMMYFUNCTION("""COMPUTED_VALUE"""),42678.66666666667)</f>
        <v>42678.66667</v>
      </c>
      <c r="B497" s="23">
        <f>IFERROR(__xludf.DUMMYFUNCTION("""COMPUTED_VALUE"""),53.66)</f>
        <v>53.66</v>
      </c>
      <c r="C497" s="22">
        <f>IFERROR(__xludf.DUMMYFUNCTION("""COMPUTED_VALUE"""),43941.66666666667)</f>
        <v>43941.66667</v>
      </c>
      <c r="D497" s="23">
        <f>IFERROR(__xludf.DUMMYFUNCTION("""COMPUTED_VALUE"""),90.0)</f>
        <v>90</v>
      </c>
      <c r="E497" s="22">
        <f>IFERROR(__xludf.DUMMYFUNCTION("""COMPUTED_VALUE"""),42865.66666666667)</f>
        <v>42865.66667</v>
      </c>
      <c r="F497" s="23">
        <f>IFERROR(__xludf.DUMMYFUNCTION("""COMPUTED_VALUE"""),13.38)</f>
        <v>13.38</v>
      </c>
      <c r="G497" s="22">
        <f>IFERROR(__xludf.DUMMYFUNCTION("""COMPUTED_VALUE"""),44526.66666666667)</f>
        <v>44526.66667</v>
      </c>
      <c r="H497" s="23">
        <f>IFERROR(__xludf.DUMMYFUNCTION("""COMPUTED_VALUE"""),93.76)</f>
        <v>93.76</v>
      </c>
      <c r="I497" s="22">
        <f>IFERROR(__xludf.DUMMYFUNCTION("""COMPUTED_VALUE"""),44526.66666666667)</f>
        <v>44526.66667</v>
      </c>
      <c r="J497" s="23">
        <f>IFERROR(__xludf.DUMMYFUNCTION("""COMPUTED_VALUE"""),334.15)</f>
        <v>334.15</v>
      </c>
      <c r="K497" s="22">
        <f>IFERROR(__xludf.DUMMYFUNCTION("""COMPUTED_VALUE"""),44526.66666666667)</f>
        <v>44526.66667</v>
      </c>
      <c r="L497" s="23">
        <f>IFERROR(__xludf.DUMMYFUNCTION("""COMPUTED_VALUE"""),85.37)</f>
        <v>85.37</v>
      </c>
      <c r="M497" s="23">
        <v>0.0</v>
      </c>
      <c r="N497" s="23">
        <v>0.0</v>
      </c>
      <c r="O497" s="23">
        <v>0.0</v>
      </c>
      <c r="P497" s="23">
        <f t="shared" si="1"/>
        <v>0</v>
      </c>
      <c r="Q497" s="23">
        <f t="shared" si="2"/>
        <v>0</v>
      </c>
      <c r="R497" s="23">
        <f t="shared" si="3"/>
        <v>0</v>
      </c>
      <c r="S497" s="19"/>
      <c r="T497" s="19"/>
      <c r="U497" s="19"/>
      <c r="V497" s="19"/>
    </row>
    <row r="498">
      <c r="A498" s="22">
        <f>IFERROR(__xludf.DUMMYFUNCTION("""COMPUTED_VALUE"""),42681.66666666667)</f>
        <v>42681.66667</v>
      </c>
      <c r="B498" s="23">
        <f>IFERROR(__xludf.DUMMYFUNCTION("""COMPUTED_VALUE"""),54.17)</f>
        <v>54.17</v>
      </c>
      <c r="C498" s="22">
        <f>IFERROR(__xludf.DUMMYFUNCTION("""COMPUTED_VALUE"""),43942.66666666667)</f>
        <v>43942.66667</v>
      </c>
      <c r="D498" s="23">
        <f>IFERROR(__xludf.DUMMYFUNCTION("""COMPUTED_VALUE"""),87.67)</f>
        <v>87.67</v>
      </c>
      <c r="E498" s="22">
        <f>IFERROR(__xludf.DUMMYFUNCTION("""COMPUTED_VALUE"""),42866.66666666667)</f>
        <v>42866.66667</v>
      </c>
      <c r="F498" s="23">
        <f>IFERROR(__xludf.DUMMYFUNCTION("""COMPUTED_VALUE"""),13.4)</f>
        <v>13.4</v>
      </c>
      <c r="G498" s="22">
        <f>IFERROR(__xludf.DUMMYFUNCTION("""COMPUTED_VALUE"""),44533.66666666667)</f>
        <v>44533.66667</v>
      </c>
      <c r="H498" s="23">
        <f>IFERROR(__xludf.DUMMYFUNCTION("""COMPUTED_VALUE"""),93.2)</f>
        <v>93.2</v>
      </c>
      <c r="I498" s="22">
        <f>IFERROR(__xludf.DUMMYFUNCTION("""COMPUTED_VALUE"""),44533.66666666667)</f>
        <v>44533.66667</v>
      </c>
      <c r="J498" s="23">
        <f>IFERROR(__xludf.DUMMYFUNCTION("""COMPUTED_VALUE"""),330.42)</f>
        <v>330.42</v>
      </c>
      <c r="K498" s="22">
        <f>IFERROR(__xludf.DUMMYFUNCTION("""COMPUTED_VALUE"""),44533.66666666667)</f>
        <v>44533.66667</v>
      </c>
      <c r="L498" s="23">
        <f>IFERROR(__xludf.DUMMYFUNCTION("""COMPUTED_VALUE"""),85.68)</f>
        <v>85.68</v>
      </c>
      <c r="M498" s="23">
        <v>0.0</v>
      </c>
      <c r="N498" s="23">
        <v>0.0</v>
      </c>
      <c r="O498" s="23">
        <v>0.0</v>
      </c>
      <c r="P498" s="23">
        <f t="shared" si="1"/>
        <v>0</v>
      </c>
      <c r="Q498" s="23">
        <f t="shared" si="2"/>
        <v>0</v>
      </c>
      <c r="R498" s="23">
        <f t="shared" si="3"/>
        <v>0</v>
      </c>
      <c r="S498" s="19"/>
      <c r="T498" s="19"/>
      <c r="U498" s="19"/>
      <c r="V498" s="19"/>
    </row>
    <row r="499">
      <c r="A499" s="22">
        <f>IFERROR(__xludf.DUMMYFUNCTION("""COMPUTED_VALUE"""),42682.66666666667)</f>
        <v>42682.66667</v>
      </c>
      <c r="B499" s="23">
        <f>IFERROR(__xludf.DUMMYFUNCTION("""COMPUTED_VALUE"""),54.15)</f>
        <v>54.15</v>
      </c>
      <c r="C499" s="22">
        <f>IFERROR(__xludf.DUMMYFUNCTION("""COMPUTED_VALUE"""),43943.66666666667)</f>
        <v>43943.66667</v>
      </c>
      <c r="D499" s="23">
        <f>IFERROR(__xludf.DUMMYFUNCTION("""COMPUTED_VALUE"""),87.83)</f>
        <v>87.83</v>
      </c>
      <c r="E499" s="22">
        <f>IFERROR(__xludf.DUMMYFUNCTION("""COMPUTED_VALUE"""),42867.66666666667)</f>
        <v>42867.66667</v>
      </c>
      <c r="F499" s="23">
        <f>IFERROR(__xludf.DUMMYFUNCTION("""COMPUTED_VALUE"""),13.33)</f>
        <v>13.33</v>
      </c>
      <c r="G499" s="22">
        <f>IFERROR(__xludf.DUMMYFUNCTION("""COMPUTED_VALUE"""),44540.66666666667)</f>
        <v>44540.66667</v>
      </c>
      <c r="H499" s="23">
        <f>IFERROR(__xludf.DUMMYFUNCTION("""COMPUTED_VALUE"""),94.56)</f>
        <v>94.56</v>
      </c>
      <c r="I499" s="22">
        <f>IFERROR(__xludf.DUMMYFUNCTION("""COMPUTED_VALUE"""),44540.66666666667)</f>
        <v>44540.66667</v>
      </c>
      <c r="J499" s="23">
        <f>IFERROR(__xludf.DUMMYFUNCTION("""COMPUTED_VALUE"""),332.65)</f>
        <v>332.65</v>
      </c>
      <c r="K499" s="22">
        <f>IFERROR(__xludf.DUMMYFUNCTION("""COMPUTED_VALUE"""),44540.66666666667)</f>
        <v>44540.66667</v>
      </c>
      <c r="L499" s="23">
        <f>IFERROR(__xludf.DUMMYFUNCTION("""COMPUTED_VALUE"""),86.07)</f>
        <v>86.07</v>
      </c>
      <c r="M499" s="23">
        <v>0.0</v>
      </c>
      <c r="N499" s="23">
        <v>0.0</v>
      </c>
      <c r="O499" s="23">
        <v>0.0</v>
      </c>
      <c r="P499" s="23">
        <f t="shared" si="1"/>
        <v>0</v>
      </c>
      <c r="Q499" s="23">
        <f t="shared" si="2"/>
        <v>0</v>
      </c>
      <c r="R499" s="23">
        <f t="shared" si="3"/>
        <v>0</v>
      </c>
      <c r="S499" s="19"/>
      <c r="T499" s="19"/>
      <c r="U499" s="19"/>
      <c r="V499" s="19"/>
    </row>
    <row r="500">
      <c r="A500" s="22">
        <f>IFERROR(__xludf.DUMMYFUNCTION("""COMPUTED_VALUE"""),42683.66666666667)</f>
        <v>42683.66667</v>
      </c>
      <c r="B500" s="23">
        <f>IFERROR(__xludf.DUMMYFUNCTION("""COMPUTED_VALUE"""),52.25)</f>
        <v>52.25</v>
      </c>
      <c r="C500" s="22">
        <f>IFERROR(__xludf.DUMMYFUNCTION("""COMPUTED_VALUE"""),43944.66666666667)</f>
        <v>43944.66667</v>
      </c>
      <c r="D500" s="23">
        <f>IFERROR(__xludf.DUMMYFUNCTION("""COMPUTED_VALUE"""),87.42)</f>
        <v>87.42</v>
      </c>
      <c r="E500" s="22">
        <f>IFERROR(__xludf.DUMMYFUNCTION("""COMPUTED_VALUE"""),42870.66666666667)</f>
        <v>42870.66667</v>
      </c>
      <c r="F500" s="23">
        <f>IFERROR(__xludf.DUMMYFUNCTION("""COMPUTED_VALUE"""),13.37)</f>
        <v>13.37</v>
      </c>
      <c r="G500" s="22">
        <f>IFERROR(__xludf.DUMMYFUNCTION("""COMPUTED_VALUE"""),44547.66666666667)</f>
        <v>44547.66667</v>
      </c>
      <c r="H500" s="23">
        <f>IFERROR(__xludf.DUMMYFUNCTION("""COMPUTED_VALUE"""),94.11)</f>
        <v>94.11</v>
      </c>
      <c r="I500" s="22">
        <f>IFERROR(__xludf.DUMMYFUNCTION("""COMPUTED_VALUE"""),44547.66666666667)</f>
        <v>44547.66667</v>
      </c>
      <c r="J500" s="23">
        <f>IFERROR(__xludf.DUMMYFUNCTION("""COMPUTED_VALUE"""),329.68)</f>
        <v>329.68</v>
      </c>
      <c r="K500" s="22">
        <f>IFERROR(__xludf.DUMMYFUNCTION("""COMPUTED_VALUE"""),44547.66666666667)</f>
        <v>44547.66667</v>
      </c>
      <c r="L500" s="23">
        <f>IFERROR(__xludf.DUMMYFUNCTION("""COMPUTED_VALUE"""),85.45)</f>
        <v>85.45</v>
      </c>
      <c r="M500" s="23">
        <v>1000.0</v>
      </c>
      <c r="N500" s="23">
        <v>1000.0</v>
      </c>
      <c r="O500" s="23">
        <v>1000.0</v>
      </c>
      <c r="P500" s="23">
        <f t="shared" si="1"/>
        <v>10.62586335</v>
      </c>
      <c r="Q500" s="23">
        <f t="shared" si="2"/>
        <v>3.033244358</v>
      </c>
      <c r="R500" s="23">
        <f t="shared" si="3"/>
        <v>11.70275015</v>
      </c>
      <c r="S500" s="19"/>
      <c r="T500" s="19"/>
      <c r="U500" s="19"/>
      <c r="V500" s="19"/>
    </row>
    <row r="501">
      <c r="A501" s="22">
        <f>IFERROR(__xludf.DUMMYFUNCTION("""COMPUTED_VALUE"""),42684.66666666667)</f>
        <v>42684.66667</v>
      </c>
      <c r="B501" s="23">
        <f>IFERROR(__xludf.DUMMYFUNCTION("""COMPUTED_VALUE"""),54.9)</f>
        <v>54.9</v>
      </c>
      <c r="C501" s="22">
        <f>IFERROR(__xludf.DUMMYFUNCTION("""COMPUTED_VALUE"""),43945.66666666667)</f>
        <v>43945.66667</v>
      </c>
      <c r="D501" s="23">
        <f>IFERROR(__xludf.DUMMYFUNCTION("""COMPUTED_VALUE"""),88.1)</f>
        <v>88.1</v>
      </c>
      <c r="E501" s="22">
        <f>IFERROR(__xludf.DUMMYFUNCTION("""COMPUTED_VALUE"""),42871.66666666667)</f>
        <v>42871.66667</v>
      </c>
      <c r="F501" s="23">
        <f>IFERROR(__xludf.DUMMYFUNCTION("""COMPUTED_VALUE"""),13.34)</f>
        <v>13.34</v>
      </c>
      <c r="G501" s="22">
        <f>IFERROR(__xludf.DUMMYFUNCTION("""COMPUTED_VALUE"""),44554.59027777778)</f>
        <v>44554.59028</v>
      </c>
      <c r="H501" s="23">
        <f>IFERROR(__xludf.DUMMYFUNCTION("""COMPUTED_VALUE"""),95.51)</f>
        <v>95.51</v>
      </c>
      <c r="I501" s="22">
        <f>IFERROR(__xludf.DUMMYFUNCTION("""COMPUTED_VALUE"""),44554.59027777778)</f>
        <v>44554.59028</v>
      </c>
      <c r="J501" s="23">
        <f>IFERROR(__xludf.DUMMYFUNCTION("""COMPUTED_VALUE"""),332.27)</f>
        <v>332.27</v>
      </c>
      <c r="K501" s="22">
        <f>IFERROR(__xludf.DUMMYFUNCTION("""COMPUTED_VALUE"""),44554.59027777778)</f>
        <v>44554.59028</v>
      </c>
      <c r="L501" s="23">
        <f>IFERROR(__xludf.DUMMYFUNCTION("""COMPUTED_VALUE"""),84.46)</f>
        <v>84.46</v>
      </c>
      <c r="M501" s="23">
        <v>0.0</v>
      </c>
      <c r="N501" s="23">
        <v>0.0</v>
      </c>
      <c r="O501" s="23">
        <v>0.0</v>
      </c>
      <c r="P501" s="23">
        <f t="shared" si="1"/>
        <v>0</v>
      </c>
      <c r="Q501" s="23">
        <f t="shared" si="2"/>
        <v>0</v>
      </c>
      <c r="R501" s="23">
        <f t="shared" si="3"/>
        <v>0</v>
      </c>
      <c r="S501" s="19"/>
      <c r="T501" s="19"/>
      <c r="U501" s="19"/>
      <c r="V501" s="19"/>
    </row>
    <row r="502">
      <c r="A502" s="22">
        <f>IFERROR(__xludf.DUMMYFUNCTION("""COMPUTED_VALUE"""),42685.66666666667)</f>
        <v>42685.66667</v>
      </c>
      <c r="B502" s="23">
        <f>IFERROR(__xludf.DUMMYFUNCTION("""COMPUTED_VALUE"""),55.39)</f>
        <v>55.39</v>
      </c>
      <c r="C502" s="22">
        <f>IFERROR(__xludf.DUMMYFUNCTION("""COMPUTED_VALUE"""),43948.66666666667)</f>
        <v>43948.66667</v>
      </c>
      <c r="D502" s="23">
        <f>IFERROR(__xludf.DUMMYFUNCTION("""COMPUTED_VALUE"""),89.07)</f>
        <v>89.07</v>
      </c>
      <c r="E502" s="22">
        <f>IFERROR(__xludf.DUMMYFUNCTION("""COMPUTED_VALUE"""),42872.66666666667)</f>
        <v>42872.66667</v>
      </c>
      <c r="F502" s="23">
        <f>IFERROR(__xludf.DUMMYFUNCTION("""COMPUTED_VALUE"""),13.31)</f>
        <v>13.31</v>
      </c>
      <c r="G502" s="22">
        <f>IFERROR(__xludf.DUMMYFUNCTION("""COMPUTED_VALUE"""),44561.59027777778)</f>
        <v>44561.59028</v>
      </c>
      <c r="H502" s="23">
        <f>IFERROR(__xludf.DUMMYFUNCTION("""COMPUTED_VALUE"""),95.87)</f>
        <v>95.87</v>
      </c>
      <c r="I502" s="22">
        <f>IFERROR(__xludf.DUMMYFUNCTION("""COMPUTED_VALUE"""),44561.59027777778)</f>
        <v>44561.59028</v>
      </c>
      <c r="J502" s="23">
        <f>IFERROR(__xludf.DUMMYFUNCTION("""COMPUTED_VALUE"""),333.63)</f>
        <v>333.63</v>
      </c>
      <c r="K502" s="22">
        <f>IFERROR(__xludf.DUMMYFUNCTION("""COMPUTED_VALUE"""),44561.59027777778)</f>
        <v>44561.59028</v>
      </c>
      <c r="L502" s="23">
        <f>IFERROR(__xludf.DUMMYFUNCTION("""COMPUTED_VALUE"""),84.5)</f>
        <v>84.5</v>
      </c>
      <c r="M502" s="23">
        <v>0.0</v>
      </c>
      <c r="N502" s="23">
        <v>0.0</v>
      </c>
      <c r="O502" s="23">
        <v>0.0</v>
      </c>
      <c r="P502" s="23">
        <f t="shared" si="1"/>
        <v>0</v>
      </c>
      <c r="Q502" s="23">
        <f t="shared" si="2"/>
        <v>0</v>
      </c>
      <c r="R502" s="23">
        <f t="shared" si="3"/>
        <v>0</v>
      </c>
      <c r="S502" s="19"/>
      <c r="T502" s="19"/>
      <c r="U502" s="19"/>
      <c r="V502" s="19"/>
    </row>
    <row r="503">
      <c r="A503" s="22">
        <f>IFERROR(__xludf.DUMMYFUNCTION("""COMPUTED_VALUE"""),42688.66666666667)</f>
        <v>42688.66667</v>
      </c>
      <c r="B503" s="23">
        <f>IFERROR(__xludf.DUMMYFUNCTION("""COMPUTED_VALUE"""),55.75)</f>
        <v>55.75</v>
      </c>
      <c r="C503" s="22">
        <f>IFERROR(__xludf.DUMMYFUNCTION("""COMPUTED_VALUE"""),43949.66666666667)</f>
        <v>43949.66667</v>
      </c>
      <c r="D503" s="23">
        <f>IFERROR(__xludf.DUMMYFUNCTION("""COMPUTED_VALUE"""),89.13)</f>
        <v>89.13</v>
      </c>
      <c r="E503" s="22">
        <f>IFERROR(__xludf.DUMMYFUNCTION("""COMPUTED_VALUE"""),42873.66666666667)</f>
        <v>42873.66667</v>
      </c>
      <c r="F503" s="23">
        <f>IFERROR(__xludf.DUMMYFUNCTION("""COMPUTED_VALUE"""),13.05)</f>
        <v>13.05</v>
      </c>
      <c r="G503" s="22">
        <f>IFERROR(__xludf.DUMMYFUNCTION("""COMPUTED_VALUE"""),44568.66666666667)</f>
        <v>44568.66667</v>
      </c>
      <c r="H503" s="23">
        <f>IFERROR(__xludf.DUMMYFUNCTION("""COMPUTED_VALUE"""),95.3)</f>
        <v>95.3</v>
      </c>
      <c r="I503" s="22">
        <f>IFERROR(__xludf.DUMMYFUNCTION("""COMPUTED_VALUE"""),44568.66666666667)</f>
        <v>44568.66667</v>
      </c>
      <c r="J503" s="23">
        <f>IFERROR(__xludf.DUMMYFUNCTION("""COMPUTED_VALUE"""),332.0)</f>
        <v>332</v>
      </c>
      <c r="K503" s="22">
        <f>IFERROR(__xludf.DUMMYFUNCTION("""COMPUTED_VALUE"""),44568.66666666667)</f>
        <v>44568.66667</v>
      </c>
      <c r="L503" s="23">
        <f>IFERROR(__xludf.DUMMYFUNCTION("""COMPUTED_VALUE"""),85.41)</f>
        <v>85.41</v>
      </c>
      <c r="M503" s="23">
        <v>0.0</v>
      </c>
      <c r="N503" s="23">
        <v>0.0</v>
      </c>
      <c r="O503" s="23">
        <v>0.0</v>
      </c>
      <c r="P503" s="23">
        <f t="shared" si="1"/>
        <v>0</v>
      </c>
      <c r="Q503" s="23">
        <f t="shared" si="2"/>
        <v>0</v>
      </c>
      <c r="R503" s="23">
        <f t="shared" si="3"/>
        <v>0</v>
      </c>
      <c r="S503" s="19"/>
      <c r="T503" s="19"/>
      <c r="U503" s="19"/>
      <c r="V503" s="19"/>
    </row>
    <row r="504">
      <c r="A504" s="22">
        <f>IFERROR(__xludf.DUMMYFUNCTION("""COMPUTED_VALUE"""),42689.66666666667)</f>
        <v>42689.66667</v>
      </c>
      <c r="B504" s="23">
        <f>IFERROR(__xludf.DUMMYFUNCTION("""COMPUTED_VALUE"""),55.5)</f>
        <v>55.5</v>
      </c>
      <c r="C504" s="22">
        <f>IFERROR(__xludf.DUMMYFUNCTION("""COMPUTED_VALUE"""),43950.66666666667)</f>
        <v>43950.66667</v>
      </c>
      <c r="D504" s="23">
        <f>IFERROR(__xludf.DUMMYFUNCTION("""COMPUTED_VALUE"""),90.31)</f>
        <v>90.31</v>
      </c>
      <c r="E504" s="22">
        <f>IFERROR(__xludf.DUMMYFUNCTION("""COMPUTED_VALUE"""),42874.66666666667)</f>
        <v>42874.66667</v>
      </c>
      <c r="F504" s="23">
        <f>IFERROR(__xludf.DUMMYFUNCTION("""COMPUTED_VALUE"""),13.16)</f>
        <v>13.16</v>
      </c>
      <c r="G504" s="22">
        <f>IFERROR(__xludf.DUMMYFUNCTION("""COMPUTED_VALUE"""),44575.66666666667)</f>
        <v>44575.66667</v>
      </c>
      <c r="H504" s="23">
        <f>IFERROR(__xludf.DUMMYFUNCTION("""COMPUTED_VALUE"""),94.55)</f>
        <v>94.55</v>
      </c>
      <c r="I504" s="22">
        <f>IFERROR(__xludf.DUMMYFUNCTION("""COMPUTED_VALUE"""),44575.66666666667)</f>
        <v>44575.66667</v>
      </c>
      <c r="J504" s="23">
        <f>IFERROR(__xludf.DUMMYFUNCTION("""COMPUTED_VALUE"""),323.0)</f>
        <v>323</v>
      </c>
      <c r="K504" s="22">
        <f>IFERROR(__xludf.DUMMYFUNCTION("""COMPUTED_VALUE"""),44575.66666666667)</f>
        <v>44575.66667</v>
      </c>
      <c r="L504" s="23">
        <f>IFERROR(__xludf.DUMMYFUNCTION("""COMPUTED_VALUE"""),85.05)</f>
        <v>85.05</v>
      </c>
      <c r="M504" s="23">
        <v>1500.0</v>
      </c>
      <c r="N504" s="23">
        <v>1500.0</v>
      </c>
      <c r="O504" s="23">
        <v>1500.0</v>
      </c>
      <c r="P504" s="23">
        <f t="shared" si="1"/>
        <v>15.86462189</v>
      </c>
      <c r="Q504" s="23">
        <f t="shared" si="2"/>
        <v>4.643962848</v>
      </c>
      <c r="R504" s="23">
        <f t="shared" si="3"/>
        <v>17.6366843</v>
      </c>
      <c r="S504" s="19"/>
      <c r="T504" s="19"/>
      <c r="U504" s="19"/>
      <c r="V504" s="19"/>
    </row>
    <row r="505">
      <c r="A505" s="22">
        <f>IFERROR(__xludf.DUMMYFUNCTION("""COMPUTED_VALUE"""),42690.66666666667)</f>
        <v>42690.66667</v>
      </c>
      <c r="B505" s="23">
        <f>IFERROR(__xludf.DUMMYFUNCTION("""COMPUTED_VALUE"""),55.92)</f>
        <v>55.92</v>
      </c>
      <c r="C505" s="22">
        <f>IFERROR(__xludf.DUMMYFUNCTION("""COMPUTED_VALUE"""),43951.66666666667)</f>
        <v>43951.66667</v>
      </c>
      <c r="D505" s="23">
        <f>IFERROR(__xludf.DUMMYFUNCTION("""COMPUTED_VALUE"""),92.66)</f>
        <v>92.66</v>
      </c>
      <c r="E505" s="22">
        <f>IFERROR(__xludf.DUMMYFUNCTION("""COMPUTED_VALUE"""),42877.66666666667)</f>
        <v>42877.66667</v>
      </c>
      <c r="F505" s="23">
        <f>IFERROR(__xludf.DUMMYFUNCTION("""COMPUTED_VALUE"""),13.22)</f>
        <v>13.22</v>
      </c>
      <c r="G505" s="22">
        <f>IFERROR(__xludf.DUMMYFUNCTION("""COMPUTED_VALUE"""),44582.66666666667)</f>
        <v>44582.66667</v>
      </c>
      <c r="H505" s="23">
        <f>IFERROR(__xludf.DUMMYFUNCTION("""COMPUTED_VALUE"""),91.87)</f>
        <v>91.87</v>
      </c>
      <c r="I505" s="22">
        <f>IFERROR(__xludf.DUMMYFUNCTION("""COMPUTED_VALUE"""),44582.66666666667)</f>
        <v>44582.66667</v>
      </c>
      <c r="J505" s="23">
        <f>IFERROR(__xludf.DUMMYFUNCTION("""COMPUTED_VALUE"""),311.5)</f>
        <v>311.5</v>
      </c>
      <c r="K505" s="22">
        <f>IFERROR(__xludf.DUMMYFUNCTION("""COMPUTED_VALUE"""),44582.66666666667)</f>
        <v>44582.66667</v>
      </c>
      <c r="L505" s="23">
        <f>IFERROR(__xludf.DUMMYFUNCTION("""COMPUTED_VALUE"""),84.42)</f>
        <v>84.42</v>
      </c>
      <c r="M505" s="23">
        <v>0.0</v>
      </c>
      <c r="N505" s="23">
        <v>0.0</v>
      </c>
      <c r="O505" s="23">
        <v>0.0</v>
      </c>
      <c r="P505" s="23">
        <f t="shared" si="1"/>
        <v>0</v>
      </c>
      <c r="Q505" s="23">
        <f t="shared" si="2"/>
        <v>0</v>
      </c>
      <c r="R505" s="23">
        <f t="shared" si="3"/>
        <v>0</v>
      </c>
      <c r="S505" s="19"/>
      <c r="T505" s="19"/>
      <c r="U505" s="19"/>
      <c r="V505" s="19"/>
    </row>
    <row r="506">
      <c r="A506" s="22">
        <f>IFERROR(__xludf.DUMMYFUNCTION("""COMPUTED_VALUE"""),42691.66666666667)</f>
        <v>42691.66667</v>
      </c>
      <c r="B506" s="23">
        <f>IFERROR(__xludf.DUMMYFUNCTION("""COMPUTED_VALUE"""),56.27)</f>
        <v>56.27</v>
      </c>
      <c r="C506" s="22">
        <f>IFERROR(__xludf.DUMMYFUNCTION("""COMPUTED_VALUE"""),43952.66666666667)</f>
        <v>43952.66667</v>
      </c>
      <c r="D506" s="23">
        <f>IFERROR(__xludf.DUMMYFUNCTION("""COMPUTED_VALUE"""),88.24)</f>
        <v>88.24</v>
      </c>
      <c r="E506" s="22">
        <f>IFERROR(__xludf.DUMMYFUNCTION("""COMPUTED_VALUE"""),42878.66666666667)</f>
        <v>42878.66667</v>
      </c>
      <c r="F506" s="23">
        <f>IFERROR(__xludf.DUMMYFUNCTION("""COMPUTED_VALUE"""),13.2)</f>
        <v>13.2</v>
      </c>
      <c r="G506" s="22">
        <f>IFERROR(__xludf.DUMMYFUNCTION("""COMPUTED_VALUE"""),44589.66666666667)</f>
        <v>44589.66667</v>
      </c>
      <c r="H506" s="23">
        <f>IFERROR(__xludf.DUMMYFUNCTION("""COMPUTED_VALUE"""),89.36)</f>
        <v>89.36</v>
      </c>
      <c r="I506" s="22">
        <f>IFERROR(__xludf.DUMMYFUNCTION("""COMPUTED_VALUE"""),44589.66666666667)</f>
        <v>44589.66667</v>
      </c>
      <c r="J506" s="23">
        <f>IFERROR(__xludf.DUMMYFUNCTION("""COMPUTED_VALUE"""),309.52)</f>
        <v>309.52</v>
      </c>
      <c r="K506" s="22">
        <f>IFERROR(__xludf.DUMMYFUNCTION("""COMPUTED_VALUE"""),44589.66666666667)</f>
        <v>44589.66667</v>
      </c>
      <c r="L506" s="23">
        <f>IFERROR(__xludf.DUMMYFUNCTION("""COMPUTED_VALUE"""),83.35)</f>
        <v>83.35</v>
      </c>
      <c r="M506" s="23">
        <v>0.0</v>
      </c>
      <c r="N506" s="23">
        <v>0.0</v>
      </c>
      <c r="O506" s="23">
        <v>0.0</v>
      </c>
      <c r="P506" s="23">
        <f t="shared" si="1"/>
        <v>0</v>
      </c>
      <c r="Q506" s="23">
        <f t="shared" si="2"/>
        <v>0</v>
      </c>
      <c r="R506" s="23">
        <f t="shared" si="3"/>
        <v>0</v>
      </c>
      <c r="S506" s="19"/>
      <c r="T506" s="19"/>
      <c r="U506" s="19"/>
      <c r="V506" s="19"/>
    </row>
    <row r="507">
      <c r="A507" s="22">
        <f>IFERROR(__xludf.DUMMYFUNCTION("""COMPUTED_VALUE"""),42692.66666666667)</f>
        <v>42692.66667</v>
      </c>
      <c r="B507" s="23">
        <f>IFERROR(__xludf.DUMMYFUNCTION("""COMPUTED_VALUE"""),56.96)</f>
        <v>56.96</v>
      </c>
      <c r="C507" s="22">
        <f>IFERROR(__xludf.DUMMYFUNCTION("""COMPUTED_VALUE"""),43955.66666666667)</f>
        <v>43955.66667</v>
      </c>
      <c r="D507" s="23">
        <f>IFERROR(__xludf.DUMMYFUNCTION("""COMPUTED_VALUE"""),89.43)</f>
        <v>89.43</v>
      </c>
      <c r="E507" s="22">
        <f>IFERROR(__xludf.DUMMYFUNCTION("""COMPUTED_VALUE"""),42879.66666666667)</f>
        <v>42879.66667</v>
      </c>
      <c r="F507" s="23">
        <f>IFERROR(__xludf.DUMMYFUNCTION("""COMPUTED_VALUE"""),13.31)</f>
        <v>13.31</v>
      </c>
      <c r="G507" s="22">
        <f>IFERROR(__xludf.DUMMYFUNCTION("""COMPUTED_VALUE"""),44596.66666666667)</f>
        <v>44596.66667</v>
      </c>
      <c r="H507" s="23">
        <f>IFERROR(__xludf.DUMMYFUNCTION("""COMPUTED_VALUE"""),91.09)</f>
        <v>91.09</v>
      </c>
      <c r="I507" s="22">
        <f>IFERROR(__xludf.DUMMYFUNCTION("""COMPUTED_VALUE"""),44596.66666666667)</f>
        <v>44596.66667</v>
      </c>
      <c r="J507" s="23">
        <f>IFERROR(__xludf.DUMMYFUNCTION("""COMPUTED_VALUE"""),318.0)</f>
        <v>318</v>
      </c>
      <c r="K507" s="22">
        <f>IFERROR(__xludf.DUMMYFUNCTION("""COMPUTED_VALUE"""),44596.66666666667)</f>
        <v>44596.66667</v>
      </c>
      <c r="L507" s="23">
        <f>IFERROR(__xludf.DUMMYFUNCTION("""COMPUTED_VALUE"""),84.45)</f>
        <v>84.45</v>
      </c>
      <c r="M507" s="23">
        <v>0.0</v>
      </c>
      <c r="N507" s="23">
        <v>0.0</v>
      </c>
      <c r="O507" s="23">
        <v>0.0</v>
      </c>
      <c r="P507" s="23">
        <f t="shared" si="1"/>
        <v>0</v>
      </c>
      <c r="Q507" s="23">
        <f t="shared" si="2"/>
        <v>0</v>
      </c>
      <c r="R507" s="23">
        <f t="shared" si="3"/>
        <v>0</v>
      </c>
      <c r="S507" s="19"/>
      <c r="T507" s="19"/>
      <c r="U507" s="19"/>
      <c r="V507" s="19"/>
    </row>
    <row r="508">
      <c r="A508" s="22">
        <f>IFERROR(__xludf.DUMMYFUNCTION("""COMPUTED_VALUE"""),42695.66666666667)</f>
        <v>42695.66667</v>
      </c>
      <c r="B508" s="23">
        <f>IFERROR(__xludf.DUMMYFUNCTION("""COMPUTED_VALUE"""),57.53)</f>
        <v>57.53</v>
      </c>
      <c r="C508" s="22">
        <f>IFERROR(__xludf.DUMMYFUNCTION("""COMPUTED_VALUE"""),43956.66666666667)</f>
        <v>43956.66667</v>
      </c>
      <c r="D508" s="23">
        <f>IFERROR(__xludf.DUMMYFUNCTION("""COMPUTED_VALUE"""),90.68)</f>
        <v>90.68</v>
      </c>
      <c r="E508" s="22">
        <f>IFERROR(__xludf.DUMMYFUNCTION("""COMPUTED_VALUE"""),42880.66666666667)</f>
        <v>42880.66667</v>
      </c>
      <c r="F508" s="23">
        <f>IFERROR(__xludf.DUMMYFUNCTION("""COMPUTED_VALUE"""),13.33)</f>
        <v>13.33</v>
      </c>
      <c r="G508" s="22">
        <f>IFERROR(__xludf.DUMMYFUNCTION("""COMPUTED_VALUE"""),44603.66666666667)</f>
        <v>44603.66667</v>
      </c>
      <c r="H508" s="23">
        <f>IFERROR(__xludf.DUMMYFUNCTION("""COMPUTED_VALUE"""),92.25)</f>
        <v>92.25</v>
      </c>
      <c r="I508" s="22">
        <f>IFERROR(__xludf.DUMMYFUNCTION("""COMPUTED_VALUE"""),44603.66666666667)</f>
        <v>44603.66667</v>
      </c>
      <c r="J508" s="23">
        <f>IFERROR(__xludf.DUMMYFUNCTION("""COMPUTED_VALUE"""),316.96)</f>
        <v>316.96</v>
      </c>
      <c r="K508" s="22">
        <f>IFERROR(__xludf.DUMMYFUNCTION("""COMPUTED_VALUE"""),44603.66666666667)</f>
        <v>44603.66667</v>
      </c>
      <c r="L508" s="23">
        <f>IFERROR(__xludf.DUMMYFUNCTION("""COMPUTED_VALUE"""),84.62)</f>
        <v>84.62</v>
      </c>
      <c r="M508" s="23">
        <v>1500.0</v>
      </c>
      <c r="N508" s="23">
        <v>1500.0</v>
      </c>
      <c r="O508" s="23">
        <v>1500.0</v>
      </c>
      <c r="P508" s="23">
        <f t="shared" si="1"/>
        <v>16.2601626</v>
      </c>
      <c r="Q508" s="23">
        <f t="shared" si="2"/>
        <v>4.732458354</v>
      </c>
      <c r="R508" s="23">
        <f t="shared" si="3"/>
        <v>17.72630584</v>
      </c>
      <c r="S508" s="19"/>
      <c r="T508" s="19"/>
      <c r="U508" s="19"/>
      <c r="V508" s="19"/>
    </row>
    <row r="509">
      <c r="A509" s="22">
        <f>IFERROR(__xludf.DUMMYFUNCTION("""COMPUTED_VALUE"""),42696.66666666667)</f>
        <v>42696.66667</v>
      </c>
      <c r="B509" s="23">
        <f>IFERROR(__xludf.DUMMYFUNCTION("""COMPUTED_VALUE"""),57.4)</f>
        <v>57.4</v>
      </c>
      <c r="C509" s="22">
        <f>IFERROR(__xludf.DUMMYFUNCTION("""COMPUTED_VALUE"""),43957.66666666667)</f>
        <v>43957.66667</v>
      </c>
      <c r="D509" s="23">
        <f>IFERROR(__xludf.DUMMYFUNCTION("""COMPUTED_VALUE"""),90.41)</f>
        <v>90.41</v>
      </c>
      <c r="E509" s="22">
        <f>IFERROR(__xludf.DUMMYFUNCTION("""COMPUTED_VALUE"""),42881.66666666667)</f>
        <v>42881.66667</v>
      </c>
      <c r="F509" s="23">
        <f>IFERROR(__xludf.DUMMYFUNCTION("""COMPUTED_VALUE"""),13.52)</f>
        <v>13.52</v>
      </c>
      <c r="G509" s="22">
        <f>IFERROR(__xludf.DUMMYFUNCTION("""COMPUTED_VALUE"""),44610.66666666667)</f>
        <v>44610.66667</v>
      </c>
      <c r="H509" s="23">
        <f>IFERROR(__xludf.DUMMYFUNCTION("""COMPUTED_VALUE"""),92.49)</f>
        <v>92.49</v>
      </c>
      <c r="I509" s="22">
        <f>IFERROR(__xludf.DUMMYFUNCTION("""COMPUTED_VALUE"""),44610.66666666667)</f>
        <v>44610.66667</v>
      </c>
      <c r="J509" s="23">
        <f>IFERROR(__xludf.DUMMYFUNCTION("""COMPUTED_VALUE"""),308.94)</f>
        <v>308.94</v>
      </c>
      <c r="K509" s="22">
        <f>IFERROR(__xludf.DUMMYFUNCTION("""COMPUTED_VALUE"""),44610.66666666667)</f>
        <v>44610.66667</v>
      </c>
      <c r="L509" s="23">
        <f>IFERROR(__xludf.DUMMYFUNCTION("""COMPUTED_VALUE"""),83.81)</f>
        <v>83.81</v>
      </c>
      <c r="M509" s="23">
        <v>0.0</v>
      </c>
      <c r="N509" s="23">
        <v>0.0</v>
      </c>
      <c r="O509" s="23">
        <v>0.0</v>
      </c>
      <c r="P509" s="23">
        <f t="shared" si="1"/>
        <v>0</v>
      </c>
      <c r="Q509" s="23">
        <f t="shared" si="2"/>
        <v>0</v>
      </c>
      <c r="R509" s="23">
        <f t="shared" si="3"/>
        <v>0</v>
      </c>
      <c r="S509" s="19"/>
      <c r="T509" s="19"/>
      <c r="U509" s="19"/>
      <c r="V509" s="19"/>
    </row>
    <row r="510">
      <c r="A510" s="22">
        <f>IFERROR(__xludf.DUMMYFUNCTION("""COMPUTED_VALUE"""),42697.66666666667)</f>
        <v>42697.66667</v>
      </c>
      <c r="B510" s="23">
        <f>IFERROR(__xludf.DUMMYFUNCTION("""COMPUTED_VALUE"""),57.15)</f>
        <v>57.15</v>
      </c>
      <c r="C510" s="22">
        <f>IFERROR(__xludf.DUMMYFUNCTION("""COMPUTED_VALUE"""),43958.66666666667)</f>
        <v>43958.66667</v>
      </c>
      <c r="D510" s="23">
        <f>IFERROR(__xludf.DUMMYFUNCTION("""COMPUTED_VALUE"""),89.76)</f>
        <v>89.76</v>
      </c>
      <c r="E510" s="22">
        <f>IFERROR(__xludf.DUMMYFUNCTION("""COMPUTED_VALUE"""),42884.66666666667)</f>
        <v>42884.66667</v>
      </c>
      <c r="F510" s="23">
        <f>IFERROR(__xludf.DUMMYFUNCTION("""COMPUTED_VALUE"""),13.55)</f>
        <v>13.55</v>
      </c>
      <c r="G510" s="22">
        <f>IFERROR(__xludf.DUMMYFUNCTION("""COMPUTED_VALUE"""),44617.66666666667)</f>
        <v>44617.66667</v>
      </c>
      <c r="H510" s="23">
        <f>IFERROR(__xludf.DUMMYFUNCTION("""COMPUTED_VALUE"""),90.33)</f>
        <v>90.33</v>
      </c>
      <c r="I510" s="22">
        <f>IFERROR(__xludf.DUMMYFUNCTION("""COMPUTED_VALUE"""),44617.66666666667)</f>
        <v>44617.66667</v>
      </c>
      <c r="J510" s="23">
        <f>IFERROR(__xludf.DUMMYFUNCTION("""COMPUTED_VALUE"""),299.26)</f>
        <v>299.26</v>
      </c>
      <c r="K510" s="22">
        <f>IFERROR(__xludf.DUMMYFUNCTION("""COMPUTED_VALUE"""),44617.66666666667)</f>
        <v>44617.66667</v>
      </c>
      <c r="L510" s="23">
        <f>IFERROR(__xludf.DUMMYFUNCTION("""COMPUTED_VALUE"""),79.96)</f>
        <v>79.96</v>
      </c>
      <c r="M510" s="23">
        <v>0.0</v>
      </c>
      <c r="N510" s="23">
        <v>0.0</v>
      </c>
      <c r="O510" s="23">
        <v>0.0</v>
      </c>
      <c r="P510" s="23">
        <f t="shared" si="1"/>
        <v>0</v>
      </c>
      <c r="Q510" s="23">
        <f t="shared" si="2"/>
        <v>0</v>
      </c>
      <c r="R510" s="23">
        <f t="shared" si="3"/>
        <v>0</v>
      </c>
      <c r="S510" s="19"/>
      <c r="T510" s="19"/>
      <c r="U510" s="19"/>
      <c r="V510" s="19"/>
    </row>
    <row r="511">
      <c r="A511" s="22">
        <f>IFERROR(__xludf.DUMMYFUNCTION("""COMPUTED_VALUE"""),42698.66666666667)</f>
        <v>42698.66667</v>
      </c>
      <c r="B511" s="23">
        <f>IFERROR(__xludf.DUMMYFUNCTION("""COMPUTED_VALUE"""),57.09)</f>
        <v>57.09</v>
      </c>
      <c r="C511" s="22">
        <f>IFERROR(__xludf.DUMMYFUNCTION("""COMPUTED_VALUE"""),43959.66666666667)</f>
        <v>43959.66667</v>
      </c>
      <c r="D511" s="23">
        <f>IFERROR(__xludf.DUMMYFUNCTION("""COMPUTED_VALUE"""),90.63)</f>
        <v>90.63</v>
      </c>
      <c r="E511" s="22">
        <f>IFERROR(__xludf.DUMMYFUNCTION("""COMPUTED_VALUE"""),42885.66666666667)</f>
        <v>42885.66667</v>
      </c>
      <c r="F511" s="23">
        <f>IFERROR(__xludf.DUMMYFUNCTION("""COMPUTED_VALUE"""),13.53)</f>
        <v>13.53</v>
      </c>
      <c r="G511" s="22">
        <f>IFERROR(__xludf.DUMMYFUNCTION("""COMPUTED_VALUE"""),44624.66666666667)</f>
        <v>44624.66667</v>
      </c>
      <c r="H511" s="23">
        <f>IFERROR(__xludf.DUMMYFUNCTION("""COMPUTED_VALUE"""),91.92)</f>
        <v>91.92</v>
      </c>
      <c r="I511" s="22">
        <f>IFERROR(__xludf.DUMMYFUNCTION("""COMPUTED_VALUE"""),44624.66666666667)</f>
        <v>44624.66667</v>
      </c>
      <c r="J511" s="23">
        <f>IFERROR(__xludf.DUMMYFUNCTION("""COMPUTED_VALUE"""),297.08)</f>
        <v>297.08</v>
      </c>
      <c r="K511" s="22">
        <f>IFERROR(__xludf.DUMMYFUNCTION("""COMPUTED_VALUE"""),44624.66666666667)</f>
        <v>44624.66667</v>
      </c>
      <c r="L511" s="23">
        <f>IFERROR(__xludf.DUMMYFUNCTION("""COMPUTED_VALUE"""),75.9)</f>
        <v>75.9</v>
      </c>
      <c r="M511" s="23">
        <v>0.0</v>
      </c>
      <c r="N511" s="23">
        <v>0.0</v>
      </c>
      <c r="O511" s="23">
        <v>0.0</v>
      </c>
      <c r="P511" s="23">
        <f t="shared" si="1"/>
        <v>0</v>
      </c>
      <c r="Q511" s="23">
        <f t="shared" si="2"/>
        <v>0</v>
      </c>
      <c r="R511" s="23">
        <f t="shared" si="3"/>
        <v>0</v>
      </c>
      <c r="S511" s="19"/>
      <c r="T511" s="19"/>
      <c r="U511" s="19"/>
      <c r="V511" s="19"/>
    </row>
    <row r="512">
      <c r="A512" s="22">
        <f>IFERROR(__xludf.DUMMYFUNCTION("""COMPUTED_VALUE"""),42699.66666666667)</f>
        <v>42699.66667</v>
      </c>
      <c r="B512" s="23">
        <f>IFERROR(__xludf.DUMMYFUNCTION("""COMPUTED_VALUE"""),56.95)</f>
        <v>56.95</v>
      </c>
      <c r="C512" s="22">
        <f>IFERROR(__xludf.DUMMYFUNCTION("""COMPUTED_VALUE"""),43962.66666666667)</f>
        <v>43962.66667</v>
      </c>
      <c r="D512" s="23">
        <f>IFERROR(__xludf.DUMMYFUNCTION("""COMPUTED_VALUE"""),91.8)</f>
        <v>91.8</v>
      </c>
      <c r="E512" s="22">
        <f>IFERROR(__xludf.DUMMYFUNCTION("""COMPUTED_VALUE"""),42886.66666666667)</f>
        <v>42886.66667</v>
      </c>
      <c r="F512" s="23">
        <f>IFERROR(__xludf.DUMMYFUNCTION("""COMPUTED_VALUE"""),13.53)</f>
        <v>13.53</v>
      </c>
      <c r="G512" s="22">
        <f>IFERROR(__xludf.DUMMYFUNCTION("""COMPUTED_VALUE"""),44631.66666666667)</f>
        <v>44631.66667</v>
      </c>
      <c r="H512" s="23">
        <f>IFERROR(__xludf.DUMMYFUNCTION("""COMPUTED_VALUE"""),91.48)</f>
        <v>91.48</v>
      </c>
      <c r="I512" s="22">
        <f>IFERROR(__xludf.DUMMYFUNCTION("""COMPUTED_VALUE"""),44631.66666666667)</f>
        <v>44631.66667</v>
      </c>
      <c r="J512" s="23">
        <f>IFERROR(__xludf.DUMMYFUNCTION("""COMPUTED_VALUE"""),291.74)</f>
        <v>291.74</v>
      </c>
      <c r="K512" s="22">
        <f>IFERROR(__xludf.DUMMYFUNCTION("""COMPUTED_VALUE"""),44631.66666666667)</f>
        <v>44631.66667</v>
      </c>
      <c r="L512" s="23">
        <f>IFERROR(__xludf.DUMMYFUNCTION("""COMPUTED_VALUE"""),74.23)</f>
        <v>74.23</v>
      </c>
      <c r="M512" s="23">
        <v>1500.0</v>
      </c>
      <c r="N512" s="23">
        <v>1500.0</v>
      </c>
      <c r="O512" s="23">
        <v>1500.0</v>
      </c>
      <c r="P512" s="23">
        <f t="shared" si="1"/>
        <v>16.39702667</v>
      </c>
      <c r="Q512" s="23">
        <f t="shared" si="2"/>
        <v>5.141564407</v>
      </c>
      <c r="R512" s="23">
        <f t="shared" si="3"/>
        <v>20.20746329</v>
      </c>
      <c r="S512" s="19"/>
      <c r="T512" s="19"/>
      <c r="U512" s="19"/>
      <c r="V512" s="19"/>
    </row>
    <row r="513">
      <c r="A513" s="22">
        <f>IFERROR(__xludf.DUMMYFUNCTION("""COMPUTED_VALUE"""),42702.66666666667)</f>
        <v>42702.66667</v>
      </c>
      <c r="B513" s="23">
        <f>IFERROR(__xludf.DUMMYFUNCTION("""COMPUTED_VALUE"""),56.75)</f>
        <v>56.75</v>
      </c>
      <c r="C513" s="22">
        <f>IFERROR(__xludf.DUMMYFUNCTION("""COMPUTED_VALUE"""),43963.66666666667)</f>
        <v>43963.66667</v>
      </c>
      <c r="D513" s="23">
        <f>IFERROR(__xludf.DUMMYFUNCTION("""COMPUTED_VALUE"""),90.76)</f>
        <v>90.76</v>
      </c>
      <c r="E513" s="22">
        <f>IFERROR(__xludf.DUMMYFUNCTION("""COMPUTED_VALUE"""),42887.66666666667)</f>
        <v>42887.66667</v>
      </c>
      <c r="F513" s="23">
        <f>IFERROR(__xludf.DUMMYFUNCTION("""COMPUTED_VALUE"""),13.63)</f>
        <v>13.63</v>
      </c>
      <c r="G513" s="22">
        <f>IFERROR(__xludf.DUMMYFUNCTION("""COMPUTED_VALUE"""),44638.66666666667)</f>
        <v>44638.66667</v>
      </c>
      <c r="H513" s="23">
        <f>IFERROR(__xludf.DUMMYFUNCTION("""COMPUTED_VALUE"""),94.21)</f>
        <v>94.21</v>
      </c>
      <c r="I513" s="22">
        <f>IFERROR(__xludf.DUMMYFUNCTION("""COMPUTED_VALUE"""),44638.66666666667)</f>
        <v>44638.66667</v>
      </c>
      <c r="J513" s="23">
        <f>IFERROR(__xludf.DUMMYFUNCTION("""COMPUTED_VALUE"""),299.59)</f>
        <v>299.59</v>
      </c>
      <c r="K513" s="22">
        <f>IFERROR(__xludf.DUMMYFUNCTION("""COMPUTED_VALUE"""),44638.66666666667)</f>
        <v>44638.66667</v>
      </c>
      <c r="L513" s="23">
        <f>IFERROR(__xludf.DUMMYFUNCTION("""COMPUTED_VALUE"""),77.1)</f>
        <v>77.1</v>
      </c>
      <c r="M513" s="23">
        <v>0.0</v>
      </c>
      <c r="N513" s="23">
        <v>0.0</v>
      </c>
      <c r="O513" s="23">
        <v>0.0</v>
      </c>
      <c r="P513" s="23">
        <f t="shared" si="1"/>
        <v>0</v>
      </c>
      <c r="Q513" s="23">
        <f t="shared" si="2"/>
        <v>0</v>
      </c>
      <c r="R513" s="23">
        <f t="shared" si="3"/>
        <v>0</v>
      </c>
      <c r="S513" s="19"/>
      <c r="T513" s="19"/>
      <c r="U513" s="19"/>
      <c r="V513" s="19"/>
    </row>
    <row r="514">
      <c r="A514" s="22">
        <f>IFERROR(__xludf.DUMMYFUNCTION("""COMPUTED_VALUE"""),42703.66666666667)</f>
        <v>42703.66667</v>
      </c>
      <c r="B514" s="23">
        <f>IFERROR(__xludf.DUMMYFUNCTION("""COMPUTED_VALUE"""),56.65)</f>
        <v>56.65</v>
      </c>
      <c r="C514" s="22">
        <f>IFERROR(__xludf.DUMMYFUNCTION("""COMPUTED_VALUE"""),43964.66666666667)</f>
        <v>43964.66667</v>
      </c>
      <c r="D514" s="23">
        <f>IFERROR(__xludf.DUMMYFUNCTION("""COMPUTED_VALUE"""),90.67)</f>
        <v>90.67</v>
      </c>
      <c r="E514" s="22">
        <f>IFERROR(__xludf.DUMMYFUNCTION("""COMPUTED_VALUE"""),42888.66666666667)</f>
        <v>42888.66667</v>
      </c>
      <c r="F514" s="23">
        <f>IFERROR(__xludf.DUMMYFUNCTION("""COMPUTED_VALUE"""),13.74)</f>
        <v>13.74</v>
      </c>
      <c r="G514" s="22">
        <f>IFERROR(__xludf.DUMMYFUNCTION("""COMPUTED_VALUE"""),44645.66666666667)</f>
        <v>44645.66667</v>
      </c>
      <c r="H514" s="23">
        <f>IFERROR(__xludf.DUMMYFUNCTION("""COMPUTED_VALUE"""),96.04)</f>
        <v>96.04</v>
      </c>
      <c r="I514" s="22">
        <f>IFERROR(__xludf.DUMMYFUNCTION("""COMPUTED_VALUE"""),44645.66666666667)</f>
        <v>44645.66667</v>
      </c>
      <c r="J514" s="23">
        <f>IFERROR(__xludf.DUMMYFUNCTION("""COMPUTED_VALUE"""),303.27)</f>
        <v>303.27</v>
      </c>
      <c r="K514" s="22">
        <f>IFERROR(__xludf.DUMMYFUNCTION("""COMPUTED_VALUE"""),44645.66666666667)</f>
        <v>44645.66667</v>
      </c>
      <c r="L514" s="23">
        <f>IFERROR(__xludf.DUMMYFUNCTION("""COMPUTED_VALUE"""),76.71)</f>
        <v>76.71</v>
      </c>
      <c r="M514" s="23">
        <v>0.0</v>
      </c>
      <c r="N514" s="23">
        <v>0.0</v>
      </c>
      <c r="O514" s="23">
        <v>0.0</v>
      </c>
      <c r="P514" s="23">
        <f t="shared" si="1"/>
        <v>0</v>
      </c>
      <c r="Q514" s="23">
        <f t="shared" si="2"/>
        <v>0</v>
      </c>
      <c r="R514" s="23">
        <f t="shared" si="3"/>
        <v>0</v>
      </c>
      <c r="S514" s="19"/>
      <c r="T514" s="19"/>
      <c r="U514" s="19"/>
      <c r="V514" s="19"/>
    </row>
    <row r="515">
      <c r="A515" s="22">
        <f>IFERROR(__xludf.DUMMYFUNCTION("""COMPUTED_VALUE"""),42704.66666666667)</f>
        <v>42704.66667</v>
      </c>
      <c r="B515" s="23">
        <f>IFERROR(__xludf.DUMMYFUNCTION("""COMPUTED_VALUE"""),56.55)</f>
        <v>56.55</v>
      </c>
      <c r="C515" s="22">
        <f>IFERROR(__xludf.DUMMYFUNCTION("""COMPUTED_VALUE"""),43965.66666666667)</f>
        <v>43965.66667</v>
      </c>
      <c r="D515" s="23">
        <f>IFERROR(__xludf.DUMMYFUNCTION("""COMPUTED_VALUE"""),89.49)</f>
        <v>89.49</v>
      </c>
      <c r="E515" s="22">
        <f>IFERROR(__xludf.DUMMYFUNCTION("""COMPUTED_VALUE"""),42891.66666666667)</f>
        <v>42891.66667</v>
      </c>
      <c r="F515" s="23">
        <f>IFERROR(__xludf.DUMMYFUNCTION("""COMPUTED_VALUE"""),13.71)</f>
        <v>13.71</v>
      </c>
      <c r="G515" s="22">
        <f>IFERROR(__xludf.DUMMYFUNCTION("""COMPUTED_VALUE"""),44652.66666666667)</f>
        <v>44652.66667</v>
      </c>
      <c r="H515" s="23">
        <f>IFERROR(__xludf.DUMMYFUNCTION("""COMPUTED_VALUE"""),95.11)</f>
        <v>95.11</v>
      </c>
      <c r="I515" s="22">
        <f>IFERROR(__xludf.DUMMYFUNCTION("""COMPUTED_VALUE"""),44652.66666666667)</f>
        <v>44652.66667</v>
      </c>
      <c r="J515" s="23">
        <f>IFERROR(__xludf.DUMMYFUNCTION("""COMPUTED_VALUE"""),305.61)</f>
        <v>305.61</v>
      </c>
      <c r="K515" s="22">
        <f>IFERROR(__xludf.DUMMYFUNCTION("""COMPUTED_VALUE"""),44652.66666666667)</f>
        <v>44652.66667</v>
      </c>
      <c r="L515" s="23">
        <f>IFERROR(__xludf.DUMMYFUNCTION("""COMPUTED_VALUE"""),77.4)</f>
        <v>77.4</v>
      </c>
      <c r="M515" s="23">
        <v>0.0</v>
      </c>
      <c r="N515" s="23">
        <v>0.0</v>
      </c>
      <c r="O515" s="23">
        <v>0.0</v>
      </c>
      <c r="P515" s="23">
        <f t="shared" si="1"/>
        <v>0</v>
      </c>
      <c r="Q515" s="23">
        <f t="shared" si="2"/>
        <v>0</v>
      </c>
      <c r="R515" s="23">
        <f t="shared" si="3"/>
        <v>0</v>
      </c>
      <c r="S515" s="19"/>
      <c r="T515" s="19"/>
      <c r="U515" s="19"/>
      <c r="V515" s="19"/>
    </row>
    <row r="516">
      <c r="A516" s="22">
        <f>IFERROR(__xludf.DUMMYFUNCTION("""COMPUTED_VALUE"""),42705.66666666667)</f>
        <v>42705.66667</v>
      </c>
      <c r="B516" s="23">
        <f>IFERROR(__xludf.DUMMYFUNCTION("""COMPUTED_VALUE"""),57.32)</f>
        <v>57.32</v>
      </c>
      <c r="C516" s="22">
        <f>IFERROR(__xludf.DUMMYFUNCTION("""COMPUTED_VALUE"""),43966.66666666667)</f>
        <v>43966.66667</v>
      </c>
      <c r="D516" s="23">
        <f>IFERROR(__xludf.DUMMYFUNCTION("""COMPUTED_VALUE"""),90.36)</f>
        <v>90.36</v>
      </c>
      <c r="E516" s="22">
        <f>IFERROR(__xludf.DUMMYFUNCTION("""COMPUTED_VALUE"""),42892.66666666667)</f>
        <v>42892.66667</v>
      </c>
      <c r="F516" s="23">
        <f>IFERROR(__xludf.DUMMYFUNCTION("""COMPUTED_VALUE"""),13.62)</f>
        <v>13.62</v>
      </c>
      <c r="G516" s="22">
        <f>IFERROR(__xludf.DUMMYFUNCTION("""COMPUTED_VALUE"""),44659.66666666667)</f>
        <v>44659.66667</v>
      </c>
      <c r="H516" s="23">
        <f>IFERROR(__xludf.DUMMYFUNCTION("""COMPUTED_VALUE"""),94.94)</f>
        <v>94.94</v>
      </c>
      <c r="I516" s="22">
        <f>IFERROR(__xludf.DUMMYFUNCTION("""COMPUTED_VALUE"""),44659.66666666667)</f>
        <v>44659.66667</v>
      </c>
      <c r="J516" s="23">
        <f>IFERROR(__xludf.DUMMYFUNCTION("""COMPUTED_VALUE"""),301.8)</f>
        <v>301.8</v>
      </c>
      <c r="K516" s="22">
        <f>IFERROR(__xludf.DUMMYFUNCTION("""COMPUTED_VALUE"""),44659.66666666667)</f>
        <v>44659.66667</v>
      </c>
      <c r="L516" s="23">
        <f>IFERROR(__xludf.DUMMYFUNCTION("""COMPUTED_VALUE"""),76.23)</f>
        <v>76.23</v>
      </c>
      <c r="M516" s="23">
        <v>1500.0</v>
      </c>
      <c r="N516" s="23">
        <v>1500.0</v>
      </c>
      <c r="O516" s="23">
        <v>1500.0</v>
      </c>
      <c r="P516" s="23">
        <f t="shared" si="1"/>
        <v>15.79945229</v>
      </c>
      <c r="Q516" s="23">
        <f t="shared" si="2"/>
        <v>4.970178926</v>
      </c>
      <c r="R516" s="23">
        <f t="shared" si="3"/>
        <v>19.6772924</v>
      </c>
      <c r="S516" s="19"/>
      <c r="T516" s="19"/>
      <c r="U516" s="19"/>
      <c r="V516" s="19"/>
    </row>
    <row r="517">
      <c r="A517" s="22">
        <f>IFERROR(__xludf.DUMMYFUNCTION("""COMPUTED_VALUE"""),42706.66666666667)</f>
        <v>42706.66667</v>
      </c>
      <c r="B517" s="23">
        <f>IFERROR(__xludf.DUMMYFUNCTION("""COMPUTED_VALUE"""),56.75)</f>
        <v>56.75</v>
      </c>
      <c r="C517" s="22">
        <f>IFERROR(__xludf.DUMMYFUNCTION("""COMPUTED_VALUE"""),43969.66666666667)</f>
        <v>43969.66667</v>
      </c>
      <c r="D517" s="23">
        <f>IFERROR(__xludf.DUMMYFUNCTION("""COMPUTED_VALUE"""),91.46)</f>
        <v>91.46</v>
      </c>
      <c r="E517" s="22">
        <f>IFERROR(__xludf.DUMMYFUNCTION("""COMPUTED_VALUE"""),42893.66666666667)</f>
        <v>42893.66667</v>
      </c>
      <c r="F517" s="23">
        <f>IFERROR(__xludf.DUMMYFUNCTION("""COMPUTED_VALUE"""),13.52)</f>
        <v>13.52</v>
      </c>
      <c r="G517" s="22">
        <f>IFERROR(__xludf.DUMMYFUNCTION("""COMPUTED_VALUE"""),44665.66666666667)</f>
        <v>44665.66667</v>
      </c>
      <c r="H517" s="23">
        <f>IFERROR(__xludf.DUMMYFUNCTION("""COMPUTED_VALUE"""),95.56)</f>
        <v>95.56</v>
      </c>
      <c r="I517" s="22">
        <f>IFERROR(__xludf.DUMMYFUNCTION("""COMPUTED_VALUE"""),44665.66666666667)</f>
        <v>44665.66667</v>
      </c>
      <c r="J517" s="23">
        <f>IFERROR(__xludf.DUMMYFUNCTION("""COMPUTED_VALUE"""),300.15)</f>
        <v>300.15</v>
      </c>
      <c r="K517" s="22">
        <f>IFERROR(__xludf.DUMMYFUNCTION("""COMPUTED_VALUE"""),44665.66666666667)</f>
        <v>44665.66667</v>
      </c>
      <c r="L517" s="23">
        <f>IFERROR(__xludf.DUMMYFUNCTION("""COMPUTED_VALUE"""),76.55)</f>
        <v>76.55</v>
      </c>
      <c r="M517" s="23">
        <v>0.0</v>
      </c>
      <c r="N517" s="23">
        <v>0.0</v>
      </c>
      <c r="O517" s="23">
        <v>0.0</v>
      </c>
      <c r="P517" s="23">
        <f t="shared" si="1"/>
        <v>0</v>
      </c>
      <c r="Q517" s="23">
        <f t="shared" si="2"/>
        <v>0</v>
      </c>
      <c r="R517" s="23">
        <f t="shared" si="3"/>
        <v>0</v>
      </c>
      <c r="S517" s="19"/>
      <c r="T517" s="19"/>
      <c r="U517" s="19"/>
      <c r="V517" s="19"/>
    </row>
    <row r="518">
      <c r="A518" s="22">
        <f>IFERROR(__xludf.DUMMYFUNCTION("""COMPUTED_VALUE"""),42709.66666666667)</f>
        <v>42709.66667</v>
      </c>
      <c r="B518" s="23">
        <f>IFERROR(__xludf.DUMMYFUNCTION("""COMPUTED_VALUE"""),56.5)</f>
        <v>56.5</v>
      </c>
      <c r="C518" s="22">
        <f>IFERROR(__xludf.DUMMYFUNCTION("""COMPUTED_VALUE"""),43970.66666666667)</f>
        <v>43970.66667</v>
      </c>
      <c r="D518" s="23">
        <f>IFERROR(__xludf.DUMMYFUNCTION("""COMPUTED_VALUE"""),93.33)</f>
        <v>93.33</v>
      </c>
      <c r="E518" s="22">
        <f>IFERROR(__xludf.DUMMYFUNCTION("""COMPUTED_VALUE"""),42894.66666666667)</f>
        <v>42894.66667</v>
      </c>
      <c r="F518" s="23">
        <f>IFERROR(__xludf.DUMMYFUNCTION("""COMPUTED_VALUE"""),13.54)</f>
        <v>13.54</v>
      </c>
      <c r="G518" s="22">
        <f>IFERROR(__xludf.DUMMYFUNCTION("""COMPUTED_VALUE"""),44673.66666666667)</f>
        <v>44673.66667</v>
      </c>
      <c r="H518" s="23">
        <f>IFERROR(__xludf.DUMMYFUNCTION("""COMPUTED_VALUE"""),94.92)</f>
        <v>94.92</v>
      </c>
      <c r="I518" s="22">
        <f>IFERROR(__xludf.DUMMYFUNCTION("""COMPUTED_VALUE"""),44673.66666666667)</f>
        <v>44673.66667</v>
      </c>
      <c r="J518" s="23">
        <f>IFERROR(__xludf.DUMMYFUNCTION("""COMPUTED_VALUE"""),299.55)</f>
        <v>299.55</v>
      </c>
      <c r="K518" s="22">
        <f>IFERROR(__xludf.DUMMYFUNCTION("""COMPUTED_VALUE"""),44673.66666666667)</f>
        <v>44673.66667</v>
      </c>
      <c r="L518" s="23">
        <f>IFERROR(__xludf.DUMMYFUNCTION("""COMPUTED_VALUE"""),76.1)</f>
        <v>76.1</v>
      </c>
      <c r="M518" s="23">
        <v>0.0</v>
      </c>
      <c r="N518" s="23">
        <v>0.0</v>
      </c>
      <c r="O518" s="23">
        <v>0.0</v>
      </c>
      <c r="P518" s="23">
        <f t="shared" si="1"/>
        <v>0</v>
      </c>
      <c r="Q518" s="23">
        <f t="shared" si="2"/>
        <v>0</v>
      </c>
      <c r="R518" s="23">
        <f t="shared" si="3"/>
        <v>0</v>
      </c>
      <c r="S518" s="19"/>
      <c r="T518" s="19"/>
      <c r="U518" s="19"/>
      <c r="V518" s="19"/>
    </row>
    <row r="519">
      <c r="A519" s="22">
        <f>IFERROR(__xludf.DUMMYFUNCTION("""COMPUTED_VALUE"""),42710.66666666667)</f>
        <v>42710.66667</v>
      </c>
      <c r="B519" s="23">
        <f>IFERROR(__xludf.DUMMYFUNCTION("""COMPUTED_VALUE"""),57.06)</f>
        <v>57.06</v>
      </c>
      <c r="C519" s="22">
        <f>IFERROR(__xludf.DUMMYFUNCTION("""COMPUTED_VALUE"""),43971.66666666667)</f>
        <v>43971.66667</v>
      </c>
      <c r="D519" s="23">
        <f>IFERROR(__xludf.DUMMYFUNCTION("""COMPUTED_VALUE"""),93.48)</f>
        <v>93.48</v>
      </c>
      <c r="E519" s="22">
        <f>IFERROR(__xludf.DUMMYFUNCTION("""COMPUTED_VALUE"""),42895.66666666667)</f>
        <v>42895.66667</v>
      </c>
      <c r="F519" s="23">
        <f>IFERROR(__xludf.DUMMYFUNCTION("""COMPUTED_VALUE"""),13.56)</f>
        <v>13.56</v>
      </c>
      <c r="G519" s="22">
        <f>IFERROR(__xludf.DUMMYFUNCTION("""COMPUTED_VALUE"""),44680.66666666667)</f>
        <v>44680.66667</v>
      </c>
      <c r="H519" s="23">
        <f>IFERROR(__xludf.DUMMYFUNCTION("""COMPUTED_VALUE"""),94.39)</f>
        <v>94.39</v>
      </c>
      <c r="I519" s="22">
        <f>IFERROR(__xludf.DUMMYFUNCTION("""COMPUTED_VALUE"""),44680.66666666667)</f>
        <v>44680.66667</v>
      </c>
      <c r="J519" s="23">
        <f>IFERROR(__xludf.DUMMYFUNCTION("""COMPUTED_VALUE"""),299.49)</f>
        <v>299.49</v>
      </c>
      <c r="K519" s="22">
        <f>IFERROR(__xludf.DUMMYFUNCTION("""COMPUTED_VALUE"""),44680.66666666667)</f>
        <v>44680.66667</v>
      </c>
      <c r="L519" s="23">
        <f>IFERROR(__xludf.DUMMYFUNCTION("""COMPUTED_VALUE"""),76.6)</f>
        <v>76.6</v>
      </c>
      <c r="M519" s="23">
        <v>0.0</v>
      </c>
      <c r="N519" s="23">
        <v>0.0</v>
      </c>
      <c r="O519" s="23">
        <v>0.0</v>
      </c>
      <c r="P519" s="23">
        <f t="shared" si="1"/>
        <v>0</v>
      </c>
      <c r="Q519" s="23">
        <f t="shared" si="2"/>
        <v>0</v>
      </c>
      <c r="R519" s="23">
        <f t="shared" si="3"/>
        <v>0</v>
      </c>
      <c r="S519" s="19"/>
      <c r="T519" s="19"/>
      <c r="U519" s="19"/>
      <c r="V519" s="19"/>
    </row>
    <row r="520">
      <c r="A520" s="22">
        <f>IFERROR(__xludf.DUMMYFUNCTION("""COMPUTED_VALUE"""),42711.66666666667)</f>
        <v>42711.66667</v>
      </c>
      <c r="B520" s="23">
        <f>IFERROR(__xludf.DUMMYFUNCTION("""COMPUTED_VALUE"""),57.53)</f>
        <v>57.53</v>
      </c>
      <c r="C520" s="22">
        <f>IFERROR(__xludf.DUMMYFUNCTION("""COMPUTED_VALUE"""),43972.66666666667)</f>
        <v>43972.66667</v>
      </c>
      <c r="D520" s="23">
        <f>IFERROR(__xludf.DUMMYFUNCTION("""COMPUTED_VALUE"""),93.33)</f>
        <v>93.33</v>
      </c>
      <c r="E520" s="22">
        <f>IFERROR(__xludf.DUMMYFUNCTION("""COMPUTED_VALUE"""),42899.66666666667)</f>
        <v>42899.66667</v>
      </c>
      <c r="F520" s="23">
        <f>IFERROR(__xludf.DUMMYFUNCTION("""COMPUTED_VALUE"""),13.17)</f>
        <v>13.17</v>
      </c>
      <c r="G520" s="22">
        <f>IFERROR(__xludf.DUMMYFUNCTION("""COMPUTED_VALUE"""),44687.66666666667)</f>
        <v>44687.66667</v>
      </c>
      <c r="H520" s="23">
        <f>IFERROR(__xludf.DUMMYFUNCTION("""COMPUTED_VALUE"""),91.45)</f>
        <v>91.45</v>
      </c>
      <c r="I520" s="22">
        <f>IFERROR(__xludf.DUMMYFUNCTION("""COMPUTED_VALUE"""),44687.66666666667)</f>
        <v>44687.66667</v>
      </c>
      <c r="J520" s="23">
        <f>IFERROR(__xludf.DUMMYFUNCTION("""COMPUTED_VALUE"""),292.99)</f>
        <v>292.99</v>
      </c>
      <c r="K520" s="22">
        <f>IFERROR(__xludf.DUMMYFUNCTION("""COMPUTED_VALUE"""),44687.66666666667)</f>
        <v>44687.66667</v>
      </c>
      <c r="L520" s="23">
        <f>IFERROR(__xludf.DUMMYFUNCTION("""COMPUTED_VALUE"""),74.83)</f>
        <v>74.83</v>
      </c>
      <c r="M520" s="23">
        <v>1500.0</v>
      </c>
      <c r="N520" s="23">
        <v>1500.0</v>
      </c>
      <c r="O520" s="23">
        <v>1500.0</v>
      </c>
      <c r="P520" s="23">
        <f t="shared" si="1"/>
        <v>16.40240569</v>
      </c>
      <c r="Q520" s="23">
        <f t="shared" si="2"/>
        <v>5.119628656</v>
      </c>
      <c r="R520" s="23">
        <f t="shared" si="3"/>
        <v>20.04543632</v>
      </c>
      <c r="S520" s="19"/>
      <c r="T520" s="19"/>
      <c r="U520" s="19"/>
      <c r="V520" s="19"/>
    </row>
    <row r="521">
      <c r="A521" s="22">
        <f>IFERROR(__xludf.DUMMYFUNCTION("""COMPUTED_VALUE"""),42712.66666666667)</f>
        <v>42712.66667</v>
      </c>
      <c r="B521" s="23">
        <f>IFERROR(__xludf.DUMMYFUNCTION("""COMPUTED_VALUE"""),57.8)</f>
        <v>57.8</v>
      </c>
      <c r="C521" s="22">
        <f>IFERROR(__xludf.DUMMYFUNCTION("""COMPUTED_VALUE"""),43973.66666666667)</f>
        <v>43973.66667</v>
      </c>
      <c r="D521" s="23">
        <f>IFERROR(__xludf.DUMMYFUNCTION("""COMPUTED_VALUE"""),92.23)</f>
        <v>92.23</v>
      </c>
      <c r="E521" s="22">
        <f>IFERROR(__xludf.DUMMYFUNCTION("""COMPUTED_VALUE"""),42900.66666666667)</f>
        <v>42900.66667</v>
      </c>
      <c r="F521" s="23">
        <f>IFERROR(__xludf.DUMMYFUNCTION("""COMPUTED_VALUE"""),13.22)</f>
        <v>13.22</v>
      </c>
      <c r="G521" s="22">
        <f>IFERROR(__xludf.DUMMYFUNCTION("""COMPUTED_VALUE"""),44694.66666666667)</f>
        <v>44694.66667</v>
      </c>
      <c r="H521" s="23">
        <f>IFERROR(__xludf.DUMMYFUNCTION("""COMPUTED_VALUE"""),89.93)</f>
        <v>89.93</v>
      </c>
      <c r="I521" s="22">
        <f>IFERROR(__xludf.DUMMYFUNCTION("""COMPUTED_VALUE"""),44694.66666666667)</f>
        <v>44694.66667</v>
      </c>
      <c r="J521" s="23">
        <f>IFERROR(__xludf.DUMMYFUNCTION("""COMPUTED_VALUE"""),287.19)</f>
        <v>287.19</v>
      </c>
      <c r="K521" s="22">
        <f>IFERROR(__xludf.DUMMYFUNCTION("""COMPUTED_VALUE"""),44694.66666666667)</f>
        <v>44694.66667</v>
      </c>
      <c r="L521" s="23">
        <f>IFERROR(__xludf.DUMMYFUNCTION("""COMPUTED_VALUE"""),74.93)</f>
        <v>74.93</v>
      </c>
      <c r="M521" s="23">
        <v>0.0</v>
      </c>
      <c r="N521" s="23">
        <v>0.0</v>
      </c>
      <c r="O521" s="23">
        <v>0.0</v>
      </c>
      <c r="P521" s="23">
        <f t="shared" si="1"/>
        <v>0</v>
      </c>
      <c r="Q521" s="23">
        <f t="shared" si="2"/>
        <v>0</v>
      </c>
      <c r="R521" s="23">
        <f t="shared" si="3"/>
        <v>0</v>
      </c>
      <c r="S521" s="19"/>
      <c r="T521" s="19"/>
      <c r="U521" s="19"/>
      <c r="V521" s="19"/>
    </row>
    <row r="522">
      <c r="A522" s="22">
        <f>IFERROR(__xludf.DUMMYFUNCTION("""COMPUTED_VALUE"""),42713.66666666667)</f>
        <v>42713.66667</v>
      </c>
      <c r="B522" s="23">
        <f>IFERROR(__xludf.DUMMYFUNCTION("""COMPUTED_VALUE"""),58.27)</f>
        <v>58.27</v>
      </c>
      <c r="C522" s="22">
        <f>IFERROR(__xludf.DUMMYFUNCTION("""COMPUTED_VALUE"""),43976.66666666667)</f>
        <v>43976.66667</v>
      </c>
      <c r="D522" s="23">
        <f>IFERROR(__xludf.DUMMYFUNCTION("""COMPUTED_VALUE"""),94.23)</f>
        <v>94.23</v>
      </c>
      <c r="E522" s="22">
        <f>IFERROR(__xludf.DUMMYFUNCTION("""COMPUTED_VALUE"""),42901.66666666667)</f>
        <v>42901.66667</v>
      </c>
      <c r="F522" s="23">
        <f>IFERROR(__xludf.DUMMYFUNCTION("""COMPUTED_VALUE"""),13.01)</f>
        <v>13.01</v>
      </c>
      <c r="G522" s="22">
        <f>IFERROR(__xludf.DUMMYFUNCTION("""COMPUTED_VALUE"""),44701.66666666667)</f>
        <v>44701.66667</v>
      </c>
      <c r="H522" s="23">
        <f>IFERROR(__xludf.DUMMYFUNCTION("""COMPUTED_VALUE"""),91.06)</f>
        <v>91.06</v>
      </c>
      <c r="I522" s="22">
        <f>IFERROR(__xludf.DUMMYFUNCTION("""COMPUTED_VALUE"""),44701.66666666667)</f>
        <v>44701.66667</v>
      </c>
      <c r="J522" s="23">
        <f>IFERROR(__xludf.DUMMYFUNCTION("""COMPUTED_VALUE"""),279.79)</f>
        <v>279.79</v>
      </c>
      <c r="K522" s="22">
        <f>IFERROR(__xludf.DUMMYFUNCTION("""COMPUTED_VALUE"""),44701.66666666667)</f>
        <v>44701.66667</v>
      </c>
      <c r="L522" s="23">
        <f>IFERROR(__xludf.DUMMYFUNCTION("""COMPUTED_VALUE"""),75.3)</f>
        <v>75.3</v>
      </c>
      <c r="M522" s="23">
        <v>0.0</v>
      </c>
      <c r="N522" s="23">
        <v>0.0</v>
      </c>
      <c r="O522" s="23">
        <v>0.0</v>
      </c>
      <c r="P522" s="23">
        <f t="shared" si="1"/>
        <v>0</v>
      </c>
      <c r="Q522" s="23">
        <f t="shared" si="2"/>
        <v>0</v>
      </c>
      <c r="R522" s="23">
        <f t="shared" si="3"/>
        <v>0</v>
      </c>
      <c r="S522" s="19"/>
      <c r="T522" s="19"/>
      <c r="U522" s="19"/>
      <c r="V522" s="19"/>
    </row>
    <row r="523">
      <c r="A523" s="22">
        <f>IFERROR(__xludf.DUMMYFUNCTION("""COMPUTED_VALUE"""),42716.66666666667)</f>
        <v>42716.66667</v>
      </c>
      <c r="B523" s="23">
        <f>IFERROR(__xludf.DUMMYFUNCTION("""COMPUTED_VALUE"""),58.33)</f>
        <v>58.33</v>
      </c>
      <c r="C523" s="22">
        <f>IFERROR(__xludf.DUMMYFUNCTION("""COMPUTED_VALUE"""),43977.66666666667)</f>
        <v>43977.66667</v>
      </c>
      <c r="D523" s="23">
        <f>IFERROR(__xludf.DUMMYFUNCTION("""COMPUTED_VALUE"""),96.55)</f>
        <v>96.55</v>
      </c>
      <c r="E523" s="22">
        <f>IFERROR(__xludf.DUMMYFUNCTION("""COMPUTED_VALUE"""),42902.66666666667)</f>
        <v>42902.66667</v>
      </c>
      <c r="F523" s="23">
        <f>IFERROR(__xludf.DUMMYFUNCTION("""COMPUTED_VALUE"""),13.07)</f>
        <v>13.07</v>
      </c>
      <c r="G523" s="22">
        <f>IFERROR(__xludf.DUMMYFUNCTION("""COMPUTED_VALUE"""),44708.66666666667)</f>
        <v>44708.66667</v>
      </c>
      <c r="H523" s="23">
        <f>IFERROR(__xludf.DUMMYFUNCTION("""COMPUTED_VALUE"""),91.44)</f>
        <v>91.44</v>
      </c>
      <c r="I523" s="22">
        <f>IFERROR(__xludf.DUMMYFUNCTION("""COMPUTED_VALUE"""),44708.66666666667)</f>
        <v>44708.66667</v>
      </c>
      <c r="J523" s="23">
        <f>IFERROR(__xludf.DUMMYFUNCTION("""COMPUTED_VALUE"""),283.58)</f>
        <v>283.58</v>
      </c>
      <c r="K523" s="22">
        <f>IFERROR(__xludf.DUMMYFUNCTION("""COMPUTED_VALUE"""),44708.66666666667)</f>
        <v>44708.66667</v>
      </c>
      <c r="L523" s="23">
        <f>IFERROR(__xludf.DUMMYFUNCTION("""COMPUTED_VALUE"""),75.75)</f>
        <v>75.75</v>
      </c>
      <c r="M523" s="23">
        <v>0.0</v>
      </c>
      <c r="N523" s="23">
        <v>0.0</v>
      </c>
      <c r="O523" s="23">
        <v>0.0</v>
      </c>
      <c r="P523" s="23">
        <f t="shared" si="1"/>
        <v>0</v>
      </c>
      <c r="Q523" s="23">
        <f t="shared" si="2"/>
        <v>0</v>
      </c>
      <c r="R523" s="23">
        <f t="shared" si="3"/>
        <v>0</v>
      </c>
      <c r="S523" s="19"/>
      <c r="T523" s="19"/>
      <c r="U523" s="19"/>
      <c r="V523" s="19"/>
    </row>
    <row r="524">
      <c r="A524" s="22">
        <f>IFERROR(__xludf.DUMMYFUNCTION("""COMPUTED_VALUE"""),42717.66666666667)</f>
        <v>42717.66667</v>
      </c>
      <c r="B524" s="23">
        <f>IFERROR(__xludf.DUMMYFUNCTION("""COMPUTED_VALUE"""),58.13)</f>
        <v>58.13</v>
      </c>
      <c r="C524" s="22">
        <f>IFERROR(__xludf.DUMMYFUNCTION("""COMPUTED_VALUE"""),43978.66666666667)</f>
        <v>43978.66667</v>
      </c>
      <c r="D524" s="23">
        <f>IFERROR(__xludf.DUMMYFUNCTION("""COMPUTED_VALUE"""),96.6)</f>
        <v>96.6</v>
      </c>
      <c r="E524" s="22">
        <f>IFERROR(__xludf.DUMMYFUNCTION("""COMPUTED_VALUE"""),42905.66666666667)</f>
        <v>42905.66667</v>
      </c>
      <c r="F524" s="23">
        <f>IFERROR(__xludf.DUMMYFUNCTION("""COMPUTED_VALUE"""),13.02)</f>
        <v>13.02</v>
      </c>
      <c r="G524" s="22">
        <f>IFERROR(__xludf.DUMMYFUNCTION("""COMPUTED_VALUE"""),44715.66666666667)</f>
        <v>44715.66667</v>
      </c>
      <c r="H524" s="23">
        <f>IFERROR(__xludf.DUMMYFUNCTION("""COMPUTED_VALUE"""),92.05)</f>
        <v>92.05</v>
      </c>
      <c r="I524" s="22">
        <f>IFERROR(__xludf.DUMMYFUNCTION("""COMPUTED_VALUE"""),44715.66666666667)</f>
        <v>44715.66667</v>
      </c>
      <c r="J524" s="23">
        <f>IFERROR(__xludf.DUMMYFUNCTION("""COMPUTED_VALUE"""),288.91)</f>
        <v>288.91</v>
      </c>
      <c r="K524" s="22">
        <f>IFERROR(__xludf.DUMMYFUNCTION("""COMPUTED_VALUE"""),44715.66666666667)</f>
        <v>44715.66667</v>
      </c>
      <c r="L524" s="23">
        <f>IFERROR(__xludf.DUMMYFUNCTION("""COMPUTED_VALUE"""),76.04)</f>
        <v>76.04</v>
      </c>
      <c r="M524" s="23">
        <v>1500.0</v>
      </c>
      <c r="N524" s="23">
        <v>1500.0</v>
      </c>
      <c r="O524" s="23">
        <v>1500.0</v>
      </c>
      <c r="P524" s="23">
        <f t="shared" si="1"/>
        <v>16.29549158</v>
      </c>
      <c r="Q524" s="23">
        <f t="shared" si="2"/>
        <v>5.191928282</v>
      </c>
      <c r="R524" s="23">
        <f t="shared" si="3"/>
        <v>19.72645976</v>
      </c>
      <c r="S524" s="19"/>
      <c r="T524" s="19"/>
      <c r="U524" s="19"/>
      <c r="V524" s="19"/>
    </row>
    <row r="525">
      <c r="A525" s="22">
        <f>IFERROR(__xludf.DUMMYFUNCTION("""COMPUTED_VALUE"""),42718.66666666667)</f>
        <v>42718.66667</v>
      </c>
      <c r="B525" s="23">
        <f>IFERROR(__xludf.DUMMYFUNCTION("""COMPUTED_VALUE"""),58.67)</f>
        <v>58.67</v>
      </c>
      <c r="C525" s="22">
        <f>IFERROR(__xludf.DUMMYFUNCTION("""COMPUTED_VALUE"""),43979.66666666667)</f>
        <v>43979.66667</v>
      </c>
      <c r="D525" s="23">
        <f>IFERROR(__xludf.DUMMYFUNCTION("""COMPUTED_VALUE"""),98.38)</f>
        <v>98.38</v>
      </c>
      <c r="E525" s="22">
        <f>IFERROR(__xludf.DUMMYFUNCTION("""COMPUTED_VALUE"""),42906.66666666667)</f>
        <v>42906.66667</v>
      </c>
      <c r="F525" s="23">
        <f>IFERROR(__xludf.DUMMYFUNCTION("""COMPUTED_VALUE"""),13.18)</f>
        <v>13.18</v>
      </c>
      <c r="G525" s="22">
        <f>IFERROR(__xludf.DUMMYFUNCTION("""COMPUTED_VALUE"""),44722.66666666667)</f>
        <v>44722.66667</v>
      </c>
      <c r="H525" s="23">
        <f>IFERROR(__xludf.DUMMYFUNCTION("""COMPUTED_VALUE"""),88.17)</f>
        <v>88.17</v>
      </c>
      <c r="I525" s="22">
        <f>IFERROR(__xludf.DUMMYFUNCTION("""COMPUTED_VALUE"""),44722.66666666667)</f>
        <v>44722.66667</v>
      </c>
      <c r="J525" s="23">
        <f>IFERROR(__xludf.DUMMYFUNCTION("""COMPUTED_VALUE"""),283.31)</f>
        <v>283.31</v>
      </c>
      <c r="K525" s="22">
        <f>IFERROR(__xludf.DUMMYFUNCTION("""COMPUTED_VALUE"""),44722.66666666667)</f>
        <v>44722.66667</v>
      </c>
      <c r="L525" s="23">
        <f>IFERROR(__xludf.DUMMYFUNCTION("""COMPUTED_VALUE"""),75.25)</f>
        <v>75.25</v>
      </c>
      <c r="M525" s="23">
        <v>0.0</v>
      </c>
      <c r="N525" s="23">
        <v>0.0</v>
      </c>
      <c r="O525" s="23">
        <v>0.0</v>
      </c>
      <c r="P525" s="23">
        <f t="shared" si="1"/>
        <v>0</v>
      </c>
      <c r="Q525" s="23">
        <f t="shared" si="2"/>
        <v>0</v>
      </c>
      <c r="R525" s="23">
        <f t="shared" si="3"/>
        <v>0</v>
      </c>
      <c r="S525" s="19"/>
      <c r="T525" s="19"/>
      <c r="U525" s="19"/>
      <c r="V525" s="19"/>
    </row>
    <row r="526">
      <c r="A526" s="22">
        <f>IFERROR(__xludf.DUMMYFUNCTION("""COMPUTED_VALUE"""),42719.66666666667)</f>
        <v>42719.66667</v>
      </c>
      <c r="B526" s="23">
        <f>IFERROR(__xludf.DUMMYFUNCTION("""COMPUTED_VALUE"""),58.66)</f>
        <v>58.66</v>
      </c>
      <c r="C526" s="22">
        <f>IFERROR(__xludf.DUMMYFUNCTION("""COMPUTED_VALUE"""),43980.66666666667)</f>
        <v>43980.66667</v>
      </c>
      <c r="D526" s="23">
        <f>IFERROR(__xludf.DUMMYFUNCTION("""COMPUTED_VALUE"""),96.84)</f>
        <v>96.84</v>
      </c>
      <c r="E526" s="22">
        <f>IFERROR(__xludf.DUMMYFUNCTION("""COMPUTED_VALUE"""),42907.66666666667)</f>
        <v>42907.66667</v>
      </c>
      <c r="F526" s="23">
        <f>IFERROR(__xludf.DUMMYFUNCTION("""COMPUTED_VALUE"""),13.15)</f>
        <v>13.15</v>
      </c>
      <c r="G526" s="22">
        <f>IFERROR(__xludf.DUMMYFUNCTION("""COMPUTED_VALUE"""),44729.66666666667)</f>
        <v>44729.66667</v>
      </c>
      <c r="H526" s="23">
        <f>IFERROR(__xludf.DUMMYFUNCTION("""COMPUTED_VALUE"""),82.31)</f>
        <v>82.31</v>
      </c>
      <c r="I526" s="22">
        <f>IFERROR(__xludf.DUMMYFUNCTION("""COMPUTED_VALUE"""),44729.66666666667)</f>
        <v>44729.66667</v>
      </c>
      <c r="J526" s="23">
        <f>IFERROR(__xludf.DUMMYFUNCTION("""COMPUTED_VALUE"""),262.41)</f>
        <v>262.41</v>
      </c>
      <c r="K526" s="22">
        <f>IFERROR(__xludf.DUMMYFUNCTION("""COMPUTED_VALUE"""),44729.66666666667)</f>
        <v>44729.66667</v>
      </c>
      <c r="L526" s="23">
        <f>IFERROR(__xludf.DUMMYFUNCTION("""COMPUTED_VALUE"""),71.6)</f>
        <v>71.6</v>
      </c>
      <c r="M526" s="23">
        <v>0.0</v>
      </c>
      <c r="N526" s="23">
        <v>0.0</v>
      </c>
      <c r="O526" s="23">
        <v>0.0</v>
      </c>
      <c r="P526" s="23">
        <f t="shared" si="1"/>
        <v>0</v>
      </c>
      <c r="Q526" s="23">
        <f t="shared" si="2"/>
        <v>0</v>
      </c>
      <c r="R526" s="23">
        <f t="shared" si="3"/>
        <v>0</v>
      </c>
      <c r="S526" s="19"/>
      <c r="T526" s="19"/>
      <c r="U526" s="19"/>
      <c r="V526" s="19"/>
    </row>
    <row r="527">
      <c r="A527" s="22">
        <f>IFERROR(__xludf.DUMMYFUNCTION("""COMPUTED_VALUE"""),42720.66666666667)</f>
        <v>42720.66667</v>
      </c>
      <c r="B527" s="23">
        <f>IFERROR(__xludf.DUMMYFUNCTION("""COMPUTED_VALUE"""),59.13)</f>
        <v>59.13</v>
      </c>
      <c r="C527" s="22">
        <f>IFERROR(__xludf.DUMMYFUNCTION("""COMPUTED_VALUE"""),43983.66666666667)</f>
        <v>43983.66667</v>
      </c>
      <c r="D527" s="23">
        <f>IFERROR(__xludf.DUMMYFUNCTION("""COMPUTED_VALUE"""),97.35)</f>
        <v>97.35</v>
      </c>
      <c r="E527" s="22">
        <f>IFERROR(__xludf.DUMMYFUNCTION("""COMPUTED_VALUE"""),42908.66666666667)</f>
        <v>42908.66667</v>
      </c>
      <c r="F527" s="23">
        <f>IFERROR(__xludf.DUMMYFUNCTION("""COMPUTED_VALUE"""),13.33)</f>
        <v>13.33</v>
      </c>
      <c r="G527" s="22">
        <f>IFERROR(__xludf.DUMMYFUNCTION("""COMPUTED_VALUE"""),44736.66666666667)</f>
        <v>44736.66667</v>
      </c>
      <c r="H527" s="23">
        <f>IFERROR(__xludf.DUMMYFUNCTION("""COMPUTED_VALUE"""),83.62)</f>
        <v>83.62</v>
      </c>
      <c r="I527" s="22">
        <f>IFERROR(__xludf.DUMMYFUNCTION("""COMPUTED_VALUE"""),44736.66666666667)</f>
        <v>44736.66667</v>
      </c>
      <c r="J527" s="23">
        <f>IFERROR(__xludf.DUMMYFUNCTION("""COMPUTED_VALUE"""),275.87)</f>
        <v>275.87</v>
      </c>
      <c r="K527" s="22">
        <f>IFERROR(__xludf.DUMMYFUNCTION("""COMPUTED_VALUE"""),44736.66666666667)</f>
        <v>44736.66667</v>
      </c>
      <c r="L527" s="23">
        <f>IFERROR(__xludf.DUMMYFUNCTION("""COMPUTED_VALUE"""),72.1)</f>
        <v>72.1</v>
      </c>
      <c r="M527" s="23">
        <v>0.0</v>
      </c>
      <c r="N527" s="23">
        <v>0.0</v>
      </c>
      <c r="O527" s="23">
        <v>0.0</v>
      </c>
      <c r="P527" s="23">
        <f t="shared" si="1"/>
        <v>0</v>
      </c>
      <c r="Q527" s="23">
        <f t="shared" si="2"/>
        <v>0</v>
      </c>
      <c r="R527" s="23">
        <f t="shared" si="3"/>
        <v>0</v>
      </c>
      <c r="S527" s="19"/>
      <c r="T527" s="19"/>
      <c r="U527" s="19"/>
      <c r="V527" s="19"/>
    </row>
    <row r="528">
      <c r="A528" s="22">
        <f>IFERROR(__xludf.DUMMYFUNCTION("""COMPUTED_VALUE"""),42723.66666666667)</f>
        <v>42723.66667</v>
      </c>
      <c r="B528" s="23">
        <f>IFERROR(__xludf.DUMMYFUNCTION("""COMPUTED_VALUE"""),59.61)</f>
        <v>59.61</v>
      </c>
      <c r="C528" s="22">
        <f>IFERROR(__xludf.DUMMYFUNCTION("""COMPUTED_VALUE"""),43984.66666666667)</f>
        <v>43984.66667</v>
      </c>
      <c r="D528" s="23">
        <f>IFERROR(__xludf.DUMMYFUNCTION("""COMPUTED_VALUE"""),98.2)</f>
        <v>98.2</v>
      </c>
      <c r="E528" s="22">
        <f>IFERROR(__xludf.DUMMYFUNCTION("""COMPUTED_VALUE"""),42909.66666666667)</f>
        <v>42909.66667</v>
      </c>
      <c r="F528" s="23">
        <f>IFERROR(__xludf.DUMMYFUNCTION("""COMPUTED_VALUE"""),13.31)</f>
        <v>13.31</v>
      </c>
      <c r="G528" s="22">
        <f>IFERROR(__xludf.DUMMYFUNCTION("""COMPUTED_VALUE"""),44743.66666666667)</f>
        <v>44743.66667</v>
      </c>
      <c r="H528" s="23">
        <f>IFERROR(__xludf.DUMMYFUNCTION("""COMPUTED_VALUE"""),81.17)</f>
        <v>81.17</v>
      </c>
      <c r="I528" s="22">
        <f>IFERROR(__xludf.DUMMYFUNCTION("""COMPUTED_VALUE"""),44743.66666666667)</f>
        <v>44743.66667</v>
      </c>
      <c r="J528" s="23">
        <f>IFERROR(__xludf.DUMMYFUNCTION("""COMPUTED_VALUE"""),273.47)</f>
        <v>273.47</v>
      </c>
      <c r="K528" s="22">
        <f>IFERROR(__xludf.DUMMYFUNCTION("""COMPUTED_VALUE"""),44743.66666666667)</f>
        <v>44743.66667</v>
      </c>
      <c r="L528" s="23">
        <f>IFERROR(__xludf.DUMMYFUNCTION("""COMPUTED_VALUE"""),72.21)</f>
        <v>72.21</v>
      </c>
      <c r="M528" s="23">
        <v>1500.0</v>
      </c>
      <c r="N528" s="23">
        <v>1500.0</v>
      </c>
      <c r="O528" s="23">
        <v>1500.0</v>
      </c>
      <c r="P528" s="23">
        <f t="shared" si="1"/>
        <v>18.47973389</v>
      </c>
      <c r="Q528" s="23">
        <f t="shared" si="2"/>
        <v>5.485062347</v>
      </c>
      <c r="R528" s="23">
        <f t="shared" si="3"/>
        <v>20.77274616</v>
      </c>
      <c r="S528" s="19"/>
      <c r="T528" s="19"/>
      <c r="U528" s="19"/>
      <c r="V528" s="19"/>
    </row>
    <row r="529">
      <c r="A529" s="22">
        <f>IFERROR(__xludf.DUMMYFUNCTION("""COMPUTED_VALUE"""),42724.66666666667)</f>
        <v>42724.66667</v>
      </c>
      <c r="B529" s="23">
        <f>IFERROR(__xludf.DUMMYFUNCTION("""COMPUTED_VALUE"""),60.08)</f>
        <v>60.08</v>
      </c>
      <c r="C529" s="22">
        <f>IFERROR(__xludf.DUMMYFUNCTION("""COMPUTED_VALUE"""),43985.66666666667)</f>
        <v>43985.66667</v>
      </c>
      <c r="D529" s="23">
        <f>IFERROR(__xludf.DUMMYFUNCTION("""COMPUTED_VALUE"""),99.79)</f>
        <v>99.79</v>
      </c>
      <c r="E529" s="22">
        <f>IFERROR(__xludf.DUMMYFUNCTION("""COMPUTED_VALUE"""),42912.66666666667)</f>
        <v>42912.66667</v>
      </c>
      <c r="F529" s="23">
        <f>IFERROR(__xludf.DUMMYFUNCTION("""COMPUTED_VALUE"""),13.33)</f>
        <v>13.33</v>
      </c>
      <c r="G529" s="22">
        <f>IFERROR(__xludf.DUMMYFUNCTION("""COMPUTED_VALUE"""),44750.66666666667)</f>
        <v>44750.66667</v>
      </c>
      <c r="H529" s="23">
        <f>IFERROR(__xludf.DUMMYFUNCTION("""COMPUTED_VALUE"""),82.86)</f>
        <v>82.86</v>
      </c>
      <c r="I529" s="22">
        <f>IFERROR(__xludf.DUMMYFUNCTION("""COMPUTED_VALUE"""),44750.66666666667)</f>
        <v>44750.66667</v>
      </c>
      <c r="J529" s="23">
        <f>IFERROR(__xludf.DUMMYFUNCTION("""COMPUTED_VALUE"""),284.09)</f>
        <v>284.09</v>
      </c>
      <c r="K529" s="22">
        <f>IFERROR(__xludf.DUMMYFUNCTION("""COMPUTED_VALUE"""),44750.66666666667)</f>
        <v>44750.66667</v>
      </c>
      <c r="L529" s="23">
        <f>IFERROR(__xludf.DUMMYFUNCTION("""COMPUTED_VALUE"""),72.69)</f>
        <v>72.69</v>
      </c>
      <c r="M529" s="23">
        <v>0.0</v>
      </c>
      <c r="N529" s="23">
        <v>0.0</v>
      </c>
      <c r="O529" s="23">
        <v>0.0</v>
      </c>
      <c r="P529" s="23">
        <f t="shared" si="1"/>
        <v>0</v>
      </c>
      <c r="Q529" s="23">
        <f t="shared" si="2"/>
        <v>0</v>
      </c>
      <c r="R529" s="23">
        <f t="shared" si="3"/>
        <v>0</v>
      </c>
      <c r="S529" s="19"/>
      <c r="T529" s="19"/>
      <c r="U529" s="19"/>
      <c r="V529" s="19"/>
    </row>
    <row r="530">
      <c r="A530" s="22">
        <f>IFERROR(__xludf.DUMMYFUNCTION("""COMPUTED_VALUE"""),42725.66666666667)</f>
        <v>42725.66667</v>
      </c>
      <c r="B530" s="23">
        <f>IFERROR(__xludf.DUMMYFUNCTION("""COMPUTED_VALUE"""),60.1)</f>
        <v>60.1</v>
      </c>
      <c r="C530" s="22">
        <f>IFERROR(__xludf.DUMMYFUNCTION("""COMPUTED_VALUE"""),43986.66666666667)</f>
        <v>43986.66667</v>
      </c>
      <c r="D530" s="23">
        <f>IFERROR(__xludf.DUMMYFUNCTION("""COMPUTED_VALUE"""),100.35)</f>
        <v>100.35</v>
      </c>
      <c r="E530" s="22">
        <f>IFERROR(__xludf.DUMMYFUNCTION("""COMPUTED_VALUE"""),42913.66666666667)</f>
        <v>42913.66667</v>
      </c>
      <c r="F530" s="23">
        <f>IFERROR(__xludf.DUMMYFUNCTION("""COMPUTED_VALUE"""),13.19)</f>
        <v>13.19</v>
      </c>
      <c r="G530" s="22">
        <f>IFERROR(__xludf.DUMMYFUNCTION("""COMPUTED_VALUE"""),44757.66666666667)</f>
        <v>44757.66667</v>
      </c>
      <c r="H530" s="23">
        <f>IFERROR(__xludf.DUMMYFUNCTION("""COMPUTED_VALUE"""),81.95)</f>
        <v>81.95</v>
      </c>
      <c r="I530" s="22">
        <f>IFERROR(__xludf.DUMMYFUNCTION("""COMPUTED_VALUE"""),44757.66666666667)</f>
        <v>44757.66667</v>
      </c>
      <c r="J530" s="23">
        <f>IFERROR(__xludf.DUMMYFUNCTION("""COMPUTED_VALUE"""),280.74)</f>
        <v>280.74</v>
      </c>
      <c r="K530" s="22">
        <f>IFERROR(__xludf.DUMMYFUNCTION("""COMPUTED_VALUE"""),44757.66666666667)</f>
        <v>44757.66667</v>
      </c>
      <c r="L530" s="23">
        <f>IFERROR(__xludf.DUMMYFUNCTION("""COMPUTED_VALUE"""),71.45)</f>
        <v>71.45</v>
      </c>
      <c r="M530" s="23">
        <v>0.0</v>
      </c>
      <c r="N530" s="23">
        <v>0.0</v>
      </c>
      <c r="O530" s="23">
        <v>0.0</v>
      </c>
      <c r="P530" s="23">
        <f t="shared" si="1"/>
        <v>0</v>
      </c>
      <c r="Q530" s="23">
        <f t="shared" si="2"/>
        <v>0</v>
      </c>
      <c r="R530" s="23">
        <f t="shared" si="3"/>
        <v>0</v>
      </c>
      <c r="S530" s="19"/>
      <c r="T530" s="19"/>
      <c r="U530" s="19"/>
      <c r="V530" s="19"/>
    </row>
    <row r="531">
      <c r="A531" s="22">
        <f>IFERROR(__xludf.DUMMYFUNCTION("""COMPUTED_VALUE"""),42726.66666666667)</f>
        <v>42726.66667</v>
      </c>
      <c r="B531" s="23">
        <f>IFERROR(__xludf.DUMMYFUNCTION("""COMPUTED_VALUE"""),60.08)</f>
        <v>60.08</v>
      </c>
      <c r="C531" s="22">
        <f>IFERROR(__xludf.DUMMYFUNCTION("""COMPUTED_VALUE"""),43987.66666666667)</f>
        <v>43987.66667</v>
      </c>
      <c r="D531" s="23">
        <f>IFERROR(__xludf.DUMMYFUNCTION("""COMPUTED_VALUE"""),100.74)</f>
        <v>100.74</v>
      </c>
      <c r="E531" s="22">
        <f>IFERROR(__xludf.DUMMYFUNCTION("""COMPUTED_VALUE"""),42914.66666666667)</f>
        <v>42914.66667</v>
      </c>
      <c r="F531" s="23">
        <f>IFERROR(__xludf.DUMMYFUNCTION("""COMPUTED_VALUE"""),12.93)</f>
        <v>12.93</v>
      </c>
      <c r="G531" s="22">
        <f>IFERROR(__xludf.DUMMYFUNCTION("""COMPUTED_VALUE"""),44764.66666666667)</f>
        <v>44764.66667</v>
      </c>
      <c r="H531" s="23">
        <f>IFERROR(__xludf.DUMMYFUNCTION("""COMPUTED_VALUE"""),84.3)</f>
        <v>84.3</v>
      </c>
      <c r="I531" s="22">
        <f>IFERROR(__xludf.DUMMYFUNCTION("""COMPUTED_VALUE"""),44764.66666666667)</f>
        <v>44764.66667</v>
      </c>
      <c r="J531" s="23">
        <f>IFERROR(__xludf.DUMMYFUNCTION("""COMPUTED_VALUE"""),288.3)</f>
        <v>288.3</v>
      </c>
      <c r="K531" s="22">
        <f>IFERROR(__xludf.DUMMYFUNCTION("""COMPUTED_VALUE"""),44764.66666666667)</f>
        <v>44764.66667</v>
      </c>
      <c r="L531" s="23">
        <f>IFERROR(__xludf.DUMMYFUNCTION("""COMPUTED_VALUE"""),72.51)</f>
        <v>72.51</v>
      </c>
      <c r="M531" s="23">
        <v>0.0</v>
      </c>
      <c r="N531" s="23">
        <v>0.0</v>
      </c>
      <c r="O531" s="23">
        <v>0.0</v>
      </c>
      <c r="P531" s="23">
        <f t="shared" si="1"/>
        <v>0</v>
      </c>
      <c r="Q531" s="23">
        <f t="shared" si="2"/>
        <v>0</v>
      </c>
      <c r="R531" s="23">
        <f t="shared" si="3"/>
        <v>0</v>
      </c>
      <c r="S531" s="19"/>
      <c r="T531" s="19"/>
      <c r="U531" s="19"/>
      <c r="V531" s="19"/>
    </row>
    <row r="532">
      <c r="A532" s="22">
        <f>IFERROR(__xludf.DUMMYFUNCTION("""COMPUTED_VALUE"""),42727.66666666667)</f>
        <v>42727.66667</v>
      </c>
      <c r="B532" s="23">
        <f>IFERROR(__xludf.DUMMYFUNCTION("""COMPUTED_VALUE"""),60.33)</f>
        <v>60.33</v>
      </c>
      <c r="C532" s="22">
        <f>IFERROR(__xludf.DUMMYFUNCTION("""COMPUTED_VALUE"""),43991.66666666667)</f>
        <v>43991.66667</v>
      </c>
      <c r="D532" s="23">
        <f>IFERROR(__xludf.DUMMYFUNCTION("""COMPUTED_VALUE"""),103.22)</f>
        <v>103.22</v>
      </c>
      <c r="E532" s="22">
        <f>IFERROR(__xludf.DUMMYFUNCTION("""COMPUTED_VALUE"""),42915.66666666667)</f>
        <v>42915.66667</v>
      </c>
      <c r="F532" s="23">
        <f>IFERROR(__xludf.DUMMYFUNCTION("""COMPUTED_VALUE"""),13.07)</f>
        <v>13.07</v>
      </c>
      <c r="G532" s="22">
        <f>IFERROR(__xludf.DUMMYFUNCTION("""COMPUTED_VALUE"""),44771.66666666667)</f>
        <v>44771.66667</v>
      </c>
      <c r="H532" s="23">
        <f>IFERROR(__xludf.DUMMYFUNCTION("""COMPUTED_VALUE"""),86.26)</f>
        <v>86.26</v>
      </c>
      <c r="I532" s="22">
        <f>IFERROR(__xludf.DUMMYFUNCTION("""COMPUTED_VALUE"""),44771.66666666667)</f>
        <v>44771.66667</v>
      </c>
      <c r="J532" s="23">
        <f>IFERROR(__xludf.DUMMYFUNCTION("""COMPUTED_VALUE"""),292.03)</f>
        <v>292.03</v>
      </c>
      <c r="K532" s="22">
        <f>IFERROR(__xludf.DUMMYFUNCTION("""COMPUTED_VALUE"""),44771.66666666667)</f>
        <v>44771.66667</v>
      </c>
      <c r="L532" s="23">
        <f>IFERROR(__xludf.DUMMYFUNCTION("""COMPUTED_VALUE"""),73.7)</f>
        <v>73.7</v>
      </c>
      <c r="M532" s="23">
        <v>1500.0</v>
      </c>
      <c r="N532" s="23">
        <v>1500.0</v>
      </c>
      <c r="O532" s="23">
        <v>1500.0</v>
      </c>
      <c r="P532" s="23">
        <f t="shared" si="1"/>
        <v>17.3892882</v>
      </c>
      <c r="Q532" s="23">
        <f t="shared" si="2"/>
        <v>5.136458583</v>
      </c>
      <c r="R532" s="23">
        <f t="shared" si="3"/>
        <v>20.35278155</v>
      </c>
      <c r="S532" s="19"/>
      <c r="T532" s="19"/>
      <c r="U532" s="19"/>
      <c r="V532" s="19"/>
    </row>
    <row r="533">
      <c r="A533" s="22">
        <f>IFERROR(__xludf.DUMMYFUNCTION("""COMPUTED_VALUE"""),42732.66666666667)</f>
        <v>42732.66667</v>
      </c>
      <c r="B533" s="23">
        <f>IFERROR(__xludf.DUMMYFUNCTION("""COMPUTED_VALUE"""),60.62)</f>
        <v>60.62</v>
      </c>
      <c r="C533" s="22">
        <f>IFERROR(__xludf.DUMMYFUNCTION("""COMPUTED_VALUE"""),43992.66666666667)</f>
        <v>43992.66667</v>
      </c>
      <c r="D533" s="23">
        <f>IFERROR(__xludf.DUMMYFUNCTION("""COMPUTED_VALUE"""),103.17)</f>
        <v>103.17</v>
      </c>
      <c r="E533" s="22">
        <f>IFERROR(__xludf.DUMMYFUNCTION("""COMPUTED_VALUE"""),42916.66666666667)</f>
        <v>42916.66667</v>
      </c>
      <c r="F533" s="23">
        <f>IFERROR(__xludf.DUMMYFUNCTION("""COMPUTED_VALUE"""),12.74)</f>
        <v>12.74</v>
      </c>
      <c r="G533" s="22">
        <f>IFERROR(__xludf.DUMMYFUNCTION("""COMPUTED_VALUE"""),44778.66666666667)</f>
        <v>44778.66667</v>
      </c>
      <c r="H533" s="23">
        <f>IFERROR(__xludf.DUMMYFUNCTION("""COMPUTED_VALUE"""),87.19)</f>
        <v>87.19</v>
      </c>
      <c r="I533" s="22">
        <f>IFERROR(__xludf.DUMMYFUNCTION("""COMPUTED_VALUE"""),44778.66666666667)</f>
        <v>44778.66667</v>
      </c>
      <c r="J533" s="23">
        <f>IFERROR(__xludf.DUMMYFUNCTION("""COMPUTED_VALUE"""),299.04)</f>
        <v>299.04</v>
      </c>
      <c r="K533" s="22">
        <f>IFERROR(__xludf.DUMMYFUNCTION("""COMPUTED_VALUE"""),44778.66666666667)</f>
        <v>44778.66667</v>
      </c>
      <c r="L533" s="23">
        <f>IFERROR(__xludf.DUMMYFUNCTION("""COMPUTED_VALUE"""),74.27)</f>
        <v>74.27</v>
      </c>
      <c r="M533" s="23">
        <v>0.0</v>
      </c>
      <c r="N533" s="23">
        <v>0.0</v>
      </c>
      <c r="O533" s="23">
        <v>0.0</v>
      </c>
      <c r="P533" s="23">
        <f t="shared" si="1"/>
        <v>0</v>
      </c>
      <c r="Q533" s="23">
        <f t="shared" si="2"/>
        <v>0</v>
      </c>
      <c r="R533" s="23">
        <f t="shared" si="3"/>
        <v>0</v>
      </c>
      <c r="S533" s="19"/>
      <c r="T533" s="19"/>
      <c r="U533" s="19"/>
      <c r="V533" s="19"/>
    </row>
    <row r="534">
      <c r="A534" s="22">
        <f>IFERROR(__xludf.DUMMYFUNCTION("""COMPUTED_VALUE"""),42733.66666666667)</f>
        <v>42733.66667</v>
      </c>
      <c r="B534" s="23">
        <f>IFERROR(__xludf.DUMMYFUNCTION("""COMPUTED_VALUE"""),60.23)</f>
        <v>60.23</v>
      </c>
      <c r="C534" s="22">
        <f>IFERROR(__xludf.DUMMYFUNCTION("""COMPUTED_VALUE"""),43993.66666666667)</f>
        <v>43993.66667</v>
      </c>
      <c r="D534" s="23">
        <f>IFERROR(__xludf.DUMMYFUNCTION("""COMPUTED_VALUE"""),99.9)</f>
        <v>99.9</v>
      </c>
      <c r="E534" s="22">
        <f>IFERROR(__xludf.DUMMYFUNCTION("""COMPUTED_VALUE"""),42919.66666666667)</f>
        <v>42919.66667</v>
      </c>
      <c r="F534" s="23">
        <f>IFERROR(__xludf.DUMMYFUNCTION("""COMPUTED_VALUE"""),12.79)</f>
        <v>12.79</v>
      </c>
      <c r="G534" s="22">
        <f>IFERROR(__xludf.DUMMYFUNCTION("""COMPUTED_VALUE"""),44785.66666666667)</f>
        <v>44785.66667</v>
      </c>
      <c r="H534" s="23">
        <f>IFERROR(__xludf.DUMMYFUNCTION("""COMPUTED_VALUE"""),87.49)</f>
        <v>87.49</v>
      </c>
      <c r="I534" s="22">
        <f>IFERROR(__xludf.DUMMYFUNCTION("""COMPUTED_VALUE"""),44785.66666666667)</f>
        <v>44785.66667</v>
      </c>
      <c r="J534" s="23">
        <f>IFERROR(__xludf.DUMMYFUNCTION("""COMPUTED_VALUE"""),297.61)</f>
        <v>297.61</v>
      </c>
      <c r="K534" s="22">
        <f>IFERROR(__xludf.DUMMYFUNCTION("""COMPUTED_VALUE"""),44785.66666666667)</f>
        <v>44785.66667</v>
      </c>
      <c r="L534" s="23">
        <f>IFERROR(__xludf.DUMMYFUNCTION("""COMPUTED_VALUE"""),73.71)</f>
        <v>73.71</v>
      </c>
      <c r="M534" s="23">
        <v>0.0</v>
      </c>
      <c r="N534" s="23">
        <v>0.0</v>
      </c>
      <c r="O534" s="23">
        <v>0.0</v>
      </c>
      <c r="P534" s="23">
        <f t="shared" si="1"/>
        <v>0</v>
      </c>
      <c r="Q534" s="23">
        <f t="shared" si="2"/>
        <v>0</v>
      </c>
      <c r="R534" s="23">
        <f t="shared" si="3"/>
        <v>0</v>
      </c>
      <c r="S534" s="19"/>
      <c r="T534" s="19"/>
      <c r="U534" s="19"/>
      <c r="V534" s="19"/>
    </row>
    <row r="535">
      <c r="A535" s="22">
        <f>IFERROR(__xludf.DUMMYFUNCTION("""COMPUTED_VALUE"""),42734.66666666667)</f>
        <v>42734.66667</v>
      </c>
      <c r="B535" s="23">
        <f>IFERROR(__xludf.DUMMYFUNCTION("""COMPUTED_VALUE"""),60.05)</f>
        <v>60.05</v>
      </c>
      <c r="C535" s="22">
        <f>IFERROR(__xludf.DUMMYFUNCTION("""COMPUTED_VALUE"""),43994.66666666667)</f>
        <v>43994.66667</v>
      </c>
      <c r="D535" s="23">
        <f>IFERROR(__xludf.DUMMYFUNCTION("""COMPUTED_VALUE"""),98.22)</f>
        <v>98.22</v>
      </c>
      <c r="E535" s="22">
        <f>IFERROR(__xludf.DUMMYFUNCTION("""COMPUTED_VALUE"""),42920.66666666667)</f>
        <v>42920.66667</v>
      </c>
      <c r="F535" s="23">
        <f>IFERROR(__xludf.DUMMYFUNCTION("""COMPUTED_VALUE"""),12.7)</f>
        <v>12.7</v>
      </c>
      <c r="G535" s="22">
        <f>IFERROR(__xludf.DUMMYFUNCTION("""COMPUTED_VALUE"""),44792.66666666667)</f>
        <v>44792.66667</v>
      </c>
      <c r="H535" s="23">
        <f>IFERROR(__xludf.DUMMYFUNCTION("""COMPUTED_VALUE"""),88.64)</f>
        <v>88.64</v>
      </c>
      <c r="I535" s="22">
        <f>IFERROR(__xludf.DUMMYFUNCTION("""COMPUTED_VALUE"""),44792.66666666667)</f>
        <v>44792.66667</v>
      </c>
      <c r="J535" s="23">
        <f>IFERROR(__xludf.DUMMYFUNCTION("""COMPUTED_VALUE"""),309.99)</f>
        <v>309.99</v>
      </c>
      <c r="K535" s="22">
        <f>IFERROR(__xludf.DUMMYFUNCTION("""COMPUTED_VALUE"""),44792.66666666667)</f>
        <v>44792.66667</v>
      </c>
      <c r="L535" s="23">
        <f>IFERROR(__xludf.DUMMYFUNCTION("""COMPUTED_VALUE"""),74.93)</f>
        <v>74.93</v>
      </c>
      <c r="M535" s="23">
        <v>0.0</v>
      </c>
      <c r="N535" s="23">
        <v>0.0</v>
      </c>
      <c r="O535" s="23">
        <v>0.0</v>
      </c>
      <c r="P535" s="23">
        <f t="shared" si="1"/>
        <v>0</v>
      </c>
      <c r="Q535" s="23">
        <f t="shared" si="2"/>
        <v>0</v>
      </c>
      <c r="R535" s="23">
        <f t="shared" si="3"/>
        <v>0</v>
      </c>
      <c r="S535" s="19"/>
      <c r="T535" s="19"/>
      <c r="U535" s="19"/>
      <c r="V535" s="19"/>
    </row>
    <row r="536">
      <c r="A536" s="22">
        <f>IFERROR(__xludf.DUMMYFUNCTION("""COMPUTED_VALUE"""),42738.66666666667)</f>
        <v>42738.66667</v>
      </c>
      <c r="B536" s="23">
        <f>IFERROR(__xludf.DUMMYFUNCTION("""COMPUTED_VALUE"""),59.6)</f>
        <v>59.6</v>
      </c>
      <c r="C536" s="22">
        <f>IFERROR(__xludf.DUMMYFUNCTION("""COMPUTED_VALUE"""),43997.66666666667)</f>
        <v>43997.66667</v>
      </c>
      <c r="D536" s="23">
        <f>IFERROR(__xludf.DUMMYFUNCTION("""COMPUTED_VALUE"""),96.19)</f>
        <v>96.19</v>
      </c>
      <c r="E536" s="22">
        <f>IFERROR(__xludf.DUMMYFUNCTION("""COMPUTED_VALUE"""),42921.66666666667)</f>
        <v>42921.66667</v>
      </c>
      <c r="F536" s="23">
        <f>IFERROR(__xludf.DUMMYFUNCTION("""COMPUTED_VALUE"""),12.69)</f>
        <v>12.69</v>
      </c>
      <c r="G536" s="22">
        <f>IFERROR(__xludf.DUMMYFUNCTION("""COMPUTED_VALUE"""),44799.66666666667)</f>
        <v>44799.66667</v>
      </c>
      <c r="H536" s="23">
        <f>IFERROR(__xludf.DUMMYFUNCTION("""COMPUTED_VALUE"""),88.59)</f>
        <v>88.59</v>
      </c>
      <c r="I536" s="22">
        <f>IFERROR(__xludf.DUMMYFUNCTION("""COMPUTED_VALUE"""),44799.66666666667)</f>
        <v>44799.66667</v>
      </c>
      <c r="J536" s="23">
        <f>IFERROR(__xludf.DUMMYFUNCTION("""COMPUTED_VALUE"""),302.08)</f>
        <v>302.08</v>
      </c>
      <c r="K536" s="22">
        <f>IFERROR(__xludf.DUMMYFUNCTION("""COMPUTED_VALUE"""),44799.66666666667)</f>
        <v>44799.66667</v>
      </c>
      <c r="L536" s="23">
        <f>IFERROR(__xludf.DUMMYFUNCTION("""COMPUTED_VALUE"""),73.51)</f>
        <v>73.51</v>
      </c>
      <c r="M536" s="23">
        <v>1500.0</v>
      </c>
      <c r="N536" s="23">
        <v>1500.0</v>
      </c>
      <c r="O536" s="23">
        <v>1500.0</v>
      </c>
      <c r="P536" s="23">
        <f t="shared" si="1"/>
        <v>16.93193363</v>
      </c>
      <c r="Q536" s="23">
        <f t="shared" si="2"/>
        <v>4.965572034</v>
      </c>
      <c r="R536" s="23">
        <f t="shared" si="3"/>
        <v>20.40538702</v>
      </c>
      <c r="S536" s="19"/>
      <c r="T536" s="19"/>
      <c r="U536" s="19"/>
      <c r="V536" s="19"/>
    </row>
    <row r="537">
      <c r="A537" s="22">
        <f>IFERROR(__xludf.DUMMYFUNCTION("""COMPUTED_VALUE"""),42739.66666666667)</f>
        <v>42739.66667</v>
      </c>
      <c r="B537" s="23">
        <f>IFERROR(__xludf.DUMMYFUNCTION("""COMPUTED_VALUE"""),59.94)</f>
        <v>59.94</v>
      </c>
      <c r="C537" s="22">
        <f>IFERROR(__xludf.DUMMYFUNCTION("""COMPUTED_VALUE"""),43998.66666666667)</f>
        <v>43998.66667</v>
      </c>
      <c r="D537" s="23">
        <f>IFERROR(__xludf.DUMMYFUNCTION("""COMPUTED_VALUE"""),100.28)</f>
        <v>100.28</v>
      </c>
      <c r="E537" s="22">
        <f>IFERROR(__xludf.DUMMYFUNCTION("""COMPUTED_VALUE"""),42922.66666666667)</f>
        <v>42922.66667</v>
      </c>
      <c r="F537" s="23">
        <f>IFERROR(__xludf.DUMMYFUNCTION("""COMPUTED_VALUE"""),12.87)</f>
        <v>12.87</v>
      </c>
      <c r="G537" s="22">
        <f>IFERROR(__xludf.DUMMYFUNCTION("""COMPUTED_VALUE"""),44806.66666666667)</f>
        <v>44806.66667</v>
      </c>
      <c r="H537" s="23">
        <f>IFERROR(__xludf.DUMMYFUNCTION("""COMPUTED_VALUE"""),85.89)</f>
        <v>85.89</v>
      </c>
      <c r="I537" s="22">
        <f>IFERROR(__xludf.DUMMYFUNCTION("""COMPUTED_VALUE"""),44806.66666666667)</f>
        <v>44806.66667</v>
      </c>
      <c r="J537" s="23">
        <f>IFERROR(__xludf.DUMMYFUNCTION("""COMPUTED_VALUE"""),292.12)</f>
        <v>292.12</v>
      </c>
      <c r="K537" s="22">
        <f>IFERROR(__xludf.DUMMYFUNCTION("""COMPUTED_VALUE"""),44806.66666666667)</f>
        <v>44806.66667</v>
      </c>
      <c r="L537" s="23">
        <f>IFERROR(__xludf.DUMMYFUNCTION("""COMPUTED_VALUE"""),71.72)</f>
        <v>71.72</v>
      </c>
      <c r="M537" s="23">
        <v>0.0</v>
      </c>
      <c r="N537" s="23">
        <v>0.0</v>
      </c>
      <c r="O537" s="23">
        <v>0.0</v>
      </c>
      <c r="P537" s="23">
        <f t="shared" si="1"/>
        <v>0</v>
      </c>
      <c r="Q537" s="23">
        <f t="shared" si="2"/>
        <v>0</v>
      </c>
      <c r="R537" s="23">
        <f t="shared" si="3"/>
        <v>0</v>
      </c>
      <c r="S537" s="19"/>
      <c r="T537" s="19"/>
      <c r="U537" s="19"/>
      <c r="V537" s="19"/>
    </row>
    <row r="538">
      <c r="A538" s="22">
        <f>IFERROR(__xludf.DUMMYFUNCTION("""COMPUTED_VALUE"""),42740.66666666667)</f>
        <v>42740.66667</v>
      </c>
      <c r="B538" s="23">
        <f>IFERROR(__xludf.DUMMYFUNCTION("""COMPUTED_VALUE"""),59.85)</f>
        <v>59.85</v>
      </c>
      <c r="C538" s="22">
        <f>IFERROR(__xludf.DUMMYFUNCTION("""COMPUTED_VALUE"""),43999.66666666667)</f>
        <v>43999.66667</v>
      </c>
      <c r="D538" s="23">
        <f>IFERROR(__xludf.DUMMYFUNCTION("""COMPUTED_VALUE"""),100.56)</f>
        <v>100.56</v>
      </c>
      <c r="E538" s="22">
        <f>IFERROR(__xludf.DUMMYFUNCTION("""COMPUTED_VALUE"""),42923.66666666667)</f>
        <v>42923.66667</v>
      </c>
      <c r="F538" s="23">
        <f>IFERROR(__xludf.DUMMYFUNCTION("""COMPUTED_VALUE"""),12.8)</f>
        <v>12.8</v>
      </c>
      <c r="G538" s="22">
        <f>IFERROR(__xludf.DUMMYFUNCTION("""COMPUTED_VALUE"""),44813.66666666667)</f>
        <v>44813.66667</v>
      </c>
      <c r="H538" s="23">
        <f>IFERROR(__xludf.DUMMYFUNCTION("""COMPUTED_VALUE"""),87.07)</f>
        <v>87.07</v>
      </c>
      <c r="I538" s="22">
        <f>IFERROR(__xludf.DUMMYFUNCTION("""COMPUTED_VALUE"""),44813.66666666667)</f>
        <v>44813.66667</v>
      </c>
      <c r="J538" s="23">
        <f>IFERROR(__xludf.DUMMYFUNCTION("""COMPUTED_VALUE"""),295.57)</f>
        <v>295.57</v>
      </c>
      <c r="K538" s="22">
        <f>IFERROR(__xludf.DUMMYFUNCTION("""COMPUTED_VALUE"""),44813.66666666667)</f>
        <v>44813.66667</v>
      </c>
      <c r="L538" s="23">
        <f>IFERROR(__xludf.DUMMYFUNCTION("""COMPUTED_VALUE"""),72.12)</f>
        <v>72.12</v>
      </c>
      <c r="M538" s="23">
        <v>0.0</v>
      </c>
      <c r="N538" s="23">
        <v>0.0</v>
      </c>
      <c r="O538" s="23">
        <v>0.0</v>
      </c>
      <c r="P538" s="23">
        <f t="shared" si="1"/>
        <v>0</v>
      </c>
      <c r="Q538" s="23">
        <f t="shared" si="2"/>
        <v>0</v>
      </c>
      <c r="R538" s="23">
        <f t="shared" si="3"/>
        <v>0</v>
      </c>
      <c r="S538" s="19"/>
      <c r="T538" s="19"/>
      <c r="U538" s="19"/>
      <c r="V538" s="19"/>
    </row>
    <row r="539">
      <c r="A539" s="22">
        <f>IFERROR(__xludf.DUMMYFUNCTION("""COMPUTED_VALUE"""),42741.66666666667)</f>
        <v>42741.66667</v>
      </c>
      <c r="B539" s="23">
        <f>IFERROR(__xludf.DUMMYFUNCTION("""COMPUTED_VALUE"""),59.89)</f>
        <v>59.89</v>
      </c>
      <c r="C539" s="22">
        <f>IFERROR(__xludf.DUMMYFUNCTION("""COMPUTED_VALUE"""),44000.66666666667)</f>
        <v>44000.66667</v>
      </c>
      <c r="D539" s="23">
        <f>IFERROR(__xludf.DUMMYFUNCTION("""COMPUTED_VALUE"""),99.7)</f>
        <v>99.7</v>
      </c>
      <c r="E539" s="22">
        <f>IFERROR(__xludf.DUMMYFUNCTION("""COMPUTED_VALUE"""),42926.66666666667)</f>
        <v>42926.66667</v>
      </c>
      <c r="F539" s="23">
        <f>IFERROR(__xludf.DUMMYFUNCTION("""COMPUTED_VALUE"""),12.94)</f>
        <v>12.94</v>
      </c>
      <c r="G539" s="22">
        <f>IFERROR(__xludf.DUMMYFUNCTION("""COMPUTED_VALUE"""),44820.66666666667)</f>
        <v>44820.66667</v>
      </c>
      <c r="H539" s="23">
        <f>IFERROR(__xludf.DUMMYFUNCTION("""COMPUTED_VALUE"""),85.17)</f>
        <v>85.17</v>
      </c>
      <c r="I539" s="22">
        <f>IFERROR(__xludf.DUMMYFUNCTION("""COMPUTED_VALUE"""),44820.66666666667)</f>
        <v>44820.66667</v>
      </c>
      <c r="J539" s="23">
        <f>IFERROR(__xludf.DUMMYFUNCTION("""COMPUTED_VALUE"""),291.16)</f>
        <v>291.16</v>
      </c>
      <c r="K539" s="22">
        <f>IFERROR(__xludf.DUMMYFUNCTION("""COMPUTED_VALUE"""),44820.66666666667)</f>
        <v>44820.66667</v>
      </c>
      <c r="L539" s="23">
        <f>IFERROR(__xludf.DUMMYFUNCTION("""COMPUTED_VALUE"""),71.95)</f>
        <v>71.95</v>
      </c>
      <c r="M539" s="23">
        <v>0.0</v>
      </c>
      <c r="N539" s="23">
        <v>0.0</v>
      </c>
      <c r="O539" s="23">
        <v>0.0</v>
      </c>
      <c r="P539" s="23">
        <f t="shared" si="1"/>
        <v>0</v>
      </c>
      <c r="Q539" s="23">
        <f t="shared" si="2"/>
        <v>0</v>
      </c>
      <c r="R539" s="23">
        <f t="shared" si="3"/>
        <v>0</v>
      </c>
      <c r="S539" s="19"/>
      <c r="T539" s="19"/>
      <c r="U539" s="19"/>
      <c r="V539" s="19"/>
    </row>
    <row r="540">
      <c r="A540" s="22">
        <f>IFERROR(__xludf.DUMMYFUNCTION("""COMPUTED_VALUE"""),42744.66666666667)</f>
        <v>42744.66667</v>
      </c>
      <c r="B540" s="23">
        <f>IFERROR(__xludf.DUMMYFUNCTION("""COMPUTED_VALUE"""),60.06)</f>
        <v>60.06</v>
      </c>
      <c r="C540" s="22">
        <f>IFERROR(__xludf.DUMMYFUNCTION("""COMPUTED_VALUE"""),44001.66666666667)</f>
        <v>44001.66667</v>
      </c>
      <c r="D540" s="23">
        <f>IFERROR(__xludf.DUMMYFUNCTION("""COMPUTED_VALUE"""),99.9)</f>
        <v>99.9</v>
      </c>
      <c r="E540" s="22">
        <f>IFERROR(__xludf.DUMMYFUNCTION("""COMPUTED_VALUE"""),42927.66666666667)</f>
        <v>42927.66667</v>
      </c>
      <c r="F540" s="23">
        <f>IFERROR(__xludf.DUMMYFUNCTION("""COMPUTED_VALUE"""),12.98)</f>
        <v>12.98</v>
      </c>
      <c r="G540" s="22">
        <f>IFERROR(__xludf.DUMMYFUNCTION("""COMPUTED_VALUE"""),44827.66666666667)</f>
        <v>44827.66667</v>
      </c>
      <c r="H540" s="23">
        <f>IFERROR(__xludf.DUMMYFUNCTION("""COMPUTED_VALUE"""),83.18)</f>
        <v>83.18</v>
      </c>
      <c r="I540" s="22">
        <f>IFERROR(__xludf.DUMMYFUNCTION("""COMPUTED_VALUE"""),44827.66666666667)</f>
        <v>44827.66667</v>
      </c>
      <c r="J540" s="23">
        <f>IFERROR(__xludf.DUMMYFUNCTION("""COMPUTED_VALUE"""),284.36)</f>
        <v>284.36</v>
      </c>
      <c r="K540" s="22">
        <f>IFERROR(__xludf.DUMMYFUNCTION("""COMPUTED_VALUE"""),44827.66666666667)</f>
        <v>44827.66667</v>
      </c>
      <c r="L540" s="23">
        <f>IFERROR(__xludf.DUMMYFUNCTION("""COMPUTED_VALUE"""),70.15)</f>
        <v>70.15</v>
      </c>
      <c r="M540" s="23">
        <v>1500.0</v>
      </c>
      <c r="N540" s="23">
        <v>1500.0</v>
      </c>
      <c r="O540" s="23">
        <v>1500.0</v>
      </c>
      <c r="P540" s="23">
        <f t="shared" si="1"/>
        <v>18.03318105</v>
      </c>
      <c r="Q540" s="23">
        <f t="shared" si="2"/>
        <v>5.275003517</v>
      </c>
      <c r="R540" s="23">
        <f t="shared" si="3"/>
        <v>21.38275125</v>
      </c>
      <c r="S540" s="19"/>
      <c r="T540" s="19"/>
      <c r="U540" s="19"/>
      <c r="V540" s="19"/>
    </row>
    <row r="541">
      <c r="A541" s="22">
        <f>IFERROR(__xludf.DUMMYFUNCTION("""COMPUTED_VALUE"""),42745.66666666667)</f>
        <v>42745.66667</v>
      </c>
      <c r="B541" s="23">
        <f>IFERROR(__xludf.DUMMYFUNCTION("""COMPUTED_VALUE"""),59.22)</f>
        <v>59.22</v>
      </c>
      <c r="C541" s="22">
        <f>IFERROR(__xludf.DUMMYFUNCTION("""COMPUTED_VALUE"""),44004.66666666667)</f>
        <v>44004.66667</v>
      </c>
      <c r="D541" s="23">
        <f>IFERROR(__xludf.DUMMYFUNCTION("""COMPUTED_VALUE"""),99.75)</f>
        <v>99.75</v>
      </c>
      <c r="E541" s="22">
        <f>IFERROR(__xludf.DUMMYFUNCTION("""COMPUTED_VALUE"""),42928.66666666667)</f>
        <v>42928.66667</v>
      </c>
      <c r="F541" s="23">
        <f>IFERROR(__xludf.DUMMYFUNCTION("""COMPUTED_VALUE"""),12.95)</f>
        <v>12.95</v>
      </c>
      <c r="G541" s="22">
        <f>IFERROR(__xludf.DUMMYFUNCTION("""COMPUTED_VALUE"""),44834.66666666667)</f>
        <v>44834.66667</v>
      </c>
      <c r="H541" s="23">
        <f>IFERROR(__xludf.DUMMYFUNCTION("""COMPUTED_VALUE"""),81.63)</f>
        <v>81.63</v>
      </c>
      <c r="I541" s="22">
        <f>IFERROR(__xludf.DUMMYFUNCTION("""COMPUTED_VALUE"""),44834.66666666667)</f>
        <v>44834.66667</v>
      </c>
      <c r="J541" s="23">
        <f>IFERROR(__xludf.DUMMYFUNCTION("""COMPUTED_VALUE"""),280.43)</f>
        <v>280.43</v>
      </c>
      <c r="K541" s="22">
        <f>IFERROR(__xludf.DUMMYFUNCTION("""COMPUTED_VALUE"""),44834.66666666667)</f>
        <v>44834.66667</v>
      </c>
      <c r="L541" s="23">
        <f>IFERROR(__xludf.DUMMYFUNCTION("""COMPUTED_VALUE"""),68.53)</f>
        <v>68.53</v>
      </c>
      <c r="M541" s="23">
        <v>0.0</v>
      </c>
      <c r="N541" s="23">
        <v>0.0</v>
      </c>
      <c r="O541" s="23">
        <v>0.0</v>
      </c>
      <c r="P541" s="23">
        <f t="shared" si="1"/>
        <v>0</v>
      </c>
      <c r="Q541" s="23">
        <f t="shared" si="2"/>
        <v>0</v>
      </c>
      <c r="R541" s="23">
        <f t="shared" si="3"/>
        <v>0</v>
      </c>
      <c r="S541" s="19"/>
      <c r="T541" s="19"/>
      <c r="U541" s="19"/>
      <c r="V541" s="19"/>
    </row>
    <row r="542">
      <c r="A542" s="22">
        <f>IFERROR(__xludf.DUMMYFUNCTION("""COMPUTED_VALUE"""),42746.66666666667)</f>
        <v>42746.66667</v>
      </c>
      <c r="B542" s="23">
        <f>IFERROR(__xludf.DUMMYFUNCTION("""COMPUTED_VALUE"""),59.3)</f>
        <v>59.3</v>
      </c>
      <c r="C542" s="22">
        <f>IFERROR(__xludf.DUMMYFUNCTION("""COMPUTED_VALUE"""),44005.66666666667)</f>
        <v>44005.66667</v>
      </c>
      <c r="D542" s="23">
        <f>IFERROR(__xludf.DUMMYFUNCTION("""COMPUTED_VALUE"""),99.75)</f>
        <v>99.75</v>
      </c>
      <c r="E542" s="22">
        <f>IFERROR(__xludf.DUMMYFUNCTION("""COMPUTED_VALUE"""),42929.66666666667)</f>
        <v>42929.66667</v>
      </c>
      <c r="F542" s="23">
        <f>IFERROR(__xludf.DUMMYFUNCTION("""COMPUTED_VALUE"""),13.05)</f>
        <v>13.05</v>
      </c>
      <c r="G542" s="22">
        <f>IFERROR(__xludf.DUMMYFUNCTION("""COMPUTED_VALUE"""),44841.66666666667)</f>
        <v>44841.66667</v>
      </c>
      <c r="H542" s="23">
        <f>IFERROR(__xludf.DUMMYFUNCTION("""COMPUTED_VALUE"""),84.02)</f>
        <v>84.02</v>
      </c>
      <c r="I542" s="22">
        <f>IFERROR(__xludf.DUMMYFUNCTION("""COMPUTED_VALUE"""),44841.66666666667)</f>
        <v>44841.66667</v>
      </c>
      <c r="J542" s="23">
        <f>IFERROR(__xludf.DUMMYFUNCTION("""COMPUTED_VALUE"""),292.22)</f>
        <v>292.22</v>
      </c>
      <c r="K542" s="22">
        <f>IFERROR(__xludf.DUMMYFUNCTION("""COMPUTED_VALUE"""),44841.66666666667)</f>
        <v>44841.66667</v>
      </c>
      <c r="L542" s="23">
        <f>IFERROR(__xludf.DUMMYFUNCTION("""COMPUTED_VALUE"""),71.47)</f>
        <v>71.47</v>
      </c>
      <c r="M542" s="23">
        <v>0.0</v>
      </c>
      <c r="N542" s="23">
        <v>0.0</v>
      </c>
      <c r="O542" s="23">
        <v>0.0</v>
      </c>
      <c r="P542" s="23">
        <f t="shared" si="1"/>
        <v>0</v>
      </c>
      <c r="Q542" s="23">
        <f t="shared" si="2"/>
        <v>0</v>
      </c>
      <c r="R542" s="23">
        <f t="shared" si="3"/>
        <v>0</v>
      </c>
      <c r="S542" s="19"/>
      <c r="T542" s="19"/>
      <c r="U542" s="19"/>
      <c r="V542" s="19"/>
    </row>
    <row r="543">
      <c r="A543" s="22">
        <f>IFERROR(__xludf.DUMMYFUNCTION("""COMPUTED_VALUE"""),42747.66666666667)</f>
        <v>42747.66667</v>
      </c>
      <c r="B543" s="23">
        <f>IFERROR(__xludf.DUMMYFUNCTION("""COMPUTED_VALUE"""),58.75)</f>
        <v>58.75</v>
      </c>
      <c r="C543" s="22">
        <f>IFERROR(__xludf.DUMMYFUNCTION("""COMPUTED_VALUE"""),44006.66666666667)</f>
        <v>44006.66667</v>
      </c>
      <c r="D543" s="23">
        <f>IFERROR(__xludf.DUMMYFUNCTION("""COMPUTED_VALUE"""),100.19)</f>
        <v>100.19</v>
      </c>
      <c r="E543" s="22">
        <f>IFERROR(__xludf.DUMMYFUNCTION("""COMPUTED_VALUE"""),42930.66666666667)</f>
        <v>42930.66667</v>
      </c>
      <c r="F543" s="23">
        <f>IFERROR(__xludf.DUMMYFUNCTION("""COMPUTED_VALUE"""),12.96)</f>
        <v>12.96</v>
      </c>
      <c r="G543" s="22">
        <f>IFERROR(__xludf.DUMMYFUNCTION("""COMPUTED_VALUE"""),44848.66666666667)</f>
        <v>44848.66667</v>
      </c>
      <c r="H543" s="23">
        <f>IFERROR(__xludf.DUMMYFUNCTION("""COMPUTED_VALUE"""),83.91)</f>
        <v>83.91</v>
      </c>
      <c r="I543" s="22">
        <f>IFERROR(__xludf.DUMMYFUNCTION("""COMPUTED_VALUE"""),44848.66666666667)</f>
        <v>44848.66667</v>
      </c>
      <c r="J543" s="23">
        <f>IFERROR(__xludf.DUMMYFUNCTION("""COMPUTED_VALUE"""),291.9)</f>
        <v>291.9</v>
      </c>
      <c r="K543" s="22">
        <f>IFERROR(__xludf.DUMMYFUNCTION("""COMPUTED_VALUE"""),44848.66666666667)</f>
        <v>44848.66667</v>
      </c>
      <c r="L543" s="23">
        <f>IFERROR(__xludf.DUMMYFUNCTION("""COMPUTED_VALUE"""),71.28)</f>
        <v>71.28</v>
      </c>
      <c r="M543" s="23">
        <v>0.0</v>
      </c>
      <c r="N543" s="23">
        <v>0.0</v>
      </c>
      <c r="O543" s="23">
        <v>0.0</v>
      </c>
      <c r="P543" s="23">
        <f t="shared" si="1"/>
        <v>0</v>
      </c>
      <c r="Q543" s="23">
        <f t="shared" si="2"/>
        <v>0</v>
      </c>
      <c r="R543" s="23">
        <f t="shared" si="3"/>
        <v>0</v>
      </c>
      <c r="S543" s="19"/>
      <c r="T543" s="19"/>
      <c r="U543" s="19"/>
      <c r="V543" s="19"/>
    </row>
    <row r="544">
      <c r="A544" s="22">
        <f>IFERROR(__xludf.DUMMYFUNCTION("""COMPUTED_VALUE"""),42748.66666666667)</f>
        <v>42748.66667</v>
      </c>
      <c r="B544" s="23">
        <f>IFERROR(__xludf.DUMMYFUNCTION("""COMPUTED_VALUE"""),58.65)</f>
        <v>58.65</v>
      </c>
      <c r="C544" s="22">
        <f>IFERROR(__xludf.DUMMYFUNCTION("""COMPUTED_VALUE"""),44007.66666666667)</f>
        <v>44007.66667</v>
      </c>
      <c r="D544" s="23">
        <f>IFERROR(__xludf.DUMMYFUNCTION("""COMPUTED_VALUE"""),97.91)</f>
        <v>97.91</v>
      </c>
      <c r="E544" s="22">
        <f>IFERROR(__xludf.DUMMYFUNCTION("""COMPUTED_VALUE"""),42933.66666666667)</f>
        <v>42933.66667</v>
      </c>
      <c r="F544" s="23">
        <f>IFERROR(__xludf.DUMMYFUNCTION("""COMPUTED_VALUE"""),12.96)</f>
        <v>12.96</v>
      </c>
      <c r="G544" s="22">
        <f>IFERROR(__xludf.DUMMYFUNCTION("""COMPUTED_VALUE"""),44855.66666666667)</f>
        <v>44855.66667</v>
      </c>
      <c r="H544" s="23">
        <f>IFERROR(__xludf.DUMMYFUNCTION("""COMPUTED_VALUE"""),82.86)</f>
        <v>82.86</v>
      </c>
      <c r="I544" s="22">
        <f>IFERROR(__xludf.DUMMYFUNCTION("""COMPUTED_VALUE"""),44855.66666666667)</f>
        <v>44855.66667</v>
      </c>
      <c r="J544" s="23">
        <f>IFERROR(__xludf.DUMMYFUNCTION("""COMPUTED_VALUE"""),292.0)</f>
        <v>292</v>
      </c>
      <c r="K544" s="22">
        <f>IFERROR(__xludf.DUMMYFUNCTION("""COMPUTED_VALUE"""),44855.66666666667)</f>
        <v>44855.66667</v>
      </c>
      <c r="L544" s="23">
        <f>IFERROR(__xludf.DUMMYFUNCTION("""COMPUTED_VALUE"""),71.32)</f>
        <v>71.32</v>
      </c>
      <c r="M544" s="23">
        <v>1500.0</v>
      </c>
      <c r="N544" s="23">
        <v>1500.0</v>
      </c>
      <c r="O544" s="23">
        <v>1500.0</v>
      </c>
      <c r="P544" s="23">
        <f t="shared" si="1"/>
        <v>18.10282404</v>
      </c>
      <c r="Q544" s="23">
        <f t="shared" si="2"/>
        <v>5.136986301</v>
      </c>
      <c r="R544" s="23">
        <f t="shared" si="3"/>
        <v>21.03196859</v>
      </c>
      <c r="S544" s="19"/>
      <c r="T544" s="19"/>
      <c r="U544" s="19"/>
      <c r="V544" s="19"/>
    </row>
    <row r="545">
      <c r="A545" s="22">
        <f>IFERROR(__xludf.DUMMYFUNCTION("""COMPUTED_VALUE"""),42751.66666666667)</f>
        <v>42751.66667</v>
      </c>
      <c r="B545" s="23">
        <f>IFERROR(__xludf.DUMMYFUNCTION("""COMPUTED_VALUE"""),58.76)</f>
        <v>58.76</v>
      </c>
      <c r="C545" s="22">
        <f>IFERROR(__xludf.DUMMYFUNCTION("""COMPUTED_VALUE"""),44008.66666666667)</f>
        <v>44008.66667</v>
      </c>
      <c r="D545" s="23">
        <f>IFERROR(__xludf.DUMMYFUNCTION("""COMPUTED_VALUE"""),99.1)</f>
        <v>99.1</v>
      </c>
      <c r="E545" s="22">
        <f>IFERROR(__xludf.DUMMYFUNCTION("""COMPUTED_VALUE"""),42934.66666666667)</f>
        <v>42934.66667</v>
      </c>
      <c r="F545" s="23">
        <f>IFERROR(__xludf.DUMMYFUNCTION("""COMPUTED_VALUE"""),12.84)</f>
        <v>12.84</v>
      </c>
      <c r="G545" s="22">
        <f>IFERROR(__xludf.DUMMYFUNCTION("""COMPUTED_VALUE"""),44862.66666666667)</f>
        <v>44862.66667</v>
      </c>
      <c r="H545" s="23">
        <f>IFERROR(__xludf.DUMMYFUNCTION("""COMPUTED_VALUE"""),84.23)</f>
        <v>84.23</v>
      </c>
      <c r="I545" s="22">
        <f>IFERROR(__xludf.DUMMYFUNCTION("""COMPUTED_VALUE"""),44862.66666666667)</f>
        <v>44862.66667</v>
      </c>
      <c r="J545" s="23">
        <f>IFERROR(__xludf.DUMMYFUNCTION("""COMPUTED_VALUE"""),293.92)</f>
        <v>293.92</v>
      </c>
      <c r="K545" s="22">
        <f>IFERROR(__xludf.DUMMYFUNCTION("""COMPUTED_VALUE"""),44862.66666666667)</f>
        <v>44862.66667</v>
      </c>
      <c r="L545" s="23">
        <f>IFERROR(__xludf.DUMMYFUNCTION("""COMPUTED_VALUE"""),71.04)</f>
        <v>71.04</v>
      </c>
      <c r="M545" s="23">
        <v>0.0</v>
      </c>
      <c r="N545" s="23">
        <v>0.0</v>
      </c>
      <c r="O545" s="23">
        <v>0.0</v>
      </c>
      <c r="P545" s="23">
        <f t="shared" si="1"/>
        <v>0</v>
      </c>
      <c r="Q545" s="23">
        <f t="shared" si="2"/>
        <v>0</v>
      </c>
      <c r="R545" s="23">
        <f t="shared" si="3"/>
        <v>0</v>
      </c>
      <c r="S545" s="19"/>
      <c r="T545" s="19"/>
      <c r="U545" s="19"/>
      <c r="V545" s="19"/>
    </row>
    <row r="546">
      <c r="A546" s="22">
        <f>IFERROR(__xludf.DUMMYFUNCTION("""COMPUTED_VALUE"""),42752.66666666667)</f>
        <v>42752.66667</v>
      </c>
      <c r="B546" s="23">
        <f>IFERROR(__xludf.DUMMYFUNCTION("""COMPUTED_VALUE"""),58.72)</f>
        <v>58.72</v>
      </c>
      <c r="C546" s="22">
        <f>IFERROR(__xludf.DUMMYFUNCTION("""COMPUTED_VALUE"""),44011.66666666667)</f>
        <v>44011.66667</v>
      </c>
      <c r="D546" s="23">
        <f>IFERROR(__xludf.DUMMYFUNCTION("""COMPUTED_VALUE"""),97.56)</f>
        <v>97.56</v>
      </c>
      <c r="E546" s="22">
        <f>IFERROR(__xludf.DUMMYFUNCTION("""COMPUTED_VALUE"""),42935.66666666667)</f>
        <v>42935.66667</v>
      </c>
      <c r="F546" s="23">
        <f>IFERROR(__xludf.DUMMYFUNCTION("""COMPUTED_VALUE"""),12.88)</f>
        <v>12.88</v>
      </c>
      <c r="G546" s="22">
        <f>IFERROR(__xludf.DUMMYFUNCTION("""COMPUTED_VALUE"""),44869.66666666667)</f>
        <v>44869.66667</v>
      </c>
      <c r="H546" s="23">
        <f>IFERROR(__xludf.DUMMYFUNCTION("""COMPUTED_VALUE"""),85.52)</f>
        <v>85.52</v>
      </c>
      <c r="I546" s="22">
        <f>IFERROR(__xludf.DUMMYFUNCTION("""COMPUTED_VALUE"""),44869.66666666667)</f>
        <v>44869.66667</v>
      </c>
      <c r="J546" s="23">
        <f>IFERROR(__xludf.DUMMYFUNCTION("""COMPUTED_VALUE"""),294.6)</f>
        <v>294.6</v>
      </c>
      <c r="K546" s="22">
        <f>IFERROR(__xludf.DUMMYFUNCTION("""COMPUTED_VALUE"""),44869.66666666667)</f>
        <v>44869.66667</v>
      </c>
      <c r="L546" s="23">
        <f>IFERROR(__xludf.DUMMYFUNCTION("""COMPUTED_VALUE"""),72.7)</f>
        <v>72.7</v>
      </c>
      <c r="M546" s="23">
        <v>0.0</v>
      </c>
      <c r="N546" s="23">
        <v>0.0</v>
      </c>
      <c r="O546" s="23">
        <v>0.0</v>
      </c>
      <c r="P546" s="23">
        <f t="shared" si="1"/>
        <v>0</v>
      </c>
      <c r="Q546" s="23">
        <f t="shared" si="2"/>
        <v>0</v>
      </c>
      <c r="R546" s="23">
        <f t="shared" si="3"/>
        <v>0</v>
      </c>
      <c r="S546" s="19"/>
      <c r="T546" s="19"/>
      <c r="U546" s="19"/>
      <c r="V546" s="19"/>
    </row>
    <row r="547">
      <c r="A547" s="22">
        <f>IFERROR(__xludf.DUMMYFUNCTION("""COMPUTED_VALUE"""),42753.66666666667)</f>
        <v>42753.66667</v>
      </c>
      <c r="B547" s="23">
        <f>IFERROR(__xludf.DUMMYFUNCTION("""COMPUTED_VALUE"""),58.2)</f>
        <v>58.2</v>
      </c>
      <c r="C547" s="22">
        <f>IFERROR(__xludf.DUMMYFUNCTION("""COMPUTED_VALUE"""),44012.66666666667)</f>
        <v>44012.66667</v>
      </c>
      <c r="D547" s="23">
        <f>IFERROR(__xludf.DUMMYFUNCTION("""COMPUTED_VALUE"""),99.3)</f>
        <v>99.3</v>
      </c>
      <c r="E547" s="22">
        <f>IFERROR(__xludf.DUMMYFUNCTION("""COMPUTED_VALUE"""),42936.66666666667)</f>
        <v>42936.66667</v>
      </c>
      <c r="F547" s="23">
        <f>IFERROR(__xludf.DUMMYFUNCTION("""COMPUTED_VALUE"""),12.92)</f>
        <v>12.92</v>
      </c>
      <c r="G547" s="22">
        <f>IFERROR(__xludf.DUMMYFUNCTION("""COMPUTED_VALUE"""),44876.66666666667)</f>
        <v>44876.66667</v>
      </c>
      <c r="H547" s="23">
        <f>IFERROR(__xludf.DUMMYFUNCTION("""COMPUTED_VALUE"""),88.92)</f>
        <v>88.92</v>
      </c>
      <c r="I547" s="22">
        <f>IFERROR(__xludf.DUMMYFUNCTION("""COMPUTED_VALUE"""),44876.66666666667)</f>
        <v>44876.66667</v>
      </c>
      <c r="J547" s="23">
        <f>IFERROR(__xludf.DUMMYFUNCTION("""COMPUTED_VALUE"""),299.7)</f>
        <v>299.7</v>
      </c>
      <c r="K547" s="22">
        <f>IFERROR(__xludf.DUMMYFUNCTION("""COMPUTED_VALUE"""),44876.66666666667)</f>
        <v>44876.66667</v>
      </c>
      <c r="L547" s="23">
        <f>IFERROR(__xludf.DUMMYFUNCTION("""COMPUTED_VALUE"""),75.0)</f>
        <v>75</v>
      </c>
      <c r="M547" s="23">
        <v>0.0</v>
      </c>
      <c r="N547" s="23">
        <v>0.0</v>
      </c>
      <c r="O547" s="23">
        <v>0.0</v>
      </c>
      <c r="P547" s="23">
        <f t="shared" si="1"/>
        <v>0</v>
      </c>
      <c r="Q547" s="23">
        <f t="shared" si="2"/>
        <v>0</v>
      </c>
      <c r="R547" s="23">
        <f t="shared" si="3"/>
        <v>0</v>
      </c>
      <c r="S547" s="19"/>
      <c r="T547" s="19"/>
      <c r="U547" s="19"/>
      <c r="V547" s="19"/>
    </row>
    <row r="548">
      <c r="A548" s="22">
        <f>IFERROR(__xludf.DUMMYFUNCTION("""COMPUTED_VALUE"""),42754.66666666667)</f>
        <v>42754.66667</v>
      </c>
      <c r="B548" s="23">
        <f>IFERROR(__xludf.DUMMYFUNCTION("""COMPUTED_VALUE"""),58.3)</f>
        <v>58.3</v>
      </c>
      <c r="C548" s="22">
        <f>IFERROR(__xludf.DUMMYFUNCTION("""COMPUTED_VALUE"""),44013.66666666667)</f>
        <v>44013.66667</v>
      </c>
      <c r="D548" s="23">
        <f>IFERROR(__xludf.DUMMYFUNCTION("""COMPUTED_VALUE"""),99.01)</f>
        <v>99.01</v>
      </c>
      <c r="E548" s="22">
        <f>IFERROR(__xludf.DUMMYFUNCTION("""COMPUTED_VALUE"""),42937.66666666667)</f>
        <v>42937.66667</v>
      </c>
      <c r="F548" s="23">
        <f>IFERROR(__xludf.DUMMYFUNCTION("""COMPUTED_VALUE"""),12.97)</f>
        <v>12.97</v>
      </c>
      <c r="G548" s="22">
        <f>IFERROR(__xludf.DUMMYFUNCTION("""COMPUTED_VALUE"""),44883.66666666667)</f>
        <v>44883.66667</v>
      </c>
      <c r="H548" s="23">
        <f>IFERROR(__xludf.DUMMYFUNCTION("""COMPUTED_VALUE"""),89.09)</f>
        <v>89.09</v>
      </c>
      <c r="I548" s="22">
        <f>IFERROR(__xludf.DUMMYFUNCTION("""COMPUTED_VALUE"""),44883.66666666667)</f>
        <v>44883.66667</v>
      </c>
      <c r="J548" s="23">
        <f>IFERROR(__xludf.DUMMYFUNCTION("""COMPUTED_VALUE"""),294.62)</f>
        <v>294.62</v>
      </c>
      <c r="K548" s="22">
        <f>IFERROR(__xludf.DUMMYFUNCTION("""COMPUTED_VALUE"""),44883.66666666667)</f>
        <v>44883.66667</v>
      </c>
      <c r="L548" s="23">
        <f>IFERROR(__xludf.DUMMYFUNCTION("""COMPUTED_VALUE"""),74.98)</f>
        <v>74.98</v>
      </c>
      <c r="M548" s="23">
        <v>1500.0</v>
      </c>
      <c r="N548" s="23">
        <v>1500.0</v>
      </c>
      <c r="O548" s="23">
        <v>1500.0</v>
      </c>
      <c r="P548" s="23">
        <f t="shared" si="1"/>
        <v>16.8369065</v>
      </c>
      <c r="Q548" s="23">
        <f t="shared" si="2"/>
        <v>5.091304053</v>
      </c>
      <c r="R548" s="23">
        <f t="shared" si="3"/>
        <v>20.00533476</v>
      </c>
      <c r="S548" s="19"/>
      <c r="T548" s="19"/>
      <c r="U548" s="19"/>
      <c r="V548" s="19"/>
    </row>
    <row r="549">
      <c r="A549" s="22">
        <f>IFERROR(__xludf.DUMMYFUNCTION("""COMPUTED_VALUE"""),42755.66666666667)</f>
        <v>42755.66667</v>
      </c>
      <c r="B549" s="23">
        <f>IFERROR(__xludf.DUMMYFUNCTION("""COMPUTED_VALUE"""),57.95)</f>
        <v>57.95</v>
      </c>
      <c r="C549" s="22">
        <f>IFERROR(__xludf.DUMMYFUNCTION("""COMPUTED_VALUE"""),44014.66666666667)</f>
        <v>44014.66667</v>
      </c>
      <c r="D549" s="23">
        <f>IFERROR(__xludf.DUMMYFUNCTION("""COMPUTED_VALUE"""),101.0)</f>
        <v>101</v>
      </c>
      <c r="E549" s="22">
        <f>IFERROR(__xludf.DUMMYFUNCTION("""COMPUTED_VALUE"""),42940.66666666667)</f>
        <v>42940.66667</v>
      </c>
      <c r="F549" s="23">
        <f>IFERROR(__xludf.DUMMYFUNCTION("""COMPUTED_VALUE"""),12.92)</f>
        <v>12.92</v>
      </c>
      <c r="G549" s="22">
        <f>IFERROR(__xludf.DUMMYFUNCTION("""COMPUTED_VALUE"""),44889.66666666667)</f>
        <v>44889.66667</v>
      </c>
      <c r="H549" s="23">
        <f>IFERROR(__xludf.DUMMYFUNCTION("""COMPUTED_VALUE"""),90.13)</f>
        <v>90.13</v>
      </c>
      <c r="I549" s="22">
        <f>IFERROR(__xludf.DUMMYFUNCTION("""COMPUTED_VALUE"""),44889.66666666667)</f>
        <v>44889.66667</v>
      </c>
      <c r="J549" s="23">
        <f>IFERROR(__xludf.DUMMYFUNCTION("""COMPUTED_VALUE"""),298.24)</f>
        <v>298.24</v>
      </c>
      <c r="K549" s="22">
        <f>IFERROR(__xludf.DUMMYFUNCTION("""COMPUTED_VALUE"""),44889.66666666667)</f>
        <v>44889.66667</v>
      </c>
      <c r="L549" s="23">
        <f>IFERROR(__xludf.DUMMYFUNCTION("""COMPUTED_VALUE"""),75.67)</f>
        <v>75.67</v>
      </c>
      <c r="M549" s="23">
        <v>0.0</v>
      </c>
      <c r="N549" s="23">
        <v>0.0</v>
      </c>
      <c r="O549" s="23">
        <v>0.0</v>
      </c>
      <c r="P549" s="23">
        <f t="shared" si="1"/>
        <v>0</v>
      </c>
      <c r="Q549" s="23">
        <f t="shared" si="2"/>
        <v>0</v>
      </c>
      <c r="R549" s="23">
        <f t="shared" si="3"/>
        <v>0</v>
      </c>
      <c r="S549" s="19"/>
      <c r="T549" s="19"/>
      <c r="U549" s="19"/>
      <c r="V549" s="19"/>
    </row>
    <row r="550">
      <c r="A550" s="22">
        <f>IFERROR(__xludf.DUMMYFUNCTION("""COMPUTED_VALUE"""),42758.66666666667)</f>
        <v>42758.66667</v>
      </c>
      <c r="B550" s="23">
        <f>IFERROR(__xludf.DUMMYFUNCTION("""COMPUTED_VALUE"""),57.93)</f>
        <v>57.93</v>
      </c>
      <c r="C550" s="22">
        <f>IFERROR(__xludf.DUMMYFUNCTION("""COMPUTED_VALUE"""),44015.66666666667)</f>
        <v>44015.66667</v>
      </c>
      <c r="D550" s="23">
        <f>IFERROR(__xludf.DUMMYFUNCTION("""COMPUTED_VALUE"""),100.87)</f>
        <v>100.87</v>
      </c>
      <c r="E550" s="22">
        <f>IFERROR(__xludf.DUMMYFUNCTION("""COMPUTED_VALUE"""),42941.66666666667)</f>
        <v>42941.66667</v>
      </c>
      <c r="F550" s="23">
        <f>IFERROR(__xludf.DUMMYFUNCTION("""COMPUTED_VALUE"""),12.93)</f>
        <v>12.93</v>
      </c>
      <c r="G550" s="22">
        <f>IFERROR(__xludf.DUMMYFUNCTION("""COMPUTED_VALUE"""),44897.66666666667)</f>
        <v>44897.66667</v>
      </c>
      <c r="H550" s="23">
        <f>IFERROR(__xludf.DUMMYFUNCTION("""COMPUTED_VALUE"""),90.92)</f>
        <v>90.92</v>
      </c>
      <c r="I550" s="22">
        <f>IFERROR(__xludf.DUMMYFUNCTION("""COMPUTED_VALUE"""),44897.66666666667)</f>
        <v>44897.66667</v>
      </c>
      <c r="J550" s="23">
        <f>IFERROR(__xludf.DUMMYFUNCTION("""COMPUTED_VALUE"""),299.0)</f>
        <v>299</v>
      </c>
      <c r="K550" s="22">
        <f>IFERROR(__xludf.DUMMYFUNCTION("""COMPUTED_VALUE"""),44897.66666666667)</f>
        <v>44897.66667</v>
      </c>
      <c r="L550" s="23">
        <f>IFERROR(__xludf.DUMMYFUNCTION("""COMPUTED_VALUE"""),76.41)</f>
        <v>76.41</v>
      </c>
      <c r="M550" s="23">
        <v>0.0</v>
      </c>
      <c r="N550" s="23">
        <v>0.0</v>
      </c>
      <c r="O550" s="23">
        <v>0.0</v>
      </c>
      <c r="P550" s="23">
        <f t="shared" si="1"/>
        <v>0</v>
      </c>
      <c r="Q550" s="23">
        <f t="shared" si="2"/>
        <v>0</v>
      </c>
      <c r="R550" s="23">
        <f t="shared" si="3"/>
        <v>0</v>
      </c>
      <c r="S550" s="19"/>
      <c r="T550" s="19"/>
      <c r="U550" s="19"/>
      <c r="V550" s="19"/>
    </row>
    <row r="551">
      <c r="A551" s="22">
        <f>IFERROR(__xludf.DUMMYFUNCTION("""COMPUTED_VALUE"""),42759.66666666667)</f>
        <v>42759.66667</v>
      </c>
      <c r="B551" s="23">
        <f>IFERROR(__xludf.DUMMYFUNCTION("""COMPUTED_VALUE"""),58.01)</f>
        <v>58.01</v>
      </c>
      <c r="C551" s="22">
        <f>IFERROR(__xludf.DUMMYFUNCTION("""COMPUTED_VALUE"""),44018.66666666667)</f>
        <v>44018.66667</v>
      </c>
      <c r="D551" s="23">
        <f>IFERROR(__xludf.DUMMYFUNCTION("""COMPUTED_VALUE"""),100.87)</f>
        <v>100.87</v>
      </c>
      <c r="E551" s="22">
        <f>IFERROR(__xludf.DUMMYFUNCTION("""COMPUTED_VALUE"""),42942.66666666667)</f>
        <v>42942.66667</v>
      </c>
      <c r="F551" s="23">
        <f>IFERROR(__xludf.DUMMYFUNCTION("""COMPUTED_VALUE"""),13.01)</f>
        <v>13.01</v>
      </c>
      <c r="G551" s="22">
        <f>IFERROR(__xludf.DUMMYFUNCTION("""COMPUTED_VALUE"""),44904.66666666667)</f>
        <v>44904.66667</v>
      </c>
      <c r="H551" s="23">
        <f>IFERROR(__xludf.DUMMYFUNCTION("""COMPUTED_VALUE"""),89.81)</f>
        <v>89.81</v>
      </c>
      <c r="I551" s="22">
        <f>IFERROR(__xludf.DUMMYFUNCTION("""COMPUTED_VALUE"""),44904.66666666667)</f>
        <v>44904.66667</v>
      </c>
      <c r="J551" s="23">
        <f>IFERROR(__xludf.DUMMYFUNCTION("""COMPUTED_VALUE"""),292.65)</f>
        <v>292.65</v>
      </c>
      <c r="K551" s="22">
        <f>IFERROR(__xludf.DUMMYFUNCTION("""COMPUTED_VALUE"""),44904.66666666667)</f>
        <v>44904.66667</v>
      </c>
      <c r="L551" s="23">
        <f>IFERROR(__xludf.DUMMYFUNCTION("""COMPUTED_VALUE"""),76.39)</f>
        <v>76.39</v>
      </c>
      <c r="M551" s="23">
        <v>0.0</v>
      </c>
      <c r="N551" s="23">
        <v>0.0</v>
      </c>
      <c r="O551" s="23">
        <v>0.0</v>
      </c>
      <c r="P551" s="23">
        <f t="shared" si="1"/>
        <v>0</v>
      </c>
      <c r="Q551" s="23">
        <f t="shared" si="2"/>
        <v>0</v>
      </c>
      <c r="R551" s="23">
        <f t="shared" si="3"/>
        <v>0</v>
      </c>
      <c r="S551" s="19"/>
      <c r="T551" s="19"/>
      <c r="U551" s="19"/>
      <c r="V551" s="19"/>
    </row>
    <row r="552">
      <c r="A552" s="22">
        <f>IFERROR(__xludf.DUMMYFUNCTION("""COMPUTED_VALUE"""),42760.66666666667)</f>
        <v>42760.66667</v>
      </c>
      <c r="B552" s="23">
        <f>IFERROR(__xludf.DUMMYFUNCTION("""COMPUTED_VALUE"""),58.48)</f>
        <v>58.48</v>
      </c>
      <c r="C552" s="22">
        <f>IFERROR(__xludf.DUMMYFUNCTION("""COMPUTED_VALUE"""),44019.66666666667)</f>
        <v>44019.66667</v>
      </c>
      <c r="D552" s="23">
        <f>IFERROR(__xludf.DUMMYFUNCTION("""COMPUTED_VALUE"""),100.6)</f>
        <v>100.6</v>
      </c>
      <c r="E552" s="22">
        <f>IFERROR(__xludf.DUMMYFUNCTION("""COMPUTED_VALUE"""),42943.66666666667)</f>
        <v>42943.66667</v>
      </c>
      <c r="F552" s="23">
        <f>IFERROR(__xludf.DUMMYFUNCTION("""COMPUTED_VALUE"""),12.88)</f>
        <v>12.88</v>
      </c>
      <c r="G552" s="22">
        <f>IFERROR(__xludf.DUMMYFUNCTION("""COMPUTED_VALUE"""),44911.66666666667)</f>
        <v>44911.66667</v>
      </c>
      <c r="H552" s="23">
        <f>IFERROR(__xludf.DUMMYFUNCTION("""COMPUTED_VALUE"""),88.98)</f>
        <v>88.98</v>
      </c>
      <c r="I552" s="22">
        <f>IFERROR(__xludf.DUMMYFUNCTION("""COMPUTED_VALUE"""),44911.66666666667)</f>
        <v>44911.66667</v>
      </c>
      <c r="J552" s="23">
        <f>IFERROR(__xludf.DUMMYFUNCTION("""COMPUTED_VALUE"""),290.72)</f>
        <v>290.72</v>
      </c>
      <c r="K552" s="22">
        <f>IFERROR(__xludf.DUMMYFUNCTION("""COMPUTED_VALUE"""),44911.66666666667)</f>
        <v>44911.66667</v>
      </c>
      <c r="L552" s="23">
        <f>IFERROR(__xludf.DUMMYFUNCTION("""COMPUTED_VALUE"""),76.14)</f>
        <v>76.14</v>
      </c>
      <c r="M552" s="23">
        <v>1500.0</v>
      </c>
      <c r="N552" s="23">
        <v>1500.0</v>
      </c>
      <c r="O552" s="23">
        <v>1500.0</v>
      </c>
      <c r="P552" s="23">
        <f t="shared" si="1"/>
        <v>16.85772084</v>
      </c>
      <c r="Q552" s="23">
        <f t="shared" si="2"/>
        <v>5.159603742</v>
      </c>
      <c r="R552" s="23">
        <f t="shared" si="3"/>
        <v>19.70055162</v>
      </c>
      <c r="S552" s="19"/>
      <c r="T552" s="19"/>
      <c r="U552" s="19"/>
      <c r="V552" s="19"/>
    </row>
    <row r="553">
      <c r="A553" s="22">
        <f>IFERROR(__xludf.DUMMYFUNCTION("""COMPUTED_VALUE"""),42762.66666666667)</f>
        <v>42762.66667</v>
      </c>
      <c r="B553" s="23">
        <f>IFERROR(__xludf.DUMMYFUNCTION("""COMPUTED_VALUE"""),58.9)</f>
        <v>58.9</v>
      </c>
      <c r="C553" s="22">
        <f>IFERROR(__xludf.DUMMYFUNCTION("""COMPUTED_VALUE"""),44020.66666666667)</f>
        <v>44020.66667</v>
      </c>
      <c r="D553" s="23">
        <f>IFERROR(__xludf.DUMMYFUNCTION("""COMPUTED_VALUE"""),99.04)</f>
        <v>99.04</v>
      </c>
      <c r="E553" s="22">
        <f>IFERROR(__xludf.DUMMYFUNCTION("""COMPUTED_VALUE"""),42944.66666666667)</f>
        <v>42944.66667</v>
      </c>
      <c r="F553" s="23">
        <f>IFERROR(__xludf.DUMMYFUNCTION("""COMPUTED_VALUE"""),12.74)</f>
        <v>12.74</v>
      </c>
      <c r="G553" s="22">
        <f>IFERROR(__xludf.DUMMYFUNCTION("""COMPUTED_VALUE"""),44918.66666666667)</f>
        <v>44918.66667</v>
      </c>
      <c r="H553" s="23">
        <f>IFERROR(__xludf.DUMMYFUNCTION("""COMPUTED_VALUE"""),88.36)</f>
        <v>88.36</v>
      </c>
      <c r="I553" s="22">
        <f>IFERROR(__xludf.DUMMYFUNCTION("""COMPUTED_VALUE"""),44918.66666666667)</f>
        <v>44918.66667</v>
      </c>
      <c r="J553" s="23">
        <f>IFERROR(__xludf.DUMMYFUNCTION("""COMPUTED_VALUE"""),285.69)</f>
        <v>285.69</v>
      </c>
      <c r="K553" s="22">
        <f>IFERROR(__xludf.DUMMYFUNCTION("""COMPUTED_VALUE"""),44918.66666666667)</f>
        <v>44918.66667</v>
      </c>
      <c r="L553" s="23">
        <f>IFERROR(__xludf.DUMMYFUNCTION("""COMPUTED_VALUE"""),75.3)</f>
        <v>75.3</v>
      </c>
      <c r="M553" s="23">
        <v>0.0</v>
      </c>
      <c r="N553" s="23">
        <v>0.0</v>
      </c>
      <c r="O553" s="23">
        <v>0.0</v>
      </c>
      <c r="P553" s="23">
        <f t="shared" si="1"/>
        <v>0</v>
      </c>
      <c r="Q553" s="23">
        <f t="shared" si="2"/>
        <v>0</v>
      </c>
      <c r="R553" s="23">
        <f t="shared" si="3"/>
        <v>0</v>
      </c>
      <c r="S553" s="19"/>
      <c r="T553" s="19"/>
      <c r="U553" s="19"/>
      <c r="V553" s="19"/>
    </row>
    <row r="554">
      <c r="A554" s="22">
        <f>IFERROR(__xludf.DUMMYFUNCTION("""COMPUTED_VALUE"""),42765.66666666667)</f>
        <v>42765.66667</v>
      </c>
      <c r="B554" s="23">
        <f>IFERROR(__xludf.DUMMYFUNCTION("""COMPUTED_VALUE"""),58.57)</f>
        <v>58.57</v>
      </c>
      <c r="C554" s="22">
        <f>IFERROR(__xludf.DUMMYFUNCTION("""COMPUTED_VALUE"""),44021.66666666667)</f>
        <v>44021.66667</v>
      </c>
      <c r="D554" s="23">
        <f>IFERROR(__xludf.DUMMYFUNCTION("""COMPUTED_VALUE"""),99.66)</f>
        <v>99.66</v>
      </c>
      <c r="E554" s="22">
        <f>IFERROR(__xludf.DUMMYFUNCTION("""COMPUTED_VALUE"""),42947.66666666667)</f>
        <v>42947.66667</v>
      </c>
      <c r="F554" s="23">
        <f>IFERROR(__xludf.DUMMYFUNCTION("""COMPUTED_VALUE"""),12.83)</f>
        <v>12.83</v>
      </c>
      <c r="G554" s="22">
        <f>IFERROR(__xludf.DUMMYFUNCTION("""COMPUTED_VALUE"""),44925.66666666667)</f>
        <v>44925.66667</v>
      </c>
      <c r="H554" s="23">
        <f>IFERROR(__xludf.DUMMYFUNCTION("""COMPUTED_VALUE"""),87.7)</f>
        <v>87.7</v>
      </c>
      <c r="I554" s="22">
        <f>IFERROR(__xludf.DUMMYFUNCTION("""COMPUTED_VALUE"""),44925.66666666667)</f>
        <v>44925.66667</v>
      </c>
      <c r="J554" s="23">
        <f>IFERROR(__xludf.DUMMYFUNCTION("""COMPUTED_VALUE"""),282.68)</f>
        <v>282.68</v>
      </c>
      <c r="K554" s="22">
        <f>IFERROR(__xludf.DUMMYFUNCTION("""COMPUTED_VALUE"""),44925.66666666667)</f>
        <v>44925.66667</v>
      </c>
      <c r="L554" s="23">
        <f>IFERROR(__xludf.DUMMYFUNCTION("""COMPUTED_VALUE"""),74.78)</f>
        <v>74.78</v>
      </c>
      <c r="M554" s="23">
        <v>0.0</v>
      </c>
      <c r="N554" s="23">
        <v>0.0</v>
      </c>
      <c r="O554" s="23">
        <v>0.0</v>
      </c>
      <c r="P554" s="23">
        <f t="shared" si="1"/>
        <v>0</v>
      </c>
      <c r="Q554" s="23">
        <f t="shared" si="2"/>
        <v>0</v>
      </c>
      <c r="R554" s="23">
        <f t="shared" si="3"/>
        <v>0</v>
      </c>
      <c r="S554" s="19"/>
      <c r="T554" s="19"/>
      <c r="U554" s="19"/>
      <c r="V554" s="19"/>
    </row>
    <row r="555">
      <c r="A555" s="22">
        <f>IFERROR(__xludf.DUMMYFUNCTION("""COMPUTED_VALUE"""),42766.66666666667)</f>
        <v>42766.66667</v>
      </c>
      <c r="B555" s="23">
        <f>IFERROR(__xludf.DUMMYFUNCTION("""COMPUTED_VALUE"""),58.14)</f>
        <v>58.14</v>
      </c>
      <c r="C555" s="22">
        <f>IFERROR(__xludf.DUMMYFUNCTION("""COMPUTED_VALUE"""),44022.66666666667)</f>
        <v>44022.66667</v>
      </c>
      <c r="D555" s="23">
        <f>IFERROR(__xludf.DUMMYFUNCTION("""COMPUTED_VALUE"""),98.87)</f>
        <v>98.87</v>
      </c>
      <c r="E555" s="22">
        <f>IFERROR(__xludf.DUMMYFUNCTION("""COMPUTED_VALUE"""),42948.66666666667)</f>
        <v>42948.66667</v>
      </c>
      <c r="F555" s="23">
        <f>IFERROR(__xludf.DUMMYFUNCTION("""COMPUTED_VALUE"""),12.76)</f>
        <v>12.76</v>
      </c>
      <c r="G555" s="22">
        <f>IFERROR(__xludf.DUMMYFUNCTION("""COMPUTED_VALUE"""),44932.66666666667)</f>
        <v>44932.66667</v>
      </c>
      <c r="H555" s="23">
        <f>IFERROR(__xludf.DUMMYFUNCTION("""COMPUTED_VALUE"""),87.87)</f>
        <v>87.87</v>
      </c>
      <c r="I555" s="22">
        <f>IFERROR(__xludf.DUMMYFUNCTION("""COMPUTED_VALUE"""),44932.66666666667)</f>
        <v>44932.66667</v>
      </c>
      <c r="J555" s="23">
        <f>IFERROR(__xludf.DUMMYFUNCTION("""COMPUTED_VALUE"""),281.97)</f>
        <v>281.97</v>
      </c>
      <c r="K555" s="22">
        <f>IFERROR(__xludf.DUMMYFUNCTION("""COMPUTED_VALUE"""),44932.66666666667)</f>
        <v>44932.66667</v>
      </c>
      <c r="L555" s="23">
        <f>IFERROR(__xludf.DUMMYFUNCTION("""COMPUTED_VALUE"""),75.79)</f>
        <v>75.79</v>
      </c>
      <c r="M555" s="23">
        <v>0.0</v>
      </c>
      <c r="N555" s="23">
        <v>0.0</v>
      </c>
      <c r="O555" s="23">
        <v>0.0</v>
      </c>
      <c r="P555" s="23">
        <f t="shared" si="1"/>
        <v>0</v>
      </c>
      <c r="Q555" s="23">
        <f t="shared" si="2"/>
        <v>0</v>
      </c>
      <c r="R555" s="23">
        <f t="shared" si="3"/>
        <v>0</v>
      </c>
      <c r="S555" s="19"/>
      <c r="T555" s="19"/>
      <c r="U555" s="19"/>
      <c r="V555" s="19"/>
    </row>
    <row r="556">
      <c r="A556" s="22">
        <f>IFERROR(__xludf.DUMMYFUNCTION("""COMPUTED_VALUE"""),42767.66666666667)</f>
        <v>42767.66667</v>
      </c>
      <c r="B556" s="23">
        <f>IFERROR(__xludf.DUMMYFUNCTION("""COMPUTED_VALUE"""),58.34)</f>
        <v>58.34</v>
      </c>
      <c r="C556" s="22">
        <f>IFERROR(__xludf.DUMMYFUNCTION("""COMPUTED_VALUE"""),44025.66666666667)</f>
        <v>44025.66667</v>
      </c>
      <c r="D556" s="23">
        <f>IFERROR(__xludf.DUMMYFUNCTION("""COMPUTED_VALUE"""),99.98)</f>
        <v>99.98</v>
      </c>
      <c r="E556" s="22">
        <f>IFERROR(__xludf.DUMMYFUNCTION("""COMPUTED_VALUE"""),42949.66666666667)</f>
        <v>42949.66667</v>
      </c>
      <c r="F556" s="23">
        <f>IFERROR(__xludf.DUMMYFUNCTION("""COMPUTED_VALUE"""),12.94)</f>
        <v>12.94</v>
      </c>
      <c r="G556" s="22">
        <f>IFERROR(__xludf.DUMMYFUNCTION("""COMPUTED_VALUE"""),44939.66666666667)</f>
        <v>44939.66667</v>
      </c>
      <c r="H556" s="23">
        <f>IFERROR(__xludf.DUMMYFUNCTION("""COMPUTED_VALUE"""),90.65)</f>
        <v>90.65</v>
      </c>
      <c r="I556" s="22">
        <f>IFERROR(__xludf.DUMMYFUNCTION("""COMPUTED_VALUE"""),44939.66666666667)</f>
        <v>44939.66667</v>
      </c>
      <c r="J556" s="23">
        <f>IFERROR(__xludf.DUMMYFUNCTION("""COMPUTED_VALUE"""),285.71)</f>
        <v>285.71</v>
      </c>
      <c r="K556" s="22">
        <f>IFERROR(__xludf.DUMMYFUNCTION("""COMPUTED_VALUE"""),44939.66666666667)</f>
        <v>44939.66667</v>
      </c>
      <c r="L556" s="23">
        <f>IFERROR(__xludf.DUMMYFUNCTION("""COMPUTED_VALUE"""),76.89)</f>
        <v>76.89</v>
      </c>
      <c r="M556" s="23">
        <v>1500.0</v>
      </c>
      <c r="N556" s="23">
        <v>1500.0</v>
      </c>
      <c r="O556" s="23">
        <v>1500.0</v>
      </c>
      <c r="P556" s="23">
        <f t="shared" si="1"/>
        <v>16.5471594</v>
      </c>
      <c r="Q556" s="23">
        <f t="shared" si="2"/>
        <v>5.250078751</v>
      </c>
      <c r="R556" s="23">
        <f t="shared" si="3"/>
        <v>19.50838861</v>
      </c>
      <c r="S556" s="19"/>
      <c r="T556" s="19"/>
      <c r="U556" s="19"/>
      <c r="V556" s="19"/>
    </row>
    <row r="557">
      <c r="A557" s="22">
        <f>IFERROR(__xludf.DUMMYFUNCTION("""COMPUTED_VALUE"""),42768.66666666667)</f>
        <v>42768.66667</v>
      </c>
      <c r="B557" s="23">
        <f>IFERROR(__xludf.DUMMYFUNCTION("""COMPUTED_VALUE"""),57.72)</f>
        <v>57.72</v>
      </c>
      <c r="C557" s="22">
        <f>IFERROR(__xludf.DUMMYFUNCTION("""COMPUTED_VALUE"""),44026.66666666667)</f>
        <v>44026.66667</v>
      </c>
      <c r="D557" s="23">
        <f>IFERROR(__xludf.DUMMYFUNCTION("""COMPUTED_VALUE"""),99.35)</f>
        <v>99.35</v>
      </c>
      <c r="E557" s="22">
        <f>IFERROR(__xludf.DUMMYFUNCTION("""COMPUTED_VALUE"""),42950.66666666667)</f>
        <v>42950.66667</v>
      </c>
      <c r="F557" s="23">
        <f>IFERROR(__xludf.DUMMYFUNCTION("""COMPUTED_VALUE"""),12.9)</f>
        <v>12.9</v>
      </c>
      <c r="G557" s="22">
        <f>IFERROR(__xludf.DUMMYFUNCTION("""COMPUTED_VALUE"""),44946.66666666667)</f>
        <v>44946.66667</v>
      </c>
      <c r="H557" s="23">
        <f>IFERROR(__xludf.DUMMYFUNCTION("""COMPUTED_VALUE"""),92.07)</f>
        <v>92.07</v>
      </c>
      <c r="I557" s="22">
        <f>IFERROR(__xludf.DUMMYFUNCTION("""COMPUTED_VALUE"""),44946.66666666667)</f>
        <v>44946.66667</v>
      </c>
      <c r="J557" s="23">
        <f>IFERROR(__xludf.DUMMYFUNCTION("""COMPUTED_VALUE"""),282.71)</f>
        <v>282.71</v>
      </c>
      <c r="K557" s="22">
        <f>IFERROR(__xludf.DUMMYFUNCTION("""COMPUTED_VALUE"""),44946.66666666667)</f>
        <v>44946.66667</v>
      </c>
      <c r="L557" s="23">
        <f>IFERROR(__xludf.DUMMYFUNCTION("""COMPUTED_VALUE"""),77.78)</f>
        <v>77.78</v>
      </c>
      <c r="M557" s="23">
        <v>0.0</v>
      </c>
      <c r="N557" s="23">
        <v>0.0</v>
      </c>
      <c r="O557" s="23">
        <v>0.0</v>
      </c>
      <c r="P557" s="23">
        <f t="shared" si="1"/>
        <v>0</v>
      </c>
      <c r="Q557" s="23">
        <f t="shared" si="2"/>
        <v>0</v>
      </c>
      <c r="R557" s="23">
        <f t="shared" si="3"/>
        <v>0</v>
      </c>
      <c r="S557" s="19"/>
      <c r="T557" s="19"/>
      <c r="U557" s="19"/>
      <c r="V557" s="19"/>
    </row>
    <row r="558">
      <c r="A558" s="22">
        <f>IFERROR(__xludf.DUMMYFUNCTION("""COMPUTED_VALUE"""),42769.66666666667)</f>
        <v>42769.66667</v>
      </c>
      <c r="B558" s="23">
        <f>IFERROR(__xludf.DUMMYFUNCTION("""COMPUTED_VALUE"""),57.59)</f>
        <v>57.59</v>
      </c>
      <c r="C558" s="22">
        <f>IFERROR(__xludf.DUMMYFUNCTION("""COMPUTED_VALUE"""),44027.66666666667)</f>
        <v>44027.66667</v>
      </c>
      <c r="D558" s="23">
        <f>IFERROR(__xludf.DUMMYFUNCTION("""COMPUTED_VALUE"""),101.19)</f>
        <v>101.19</v>
      </c>
      <c r="E558" s="22">
        <f>IFERROR(__xludf.DUMMYFUNCTION("""COMPUTED_VALUE"""),42951.66666666667)</f>
        <v>42951.66667</v>
      </c>
      <c r="F558" s="23">
        <f>IFERROR(__xludf.DUMMYFUNCTION("""COMPUTED_VALUE"""),12.8)</f>
        <v>12.8</v>
      </c>
      <c r="G558" s="22">
        <f>IFERROR(__xludf.DUMMYFUNCTION("""COMPUTED_VALUE"""),44953.66666666667)</f>
        <v>44953.66667</v>
      </c>
      <c r="H558" s="23">
        <f>IFERROR(__xludf.DUMMYFUNCTION("""COMPUTED_VALUE"""),92.59)</f>
        <v>92.59</v>
      </c>
      <c r="I558" s="22">
        <f>IFERROR(__xludf.DUMMYFUNCTION("""COMPUTED_VALUE"""),44953.66666666667)</f>
        <v>44953.66667</v>
      </c>
      <c r="J558" s="23">
        <f>IFERROR(__xludf.DUMMYFUNCTION("""COMPUTED_VALUE"""),285.24)</f>
        <v>285.24</v>
      </c>
      <c r="K558" s="22">
        <f>IFERROR(__xludf.DUMMYFUNCTION("""COMPUTED_VALUE"""),44953.66666666667)</f>
        <v>44953.66667</v>
      </c>
      <c r="L558" s="23">
        <f>IFERROR(__xludf.DUMMYFUNCTION("""COMPUTED_VALUE"""),77.23)</f>
        <v>77.23</v>
      </c>
      <c r="M558" s="23">
        <v>0.0</v>
      </c>
      <c r="N558" s="23">
        <v>0.0</v>
      </c>
      <c r="O558" s="23">
        <v>0.0</v>
      </c>
      <c r="P558" s="23">
        <f t="shared" si="1"/>
        <v>0</v>
      </c>
      <c r="Q558" s="23">
        <f t="shared" si="2"/>
        <v>0</v>
      </c>
      <c r="R558" s="23">
        <f t="shared" si="3"/>
        <v>0</v>
      </c>
      <c r="S558" s="19"/>
      <c r="T558" s="19"/>
      <c r="U558" s="19"/>
      <c r="V558" s="19"/>
    </row>
    <row r="559">
      <c r="A559" s="22">
        <f>IFERROR(__xludf.DUMMYFUNCTION("""COMPUTED_VALUE"""),42772.66666666667)</f>
        <v>42772.66667</v>
      </c>
      <c r="B559" s="23">
        <f>IFERROR(__xludf.DUMMYFUNCTION("""COMPUTED_VALUE"""),57.95)</f>
        <v>57.95</v>
      </c>
      <c r="C559" s="22">
        <f>IFERROR(__xludf.DUMMYFUNCTION("""COMPUTED_VALUE"""),44028.66666666667)</f>
        <v>44028.66667</v>
      </c>
      <c r="D559" s="23">
        <f>IFERROR(__xludf.DUMMYFUNCTION("""COMPUTED_VALUE"""),100.33)</f>
        <v>100.33</v>
      </c>
      <c r="E559" s="22">
        <f>IFERROR(__xludf.DUMMYFUNCTION("""COMPUTED_VALUE"""),42954.66666666667)</f>
        <v>42954.66667</v>
      </c>
      <c r="F559" s="23">
        <f>IFERROR(__xludf.DUMMYFUNCTION("""COMPUTED_VALUE"""),12.91)</f>
        <v>12.91</v>
      </c>
      <c r="G559" s="22">
        <f>IFERROR(__xludf.DUMMYFUNCTION("""COMPUTED_VALUE"""),44960.66666666667)</f>
        <v>44960.66667</v>
      </c>
      <c r="H559" s="23">
        <f>IFERROR(__xludf.DUMMYFUNCTION("""COMPUTED_VALUE"""),93.43)</f>
        <v>93.43</v>
      </c>
      <c r="I559" s="22">
        <f>IFERROR(__xludf.DUMMYFUNCTION("""COMPUTED_VALUE"""),44960.66666666667)</f>
        <v>44960.66667</v>
      </c>
      <c r="J559" s="23">
        <f>IFERROR(__xludf.DUMMYFUNCTION("""COMPUTED_VALUE"""),296.02)</f>
        <v>296.02</v>
      </c>
      <c r="K559" s="22">
        <f>IFERROR(__xludf.DUMMYFUNCTION("""COMPUTED_VALUE"""),44960.66666666667)</f>
        <v>44960.66667</v>
      </c>
      <c r="L559" s="23">
        <f>IFERROR(__xludf.DUMMYFUNCTION("""COMPUTED_VALUE"""),77.54)</f>
        <v>77.54</v>
      </c>
      <c r="M559" s="23">
        <v>0.0</v>
      </c>
      <c r="N559" s="23">
        <v>0.0</v>
      </c>
      <c r="O559" s="23">
        <v>0.0</v>
      </c>
      <c r="P559" s="23">
        <f t="shared" si="1"/>
        <v>0</v>
      </c>
      <c r="Q559" s="23">
        <f t="shared" si="2"/>
        <v>0</v>
      </c>
      <c r="R559" s="23">
        <f t="shared" si="3"/>
        <v>0</v>
      </c>
      <c r="S559" s="19"/>
      <c r="T559" s="19"/>
      <c r="U559" s="19"/>
      <c r="V559" s="19"/>
    </row>
    <row r="560">
      <c r="A560" s="22">
        <f>IFERROR(__xludf.DUMMYFUNCTION("""COMPUTED_VALUE"""),42773.66666666667)</f>
        <v>42773.66667</v>
      </c>
      <c r="B560" s="23">
        <f>IFERROR(__xludf.DUMMYFUNCTION("""COMPUTED_VALUE"""),57.6)</f>
        <v>57.6</v>
      </c>
      <c r="C560" s="22">
        <f>IFERROR(__xludf.DUMMYFUNCTION("""COMPUTED_VALUE"""),44029.66666666667)</f>
        <v>44029.66667</v>
      </c>
      <c r="D560" s="23">
        <f>IFERROR(__xludf.DUMMYFUNCTION("""COMPUTED_VALUE"""),100.59)</f>
        <v>100.59</v>
      </c>
      <c r="E560" s="22">
        <f>IFERROR(__xludf.DUMMYFUNCTION("""COMPUTED_VALUE"""),42955.66666666667)</f>
        <v>42955.66667</v>
      </c>
      <c r="F560" s="23">
        <f>IFERROR(__xludf.DUMMYFUNCTION("""COMPUTED_VALUE"""),12.98)</f>
        <v>12.98</v>
      </c>
      <c r="G560" s="22">
        <f>IFERROR(__xludf.DUMMYFUNCTION("""COMPUTED_VALUE"""),44967.66666666667)</f>
        <v>44967.66667</v>
      </c>
      <c r="H560" s="23">
        <f>IFERROR(__xludf.DUMMYFUNCTION("""COMPUTED_VALUE"""),91.8)</f>
        <v>91.8</v>
      </c>
      <c r="I560" s="22">
        <f>IFERROR(__xludf.DUMMYFUNCTION("""COMPUTED_VALUE"""),44967.66666666667)</f>
        <v>44967.66667</v>
      </c>
      <c r="J560" s="23">
        <f>IFERROR(__xludf.DUMMYFUNCTION("""COMPUTED_VALUE"""),295.28)</f>
        <v>295.28</v>
      </c>
      <c r="K560" s="22">
        <f>IFERROR(__xludf.DUMMYFUNCTION("""COMPUTED_VALUE"""),44967.66666666667)</f>
        <v>44967.66667</v>
      </c>
      <c r="L560" s="23">
        <f>IFERROR(__xludf.DUMMYFUNCTION("""COMPUTED_VALUE"""),77.61)</f>
        <v>77.61</v>
      </c>
      <c r="M560" s="23">
        <v>1500.0</v>
      </c>
      <c r="N560" s="23">
        <v>1500.0</v>
      </c>
      <c r="O560" s="23">
        <v>1500.0</v>
      </c>
      <c r="P560" s="23">
        <f t="shared" si="1"/>
        <v>16.33986928</v>
      </c>
      <c r="Q560" s="23">
        <f t="shared" si="2"/>
        <v>5.07992414</v>
      </c>
      <c r="R560" s="23">
        <f t="shared" si="3"/>
        <v>19.32740626</v>
      </c>
      <c r="S560" s="19"/>
      <c r="T560" s="19"/>
      <c r="U560" s="19"/>
      <c r="V560" s="19"/>
    </row>
    <row r="561">
      <c r="A561" s="22">
        <f>IFERROR(__xludf.DUMMYFUNCTION("""COMPUTED_VALUE"""),42774.66666666667)</f>
        <v>42774.66667</v>
      </c>
      <c r="B561" s="23">
        <f>IFERROR(__xludf.DUMMYFUNCTION("""COMPUTED_VALUE"""),57.95)</f>
        <v>57.95</v>
      </c>
      <c r="C561" s="22">
        <f>IFERROR(__xludf.DUMMYFUNCTION("""COMPUTED_VALUE"""),44032.66666666667)</f>
        <v>44032.66667</v>
      </c>
      <c r="D561" s="23">
        <f>IFERROR(__xludf.DUMMYFUNCTION("""COMPUTED_VALUE"""),100.43)</f>
        <v>100.43</v>
      </c>
      <c r="E561" s="22">
        <f>IFERROR(__xludf.DUMMYFUNCTION("""COMPUTED_VALUE"""),42956.66666666667)</f>
        <v>42956.66667</v>
      </c>
      <c r="F561" s="23">
        <f>IFERROR(__xludf.DUMMYFUNCTION("""COMPUTED_VALUE"""),12.97)</f>
        <v>12.97</v>
      </c>
      <c r="G561" s="22">
        <f>IFERROR(__xludf.DUMMYFUNCTION("""COMPUTED_VALUE"""),44974.66666666667)</f>
        <v>44974.66667</v>
      </c>
      <c r="H561" s="23">
        <f>IFERROR(__xludf.DUMMYFUNCTION("""COMPUTED_VALUE"""),90.81)</f>
        <v>90.81</v>
      </c>
      <c r="I561" s="22">
        <f>IFERROR(__xludf.DUMMYFUNCTION("""COMPUTED_VALUE"""),44974.66666666667)</f>
        <v>44974.66667</v>
      </c>
      <c r="J561" s="23">
        <f>IFERROR(__xludf.DUMMYFUNCTION("""COMPUTED_VALUE"""),299.34)</f>
        <v>299.34</v>
      </c>
      <c r="K561" s="22">
        <f>IFERROR(__xludf.DUMMYFUNCTION("""COMPUTED_VALUE"""),44974.66666666667)</f>
        <v>44974.66667</v>
      </c>
      <c r="L561" s="23">
        <f>IFERROR(__xludf.DUMMYFUNCTION("""COMPUTED_VALUE"""),78.0)</f>
        <v>78</v>
      </c>
      <c r="M561" s="23">
        <v>0.0</v>
      </c>
      <c r="N561" s="23">
        <v>0.0</v>
      </c>
      <c r="O561" s="23">
        <v>0.0</v>
      </c>
      <c r="P561" s="23">
        <f t="shared" si="1"/>
        <v>0</v>
      </c>
      <c r="Q561" s="23">
        <f t="shared" si="2"/>
        <v>0</v>
      </c>
      <c r="R561" s="23">
        <f t="shared" si="3"/>
        <v>0</v>
      </c>
      <c r="S561" s="19"/>
      <c r="T561" s="19"/>
      <c r="U561" s="19"/>
      <c r="V561" s="19"/>
    </row>
    <row r="562">
      <c r="A562" s="22">
        <f>IFERROR(__xludf.DUMMYFUNCTION("""COMPUTED_VALUE"""),42775.66666666667)</f>
        <v>42775.66667</v>
      </c>
      <c r="B562" s="23">
        <f>IFERROR(__xludf.DUMMYFUNCTION("""COMPUTED_VALUE"""),58.14)</f>
        <v>58.14</v>
      </c>
      <c r="C562" s="22">
        <f>IFERROR(__xludf.DUMMYFUNCTION("""COMPUTED_VALUE"""),44033.66666666667)</f>
        <v>44033.66667</v>
      </c>
      <c r="D562" s="23">
        <f>IFERROR(__xludf.DUMMYFUNCTION("""COMPUTED_VALUE"""),102.95)</f>
        <v>102.95</v>
      </c>
      <c r="E562" s="22">
        <f>IFERROR(__xludf.DUMMYFUNCTION("""COMPUTED_VALUE"""),42957.66666666667)</f>
        <v>42957.66667</v>
      </c>
      <c r="F562" s="23">
        <f>IFERROR(__xludf.DUMMYFUNCTION("""COMPUTED_VALUE"""),13.0)</f>
        <v>13</v>
      </c>
      <c r="G562" s="22">
        <f>IFERROR(__xludf.DUMMYFUNCTION("""COMPUTED_VALUE"""),44981.66666666667)</f>
        <v>44981.66667</v>
      </c>
      <c r="H562" s="23">
        <f>IFERROR(__xludf.DUMMYFUNCTION("""COMPUTED_VALUE"""),90.49)</f>
        <v>90.49</v>
      </c>
      <c r="I562" s="22">
        <f>IFERROR(__xludf.DUMMYFUNCTION("""COMPUTED_VALUE"""),44981.66666666667)</f>
        <v>44981.66667</v>
      </c>
      <c r="J562" s="23">
        <f>IFERROR(__xludf.DUMMYFUNCTION("""COMPUTED_VALUE"""),295.91)</f>
        <v>295.91</v>
      </c>
      <c r="K562" s="22">
        <f>IFERROR(__xludf.DUMMYFUNCTION("""COMPUTED_VALUE"""),44981.66666666667)</f>
        <v>44981.66667</v>
      </c>
      <c r="L562" s="23">
        <f>IFERROR(__xludf.DUMMYFUNCTION("""COMPUTED_VALUE"""),77.53)</f>
        <v>77.53</v>
      </c>
      <c r="M562" s="23">
        <v>0.0</v>
      </c>
      <c r="N562" s="23">
        <v>0.0</v>
      </c>
      <c r="O562" s="23">
        <v>0.0</v>
      </c>
      <c r="P562" s="23">
        <f t="shared" si="1"/>
        <v>0</v>
      </c>
      <c r="Q562" s="23">
        <f t="shared" si="2"/>
        <v>0</v>
      </c>
      <c r="R562" s="23">
        <f t="shared" si="3"/>
        <v>0</v>
      </c>
      <c r="S562" s="19"/>
      <c r="T562" s="19"/>
      <c r="U562" s="19"/>
      <c r="V562" s="19"/>
    </row>
    <row r="563">
      <c r="A563" s="22">
        <f>IFERROR(__xludf.DUMMYFUNCTION("""COMPUTED_VALUE"""),42776.66666666667)</f>
        <v>42776.66667</v>
      </c>
      <c r="B563" s="23">
        <f>IFERROR(__xludf.DUMMYFUNCTION("""COMPUTED_VALUE"""),58.43)</f>
        <v>58.43</v>
      </c>
      <c r="C563" s="22">
        <f>IFERROR(__xludf.DUMMYFUNCTION("""COMPUTED_VALUE"""),44034.66666666667)</f>
        <v>44034.66667</v>
      </c>
      <c r="D563" s="23">
        <f>IFERROR(__xludf.DUMMYFUNCTION("""COMPUTED_VALUE"""),101.34)</f>
        <v>101.34</v>
      </c>
      <c r="E563" s="22">
        <f>IFERROR(__xludf.DUMMYFUNCTION("""COMPUTED_VALUE"""),42958.66666666667)</f>
        <v>42958.66667</v>
      </c>
      <c r="F563" s="23">
        <f>IFERROR(__xludf.DUMMYFUNCTION("""COMPUTED_VALUE"""),12.72)</f>
        <v>12.72</v>
      </c>
      <c r="G563" s="22">
        <f>IFERROR(__xludf.DUMMYFUNCTION("""COMPUTED_VALUE"""),44988.66666666667)</f>
        <v>44988.66667</v>
      </c>
      <c r="H563" s="23">
        <f>IFERROR(__xludf.DUMMYFUNCTION("""COMPUTED_VALUE"""),90.46)</f>
        <v>90.46</v>
      </c>
      <c r="I563" s="22">
        <f>IFERROR(__xludf.DUMMYFUNCTION("""COMPUTED_VALUE"""),44988.66666666667)</f>
        <v>44988.66667</v>
      </c>
      <c r="J563" s="23">
        <f>IFERROR(__xludf.DUMMYFUNCTION("""COMPUTED_VALUE"""),296.64)</f>
        <v>296.64</v>
      </c>
      <c r="K563" s="22">
        <f>IFERROR(__xludf.DUMMYFUNCTION("""COMPUTED_VALUE"""),44988.66666666667)</f>
        <v>44988.66667</v>
      </c>
      <c r="L563" s="23">
        <f>IFERROR(__xludf.DUMMYFUNCTION("""COMPUTED_VALUE"""),78.43)</f>
        <v>78.43</v>
      </c>
      <c r="M563" s="23">
        <v>0.0</v>
      </c>
      <c r="N563" s="23">
        <v>0.0</v>
      </c>
      <c r="O563" s="23">
        <v>0.0</v>
      </c>
      <c r="P563" s="23">
        <f t="shared" si="1"/>
        <v>0</v>
      </c>
      <c r="Q563" s="23">
        <f t="shared" si="2"/>
        <v>0</v>
      </c>
      <c r="R563" s="23">
        <f t="shared" si="3"/>
        <v>0</v>
      </c>
      <c r="S563" s="19"/>
      <c r="T563" s="19"/>
      <c r="U563" s="19"/>
      <c r="V563" s="19"/>
    </row>
    <row r="564">
      <c r="A564" s="22">
        <f>IFERROR(__xludf.DUMMYFUNCTION("""COMPUTED_VALUE"""),42779.66666666667)</f>
        <v>42779.66667</v>
      </c>
      <c r="B564" s="23">
        <f>IFERROR(__xludf.DUMMYFUNCTION("""COMPUTED_VALUE"""),58.43)</f>
        <v>58.43</v>
      </c>
      <c r="C564" s="22">
        <f>IFERROR(__xludf.DUMMYFUNCTION("""COMPUTED_VALUE"""),44035.66666666667)</f>
        <v>44035.66667</v>
      </c>
      <c r="D564" s="23">
        <f>IFERROR(__xludf.DUMMYFUNCTION("""COMPUTED_VALUE"""),101.77)</f>
        <v>101.77</v>
      </c>
      <c r="E564" s="22">
        <f>IFERROR(__xludf.DUMMYFUNCTION("""COMPUTED_VALUE"""),42961.66666666667)</f>
        <v>42961.66667</v>
      </c>
      <c r="F564" s="23">
        <f>IFERROR(__xludf.DUMMYFUNCTION("""COMPUTED_VALUE"""),12.9)</f>
        <v>12.9</v>
      </c>
      <c r="G564" s="22">
        <f>IFERROR(__xludf.DUMMYFUNCTION("""COMPUTED_VALUE"""),44995.66666666667)</f>
        <v>44995.66667</v>
      </c>
      <c r="H564" s="23">
        <f>IFERROR(__xludf.DUMMYFUNCTION("""COMPUTED_VALUE"""),89.34)</f>
        <v>89.34</v>
      </c>
      <c r="I564" s="22">
        <f>IFERROR(__xludf.DUMMYFUNCTION("""COMPUTED_VALUE"""),44995.66666666667)</f>
        <v>44995.66667</v>
      </c>
      <c r="J564" s="23">
        <f>IFERROR(__xludf.DUMMYFUNCTION("""COMPUTED_VALUE"""),296.0)</f>
        <v>296</v>
      </c>
      <c r="K564" s="22">
        <f>IFERROR(__xludf.DUMMYFUNCTION("""COMPUTED_VALUE"""),44995.66666666667)</f>
        <v>44995.66667</v>
      </c>
      <c r="L564" s="23">
        <f>IFERROR(__xludf.DUMMYFUNCTION("""COMPUTED_VALUE"""),78.62)</f>
        <v>78.62</v>
      </c>
      <c r="M564" s="23">
        <v>1500.0</v>
      </c>
      <c r="N564" s="23">
        <v>1500.0</v>
      </c>
      <c r="O564" s="23">
        <v>1500.0</v>
      </c>
      <c r="P564" s="23">
        <f t="shared" si="1"/>
        <v>16.78979181</v>
      </c>
      <c r="Q564" s="23">
        <f t="shared" si="2"/>
        <v>5.067567568</v>
      </c>
      <c r="R564" s="23">
        <f t="shared" si="3"/>
        <v>19.07911473</v>
      </c>
      <c r="S564" s="19"/>
      <c r="T564" s="19"/>
      <c r="U564" s="19"/>
      <c r="V564" s="19"/>
    </row>
    <row r="565">
      <c r="A565" s="22">
        <f>IFERROR(__xludf.DUMMYFUNCTION("""COMPUTED_VALUE"""),42780.66666666667)</f>
        <v>42780.66667</v>
      </c>
      <c r="B565" s="23">
        <f>IFERROR(__xludf.DUMMYFUNCTION("""COMPUTED_VALUE"""),58.43)</f>
        <v>58.43</v>
      </c>
      <c r="C565" s="22">
        <f>IFERROR(__xludf.DUMMYFUNCTION("""COMPUTED_VALUE"""),44036.66666666667)</f>
        <v>44036.66667</v>
      </c>
      <c r="D565" s="23">
        <f>IFERROR(__xludf.DUMMYFUNCTION("""COMPUTED_VALUE"""),100.55)</f>
        <v>100.55</v>
      </c>
      <c r="E565" s="22">
        <f>IFERROR(__xludf.DUMMYFUNCTION("""COMPUTED_VALUE"""),42962.66666666667)</f>
        <v>42962.66667</v>
      </c>
      <c r="F565" s="23">
        <f>IFERROR(__xludf.DUMMYFUNCTION("""COMPUTED_VALUE"""),13.08)</f>
        <v>13.08</v>
      </c>
      <c r="G565" s="22">
        <f>IFERROR(__xludf.DUMMYFUNCTION("""COMPUTED_VALUE"""),45002.66666666667)</f>
        <v>45002.66667</v>
      </c>
      <c r="H565" s="23">
        <f>IFERROR(__xludf.DUMMYFUNCTION("""COMPUTED_VALUE"""),87.49)</f>
        <v>87.49</v>
      </c>
      <c r="I565" s="22">
        <f>IFERROR(__xludf.DUMMYFUNCTION("""COMPUTED_VALUE"""),45002.66666666667)</f>
        <v>45002.66667</v>
      </c>
      <c r="J565" s="23">
        <f>IFERROR(__xludf.DUMMYFUNCTION("""COMPUTED_VALUE"""),294.91)</f>
        <v>294.91</v>
      </c>
      <c r="K565" s="22">
        <f>IFERROR(__xludf.DUMMYFUNCTION("""COMPUTED_VALUE"""),45002.66666666667)</f>
        <v>45002.66667</v>
      </c>
      <c r="L565" s="23">
        <f>IFERROR(__xludf.DUMMYFUNCTION("""COMPUTED_VALUE"""),76.62)</f>
        <v>76.62</v>
      </c>
      <c r="M565" s="19"/>
      <c r="N565" s="19"/>
      <c r="O565" s="19"/>
      <c r="P565" s="23">
        <f t="shared" ref="P565:R565" si="4">SUM(P3:P564)</f>
        <v>1048.867895</v>
      </c>
      <c r="Q565" s="23">
        <f t="shared" si="4"/>
        <v>395.651656</v>
      </c>
      <c r="R565" s="23">
        <f t="shared" si="4"/>
        <v>1193.871079</v>
      </c>
      <c r="S565" s="19"/>
      <c r="T565" s="19"/>
      <c r="U565" s="19"/>
      <c r="V565" s="19"/>
    </row>
    <row r="566">
      <c r="A566" s="22">
        <f>IFERROR(__xludf.DUMMYFUNCTION("""COMPUTED_VALUE"""),42781.66666666667)</f>
        <v>42781.66667</v>
      </c>
      <c r="B566" s="23">
        <f>IFERROR(__xludf.DUMMYFUNCTION("""COMPUTED_VALUE"""),58.75)</f>
        <v>58.75</v>
      </c>
      <c r="C566" s="22">
        <f>IFERROR(__xludf.DUMMYFUNCTION("""COMPUTED_VALUE"""),44039.66666666667)</f>
        <v>44039.66667</v>
      </c>
      <c r="D566" s="23">
        <f>IFERROR(__xludf.DUMMYFUNCTION("""COMPUTED_VALUE"""),100.94)</f>
        <v>100.94</v>
      </c>
      <c r="E566" s="22">
        <f>IFERROR(__xludf.DUMMYFUNCTION("""COMPUTED_VALUE"""),42963.66666666667)</f>
        <v>42963.66667</v>
      </c>
      <c r="F566" s="23">
        <f>IFERROR(__xludf.DUMMYFUNCTION("""COMPUTED_VALUE"""),13.06)</f>
        <v>13.06</v>
      </c>
      <c r="G566" s="24">
        <f>IFERROR(__xludf.DUMMYFUNCTION("""COMPUTED_VALUE"""),45009.66666666667)</f>
        <v>45009.66667</v>
      </c>
      <c r="H566" s="19">
        <f>IFERROR(__xludf.DUMMYFUNCTION("""COMPUTED_VALUE"""),86.98)</f>
        <v>86.98</v>
      </c>
      <c r="I566" s="24">
        <f>IFERROR(__xludf.DUMMYFUNCTION("""COMPUTED_VALUE"""),45009.66666666667)</f>
        <v>45009.66667</v>
      </c>
      <c r="J566" s="19">
        <f>IFERROR(__xludf.DUMMYFUNCTION("""COMPUTED_VALUE"""),293.09)</f>
        <v>293.09</v>
      </c>
      <c r="K566" s="24">
        <f>IFERROR(__xludf.DUMMYFUNCTION("""COMPUTED_VALUE"""),45009.66666666667)</f>
        <v>45009.66667</v>
      </c>
      <c r="L566" s="19">
        <f>IFERROR(__xludf.DUMMYFUNCTION("""COMPUTED_VALUE"""),77.85)</f>
        <v>77.85</v>
      </c>
      <c r="M566" s="19"/>
      <c r="N566" s="19"/>
      <c r="O566" s="19"/>
      <c r="P566" s="23">
        <f>P565*H564</f>
        <v>93705.85771</v>
      </c>
      <c r="Q566" s="23">
        <f>Q565*J564</f>
        <v>117112.8902</v>
      </c>
      <c r="R566" s="23">
        <f>R565*L564</f>
        <v>93862.14421</v>
      </c>
      <c r="S566" s="19"/>
      <c r="T566" s="19"/>
      <c r="U566" s="19"/>
      <c r="V566" s="19"/>
    </row>
    <row r="567">
      <c r="A567" s="22">
        <f>IFERROR(__xludf.DUMMYFUNCTION("""COMPUTED_VALUE"""),42782.66666666667)</f>
        <v>42782.66667</v>
      </c>
      <c r="B567" s="23">
        <f>IFERROR(__xludf.DUMMYFUNCTION("""COMPUTED_VALUE"""),58.66)</f>
        <v>58.66</v>
      </c>
      <c r="C567" s="22">
        <f>IFERROR(__xludf.DUMMYFUNCTION("""COMPUTED_VALUE"""),44040.66666666667)</f>
        <v>44040.66667</v>
      </c>
      <c r="D567" s="23">
        <f>IFERROR(__xludf.DUMMYFUNCTION("""COMPUTED_VALUE"""),100.7)</f>
        <v>100.7</v>
      </c>
      <c r="E567" s="22">
        <f>IFERROR(__xludf.DUMMYFUNCTION("""COMPUTED_VALUE"""),42964.66666666667)</f>
        <v>42964.66667</v>
      </c>
      <c r="F567" s="23">
        <f>IFERROR(__xludf.DUMMYFUNCTION("""COMPUTED_VALUE"""),12.9)</f>
        <v>12.9</v>
      </c>
      <c r="G567" s="24">
        <f>IFERROR(__xludf.DUMMYFUNCTION("""COMPUTED_VALUE"""),45016.66666666667)</f>
        <v>45016.66667</v>
      </c>
      <c r="H567" s="19">
        <f>IFERROR(__xludf.DUMMYFUNCTION("""COMPUTED_VALUE"""),89.78)</f>
        <v>89.78</v>
      </c>
      <c r="I567" s="24">
        <f>IFERROR(__xludf.DUMMYFUNCTION("""COMPUTED_VALUE"""),45016.66666666667)</f>
        <v>45016.66667</v>
      </c>
      <c r="J567" s="19">
        <f>IFERROR(__xludf.DUMMYFUNCTION("""COMPUTED_VALUE"""),300.33)</f>
        <v>300.33</v>
      </c>
      <c r="K567" s="24">
        <f>IFERROR(__xludf.DUMMYFUNCTION("""COMPUTED_VALUE"""),45016.66666666667)</f>
        <v>45016.66667</v>
      </c>
      <c r="L567" s="19">
        <f>IFERROR(__xludf.DUMMYFUNCTION("""COMPUTED_VALUE"""),79.54)</f>
        <v>79.54</v>
      </c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>
      <c r="A568" s="22">
        <f>IFERROR(__xludf.DUMMYFUNCTION("""COMPUTED_VALUE"""),42783.66666666667)</f>
        <v>42783.66667</v>
      </c>
      <c r="B568" s="23">
        <f>IFERROR(__xludf.DUMMYFUNCTION("""COMPUTED_VALUE"""),58.69)</f>
        <v>58.69</v>
      </c>
      <c r="C568" s="22">
        <f>IFERROR(__xludf.DUMMYFUNCTION("""COMPUTED_VALUE"""),44041.66666666667)</f>
        <v>44041.66667</v>
      </c>
      <c r="D568" s="23">
        <f>IFERROR(__xludf.DUMMYFUNCTION("""COMPUTED_VALUE"""),100.36)</f>
        <v>100.36</v>
      </c>
      <c r="E568" s="22">
        <f>IFERROR(__xludf.DUMMYFUNCTION("""COMPUTED_VALUE"""),42965.66666666667)</f>
        <v>42965.66667</v>
      </c>
      <c r="F568" s="23">
        <f>IFERROR(__xludf.DUMMYFUNCTION("""COMPUTED_VALUE"""),12.77)</f>
        <v>12.77</v>
      </c>
      <c r="G568" s="24">
        <f>IFERROR(__xludf.DUMMYFUNCTION("""COMPUTED_VALUE"""),45022.66666666667)</f>
        <v>45022.66667</v>
      </c>
      <c r="H568" s="19">
        <f>IFERROR(__xludf.DUMMYFUNCTION("""COMPUTED_VALUE"""),89.73)</f>
        <v>89.73</v>
      </c>
      <c r="I568" s="24">
        <f>IFERROR(__xludf.DUMMYFUNCTION("""COMPUTED_VALUE"""),45022.66666666667)</f>
        <v>45022.66667</v>
      </c>
      <c r="J568" s="19">
        <f>IFERROR(__xludf.DUMMYFUNCTION("""COMPUTED_VALUE"""),302.09)</f>
        <v>302.09</v>
      </c>
      <c r="K568" s="24">
        <f>IFERROR(__xludf.DUMMYFUNCTION("""COMPUTED_VALUE"""),45022.66666666667)</f>
        <v>45022.66667</v>
      </c>
      <c r="L568" s="19">
        <f>IFERROR(__xludf.DUMMYFUNCTION("""COMPUTED_VALUE"""),79.71)</f>
        <v>79.71</v>
      </c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>
      <c r="A569" s="22">
        <f>IFERROR(__xludf.DUMMYFUNCTION("""COMPUTED_VALUE"""),42786.66666666667)</f>
        <v>42786.66667</v>
      </c>
      <c r="B569" s="23">
        <f>IFERROR(__xludf.DUMMYFUNCTION("""COMPUTED_VALUE"""),58.98)</f>
        <v>58.98</v>
      </c>
      <c r="C569" s="22">
        <f>IFERROR(__xludf.DUMMYFUNCTION("""COMPUTED_VALUE"""),44042.66666666667)</f>
        <v>44042.66667</v>
      </c>
      <c r="D569" s="23">
        <f>IFERROR(__xludf.DUMMYFUNCTION("""COMPUTED_VALUE"""),101.1)</f>
        <v>101.1</v>
      </c>
      <c r="E569" s="22">
        <f>IFERROR(__xludf.DUMMYFUNCTION("""COMPUTED_VALUE"""),42968.66666666667)</f>
        <v>42968.66667</v>
      </c>
      <c r="F569" s="23">
        <f>IFERROR(__xludf.DUMMYFUNCTION("""COMPUTED_VALUE"""),12.67)</f>
        <v>12.67</v>
      </c>
      <c r="G569" s="24">
        <f>IFERROR(__xludf.DUMMYFUNCTION("""COMPUTED_VALUE"""),45030.66666666667)</f>
        <v>45030.66667</v>
      </c>
      <c r="H569" s="19">
        <f>IFERROR(__xludf.DUMMYFUNCTION("""COMPUTED_VALUE"""),91.51)</f>
        <v>91.51</v>
      </c>
      <c r="I569" s="24">
        <f>IFERROR(__xludf.DUMMYFUNCTION("""COMPUTED_VALUE"""),45030.66666666667)</f>
        <v>45030.66667</v>
      </c>
      <c r="J569" s="19">
        <f>IFERROR(__xludf.DUMMYFUNCTION("""COMPUTED_VALUE"""),303.0)</f>
        <v>303</v>
      </c>
      <c r="K569" s="24">
        <f>IFERROR(__xludf.DUMMYFUNCTION("""COMPUTED_VALUE"""),45030.66666666667)</f>
        <v>45030.66667</v>
      </c>
      <c r="L569" s="19">
        <f>IFERROR(__xludf.DUMMYFUNCTION("""COMPUTED_VALUE"""),80.79)</f>
        <v>80.79</v>
      </c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>
      <c r="A570" s="22">
        <f>IFERROR(__xludf.DUMMYFUNCTION("""COMPUTED_VALUE"""),42787.66666666667)</f>
        <v>42787.66667</v>
      </c>
      <c r="B570" s="23">
        <f>IFERROR(__xludf.DUMMYFUNCTION("""COMPUTED_VALUE"""),59.05)</f>
        <v>59.05</v>
      </c>
      <c r="C570" s="22">
        <f>IFERROR(__xludf.DUMMYFUNCTION("""COMPUTED_VALUE"""),44043.66666666667)</f>
        <v>44043.66667</v>
      </c>
      <c r="D570" s="23">
        <f>IFERROR(__xludf.DUMMYFUNCTION("""COMPUTED_VALUE"""),98.78)</f>
        <v>98.78</v>
      </c>
      <c r="E570" s="22">
        <f>IFERROR(__xludf.DUMMYFUNCTION("""COMPUTED_VALUE"""),42969.66666666667)</f>
        <v>42969.66667</v>
      </c>
      <c r="F570" s="23">
        <f>IFERROR(__xludf.DUMMYFUNCTION("""COMPUTED_VALUE"""),12.71)</f>
        <v>12.71</v>
      </c>
      <c r="G570" s="24">
        <f>IFERROR(__xludf.DUMMYFUNCTION("""COMPUTED_VALUE"""),45037.66666666667)</f>
        <v>45037.66667</v>
      </c>
      <c r="H570" s="19">
        <f>IFERROR(__xludf.DUMMYFUNCTION("""COMPUTED_VALUE"""),91.07)</f>
        <v>91.07</v>
      </c>
      <c r="I570" s="24">
        <f>IFERROR(__xludf.DUMMYFUNCTION("""COMPUTED_VALUE"""),45037.66666666667)</f>
        <v>45037.66667</v>
      </c>
      <c r="J570" s="19">
        <f>IFERROR(__xludf.DUMMYFUNCTION("""COMPUTED_VALUE"""),305.67)</f>
        <v>305.67</v>
      </c>
      <c r="K570" s="24">
        <f>IFERROR(__xludf.DUMMYFUNCTION("""COMPUTED_VALUE"""),45037.66666666667)</f>
        <v>45037.66667</v>
      </c>
      <c r="L570" s="19">
        <f>IFERROR(__xludf.DUMMYFUNCTION("""COMPUTED_VALUE"""),80.99)</f>
        <v>80.99</v>
      </c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>
      <c r="A571" s="22">
        <f>IFERROR(__xludf.DUMMYFUNCTION("""COMPUTED_VALUE"""),42788.66666666667)</f>
        <v>42788.66667</v>
      </c>
      <c r="B571" s="23">
        <f>IFERROR(__xludf.DUMMYFUNCTION("""COMPUTED_VALUE"""),59.05)</f>
        <v>59.05</v>
      </c>
      <c r="C571" s="22">
        <f>IFERROR(__xludf.DUMMYFUNCTION("""COMPUTED_VALUE"""),44046.66666666667)</f>
        <v>44046.66667</v>
      </c>
      <c r="D571" s="23">
        <f>IFERROR(__xludf.DUMMYFUNCTION("""COMPUTED_VALUE"""),99.07)</f>
        <v>99.07</v>
      </c>
      <c r="E571" s="22">
        <f>IFERROR(__xludf.DUMMYFUNCTION("""COMPUTED_VALUE"""),42970.66666666667)</f>
        <v>42970.66667</v>
      </c>
      <c r="F571" s="23">
        <f>IFERROR(__xludf.DUMMYFUNCTION("""COMPUTED_VALUE"""),12.9)</f>
        <v>12.9</v>
      </c>
      <c r="G571" s="24">
        <f>IFERROR(__xludf.DUMMYFUNCTION("""COMPUTED_VALUE"""),45044.66666666667)</f>
        <v>45044.66667</v>
      </c>
      <c r="H571" s="19">
        <f>IFERROR(__xludf.DUMMYFUNCTION("""COMPUTED_VALUE"""),90.88)</f>
        <v>90.88</v>
      </c>
      <c r="I571" s="24">
        <f>IFERROR(__xludf.DUMMYFUNCTION("""COMPUTED_VALUE"""),45044.66666666667)</f>
        <v>45044.66667</v>
      </c>
      <c r="J571" s="19">
        <f>IFERROR(__xludf.DUMMYFUNCTION("""COMPUTED_VALUE"""),308.99)</f>
        <v>308.99</v>
      </c>
      <c r="K571" s="24">
        <f>IFERROR(__xludf.DUMMYFUNCTION("""COMPUTED_VALUE"""),45044.66666666667)</f>
        <v>45044.66667</v>
      </c>
      <c r="L571" s="19">
        <f>IFERROR(__xludf.DUMMYFUNCTION("""COMPUTED_VALUE"""),82.03)</f>
        <v>82.03</v>
      </c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>
      <c r="A572" s="22">
        <f>IFERROR(__xludf.DUMMYFUNCTION("""COMPUTED_VALUE"""),42789.66666666667)</f>
        <v>42789.66667</v>
      </c>
      <c r="B572" s="23">
        <f>IFERROR(__xludf.DUMMYFUNCTION("""COMPUTED_VALUE"""),58.88)</f>
        <v>58.88</v>
      </c>
      <c r="C572" s="22">
        <f>IFERROR(__xludf.DUMMYFUNCTION("""COMPUTED_VALUE"""),44047.66666666667)</f>
        <v>44047.66667</v>
      </c>
      <c r="D572" s="23">
        <f>IFERROR(__xludf.DUMMYFUNCTION("""COMPUTED_VALUE"""),101.02)</f>
        <v>101.02</v>
      </c>
      <c r="E572" s="22">
        <f>IFERROR(__xludf.DUMMYFUNCTION("""COMPUTED_VALUE"""),42971.66666666667)</f>
        <v>42971.66667</v>
      </c>
      <c r="F572" s="23">
        <f>IFERROR(__xludf.DUMMYFUNCTION("""COMPUTED_VALUE"""),12.83)</f>
        <v>12.83</v>
      </c>
      <c r="G572" s="24">
        <f>IFERROR(__xludf.DUMMYFUNCTION("""COMPUTED_VALUE"""),45051.66666666667)</f>
        <v>45051.66667</v>
      </c>
      <c r="H572" s="19">
        <f>IFERROR(__xludf.DUMMYFUNCTION("""COMPUTED_VALUE"""),89.76)</f>
        <v>89.76</v>
      </c>
      <c r="I572" s="24">
        <f>IFERROR(__xludf.DUMMYFUNCTION("""COMPUTED_VALUE"""),45051.66666666667)</f>
        <v>45051.66667</v>
      </c>
      <c r="J572" s="19">
        <f>IFERROR(__xludf.DUMMYFUNCTION("""COMPUTED_VALUE"""),299.34)</f>
        <v>299.34</v>
      </c>
      <c r="K572" s="24">
        <f>IFERROR(__xludf.DUMMYFUNCTION("""COMPUTED_VALUE"""),45051.66666666667)</f>
        <v>45051.66667</v>
      </c>
      <c r="L572" s="19">
        <f>IFERROR(__xludf.DUMMYFUNCTION("""COMPUTED_VALUE"""),80.57)</f>
        <v>80.57</v>
      </c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>
      <c r="A573" s="22">
        <f>IFERROR(__xludf.DUMMYFUNCTION("""COMPUTED_VALUE"""),42790.66666666667)</f>
        <v>42790.66667</v>
      </c>
      <c r="B573" s="23">
        <f>IFERROR(__xludf.DUMMYFUNCTION("""COMPUTED_VALUE"""),58.8)</f>
        <v>58.8</v>
      </c>
      <c r="C573" s="22">
        <f>IFERROR(__xludf.DUMMYFUNCTION("""COMPUTED_VALUE"""),44048.66666666667)</f>
        <v>44048.66667</v>
      </c>
      <c r="D573" s="23">
        <f>IFERROR(__xludf.DUMMYFUNCTION("""COMPUTED_VALUE"""),100.26)</f>
        <v>100.26</v>
      </c>
      <c r="E573" s="22">
        <f>IFERROR(__xludf.DUMMYFUNCTION("""COMPUTED_VALUE"""),42972.66666666667)</f>
        <v>42972.66667</v>
      </c>
      <c r="F573" s="23">
        <f>IFERROR(__xludf.DUMMYFUNCTION("""COMPUTED_VALUE"""),12.83)</f>
        <v>12.83</v>
      </c>
      <c r="G573" s="24">
        <f>IFERROR(__xludf.DUMMYFUNCTION("""COMPUTED_VALUE"""),45058.66666666667)</f>
        <v>45058.66667</v>
      </c>
      <c r="H573" s="19">
        <f>IFERROR(__xludf.DUMMYFUNCTION("""COMPUTED_VALUE"""),90.45)</f>
        <v>90.45</v>
      </c>
      <c r="I573" s="24">
        <f>IFERROR(__xludf.DUMMYFUNCTION("""COMPUTED_VALUE"""),45058.66666666667)</f>
        <v>45058.66667</v>
      </c>
      <c r="J573" s="19">
        <f>IFERROR(__xludf.DUMMYFUNCTION("""COMPUTED_VALUE"""),306.39)</f>
        <v>306.39</v>
      </c>
      <c r="K573" s="24">
        <f>IFERROR(__xludf.DUMMYFUNCTION("""COMPUTED_VALUE"""),45058.66666666667)</f>
        <v>45058.66667</v>
      </c>
      <c r="L573" s="19">
        <f>IFERROR(__xludf.DUMMYFUNCTION("""COMPUTED_VALUE"""),81.17)</f>
        <v>81.17</v>
      </c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>
      <c r="A574" s="22">
        <f>IFERROR(__xludf.DUMMYFUNCTION("""COMPUTED_VALUE"""),42793.66666666667)</f>
        <v>42793.66667</v>
      </c>
      <c r="B574" s="23">
        <f>IFERROR(__xludf.DUMMYFUNCTION("""COMPUTED_VALUE"""),59.02)</f>
        <v>59.02</v>
      </c>
      <c r="C574" s="22">
        <f>IFERROR(__xludf.DUMMYFUNCTION("""COMPUTED_VALUE"""),44049.66666666667)</f>
        <v>44049.66667</v>
      </c>
      <c r="D574" s="23">
        <f>IFERROR(__xludf.DUMMYFUNCTION("""COMPUTED_VALUE"""),100.94)</f>
        <v>100.94</v>
      </c>
      <c r="E574" s="22">
        <f>IFERROR(__xludf.DUMMYFUNCTION("""COMPUTED_VALUE"""),42975.66666666667)</f>
        <v>42975.66667</v>
      </c>
      <c r="F574" s="23">
        <f>IFERROR(__xludf.DUMMYFUNCTION("""COMPUTED_VALUE"""),12.69)</f>
        <v>12.69</v>
      </c>
      <c r="G574" s="24">
        <f>IFERROR(__xludf.DUMMYFUNCTION("""COMPUTED_VALUE"""),45065.66666666667)</f>
        <v>45065.66667</v>
      </c>
      <c r="H574" s="19">
        <f>IFERROR(__xludf.DUMMYFUNCTION("""COMPUTED_VALUE"""),90.87)</f>
        <v>90.87</v>
      </c>
      <c r="I574" s="24">
        <f>IFERROR(__xludf.DUMMYFUNCTION("""COMPUTED_VALUE"""),45065.66666666667)</f>
        <v>45065.66667</v>
      </c>
      <c r="J574" s="19">
        <f>IFERROR(__xludf.DUMMYFUNCTION("""COMPUTED_VALUE"""),314.0)</f>
        <v>314</v>
      </c>
      <c r="K574" s="24">
        <f>IFERROR(__xludf.DUMMYFUNCTION("""COMPUTED_VALUE"""),45065.66666666667)</f>
        <v>45065.66667</v>
      </c>
      <c r="L574" s="19">
        <f>IFERROR(__xludf.DUMMYFUNCTION("""COMPUTED_VALUE"""),81.81)</f>
        <v>81.81</v>
      </c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>
      <c r="A575" s="22">
        <f>IFERROR(__xludf.DUMMYFUNCTION("""COMPUTED_VALUE"""),42794.66666666667)</f>
        <v>42794.66667</v>
      </c>
      <c r="B575" s="23">
        <f>IFERROR(__xludf.DUMMYFUNCTION("""COMPUTED_VALUE"""),59.09)</f>
        <v>59.09</v>
      </c>
      <c r="C575" s="22">
        <f>IFERROR(__xludf.DUMMYFUNCTION("""COMPUTED_VALUE"""),44050.66666666667)</f>
        <v>44050.66667</v>
      </c>
      <c r="D575" s="23">
        <f>IFERROR(__xludf.DUMMYFUNCTION("""COMPUTED_VALUE"""),100.44)</f>
        <v>100.44</v>
      </c>
      <c r="E575" s="22">
        <f>IFERROR(__xludf.DUMMYFUNCTION("""COMPUTED_VALUE"""),42976.66666666667)</f>
        <v>42976.66667</v>
      </c>
      <c r="F575" s="23">
        <f>IFERROR(__xludf.DUMMYFUNCTION("""COMPUTED_VALUE"""),12.7)</f>
        <v>12.7</v>
      </c>
      <c r="G575" s="24">
        <f>IFERROR(__xludf.DUMMYFUNCTION("""COMPUTED_VALUE"""),45072.66666666667)</f>
        <v>45072.66667</v>
      </c>
      <c r="H575" s="19">
        <f>IFERROR(__xludf.DUMMYFUNCTION("""COMPUTED_VALUE"""),89.25)</f>
        <v>89.25</v>
      </c>
      <c r="I575" s="24">
        <f>IFERROR(__xludf.DUMMYFUNCTION("""COMPUTED_VALUE"""),45072.66666666667)</f>
        <v>45072.66667</v>
      </c>
      <c r="J575" s="19">
        <f>IFERROR(__xludf.DUMMYFUNCTION("""COMPUTED_VALUE"""),315.36)</f>
        <v>315.36</v>
      </c>
      <c r="K575" s="24">
        <f>IFERROR(__xludf.DUMMYFUNCTION("""COMPUTED_VALUE"""),45072.66666666667)</f>
        <v>45072.66667</v>
      </c>
      <c r="L575" s="19">
        <f>IFERROR(__xludf.DUMMYFUNCTION("""COMPUTED_VALUE"""),81.56)</f>
        <v>81.56</v>
      </c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>
      <c r="A576" s="22">
        <f>IFERROR(__xludf.DUMMYFUNCTION("""COMPUTED_VALUE"""),42795.66666666667)</f>
        <v>42795.66667</v>
      </c>
      <c r="B576" s="23">
        <f>IFERROR(__xludf.DUMMYFUNCTION("""COMPUTED_VALUE"""),59.26)</f>
        <v>59.26</v>
      </c>
      <c r="C576" s="22">
        <f>IFERROR(__xludf.DUMMYFUNCTION("""COMPUTED_VALUE"""),44053.66666666667)</f>
        <v>44053.66667</v>
      </c>
      <c r="D576" s="23">
        <f>IFERROR(__xludf.DUMMYFUNCTION("""COMPUTED_VALUE"""),102.23)</f>
        <v>102.23</v>
      </c>
      <c r="E576" s="22">
        <f>IFERROR(__xludf.DUMMYFUNCTION("""COMPUTED_VALUE"""),42977.66666666667)</f>
        <v>42977.66667</v>
      </c>
      <c r="F576" s="23">
        <f>IFERROR(__xludf.DUMMYFUNCTION("""COMPUTED_VALUE"""),12.76)</f>
        <v>12.76</v>
      </c>
      <c r="G576" s="24">
        <f>IFERROR(__xludf.DUMMYFUNCTION("""COMPUTED_VALUE"""),45079.66666666667)</f>
        <v>45079.66667</v>
      </c>
      <c r="H576" s="19">
        <f>IFERROR(__xludf.DUMMYFUNCTION("""COMPUTED_VALUE"""),89.22)</f>
        <v>89.22</v>
      </c>
      <c r="I576" s="24">
        <f>IFERROR(__xludf.DUMMYFUNCTION("""COMPUTED_VALUE"""),45079.66666666667)</f>
        <v>45079.66667</v>
      </c>
      <c r="J576" s="19">
        <f>IFERROR(__xludf.DUMMYFUNCTION("""COMPUTED_VALUE"""),316.97)</f>
        <v>316.97</v>
      </c>
      <c r="K576" s="24">
        <f>IFERROR(__xludf.DUMMYFUNCTION("""COMPUTED_VALUE"""),45079.66666666667)</f>
        <v>45079.66667</v>
      </c>
      <c r="L576" s="19">
        <f>IFERROR(__xludf.DUMMYFUNCTION("""COMPUTED_VALUE"""),81.38)</f>
        <v>81.38</v>
      </c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>
      <c r="A577" s="22">
        <f>IFERROR(__xludf.DUMMYFUNCTION("""COMPUTED_VALUE"""),42796.66666666667)</f>
        <v>42796.66667</v>
      </c>
      <c r="B577" s="23">
        <f>IFERROR(__xludf.DUMMYFUNCTION("""COMPUTED_VALUE"""),59.8)</f>
        <v>59.8</v>
      </c>
      <c r="C577" s="22">
        <f>IFERROR(__xludf.DUMMYFUNCTION("""COMPUTED_VALUE"""),44054.66666666667)</f>
        <v>44054.66667</v>
      </c>
      <c r="D577" s="23">
        <f>IFERROR(__xludf.DUMMYFUNCTION("""COMPUTED_VALUE"""),102.53)</f>
        <v>102.53</v>
      </c>
      <c r="E577" s="22">
        <f>IFERROR(__xludf.DUMMYFUNCTION("""COMPUTED_VALUE"""),42978.66666666667)</f>
        <v>42978.66667</v>
      </c>
      <c r="F577" s="23">
        <f>IFERROR(__xludf.DUMMYFUNCTION("""COMPUTED_VALUE"""),13.05)</f>
        <v>13.05</v>
      </c>
      <c r="G577" s="24">
        <f>IFERROR(__xludf.DUMMYFUNCTION("""COMPUTED_VALUE"""),45086.66666666667)</f>
        <v>45086.66667</v>
      </c>
      <c r="H577" s="19">
        <f>IFERROR(__xludf.DUMMYFUNCTION("""COMPUTED_VALUE"""),88.96)</f>
        <v>88.96</v>
      </c>
      <c r="I577" s="24">
        <f>IFERROR(__xludf.DUMMYFUNCTION("""COMPUTED_VALUE"""),45086.66666666667)</f>
        <v>45086.66667</v>
      </c>
      <c r="J577" s="19">
        <f>IFERROR(__xludf.DUMMYFUNCTION("""COMPUTED_VALUE"""),318.48)</f>
        <v>318.48</v>
      </c>
      <c r="K577" s="24">
        <f>IFERROR(__xludf.DUMMYFUNCTION("""COMPUTED_VALUE"""),45086.66666666667)</f>
        <v>45086.66667</v>
      </c>
      <c r="L577" s="19">
        <f>IFERROR(__xludf.DUMMYFUNCTION("""COMPUTED_VALUE"""),81.34)</f>
        <v>81.34</v>
      </c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>
      <c r="A578" s="22">
        <f>IFERROR(__xludf.DUMMYFUNCTION("""COMPUTED_VALUE"""),42797.66666666667)</f>
        <v>42797.66667</v>
      </c>
      <c r="B578" s="23">
        <f>IFERROR(__xludf.DUMMYFUNCTION("""COMPUTED_VALUE"""),60.0)</f>
        <v>60</v>
      </c>
      <c r="C578" s="22">
        <f>IFERROR(__xludf.DUMMYFUNCTION("""COMPUTED_VALUE"""),44055.66666666667)</f>
        <v>44055.66667</v>
      </c>
      <c r="D578" s="23">
        <f>IFERROR(__xludf.DUMMYFUNCTION("""COMPUTED_VALUE"""),102.32)</f>
        <v>102.32</v>
      </c>
      <c r="E578" s="22">
        <f>IFERROR(__xludf.DUMMYFUNCTION("""COMPUTED_VALUE"""),42979.66666666667)</f>
        <v>42979.66667</v>
      </c>
      <c r="F578" s="23">
        <f>IFERROR(__xludf.DUMMYFUNCTION("""COMPUTED_VALUE"""),13.11)</f>
        <v>13.11</v>
      </c>
      <c r="G578" s="24">
        <f>IFERROR(__xludf.DUMMYFUNCTION("""COMPUTED_VALUE"""),45093.66666666667)</f>
        <v>45093.66667</v>
      </c>
      <c r="H578" s="19">
        <f>IFERROR(__xludf.DUMMYFUNCTION("""COMPUTED_VALUE"""),90.59)</f>
        <v>90.59</v>
      </c>
      <c r="I578" s="24">
        <f>IFERROR(__xludf.DUMMYFUNCTION("""COMPUTED_VALUE"""),45093.66666666667)</f>
        <v>45093.66667</v>
      </c>
      <c r="J578" s="19">
        <f>IFERROR(__xludf.DUMMYFUNCTION("""COMPUTED_VALUE"""),319.2)</f>
        <v>319.2</v>
      </c>
      <c r="K578" s="24">
        <f>IFERROR(__xludf.DUMMYFUNCTION("""COMPUTED_VALUE"""),45093.66666666667)</f>
        <v>45093.66667</v>
      </c>
      <c r="L578" s="19">
        <f>IFERROR(__xludf.DUMMYFUNCTION("""COMPUTED_VALUE"""),81.34)</f>
        <v>81.34</v>
      </c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>
      <c r="A579" s="22">
        <f>IFERROR(__xludf.DUMMYFUNCTION("""COMPUTED_VALUE"""),42800.66666666667)</f>
        <v>42800.66667</v>
      </c>
      <c r="B579" s="23">
        <f>IFERROR(__xludf.DUMMYFUNCTION("""COMPUTED_VALUE"""),60.13)</f>
        <v>60.13</v>
      </c>
      <c r="C579" s="22">
        <f>IFERROR(__xludf.DUMMYFUNCTION("""COMPUTED_VALUE"""),44056.66666666667)</f>
        <v>44056.66667</v>
      </c>
      <c r="D579" s="23">
        <f>IFERROR(__xludf.DUMMYFUNCTION("""COMPUTED_VALUE"""),101.76)</f>
        <v>101.76</v>
      </c>
      <c r="E579" s="22">
        <f>IFERROR(__xludf.DUMMYFUNCTION("""COMPUTED_VALUE"""),42982.66666666667)</f>
        <v>42982.66667</v>
      </c>
      <c r="F579" s="23">
        <f>IFERROR(__xludf.DUMMYFUNCTION("""COMPUTED_VALUE"""),12.98)</f>
        <v>12.98</v>
      </c>
      <c r="G579" s="24">
        <f>IFERROR(__xludf.DUMMYFUNCTION("""COMPUTED_VALUE"""),45100.66666666667)</f>
        <v>45100.66667</v>
      </c>
      <c r="H579" s="19">
        <f>IFERROR(__xludf.DUMMYFUNCTION("""COMPUTED_VALUE"""),88.65)</f>
        <v>88.65</v>
      </c>
      <c r="I579" s="24">
        <f>IFERROR(__xludf.DUMMYFUNCTION("""COMPUTED_VALUE"""),45100.66666666667)</f>
        <v>45100.66667</v>
      </c>
      <c r="J579" s="19">
        <f>IFERROR(__xludf.DUMMYFUNCTION("""COMPUTED_VALUE"""),323.0)</f>
        <v>323</v>
      </c>
      <c r="K579" s="24">
        <f>IFERROR(__xludf.DUMMYFUNCTION("""COMPUTED_VALUE"""),45100.66666666667)</f>
        <v>45100.66667</v>
      </c>
      <c r="L579" s="19">
        <f>IFERROR(__xludf.DUMMYFUNCTION("""COMPUTED_VALUE"""),80.07)</f>
        <v>80.07</v>
      </c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>
      <c r="A580" s="22">
        <f>IFERROR(__xludf.DUMMYFUNCTION("""COMPUTED_VALUE"""),42801.66666666667)</f>
        <v>42801.66667</v>
      </c>
      <c r="B580" s="23">
        <f>IFERROR(__xludf.DUMMYFUNCTION("""COMPUTED_VALUE"""),59.77)</f>
        <v>59.77</v>
      </c>
      <c r="C580" s="22">
        <f>IFERROR(__xludf.DUMMYFUNCTION("""COMPUTED_VALUE"""),44057.66666666667)</f>
        <v>44057.66667</v>
      </c>
      <c r="D580" s="23">
        <f>IFERROR(__xludf.DUMMYFUNCTION("""COMPUTED_VALUE"""),102.39)</f>
        <v>102.39</v>
      </c>
      <c r="E580" s="22">
        <f>IFERROR(__xludf.DUMMYFUNCTION("""COMPUTED_VALUE"""),42983.66666666667)</f>
        <v>42983.66667</v>
      </c>
      <c r="F580" s="23">
        <f>IFERROR(__xludf.DUMMYFUNCTION("""COMPUTED_VALUE"""),13.02)</f>
        <v>13.02</v>
      </c>
      <c r="G580" s="24">
        <f>IFERROR(__xludf.DUMMYFUNCTION("""COMPUTED_VALUE"""),45107.66666666667)</f>
        <v>45107.66667</v>
      </c>
      <c r="H580" s="19">
        <f>IFERROR(__xludf.DUMMYFUNCTION("""COMPUTED_VALUE"""),90.07)</f>
        <v>90.07</v>
      </c>
      <c r="I580" s="24">
        <f>IFERROR(__xludf.DUMMYFUNCTION("""COMPUTED_VALUE"""),45107.66666666667)</f>
        <v>45107.66667</v>
      </c>
      <c r="J580" s="19">
        <f>IFERROR(__xludf.DUMMYFUNCTION("""COMPUTED_VALUE"""),329.34)</f>
        <v>329.34</v>
      </c>
      <c r="K580" s="24">
        <f>IFERROR(__xludf.DUMMYFUNCTION("""COMPUTED_VALUE"""),45107.66666666667)</f>
        <v>45107.66667</v>
      </c>
      <c r="L580" s="19">
        <f>IFERROR(__xludf.DUMMYFUNCTION("""COMPUTED_VALUE"""),81.34)</f>
        <v>81.34</v>
      </c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>
      <c r="A581" s="22">
        <f>IFERROR(__xludf.DUMMYFUNCTION("""COMPUTED_VALUE"""),42802.66666666667)</f>
        <v>42802.66667</v>
      </c>
      <c r="B581" s="23">
        <f>IFERROR(__xludf.DUMMYFUNCTION("""COMPUTED_VALUE"""),59.56)</f>
        <v>59.56</v>
      </c>
      <c r="C581" s="22">
        <f>IFERROR(__xludf.DUMMYFUNCTION("""COMPUTED_VALUE"""),44060.66666666667)</f>
        <v>44060.66667</v>
      </c>
      <c r="D581" s="23">
        <f>IFERROR(__xludf.DUMMYFUNCTION("""COMPUTED_VALUE"""),101.61)</f>
        <v>101.61</v>
      </c>
      <c r="E581" s="22">
        <f>IFERROR(__xludf.DUMMYFUNCTION("""COMPUTED_VALUE"""),42984.66666666667)</f>
        <v>42984.66667</v>
      </c>
      <c r="F581" s="23">
        <f>IFERROR(__xludf.DUMMYFUNCTION("""COMPUTED_VALUE"""),12.88)</f>
        <v>12.88</v>
      </c>
      <c r="G581" s="24">
        <f>IFERROR(__xludf.DUMMYFUNCTION("""COMPUTED_VALUE"""),45114.66666666667)</f>
        <v>45114.66667</v>
      </c>
      <c r="H581" s="19">
        <f>IFERROR(__xludf.DUMMYFUNCTION("""COMPUTED_VALUE"""),87.26)</f>
        <v>87.26</v>
      </c>
      <c r="I581" s="24">
        <f>IFERROR(__xludf.DUMMYFUNCTION("""COMPUTED_VALUE"""),45114.66666666667)</f>
        <v>45114.66667</v>
      </c>
      <c r="J581" s="19">
        <f>IFERROR(__xludf.DUMMYFUNCTION("""COMPUTED_VALUE"""),328.91)</f>
        <v>328.91</v>
      </c>
      <c r="K581" s="24">
        <f>IFERROR(__xludf.DUMMYFUNCTION("""COMPUTED_VALUE"""),45114.66666666667)</f>
        <v>45114.66667</v>
      </c>
      <c r="L581" s="19">
        <f>IFERROR(__xludf.DUMMYFUNCTION("""COMPUTED_VALUE"""),80.1)</f>
        <v>80.1</v>
      </c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>
      <c r="A582" s="22">
        <f>IFERROR(__xludf.DUMMYFUNCTION("""COMPUTED_VALUE"""),42803.66666666667)</f>
        <v>42803.66667</v>
      </c>
      <c r="B582" s="23">
        <f>IFERROR(__xludf.DUMMYFUNCTION("""COMPUTED_VALUE"""),60.28)</f>
        <v>60.28</v>
      </c>
      <c r="C582" s="22">
        <f>IFERROR(__xludf.DUMMYFUNCTION("""COMPUTED_VALUE"""),44061.66666666667)</f>
        <v>44061.66667</v>
      </c>
      <c r="D582" s="23">
        <f>IFERROR(__xludf.DUMMYFUNCTION("""COMPUTED_VALUE"""),102.25)</f>
        <v>102.25</v>
      </c>
      <c r="E582" s="22">
        <f>IFERROR(__xludf.DUMMYFUNCTION("""COMPUTED_VALUE"""),42985.66666666667)</f>
        <v>42985.66667</v>
      </c>
      <c r="F582" s="23">
        <f>IFERROR(__xludf.DUMMYFUNCTION("""COMPUTED_VALUE"""),12.9)</f>
        <v>12.9</v>
      </c>
      <c r="G582" s="24">
        <f>IFERROR(__xludf.DUMMYFUNCTION("""COMPUTED_VALUE"""),45121.66666666667)</f>
        <v>45121.66667</v>
      </c>
      <c r="H582" s="19">
        <f>IFERROR(__xludf.DUMMYFUNCTION("""COMPUTED_VALUE"""),90.52)</f>
        <v>90.52</v>
      </c>
      <c r="I582" s="24">
        <f>IFERROR(__xludf.DUMMYFUNCTION("""COMPUTED_VALUE"""),45121.66666666667)</f>
        <v>45121.66667</v>
      </c>
      <c r="J582" s="19">
        <f>IFERROR(__xludf.DUMMYFUNCTION("""COMPUTED_VALUE"""),325.7)</f>
        <v>325.7</v>
      </c>
      <c r="K582" s="24">
        <f>IFERROR(__xludf.DUMMYFUNCTION("""COMPUTED_VALUE"""),45121.66666666667)</f>
        <v>45121.66667</v>
      </c>
      <c r="L582" s="19">
        <f>IFERROR(__xludf.DUMMYFUNCTION("""COMPUTED_VALUE"""),81.35)</f>
        <v>81.35</v>
      </c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>
      <c r="A583" s="22">
        <f>IFERROR(__xludf.DUMMYFUNCTION("""COMPUTED_VALUE"""),42804.66666666667)</f>
        <v>42804.66667</v>
      </c>
      <c r="B583" s="23">
        <f>IFERROR(__xludf.DUMMYFUNCTION("""COMPUTED_VALUE"""),60.58)</f>
        <v>60.58</v>
      </c>
      <c r="C583" s="22">
        <f>IFERROR(__xludf.DUMMYFUNCTION("""COMPUTED_VALUE"""),44062.66666666667)</f>
        <v>44062.66667</v>
      </c>
      <c r="D583" s="23">
        <f>IFERROR(__xludf.DUMMYFUNCTION("""COMPUTED_VALUE"""),103.24)</f>
        <v>103.24</v>
      </c>
      <c r="E583" s="22">
        <f>IFERROR(__xludf.DUMMYFUNCTION("""COMPUTED_VALUE"""),42986.66666666667)</f>
        <v>42986.66667</v>
      </c>
      <c r="F583" s="23">
        <f>IFERROR(__xludf.DUMMYFUNCTION("""COMPUTED_VALUE"""),12.73)</f>
        <v>12.73</v>
      </c>
      <c r="G583" s="24">
        <f>IFERROR(__xludf.DUMMYFUNCTION("""COMPUTED_VALUE"""),45128.66666666667)</f>
        <v>45128.66667</v>
      </c>
      <c r="H583" s="19">
        <f>IFERROR(__xludf.DUMMYFUNCTION("""COMPUTED_VALUE"""),90.65)</f>
        <v>90.65</v>
      </c>
      <c r="I583" s="24">
        <f>IFERROR(__xludf.DUMMYFUNCTION("""COMPUTED_VALUE"""),45128.66666666667)</f>
        <v>45128.66667</v>
      </c>
      <c r="J583" s="19">
        <f>IFERROR(__xludf.DUMMYFUNCTION("""COMPUTED_VALUE"""),333.5)</f>
        <v>333.5</v>
      </c>
      <c r="K583" s="24">
        <f>IFERROR(__xludf.DUMMYFUNCTION("""COMPUTED_VALUE"""),45128.66666666667)</f>
        <v>45128.66667</v>
      </c>
      <c r="L583" s="19">
        <f>IFERROR(__xludf.DUMMYFUNCTION("""COMPUTED_VALUE"""),82.05)</f>
        <v>82.05</v>
      </c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>
      <c r="A584" s="22">
        <f>IFERROR(__xludf.DUMMYFUNCTION("""COMPUTED_VALUE"""),42807.66666666667)</f>
        <v>42807.66667</v>
      </c>
      <c r="B584" s="23">
        <f>IFERROR(__xludf.DUMMYFUNCTION("""COMPUTED_VALUE"""),60.14)</f>
        <v>60.14</v>
      </c>
      <c r="C584" s="22">
        <f>IFERROR(__xludf.DUMMYFUNCTION("""COMPUTED_VALUE"""),44063.66666666667)</f>
        <v>44063.66667</v>
      </c>
      <c r="D584" s="23">
        <f>IFERROR(__xludf.DUMMYFUNCTION("""COMPUTED_VALUE"""),102.3)</f>
        <v>102.3</v>
      </c>
      <c r="E584" s="22">
        <f>IFERROR(__xludf.DUMMYFUNCTION("""COMPUTED_VALUE"""),42989.66666666667)</f>
        <v>42989.66667</v>
      </c>
      <c r="F584" s="23">
        <f>IFERROR(__xludf.DUMMYFUNCTION("""COMPUTED_VALUE"""),12.8)</f>
        <v>12.8</v>
      </c>
      <c r="G584" s="24">
        <f>IFERROR(__xludf.DUMMYFUNCTION("""COMPUTED_VALUE"""),45135.66666666667)</f>
        <v>45135.66667</v>
      </c>
      <c r="H584" s="19">
        <f>IFERROR(__xludf.DUMMYFUNCTION("""COMPUTED_VALUE"""),91.65)</f>
        <v>91.65</v>
      </c>
      <c r="I584" s="24">
        <f>IFERROR(__xludf.DUMMYFUNCTION("""COMPUTED_VALUE"""),45135.66666666667)</f>
        <v>45135.66667</v>
      </c>
      <c r="J584" s="19">
        <f>IFERROR(__xludf.DUMMYFUNCTION("""COMPUTED_VALUE"""),339.23)</f>
        <v>339.23</v>
      </c>
      <c r="K584" s="24">
        <f>IFERROR(__xludf.DUMMYFUNCTION("""COMPUTED_VALUE"""),45135.66666666667)</f>
        <v>45135.66667</v>
      </c>
      <c r="L584" s="19">
        <f>IFERROR(__xludf.DUMMYFUNCTION("""COMPUTED_VALUE"""),84.47)</f>
        <v>84.47</v>
      </c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>
      <c r="A585" s="22">
        <f>IFERROR(__xludf.DUMMYFUNCTION("""COMPUTED_VALUE"""),42808.66666666667)</f>
        <v>42808.66667</v>
      </c>
      <c r="B585" s="23">
        <f>IFERROR(__xludf.DUMMYFUNCTION("""COMPUTED_VALUE"""),60.36)</f>
        <v>60.36</v>
      </c>
      <c r="C585" s="22">
        <f>IFERROR(__xludf.DUMMYFUNCTION("""COMPUTED_VALUE"""),44064.66666666667)</f>
        <v>44064.66667</v>
      </c>
      <c r="D585" s="23">
        <f>IFERROR(__xludf.DUMMYFUNCTION("""COMPUTED_VALUE"""),102.25)</f>
        <v>102.25</v>
      </c>
      <c r="E585" s="22">
        <f>IFERROR(__xludf.DUMMYFUNCTION("""COMPUTED_VALUE"""),42990.66666666667)</f>
        <v>42990.66667</v>
      </c>
      <c r="F585" s="23">
        <f>IFERROR(__xludf.DUMMYFUNCTION("""COMPUTED_VALUE"""),12.95)</f>
        <v>12.95</v>
      </c>
      <c r="G585" s="24">
        <f>IFERROR(__xludf.DUMMYFUNCTION("""COMPUTED_VALUE"""),45142.66666666667)</f>
        <v>45142.66667</v>
      </c>
      <c r="H585" s="19">
        <f>IFERROR(__xludf.DUMMYFUNCTION("""COMPUTED_VALUE"""),90.67)</f>
        <v>90.67</v>
      </c>
      <c r="I585" s="24">
        <f>IFERROR(__xludf.DUMMYFUNCTION("""COMPUTED_VALUE"""),45142.66666666667)</f>
        <v>45142.66667</v>
      </c>
      <c r="J585" s="19">
        <f>IFERROR(__xludf.DUMMYFUNCTION("""COMPUTED_VALUE"""),342.53)</f>
        <v>342.53</v>
      </c>
      <c r="K585" s="24">
        <f>IFERROR(__xludf.DUMMYFUNCTION("""COMPUTED_VALUE"""),45142.66666666667)</f>
        <v>45142.66667</v>
      </c>
      <c r="L585" s="19">
        <f>IFERROR(__xludf.DUMMYFUNCTION("""COMPUTED_VALUE"""),83.5)</f>
        <v>83.5</v>
      </c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>
      <c r="A586" s="22">
        <f>IFERROR(__xludf.DUMMYFUNCTION("""COMPUTED_VALUE"""),42809.66666666667)</f>
        <v>42809.66667</v>
      </c>
      <c r="B586" s="23">
        <f>IFERROR(__xludf.DUMMYFUNCTION("""COMPUTED_VALUE"""),60.11)</f>
        <v>60.11</v>
      </c>
      <c r="C586" s="22">
        <f>IFERROR(__xludf.DUMMYFUNCTION("""COMPUTED_VALUE"""),44067.66666666667)</f>
        <v>44067.66667</v>
      </c>
      <c r="D586" s="23">
        <f>IFERROR(__xludf.DUMMYFUNCTION("""COMPUTED_VALUE"""),102.78)</f>
        <v>102.78</v>
      </c>
      <c r="E586" s="22">
        <f>IFERROR(__xludf.DUMMYFUNCTION("""COMPUTED_VALUE"""),42991.66666666667)</f>
        <v>42991.66667</v>
      </c>
      <c r="F586" s="23">
        <f>IFERROR(__xludf.DUMMYFUNCTION("""COMPUTED_VALUE"""),12.95)</f>
        <v>12.95</v>
      </c>
      <c r="G586" s="24">
        <f>IFERROR(__xludf.DUMMYFUNCTION("""COMPUTED_VALUE"""),45149.66666666667)</f>
        <v>45149.66667</v>
      </c>
      <c r="H586" s="19">
        <f>IFERROR(__xludf.DUMMYFUNCTION("""COMPUTED_VALUE"""),90.93)</f>
        <v>90.93</v>
      </c>
      <c r="I586" s="24">
        <f>IFERROR(__xludf.DUMMYFUNCTION("""COMPUTED_VALUE"""),45149.66666666667)</f>
        <v>45149.66667</v>
      </c>
      <c r="J586" s="19">
        <f>IFERROR(__xludf.DUMMYFUNCTION("""COMPUTED_VALUE"""),340.74)</f>
        <v>340.74</v>
      </c>
      <c r="K586" s="24">
        <f>IFERROR(__xludf.DUMMYFUNCTION("""COMPUTED_VALUE"""),45149.66666666667)</f>
        <v>45149.66667</v>
      </c>
      <c r="L586" s="19">
        <f>IFERROR(__xludf.DUMMYFUNCTION("""COMPUTED_VALUE"""),84.19)</f>
        <v>84.19</v>
      </c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>
      <c r="A587" s="22">
        <f>IFERROR(__xludf.DUMMYFUNCTION("""COMPUTED_VALUE"""),42810.66666666667)</f>
        <v>42810.66667</v>
      </c>
      <c r="B587" s="23">
        <f>IFERROR(__xludf.DUMMYFUNCTION("""COMPUTED_VALUE"""),59.88)</f>
        <v>59.88</v>
      </c>
      <c r="C587" s="22">
        <f>IFERROR(__xludf.DUMMYFUNCTION("""COMPUTED_VALUE"""),44068.66666666667)</f>
        <v>44068.66667</v>
      </c>
      <c r="D587" s="23">
        <f>IFERROR(__xludf.DUMMYFUNCTION("""COMPUTED_VALUE"""),103.08)</f>
        <v>103.08</v>
      </c>
      <c r="E587" s="22">
        <f>IFERROR(__xludf.DUMMYFUNCTION("""COMPUTED_VALUE"""),42992.66666666667)</f>
        <v>42992.66667</v>
      </c>
      <c r="F587" s="23">
        <f>IFERROR(__xludf.DUMMYFUNCTION("""COMPUTED_VALUE"""),13.0)</f>
        <v>13</v>
      </c>
      <c r="G587" s="24">
        <f>IFERROR(__xludf.DUMMYFUNCTION("""COMPUTED_VALUE"""),45156.66666666667)</f>
        <v>45156.66667</v>
      </c>
      <c r="H587" s="19">
        <f>IFERROR(__xludf.DUMMYFUNCTION("""COMPUTED_VALUE"""),88.84)</f>
        <v>88.84</v>
      </c>
      <c r="I587" s="24">
        <f>IFERROR(__xludf.DUMMYFUNCTION("""COMPUTED_VALUE"""),45156.66666666667)</f>
        <v>45156.66667</v>
      </c>
      <c r="J587" s="19">
        <f>IFERROR(__xludf.DUMMYFUNCTION("""COMPUTED_VALUE"""),338.39)</f>
        <v>338.39</v>
      </c>
      <c r="K587" s="24">
        <f>IFERROR(__xludf.DUMMYFUNCTION("""COMPUTED_VALUE"""),45156.66666666667)</f>
        <v>45156.66667</v>
      </c>
      <c r="L587" s="19">
        <f>IFERROR(__xludf.DUMMYFUNCTION("""COMPUTED_VALUE"""),82.71)</f>
        <v>82.71</v>
      </c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>
      <c r="A588" s="22">
        <f>IFERROR(__xludf.DUMMYFUNCTION("""COMPUTED_VALUE"""),42811.66666666667)</f>
        <v>42811.66667</v>
      </c>
      <c r="B588" s="23">
        <f>IFERROR(__xludf.DUMMYFUNCTION("""COMPUTED_VALUE"""),59.93)</f>
        <v>59.93</v>
      </c>
      <c r="C588" s="22">
        <f>IFERROR(__xludf.DUMMYFUNCTION("""COMPUTED_VALUE"""),44069.66666666667)</f>
        <v>44069.66667</v>
      </c>
      <c r="D588" s="23">
        <f>IFERROR(__xludf.DUMMYFUNCTION("""COMPUTED_VALUE"""),102.51)</f>
        <v>102.51</v>
      </c>
      <c r="E588" s="22">
        <f>IFERROR(__xludf.DUMMYFUNCTION("""COMPUTED_VALUE"""),42993.66666666667)</f>
        <v>42993.66667</v>
      </c>
      <c r="F588" s="23">
        <f>IFERROR(__xludf.DUMMYFUNCTION("""COMPUTED_VALUE"""),12.93)</f>
        <v>12.93</v>
      </c>
      <c r="G588" s="24">
        <f>IFERROR(__xludf.DUMMYFUNCTION("""COMPUTED_VALUE"""),45163.66666666667)</f>
        <v>45163.66667</v>
      </c>
      <c r="H588" s="19">
        <f>IFERROR(__xludf.DUMMYFUNCTION("""COMPUTED_VALUE"""),88.47)</f>
        <v>88.47</v>
      </c>
      <c r="I588" s="24">
        <f>IFERROR(__xludf.DUMMYFUNCTION("""COMPUTED_VALUE"""),45163.66666666667)</f>
        <v>45163.66667</v>
      </c>
      <c r="J588" s="19">
        <f>IFERROR(__xludf.DUMMYFUNCTION("""COMPUTED_VALUE"""),338.76)</f>
        <v>338.76</v>
      </c>
      <c r="K588" s="24">
        <f>IFERROR(__xludf.DUMMYFUNCTION("""COMPUTED_VALUE"""),45163.66666666667)</f>
        <v>45163.66667</v>
      </c>
      <c r="L588" s="19">
        <f>IFERROR(__xludf.DUMMYFUNCTION("""COMPUTED_VALUE"""),82.54)</f>
        <v>82.54</v>
      </c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>
      <c r="A589" s="22">
        <f>IFERROR(__xludf.DUMMYFUNCTION("""COMPUTED_VALUE"""),42814.66666666667)</f>
        <v>42814.66667</v>
      </c>
      <c r="B589" s="23">
        <f>IFERROR(__xludf.DUMMYFUNCTION("""COMPUTED_VALUE"""),59.5)</f>
        <v>59.5</v>
      </c>
      <c r="C589" s="22">
        <f>IFERROR(__xludf.DUMMYFUNCTION("""COMPUTED_VALUE"""),44070.66666666667)</f>
        <v>44070.66667</v>
      </c>
      <c r="D589" s="23">
        <f>IFERROR(__xludf.DUMMYFUNCTION("""COMPUTED_VALUE"""),102.58)</f>
        <v>102.58</v>
      </c>
      <c r="E589" s="22">
        <f>IFERROR(__xludf.DUMMYFUNCTION("""COMPUTED_VALUE"""),42996.66666666667)</f>
        <v>42996.66667</v>
      </c>
      <c r="F589" s="23">
        <f>IFERROR(__xludf.DUMMYFUNCTION("""COMPUTED_VALUE"""),12.97)</f>
        <v>12.97</v>
      </c>
      <c r="G589" s="24">
        <f>IFERROR(__xludf.DUMMYFUNCTION("""COMPUTED_VALUE"""),45170.66666666667)</f>
        <v>45170.66667</v>
      </c>
      <c r="H589" s="19">
        <f>IFERROR(__xludf.DUMMYFUNCTION("""COMPUTED_VALUE"""),90.8)</f>
        <v>90.8</v>
      </c>
      <c r="I589" s="24">
        <f>IFERROR(__xludf.DUMMYFUNCTION("""COMPUTED_VALUE"""),45170.66666666667)</f>
        <v>45170.66667</v>
      </c>
      <c r="J589" s="19">
        <f>IFERROR(__xludf.DUMMYFUNCTION("""COMPUTED_VALUE"""),346.85)</f>
        <v>346.85</v>
      </c>
      <c r="K589" s="24">
        <f>IFERROR(__xludf.DUMMYFUNCTION("""COMPUTED_VALUE"""),45170.66666666667)</f>
        <v>45170.66667</v>
      </c>
      <c r="L589" s="19">
        <f>IFERROR(__xludf.DUMMYFUNCTION("""COMPUTED_VALUE"""),83.93)</f>
        <v>83.93</v>
      </c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>
      <c r="A590" s="22">
        <f>IFERROR(__xludf.DUMMYFUNCTION("""COMPUTED_VALUE"""),42815.66666666667)</f>
        <v>42815.66667</v>
      </c>
      <c r="B590" s="23">
        <f>IFERROR(__xludf.DUMMYFUNCTION("""COMPUTED_VALUE"""),59.54)</f>
        <v>59.54</v>
      </c>
      <c r="C590" s="22">
        <f>IFERROR(__xludf.DUMMYFUNCTION("""COMPUTED_VALUE"""),44071.66666666667)</f>
        <v>44071.66667</v>
      </c>
      <c r="D590" s="23">
        <f>IFERROR(__xludf.DUMMYFUNCTION("""COMPUTED_VALUE"""),101.83)</f>
        <v>101.83</v>
      </c>
      <c r="E590" s="22">
        <f>IFERROR(__xludf.DUMMYFUNCTION("""COMPUTED_VALUE"""),42997.66666666667)</f>
        <v>42997.66667</v>
      </c>
      <c r="F590" s="23">
        <f>IFERROR(__xludf.DUMMYFUNCTION("""COMPUTED_VALUE"""),12.99)</f>
        <v>12.99</v>
      </c>
      <c r="G590" s="24">
        <f>IFERROR(__xludf.DUMMYFUNCTION("""COMPUTED_VALUE"""),45177.66666666667)</f>
        <v>45177.66667</v>
      </c>
      <c r="H590" s="19">
        <f>IFERROR(__xludf.DUMMYFUNCTION("""COMPUTED_VALUE"""),89.61)</f>
        <v>89.61</v>
      </c>
      <c r="I590" s="24">
        <f>IFERROR(__xludf.DUMMYFUNCTION("""COMPUTED_VALUE"""),45177.66666666667)</f>
        <v>45177.66667</v>
      </c>
      <c r="J590" s="19">
        <f>IFERROR(__xludf.DUMMYFUNCTION("""COMPUTED_VALUE"""),345.99)</f>
        <v>345.99</v>
      </c>
      <c r="K590" s="24">
        <f>IFERROR(__xludf.DUMMYFUNCTION("""COMPUTED_VALUE"""),45177.66666666667)</f>
        <v>45177.66667</v>
      </c>
      <c r="L590" s="19">
        <f>IFERROR(__xludf.DUMMYFUNCTION("""COMPUTED_VALUE"""),83.51)</f>
        <v>83.51</v>
      </c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>
      <c r="A591" s="22">
        <f>IFERROR(__xludf.DUMMYFUNCTION("""COMPUTED_VALUE"""),42816.66666666667)</f>
        <v>42816.66667</v>
      </c>
      <c r="B591" s="23">
        <f>IFERROR(__xludf.DUMMYFUNCTION("""COMPUTED_VALUE"""),59.19)</f>
        <v>59.19</v>
      </c>
      <c r="C591" s="22">
        <f>IFERROR(__xludf.DUMMYFUNCTION("""COMPUTED_VALUE"""),44074.66666666667)</f>
        <v>44074.66667</v>
      </c>
      <c r="D591" s="23">
        <f>IFERROR(__xludf.DUMMYFUNCTION("""COMPUTED_VALUE"""),101.82)</f>
        <v>101.82</v>
      </c>
      <c r="E591" s="22">
        <f>IFERROR(__xludf.DUMMYFUNCTION("""COMPUTED_VALUE"""),42998.66666666667)</f>
        <v>42998.66667</v>
      </c>
      <c r="F591" s="23">
        <f>IFERROR(__xludf.DUMMYFUNCTION("""COMPUTED_VALUE"""),12.95)</f>
        <v>12.95</v>
      </c>
      <c r="G591" s="24">
        <f>IFERROR(__xludf.DUMMYFUNCTION("""COMPUTED_VALUE"""),45184.66666666667)</f>
        <v>45184.66667</v>
      </c>
      <c r="H591" s="19">
        <f>IFERROR(__xludf.DUMMYFUNCTION("""COMPUTED_VALUE"""),91.29)</f>
        <v>91.29</v>
      </c>
      <c r="I591" s="24">
        <f>IFERROR(__xludf.DUMMYFUNCTION("""COMPUTED_VALUE"""),45184.66666666667)</f>
        <v>45184.66667</v>
      </c>
      <c r="J591" s="19">
        <f>IFERROR(__xludf.DUMMYFUNCTION("""COMPUTED_VALUE"""),346.56)</f>
        <v>346.56</v>
      </c>
      <c r="K591" s="24">
        <f>IFERROR(__xludf.DUMMYFUNCTION("""COMPUTED_VALUE"""),45184.66666666667)</f>
        <v>45184.66667</v>
      </c>
      <c r="L591" s="19">
        <f>IFERROR(__xludf.DUMMYFUNCTION("""COMPUTED_VALUE"""),84.17)</f>
        <v>84.17</v>
      </c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>
      <c r="A592" s="22">
        <f>IFERROR(__xludf.DUMMYFUNCTION("""COMPUTED_VALUE"""),42817.66666666667)</f>
        <v>42817.66667</v>
      </c>
      <c r="B592" s="23">
        <f>IFERROR(__xludf.DUMMYFUNCTION("""COMPUTED_VALUE"""),59.52)</f>
        <v>59.52</v>
      </c>
      <c r="C592" s="22">
        <f>IFERROR(__xludf.DUMMYFUNCTION("""COMPUTED_VALUE"""),44075.66666666667)</f>
        <v>44075.66667</v>
      </c>
      <c r="D592" s="23">
        <f>IFERROR(__xludf.DUMMYFUNCTION("""COMPUTED_VALUE"""),100.17)</f>
        <v>100.17</v>
      </c>
      <c r="E592" s="22">
        <f>IFERROR(__xludf.DUMMYFUNCTION("""COMPUTED_VALUE"""),42999.66666666667)</f>
        <v>42999.66667</v>
      </c>
      <c r="F592" s="23">
        <f>IFERROR(__xludf.DUMMYFUNCTION("""COMPUTED_VALUE"""),12.99)</f>
        <v>12.99</v>
      </c>
      <c r="G592" s="24">
        <f>IFERROR(__xludf.DUMMYFUNCTION("""COMPUTED_VALUE"""),45191.66666666667)</f>
        <v>45191.66667</v>
      </c>
      <c r="H592" s="19">
        <f>IFERROR(__xludf.DUMMYFUNCTION("""COMPUTED_VALUE"""),88.65)</f>
        <v>88.65</v>
      </c>
      <c r="I592" s="24">
        <f>IFERROR(__xludf.DUMMYFUNCTION("""COMPUTED_VALUE"""),45191.66666666667)</f>
        <v>45191.66667</v>
      </c>
      <c r="J592" s="19">
        <f>IFERROR(__xludf.DUMMYFUNCTION("""COMPUTED_VALUE"""),334.33)</f>
        <v>334.33</v>
      </c>
      <c r="K592" s="24">
        <f>IFERROR(__xludf.DUMMYFUNCTION("""COMPUTED_VALUE"""),45191.66666666667)</f>
        <v>45191.66667</v>
      </c>
      <c r="L592" s="19">
        <f>IFERROR(__xludf.DUMMYFUNCTION("""COMPUTED_VALUE"""),82.2)</f>
        <v>82.2</v>
      </c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>
      <c r="A593" s="22">
        <f>IFERROR(__xludf.DUMMYFUNCTION("""COMPUTED_VALUE"""),42818.66666666667)</f>
        <v>42818.66667</v>
      </c>
      <c r="B593" s="23">
        <f>IFERROR(__xludf.DUMMYFUNCTION("""COMPUTED_VALUE"""),59.81)</f>
        <v>59.81</v>
      </c>
      <c r="C593" s="22">
        <f>IFERROR(__xludf.DUMMYFUNCTION("""COMPUTED_VALUE"""),44076.66666666667)</f>
        <v>44076.66667</v>
      </c>
      <c r="D593" s="23">
        <f>IFERROR(__xludf.DUMMYFUNCTION("""COMPUTED_VALUE"""),101.94)</f>
        <v>101.94</v>
      </c>
      <c r="E593" s="22">
        <f>IFERROR(__xludf.DUMMYFUNCTION("""COMPUTED_VALUE"""),43000.66666666667)</f>
        <v>43000.66667</v>
      </c>
      <c r="F593" s="23">
        <f>IFERROR(__xludf.DUMMYFUNCTION("""COMPUTED_VALUE"""),12.93)</f>
        <v>12.93</v>
      </c>
      <c r="G593" s="24">
        <f>IFERROR(__xludf.DUMMYFUNCTION("""COMPUTED_VALUE"""),45198.66666666667)</f>
        <v>45198.66667</v>
      </c>
      <c r="H593" s="19">
        <f>IFERROR(__xludf.DUMMYFUNCTION("""COMPUTED_VALUE"""),88.43)</f>
        <v>88.43</v>
      </c>
      <c r="I593" s="24">
        <f>IFERROR(__xludf.DUMMYFUNCTION("""COMPUTED_VALUE"""),45198.66666666667)</f>
        <v>45198.66667</v>
      </c>
      <c r="J593" s="19">
        <f>IFERROR(__xludf.DUMMYFUNCTION("""COMPUTED_VALUE"""),330.13)</f>
        <v>330.13</v>
      </c>
      <c r="K593" s="24">
        <f>IFERROR(__xludf.DUMMYFUNCTION("""COMPUTED_VALUE"""),45198.66666666667)</f>
        <v>45198.66667</v>
      </c>
      <c r="L593" s="19">
        <f>IFERROR(__xludf.DUMMYFUNCTION("""COMPUTED_VALUE"""),80.82)</f>
        <v>80.82</v>
      </c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>
      <c r="A594" s="22">
        <f>IFERROR(__xludf.DUMMYFUNCTION("""COMPUTED_VALUE"""),42821.66666666667)</f>
        <v>42821.66667</v>
      </c>
      <c r="B594" s="23">
        <f>IFERROR(__xludf.DUMMYFUNCTION("""COMPUTED_VALUE"""),59.49)</f>
        <v>59.49</v>
      </c>
      <c r="C594" s="22">
        <f>IFERROR(__xludf.DUMMYFUNCTION("""COMPUTED_VALUE"""),44077.66666666667)</f>
        <v>44077.66667</v>
      </c>
      <c r="D594" s="23">
        <f>IFERROR(__xludf.DUMMYFUNCTION("""COMPUTED_VALUE"""),102.89)</f>
        <v>102.89</v>
      </c>
      <c r="E594" s="22">
        <f>IFERROR(__xludf.DUMMYFUNCTION("""COMPUTED_VALUE"""),43003.66666666667)</f>
        <v>43003.66667</v>
      </c>
      <c r="F594" s="23">
        <f>IFERROR(__xludf.DUMMYFUNCTION("""COMPUTED_VALUE"""),12.9)</f>
        <v>12.9</v>
      </c>
      <c r="G594" s="24">
        <f>IFERROR(__xludf.DUMMYFUNCTION("""COMPUTED_VALUE"""),45204.66666666667)</f>
        <v>45204.66667</v>
      </c>
      <c r="H594" s="19">
        <f>IFERROR(__xludf.DUMMYFUNCTION("""COMPUTED_VALUE"""),85.66)</f>
        <v>85.66</v>
      </c>
      <c r="I594" s="24">
        <f>IFERROR(__xludf.DUMMYFUNCTION("""COMPUTED_VALUE"""),45204.66666666667)</f>
        <v>45204.66667</v>
      </c>
      <c r="J594" s="19">
        <f>IFERROR(__xludf.DUMMYFUNCTION("""COMPUTED_VALUE"""),330.79)</f>
        <v>330.79</v>
      </c>
      <c r="K594" s="24">
        <f>IFERROR(__xludf.DUMMYFUNCTION("""COMPUTED_VALUE"""),45204.66666666667)</f>
        <v>45204.66667</v>
      </c>
      <c r="L594" s="19">
        <f>IFERROR(__xludf.DUMMYFUNCTION("""COMPUTED_VALUE"""),80.01)</f>
        <v>80.01</v>
      </c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>
      <c r="A595" s="22">
        <f>IFERROR(__xludf.DUMMYFUNCTION("""COMPUTED_VALUE"""),42822.66666666667)</f>
        <v>42822.66667</v>
      </c>
      <c r="B595" s="23">
        <f>IFERROR(__xludf.DUMMYFUNCTION("""COMPUTED_VALUE"""),59.96)</f>
        <v>59.96</v>
      </c>
      <c r="C595" s="22">
        <f>IFERROR(__xludf.DUMMYFUNCTION("""COMPUTED_VALUE"""),44078.66666666667)</f>
        <v>44078.66667</v>
      </c>
      <c r="D595" s="23">
        <f>IFERROR(__xludf.DUMMYFUNCTION("""COMPUTED_VALUE"""),99.64)</f>
        <v>99.64</v>
      </c>
      <c r="E595" s="22">
        <f>IFERROR(__xludf.DUMMYFUNCTION("""COMPUTED_VALUE"""),43004.66666666667)</f>
        <v>43004.66667</v>
      </c>
      <c r="F595" s="23">
        <f>IFERROR(__xludf.DUMMYFUNCTION("""COMPUTED_VALUE"""),12.82)</f>
        <v>12.82</v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>
      <c r="A596" s="22">
        <f>IFERROR(__xludf.DUMMYFUNCTION("""COMPUTED_VALUE"""),42823.66666666667)</f>
        <v>42823.66667</v>
      </c>
      <c r="B596" s="23">
        <f>IFERROR(__xludf.DUMMYFUNCTION("""COMPUTED_VALUE"""),59.9)</f>
        <v>59.9</v>
      </c>
      <c r="C596" s="22">
        <f>IFERROR(__xludf.DUMMYFUNCTION("""COMPUTED_VALUE"""),44081.66666666667)</f>
        <v>44081.66667</v>
      </c>
      <c r="D596" s="23">
        <f>IFERROR(__xludf.DUMMYFUNCTION("""COMPUTED_VALUE"""),99.95)</f>
        <v>99.95</v>
      </c>
      <c r="E596" s="22">
        <f>IFERROR(__xludf.DUMMYFUNCTION("""COMPUTED_VALUE"""),43005.66666666667)</f>
        <v>43005.66667</v>
      </c>
      <c r="F596" s="23">
        <f>IFERROR(__xludf.DUMMYFUNCTION("""COMPUTED_VALUE"""),13.0)</f>
        <v>13</v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>
      <c r="A597" s="22">
        <f>IFERROR(__xludf.DUMMYFUNCTION("""COMPUTED_VALUE"""),42824.66666666667)</f>
        <v>42824.66667</v>
      </c>
      <c r="B597" s="23">
        <f>IFERROR(__xludf.DUMMYFUNCTION("""COMPUTED_VALUE"""),59.83)</f>
        <v>59.83</v>
      </c>
      <c r="C597" s="22">
        <f>IFERROR(__xludf.DUMMYFUNCTION("""COMPUTED_VALUE"""),44082.66666666667)</f>
        <v>44082.66667</v>
      </c>
      <c r="D597" s="23">
        <f>IFERROR(__xludf.DUMMYFUNCTION("""COMPUTED_VALUE"""),101.15)</f>
        <v>101.15</v>
      </c>
      <c r="E597" s="22">
        <f>IFERROR(__xludf.DUMMYFUNCTION("""COMPUTED_VALUE"""),43006.66666666667)</f>
        <v>43006.66667</v>
      </c>
      <c r="F597" s="23">
        <f>IFERROR(__xludf.DUMMYFUNCTION("""COMPUTED_VALUE"""),13.17)</f>
        <v>13.17</v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>
      <c r="A598" s="22">
        <f>IFERROR(__xludf.DUMMYFUNCTION("""COMPUTED_VALUE"""),42825.66666666667)</f>
        <v>42825.66667</v>
      </c>
      <c r="B598" s="23">
        <f>IFERROR(__xludf.DUMMYFUNCTION("""COMPUTED_VALUE"""),59.8)</f>
        <v>59.8</v>
      </c>
      <c r="C598" s="22">
        <f>IFERROR(__xludf.DUMMYFUNCTION("""COMPUTED_VALUE"""),44083.66666666667)</f>
        <v>44083.66667</v>
      </c>
      <c r="D598" s="23">
        <f>IFERROR(__xludf.DUMMYFUNCTION("""COMPUTED_VALUE"""),98.94)</f>
        <v>98.94</v>
      </c>
      <c r="E598" s="22">
        <f>IFERROR(__xludf.DUMMYFUNCTION("""COMPUTED_VALUE"""),43007.66666666667)</f>
        <v>43007.66667</v>
      </c>
      <c r="F598" s="23">
        <f>IFERROR(__xludf.DUMMYFUNCTION("""COMPUTED_VALUE"""),13.13)</f>
        <v>13.13</v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>
      <c r="A599" s="22">
        <f>IFERROR(__xludf.DUMMYFUNCTION("""COMPUTED_VALUE"""),42828.66666666667)</f>
        <v>42828.66667</v>
      </c>
      <c r="B599" s="23">
        <f>IFERROR(__xludf.DUMMYFUNCTION("""COMPUTED_VALUE"""),60.07)</f>
        <v>60.07</v>
      </c>
      <c r="C599" s="22">
        <f>IFERROR(__xludf.DUMMYFUNCTION("""COMPUTED_VALUE"""),44084.66666666667)</f>
        <v>44084.66667</v>
      </c>
      <c r="D599" s="23">
        <f>IFERROR(__xludf.DUMMYFUNCTION("""COMPUTED_VALUE"""),99.51)</f>
        <v>99.51</v>
      </c>
      <c r="E599" s="22">
        <f>IFERROR(__xludf.DUMMYFUNCTION("""COMPUTED_VALUE"""),43010.66666666667)</f>
        <v>43010.66667</v>
      </c>
      <c r="F599" s="23">
        <f>IFERROR(__xludf.DUMMYFUNCTION("""COMPUTED_VALUE"""),13.27)</f>
        <v>13.27</v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>
      <c r="A600" s="22">
        <f>IFERROR(__xludf.DUMMYFUNCTION("""COMPUTED_VALUE"""),42829.66666666667)</f>
        <v>42829.66667</v>
      </c>
      <c r="B600" s="23">
        <f>IFERROR(__xludf.DUMMYFUNCTION("""COMPUTED_VALUE"""),59.99)</f>
        <v>59.99</v>
      </c>
      <c r="C600" s="22">
        <f>IFERROR(__xludf.DUMMYFUNCTION("""COMPUTED_VALUE"""),44085.66666666667)</f>
        <v>44085.66667</v>
      </c>
      <c r="D600" s="23">
        <f>IFERROR(__xludf.DUMMYFUNCTION("""COMPUTED_VALUE"""),98.83)</f>
        <v>98.83</v>
      </c>
      <c r="E600" s="22">
        <f>IFERROR(__xludf.DUMMYFUNCTION("""COMPUTED_VALUE"""),43011.66666666667)</f>
        <v>43011.66667</v>
      </c>
      <c r="F600" s="23">
        <f>IFERROR(__xludf.DUMMYFUNCTION("""COMPUTED_VALUE"""),13.31)</f>
        <v>13.31</v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>
      <c r="A601" s="22">
        <f>IFERROR(__xludf.DUMMYFUNCTION("""COMPUTED_VALUE"""),42830.66666666667)</f>
        <v>42830.66667</v>
      </c>
      <c r="B601" s="23">
        <f>IFERROR(__xludf.DUMMYFUNCTION("""COMPUTED_VALUE"""),60.1)</f>
        <v>60.1</v>
      </c>
      <c r="C601" s="22">
        <f>IFERROR(__xludf.DUMMYFUNCTION("""COMPUTED_VALUE"""),44088.66666666667)</f>
        <v>44088.66667</v>
      </c>
      <c r="D601" s="23">
        <f>IFERROR(__xludf.DUMMYFUNCTION("""COMPUTED_VALUE"""),99.55)</f>
        <v>99.55</v>
      </c>
      <c r="E601" s="22">
        <f>IFERROR(__xludf.DUMMYFUNCTION("""COMPUTED_VALUE"""),43012.66666666667)</f>
        <v>43012.66667</v>
      </c>
      <c r="F601" s="23">
        <f>IFERROR(__xludf.DUMMYFUNCTION("""COMPUTED_VALUE"""),13.21)</f>
        <v>13.21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>
      <c r="A602" s="22">
        <f>IFERROR(__xludf.DUMMYFUNCTION("""COMPUTED_VALUE"""),42831.66666666667)</f>
        <v>42831.66667</v>
      </c>
      <c r="B602" s="23">
        <f>IFERROR(__xludf.DUMMYFUNCTION("""COMPUTED_VALUE"""),59.95)</f>
        <v>59.95</v>
      </c>
      <c r="C602" s="22">
        <f>IFERROR(__xludf.DUMMYFUNCTION("""COMPUTED_VALUE"""),44089.66666666667)</f>
        <v>44089.66667</v>
      </c>
      <c r="D602" s="23">
        <f>IFERROR(__xludf.DUMMYFUNCTION("""COMPUTED_VALUE"""),99.33)</f>
        <v>99.33</v>
      </c>
      <c r="E602" s="22">
        <f>IFERROR(__xludf.DUMMYFUNCTION("""COMPUTED_VALUE"""),43013.66666666667)</f>
        <v>43013.66667</v>
      </c>
      <c r="F602" s="23">
        <f>IFERROR(__xludf.DUMMYFUNCTION("""COMPUTED_VALUE"""),13.29)</f>
        <v>13.29</v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>
      <c r="A603" s="22">
        <f>IFERROR(__xludf.DUMMYFUNCTION("""COMPUTED_VALUE"""),42832.66666666667)</f>
        <v>42832.66667</v>
      </c>
      <c r="B603" s="23">
        <f>IFERROR(__xludf.DUMMYFUNCTION("""COMPUTED_VALUE"""),60.13)</f>
        <v>60.13</v>
      </c>
      <c r="C603" s="22">
        <f>IFERROR(__xludf.DUMMYFUNCTION("""COMPUTED_VALUE"""),44090.66666666667)</f>
        <v>44090.66667</v>
      </c>
      <c r="D603" s="23">
        <f>IFERROR(__xludf.DUMMYFUNCTION("""COMPUTED_VALUE"""),100.25)</f>
        <v>100.25</v>
      </c>
      <c r="E603" s="22">
        <f>IFERROR(__xludf.DUMMYFUNCTION("""COMPUTED_VALUE"""),43014.66666666667)</f>
        <v>43014.66667</v>
      </c>
      <c r="F603" s="23">
        <f>IFERROR(__xludf.DUMMYFUNCTION("""COMPUTED_VALUE"""),13.54)</f>
        <v>13.54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>
      <c r="A604" s="22">
        <f>IFERROR(__xludf.DUMMYFUNCTION("""COMPUTED_VALUE"""),42835.66666666667)</f>
        <v>42835.66667</v>
      </c>
      <c r="B604" s="23">
        <f>IFERROR(__xludf.DUMMYFUNCTION("""COMPUTED_VALUE"""),60.63)</f>
        <v>60.63</v>
      </c>
      <c r="C604" s="22">
        <f>IFERROR(__xludf.DUMMYFUNCTION("""COMPUTED_VALUE"""),44091.66666666667)</f>
        <v>44091.66667</v>
      </c>
      <c r="D604" s="23">
        <f>IFERROR(__xludf.DUMMYFUNCTION("""COMPUTED_VALUE"""),99.3)</f>
        <v>99.3</v>
      </c>
      <c r="E604" s="22">
        <f>IFERROR(__xludf.DUMMYFUNCTION("""COMPUTED_VALUE"""),43017.66666666667)</f>
        <v>43017.66667</v>
      </c>
      <c r="F604" s="23">
        <f>IFERROR(__xludf.DUMMYFUNCTION("""COMPUTED_VALUE"""),13.55)</f>
        <v>13.55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>
      <c r="A605" s="22">
        <f>IFERROR(__xludf.DUMMYFUNCTION("""COMPUTED_VALUE"""),42836.66666666667)</f>
        <v>42836.66667</v>
      </c>
      <c r="B605" s="23">
        <f>IFERROR(__xludf.DUMMYFUNCTION("""COMPUTED_VALUE"""),60.57)</f>
        <v>60.57</v>
      </c>
      <c r="C605" s="22">
        <f>IFERROR(__xludf.DUMMYFUNCTION("""COMPUTED_VALUE"""),44092.66666666667)</f>
        <v>44092.66667</v>
      </c>
      <c r="D605" s="23">
        <f>IFERROR(__xludf.DUMMYFUNCTION("""COMPUTED_VALUE"""),99.18)</f>
        <v>99.18</v>
      </c>
      <c r="E605" s="22">
        <f>IFERROR(__xludf.DUMMYFUNCTION("""COMPUTED_VALUE"""),43018.66666666667)</f>
        <v>43018.66667</v>
      </c>
      <c r="F605" s="23">
        <f>IFERROR(__xludf.DUMMYFUNCTION("""COMPUTED_VALUE"""),13.51)</f>
        <v>13.51</v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>
      <c r="A606" s="22">
        <f>IFERROR(__xludf.DUMMYFUNCTION("""COMPUTED_VALUE"""),42837.66666666667)</f>
        <v>42837.66667</v>
      </c>
      <c r="B606" s="23">
        <f>IFERROR(__xludf.DUMMYFUNCTION("""COMPUTED_VALUE"""),60.65)</f>
        <v>60.65</v>
      </c>
      <c r="C606" s="22">
        <f>IFERROR(__xludf.DUMMYFUNCTION("""COMPUTED_VALUE"""),44095.66666666667)</f>
        <v>44095.66667</v>
      </c>
      <c r="D606" s="23">
        <f>IFERROR(__xludf.DUMMYFUNCTION("""COMPUTED_VALUE"""),98.07)</f>
        <v>98.07</v>
      </c>
      <c r="E606" s="22">
        <f>IFERROR(__xludf.DUMMYFUNCTION("""COMPUTED_VALUE"""),43019.66666666667)</f>
        <v>43019.66667</v>
      </c>
      <c r="F606" s="23">
        <f>IFERROR(__xludf.DUMMYFUNCTION("""COMPUTED_VALUE"""),13.52)</f>
        <v>13.52</v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>
      <c r="A607" s="22">
        <f>IFERROR(__xludf.DUMMYFUNCTION("""COMPUTED_VALUE"""),42838.66666666667)</f>
        <v>42838.66667</v>
      </c>
      <c r="B607" s="23">
        <f>IFERROR(__xludf.DUMMYFUNCTION("""COMPUTED_VALUE"""),59.74)</f>
        <v>59.74</v>
      </c>
      <c r="C607" s="22">
        <f>IFERROR(__xludf.DUMMYFUNCTION("""COMPUTED_VALUE"""),44096.66666666667)</f>
        <v>44096.66667</v>
      </c>
      <c r="D607" s="23">
        <f>IFERROR(__xludf.DUMMYFUNCTION("""COMPUTED_VALUE"""),97.58)</f>
        <v>97.58</v>
      </c>
      <c r="E607" s="22">
        <f>IFERROR(__xludf.DUMMYFUNCTION("""COMPUTED_VALUE"""),43020.66666666667)</f>
        <v>43020.66667</v>
      </c>
      <c r="F607" s="23">
        <f>IFERROR(__xludf.DUMMYFUNCTION("""COMPUTED_VALUE"""),13.49)</f>
        <v>13.49</v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>
      <c r="A608" s="22">
        <f>IFERROR(__xludf.DUMMYFUNCTION("""COMPUTED_VALUE"""),42843.66666666667)</f>
        <v>42843.66667</v>
      </c>
      <c r="B608" s="23">
        <f>IFERROR(__xludf.DUMMYFUNCTION("""COMPUTED_VALUE"""),59.84)</f>
        <v>59.84</v>
      </c>
      <c r="C608" s="22">
        <f>IFERROR(__xludf.DUMMYFUNCTION("""COMPUTED_VALUE"""),44097.66666666667)</f>
        <v>44097.66667</v>
      </c>
      <c r="D608" s="23">
        <f>IFERROR(__xludf.DUMMYFUNCTION("""COMPUTED_VALUE"""),100.0)</f>
        <v>100</v>
      </c>
      <c r="E608" s="22">
        <f>IFERROR(__xludf.DUMMYFUNCTION("""COMPUTED_VALUE"""),43021.66666666667)</f>
        <v>43021.66667</v>
      </c>
      <c r="F608" s="23">
        <f>IFERROR(__xludf.DUMMYFUNCTION("""COMPUTED_VALUE"""),13.46)</f>
        <v>13.46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>
      <c r="A609" s="22">
        <f>IFERROR(__xludf.DUMMYFUNCTION("""COMPUTED_VALUE"""),42844.66666666667)</f>
        <v>42844.66667</v>
      </c>
      <c r="B609" s="23">
        <f>IFERROR(__xludf.DUMMYFUNCTION("""COMPUTED_VALUE"""),60.42)</f>
        <v>60.42</v>
      </c>
      <c r="C609" s="22">
        <f>IFERROR(__xludf.DUMMYFUNCTION("""COMPUTED_VALUE"""),44098.66666666667)</f>
        <v>44098.66667</v>
      </c>
      <c r="D609" s="23">
        <f>IFERROR(__xludf.DUMMYFUNCTION("""COMPUTED_VALUE"""),99.13)</f>
        <v>99.13</v>
      </c>
      <c r="E609" s="22">
        <f>IFERROR(__xludf.DUMMYFUNCTION("""COMPUTED_VALUE"""),43024.66666666667)</f>
        <v>43024.66667</v>
      </c>
      <c r="F609" s="23">
        <f>IFERROR(__xludf.DUMMYFUNCTION("""COMPUTED_VALUE"""),13.46)</f>
        <v>13.46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>
      <c r="A610" s="22">
        <f>IFERROR(__xludf.DUMMYFUNCTION("""COMPUTED_VALUE"""),42845.66666666667)</f>
        <v>42845.66667</v>
      </c>
      <c r="B610" s="23">
        <f>IFERROR(__xludf.DUMMYFUNCTION("""COMPUTED_VALUE"""),60.24)</f>
        <v>60.24</v>
      </c>
      <c r="C610" s="22">
        <f>IFERROR(__xludf.DUMMYFUNCTION("""COMPUTED_VALUE"""),44099.66666666667)</f>
        <v>44099.66667</v>
      </c>
      <c r="D610" s="23">
        <f>IFERROR(__xludf.DUMMYFUNCTION("""COMPUTED_VALUE"""),100.38)</f>
        <v>100.38</v>
      </c>
      <c r="E610" s="22">
        <f>IFERROR(__xludf.DUMMYFUNCTION("""COMPUTED_VALUE"""),43025.66666666667)</f>
        <v>43025.66667</v>
      </c>
      <c r="F610" s="23">
        <f>IFERROR(__xludf.DUMMYFUNCTION("""COMPUTED_VALUE"""),13.52)</f>
        <v>13.52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>
      <c r="A611" s="22">
        <f>IFERROR(__xludf.DUMMYFUNCTION("""COMPUTED_VALUE"""),42846.66666666667)</f>
        <v>42846.66667</v>
      </c>
      <c r="B611" s="23">
        <f>IFERROR(__xludf.DUMMYFUNCTION("""COMPUTED_VALUE"""),60.49)</f>
        <v>60.49</v>
      </c>
      <c r="C611" s="22">
        <f>IFERROR(__xludf.DUMMYFUNCTION("""COMPUTED_VALUE"""),44102.66666666667)</f>
        <v>44102.66667</v>
      </c>
      <c r="D611" s="23">
        <f>IFERROR(__xludf.DUMMYFUNCTION("""COMPUTED_VALUE"""),100.58)</f>
        <v>100.58</v>
      </c>
      <c r="E611" s="22">
        <f>IFERROR(__xludf.DUMMYFUNCTION("""COMPUTED_VALUE"""),43026.66666666667)</f>
        <v>43026.66667</v>
      </c>
      <c r="F611" s="23">
        <f>IFERROR(__xludf.DUMMYFUNCTION("""COMPUTED_VALUE"""),13.53)</f>
        <v>13.53</v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>
      <c r="A612" s="22">
        <f>IFERROR(__xludf.DUMMYFUNCTION("""COMPUTED_VALUE"""),42849.66666666667)</f>
        <v>42849.66667</v>
      </c>
      <c r="B612" s="23">
        <f>IFERROR(__xludf.DUMMYFUNCTION("""COMPUTED_VALUE"""),60.75)</f>
        <v>60.75</v>
      </c>
      <c r="C612" s="22">
        <f>IFERROR(__xludf.DUMMYFUNCTION("""COMPUTED_VALUE"""),44103.66666666667)</f>
        <v>44103.66667</v>
      </c>
      <c r="D612" s="23">
        <f>IFERROR(__xludf.DUMMYFUNCTION("""COMPUTED_VALUE"""),100.39)</f>
        <v>100.39</v>
      </c>
      <c r="E612" s="22">
        <f>IFERROR(__xludf.DUMMYFUNCTION("""COMPUTED_VALUE"""),43027.66666666667)</f>
        <v>43027.66667</v>
      </c>
      <c r="F612" s="23">
        <f>IFERROR(__xludf.DUMMYFUNCTION("""COMPUTED_VALUE"""),13.49)</f>
        <v>13.49</v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>
      <c r="A613" s="22">
        <f>IFERROR(__xludf.DUMMYFUNCTION("""COMPUTED_VALUE"""),42851.66666666667)</f>
        <v>42851.66667</v>
      </c>
      <c r="B613" s="23">
        <f>IFERROR(__xludf.DUMMYFUNCTION("""COMPUTED_VALUE"""),61.65)</f>
        <v>61.65</v>
      </c>
      <c r="C613" s="22">
        <f>IFERROR(__xludf.DUMMYFUNCTION("""COMPUTED_VALUE"""),44104.66666666667)</f>
        <v>44104.66667</v>
      </c>
      <c r="D613" s="23">
        <f>IFERROR(__xludf.DUMMYFUNCTION("""COMPUTED_VALUE"""),98.27)</f>
        <v>98.27</v>
      </c>
      <c r="E613" s="22">
        <f>IFERROR(__xludf.DUMMYFUNCTION("""COMPUTED_VALUE"""),43028.66666666667)</f>
        <v>43028.66667</v>
      </c>
      <c r="F613" s="23">
        <f>IFERROR(__xludf.DUMMYFUNCTION("""COMPUTED_VALUE"""),13.53)</f>
        <v>13.53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>
      <c r="A614" s="22">
        <f>IFERROR(__xludf.DUMMYFUNCTION("""COMPUTED_VALUE"""),42852.66666666667)</f>
        <v>42852.66667</v>
      </c>
      <c r="B614" s="23">
        <f>IFERROR(__xludf.DUMMYFUNCTION("""COMPUTED_VALUE"""),61.9)</f>
        <v>61.9</v>
      </c>
      <c r="C614" s="22">
        <f>IFERROR(__xludf.DUMMYFUNCTION("""COMPUTED_VALUE"""),44105.66666666667)</f>
        <v>44105.66667</v>
      </c>
      <c r="D614" s="23">
        <f>IFERROR(__xludf.DUMMYFUNCTION("""COMPUTED_VALUE"""),98.48)</f>
        <v>98.48</v>
      </c>
      <c r="E614" s="22">
        <f>IFERROR(__xludf.DUMMYFUNCTION("""COMPUTED_VALUE"""),43031.66666666667)</f>
        <v>43031.66667</v>
      </c>
      <c r="F614" s="23">
        <f>IFERROR(__xludf.DUMMYFUNCTION("""COMPUTED_VALUE"""),13.53)</f>
        <v>13.53</v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>
      <c r="A615" s="22">
        <f>IFERROR(__xludf.DUMMYFUNCTION("""COMPUTED_VALUE"""),42853.66666666667)</f>
        <v>42853.66667</v>
      </c>
      <c r="B615" s="23">
        <f>IFERROR(__xludf.DUMMYFUNCTION("""COMPUTED_VALUE"""),62.12)</f>
        <v>62.12</v>
      </c>
      <c r="C615" s="22">
        <f>IFERROR(__xludf.DUMMYFUNCTION("""COMPUTED_VALUE"""),44106.66666666667)</f>
        <v>44106.66667</v>
      </c>
      <c r="D615" s="23">
        <f>IFERROR(__xludf.DUMMYFUNCTION("""COMPUTED_VALUE"""),97.04)</f>
        <v>97.04</v>
      </c>
      <c r="E615" s="22">
        <f>IFERROR(__xludf.DUMMYFUNCTION("""COMPUTED_VALUE"""),43032.66666666667)</f>
        <v>43032.66667</v>
      </c>
      <c r="F615" s="23">
        <f>IFERROR(__xludf.DUMMYFUNCTION("""COMPUTED_VALUE"""),13.46)</f>
        <v>13.46</v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>
      <c r="A616" s="22">
        <f>IFERROR(__xludf.DUMMYFUNCTION("""COMPUTED_VALUE"""),42856.66666666667)</f>
        <v>42856.66667</v>
      </c>
      <c r="B616" s="23">
        <f>IFERROR(__xludf.DUMMYFUNCTION("""COMPUTED_VALUE"""),62.02)</f>
        <v>62.02</v>
      </c>
      <c r="C616" s="22">
        <f>IFERROR(__xludf.DUMMYFUNCTION("""COMPUTED_VALUE"""),44109.66666666667)</f>
        <v>44109.66667</v>
      </c>
      <c r="D616" s="23">
        <f>IFERROR(__xludf.DUMMYFUNCTION("""COMPUTED_VALUE"""),99.53)</f>
        <v>99.53</v>
      </c>
      <c r="E616" s="22">
        <f>IFERROR(__xludf.DUMMYFUNCTION("""COMPUTED_VALUE"""),43033.66666666667)</f>
        <v>43033.66667</v>
      </c>
      <c r="F616" s="23">
        <f>IFERROR(__xludf.DUMMYFUNCTION("""COMPUTED_VALUE"""),13.63)</f>
        <v>13.63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>
      <c r="A617" s="22">
        <f>IFERROR(__xludf.DUMMYFUNCTION("""COMPUTED_VALUE"""),42857.66666666667)</f>
        <v>42857.66667</v>
      </c>
      <c r="B617" s="23">
        <f>IFERROR(__xludf.DUMMYFUNCTION("""COMPUTED_VALUE"""),61.89)</f>
        <v>61.89</v>
      </c>
      <c r="C617" s="22">
        <f>IFERROR(__xludf.DUMMYFUNCTION("""COMPUTED_VALUE"""),44110.66666666667)</f>
        <v>44110.66667</v>
      </c>
      <c r="D617" s="23">
        <f>IFERROR(__xludf.DUMMYFUNCTION("""COMPUTED_VALUE"""),99.77)</f>
        <v>99.77</v>
      </c>
      <c r="E617" s="22">
        <f>IFERROR(__xludf.DUMMYFUNCTION("""COMPUTED_VALUE"""),43034.66666666667)</f>
        <v>43034.66667</v>
      </c>
      <c r="F617" s="23">
        <f>IFERROR(__xludf.DUMMYFUNCTION("""COMPUTED_VALUE"""),13.65)</f>
        <v>13.65</v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>
      <c r="A618" s="22">
        <f>IFERROR(__xludf.DUMMYFUNCTION("""COMPUTED_VALUE"""),42858.66666666667)</f>
        <v>42858.66667</v>
      </c>
      <c r="B618" s="23">
        <f>IFERROR(__xludf.DUMMYFUNCTION("""COMPUTED_VALUE"""),61.88)</f>
        <v>61.88</v>
      </c>
      <c r="C618" s="22">
        <f>IFERROR(__xludf.DUMMYFUNCTION("""COMPUTED_VALUE"""),44111.66666666667)</f>
        <v>44111.66667</v>
      </c>
      <c r="D618" s="23">
        <f>IFERROR(__xludf.DUMMYFUNCTION("""COMPUTED_VALUE"""),101.31)</f>
        <v>101.31</v>
      </c>
      <c r="E618" s="22">
        <f>IFERROR(__xludf.DUMMYFUNCTION("""COMPUTED_VALUE"""),43035.66666666667)</f>
        <v>43035.66667</v>
      </c>
      <c r="F618" s="23">
        <f>IFERROR(__xludf.DUMMYFUNCTION("""COMPUTED_VALUE"""),13.84)</f>
        <v>13.84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>
      <c r="A619" s="22">
        <f>IFERROR(__xludf.DUMMYFUNCTION("""COMPUTED_VALUE"""),42859.66666666667)</f>
        <v>42859.66667</v>
      </c>
      <c r="B619" s="23">
        <f>IFERROR(__xludf.DUMMYFUNCTION("""COMPUTED_VALUE"""),62.75)</f>
        <v>62.75</v>
      </c>
      <c r="C619" s="22">
        <f>IFERROR(__xludf.DUMMYFUNCTION("""COMPUTED_VALUE"""),44112.66666666667)</f>
        <v>44112.66667</v>
      </c>
      <c r="D619" s="23">
        <f>IFERROR(__xludf.DUMMYFUNCTION("""COMPUTED_VALUE"""),102.21)</f>
        <v>102.21</v>
      </c>
      <c r="E619" s="22">
        <f>IFERROR(__xludf.DUMMYFUNCTION("""COMPUTED_VALUE"""),43038.66666666667)</f>
        <v>43038.66667</v>
      </c>
      <c r="F619" s="23">
        <f>IFERROR(__xludf.DUMMYFUNCTION("""COMPUTED_VALUE"""),14.03)</f>
        <v>14.03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>
      <c r="A620" s="22">
        <f>IFERROR(__xludf.DUMMYFUNCTION("""COMPUTED_VALUE"""),42860.66666666667)</f>
        <v>42860.66667</v>
      </c>
      <c r="B620" s="23">
        <f>IFERROR(__xludf.DUMMYFUNCTION("""COMPUTED_VALUE"""),63.02)</f>
        <v>63.02</v>
      </c>
      <c r="C620" s="22">
        <f>IFERROR(__xludf.DUMMYFUNCTION("""COMPUTED_VALUE"""),44113.66666666667)</f>
        <v>44113.66667</v>
      </c>
      <c r="D620" s="23">
        <f>IFERROR(__xludf.DUMMYFUNCTION("""COMPUTED_VALUE"""),102.33)</f>
        <v>102.33</v>
      </c>
      <c r="E620" s="22">
        <f>IFERROR(__xludf.DUMMYFUNCTION("""COMPUTED_VALUE"""),43039.66666666667)</f>
        <v>43039.66667</v>
      </c>
      <c r="F620" s="23">
        <f>IFERROR(__xludf.DUMMYFUNCTION("""COMPUTED_VALUE"""),14.08)</f>
        <v>14.08</v>
      </c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>
      <c r="A621" s="22">
        <f>IFERROR(__xludf.DUMMYFUNCTION("""COMPUTED_VALUE"""),42863.66666666667)</f>
        <v>42863.66667</v>
      </c>
      <c r="B621" s="23">
        <f>IFERROR(__xludf.DUMMYFUNCTION("""COMPUTED_VALUE"""),63.34)</f>
        <v>63.34</v>
      </c>
      <c r="C621" s="22">
        <f>IFERROR(__xludf.DUMMYFUNCTION("""COMPUTED_VALUE"""),44116.66666666667)</f>
        <v>44116.66667</v>
      </c>
      <c r="D621" s="23">
        <f>IFERROR(__xludf.DUMMYFUNCTION("""COMPUTED_VALUE"""),102.69)</f>
        <v>102.69</v>
      </c>
      <c r="E621" s="22">
        <f>IFERROR(__xludf.DUMMYFUNCTION("""COMPUTED_VALUE"""),43040.66666666667)</f>
        <v>43040.66667</v>
      </c>
      <c r="F621" s="23">
        <f>IFERROR(__xludf.DUMMYFUNCTION("""COMPUTED_VALUE"""),14.18)</f>
        <v>14.18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>
      <c r="A622" s="22">
        <f>IFERROR(__xludf.DUMMYFUNCTION("""COMPUTED_VALUE"""),42864.66666666667)</f>
        <v>42864.66667</v>
      </c>
      <c r="B622" s="23">
        <f>IFERROR(__xludf.DUMMYFUNCTION("""COMPUTED_VALUE"""),63.62)</f>
        <v>63.62</v>
      </c>
      <c r="C622" s="22">
        <f>IFERROR(__xludf.DUMMYFUNCTION("""COMPUTED_VALUE"""),44117.66666666667)</f>
        <v>44117.66667</v>
      </c>
      <c r="D622" s="23">
        <f>IFERROR(__xludf.DUMMYFUNCTION("""COMPUTED_VALUE"""),103.92)</f>
        <v>103.92</v>
      </c>
      <c r="E622" s="22">
        <f>IFERROR(__xludf.DUMMYFUNCTION("""COMPUTED_VALUE"""),43041.66666666667)</f>
        <v>43041.66667</v>
      </c>
      <c r="F622" s="23">
        <f>IFERROR(__xludf.DUMMYFUNCTION("""COMPUTED_VALUE"""),13.99)</f>
        <v>13.99</v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>
      <c r="A623" s="22">
        <f>IFERROR(__xludf.DUMMYFUNCTION("""COMPUTED_VALUE"""),42865.66666666667)</f>
        <v>42865.66667</v>
      </c>
      <c r="B623" s="23">
        <f>IFERROR(__xludf.DUMMYFUNCTION("""COMPUTED_VALUE"""),63.46)</f>
        <v>63.46</v>
      </c>
      <c r="C623" s="22">
        <f>IFERROR(__xludf.DUMMYFUNCTION("""COMPUTED_VALUE"""),44118.66666666667)</f>
        <v>44118.66667</v>
      </c>
      <c r="D623" s="23">
        <f>IFERROR(__xludf.DUMMYFUNCTION("""COMPUTED_VALUE"""),103.66)</f>
        <v>103.66</v>
      </c>
      <c r="E623" s="22">
        <f>IFERROR(__xludf.DUMMYFUNCTION("""COMPUTED_VALUE"""),43042.66666666667)</f>
        <v>43042.66667</v>
      </c>
      <c r="F623" s="23">
        <f>IFERROR(__xludf.DUMMYFUNCTION("""COMPUTED_VALUE"""),14.09)</f>
        <v>14.09</v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>
      <c r="A624" s="22">
        <f>IFERROR(__xludf.DUMMYFUNCTION("""COMPUTED_VALUE"""),42866.66666666667)</f>
        <v>42866.66667</v>
      </c>
      <c r="B624" s="23">
        <f>IFERROR(__xludf.DUMMYFUNCTION("""COMPUTED_VALUE"""),63.7)</f>
        <v>63.7</v>
      </c>
      <c r="C624" s="22">
        <f>IFERROR(__xludf.DUMMYFUNCTION("""COMPUTED_VALUE"""),44119.66666666667)</f>
        <v>44119.66667</v>
      </c>
      <c r="D624" s="23">
        <f>IFERROR(__xludf.DUMMYFUNCTION("""COMPUTED_VALUE"""),104.13)</f>
        <v>104.13</v>
      </c>
      <c r="E624" s="22">
        <f>IFERROR(__xludf.DUMMYFUNCTION("""COMPUTED_VALUE"""),43045.66666666667)</f>
        <v>43045.66667</v>
      </c>
      <c r="F624" s="23">
        <f>IFERROR(__xludf.DUMMYFUNCTION("""COMPUTED_VALUE"""),14.21)</f>
        <v>14.21</v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>
      <c r="A625" s="22">
        <f>IFERROR(__xludf.DUMMYFUNCTION("""COMPUTED_VALUE"""),42867.66666666667)</f>
        <v>42867.66667</v>
      </c>
      <c r="B625" s="23">
        <f>IFERROR(__xludf.DUMMYFUNCTION("""COMPUTED_VALUE"""),63.26)</f>
        <v>63.26</v>
      </c>
      <c r="C625" s="22">
        <f>IFERROR(__xludf.DUMMYFUNCTION("""COMPUTED_VALUE"""),44120.66666666667)</f>
        <v>44120.66667</v>
      </c>
      <c r="D625" s="23">
        <f>IFERROR(__xludf.DUMMYFUNCTION("""COMPUTED_VALUE"""),103.5)</f>
        <v>103.5</v>
      </c>
      <c r="E625" s="22">
        <f>IFERROR(__xludf.DUMMYFUNCTION("""COMPUTED_VALUE"""),43046.66666666667)</f>
        <v>43046.66667</v>
      </c>
      <c r="F625" s="23">
        <f>IFERROR(__xludf.DUMMYFUNCTION("""COMPUTED_VALUE"""),14.27)</f>
        <v>14.27</v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>
      <c r="A626" s="22">
        <f>IFERROR(__xludf.DUMMYFUNCTION("""COMPUTED_VALUE"""),42870.66666666667)</f>
        <v>42870.66667</v>
      </c>
      <c r="B626" s="23">
        <f>IFERROR(__xludf.DUMMYFUNCTION("""COMPUTED_VALUE"""),63.33)</f>
        <v>63.33</v>
      </c>
      <c r="C626" s="22">
        <f>IFERROR(__xludf.DUMMYFUNCTION("""COMPUTED_VALUE"""),44123.66666666667)</f>
        <v>44123.66667</v>
      </c>
      <c r="D626" s="23">
        <f>IFERROR(__xludf.DUMMYFUNCTION("""COMPUTED_VALUE"""),104.65)</f>
        <v>104.65</v>
      </c>
      <c r="E626" s="22">
        <f>IFERROR(__xludf.DUMMYFUNCTION("""COMPUTED_VALUE"""),43047.66666666667)</f>
        <v>43047.66667</v>
      </c>
      <c r="F626" s="23">
        <f>IFERROR(__xludf.DUMMYFUNCTION("""COMPUTED_VALUE"""),14.31)</f>
        <v>14.31</v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>
      <c r="A627" s="22">
        <f>IFERROR(__xludf.DUMMYFUNCTION("""COMPUTED_VALUE"""),42871.66666666667)</f>
        <v>42871.66667</v>
      </c>
      <c r="B627" s="23">
        <f>IFERROR(__xludf.DUMMYFUNCTION("""COMPUTED_VALUE"""),63.32)</f>
        <v>63.32</v>
      </c>
      <c r="C627" s="22">
        <f>IFERROR(__xludf.DUMMYFUNCTION("""COMPUTED_VALUE"""),44124.66666666667)</f>
        <v>44124.66667</v>
      </c>
      <c r="D627" s="23">
        <f>IFERROR(__xludf.DUMMYFUNCTION("""COMPUTED_VALUE"""),103.67)</f>
        <v>103.67</v>
      </c>
      <c r="E627" s="22">
        <f>IFERROR(__xludf.DUMMYFUNCTION("""COMPUTED_VALUE"""),43048.66666666667)</f>
        <v>43048.66667</v>
      </c>
      <c r="F627" s="23">
        <f>IFERROR(__xludf.DUMMYFUNCTION("""COMPUTED_VALUE"""),14.29)</f>
        <v>14.29</v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>
      <c r="A628" s="22">
        <f>IFERROR(__xludf.DUMMYFUNCTION("""COMPUTED_VALUE"""),42872.66666666667)</f>
        <v>42872.66667</v>
      </c>
      <c r="B628" s="23">
        <f>IFERROR(__xludf.DUMMYFUNCTION("""COMPUTED_VALUE"""),63.19)</f>
        <v>63.19</v>
      </c>
      <c r="C628" s="22">
        <f>IFERROR(__xludf.DUMMYFUNCTION("""COMPUTED_VALUE"""),44125.66666666667)</f>
        <v>44125.66667</v>
      </c>
      <c r="D628" s="23">
        <f>IFERROR(__xludf.DUMMYFUNCTION("""COMPUTED_VALUE"""),103.75)</f>
        <v>103.75</v>
      </c>
      <c r="E628" s="22">
        <f>IFERROR(__xludf.DUMMYFUNCTION("""COMPUTED_VALUE"""),43049.66666666667)</f>
        <v>43049.66667</v>
      </c>
      <c r="F628" s="23">
        <f>IFERROR(__xludf.DUMMYFUNCTION("""COMPUTED_VALUE"""),14.27)</f>
        <v>14.27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>
      <c r="A629" s="22">
        <f>IFERROR(__xludf.DUMMYFUNCTION("""COMPUTED_VALUE"""),42873.66666666667)</f>
        <v>42873.66667</v>
      </c>
      <c r="B629" s="23">
        <f>IFERROR(__xludf.DUMMYFUNCTION("""COMPUTED_VALUE"""),62.43)</f>
        <v>62.43</v>
      </c>
      <c r="C629" s="22">
        <f>IFERROR(__xludf.DUMMYFUNCTION("""COMPUTED_VALUE"""),44126.66666666667)</f>
        <v>44126.66667</v>
      </c>
      <c r="D629" s="23">
        <f>IFERROR(__xludf.DUMMYFUNCTION("""COMPUTED_VALUE"""),103.21)</f>
        <v>103.21</v>
      </c>
      <c r="E629" s="22">
        <f>IFERROR(__xludf.DUMMYFUNCTION("""COMPUTED_VALUE"""),43052.66666666667)</f>
        <v>43052.66667</v>
      </c>
      <c r="F629" s="23">
        <f>IFERROR(__xludf.DUMMYFUNCTION("""COMPUTED_VALUE"""),14.31)</f>
        <v>14.31</v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>
      <c r="A630" s="22">
        <f>IFERROR(__xludf.DUMMYFUNCTION("""COMPUTED_VALUE"""),42874.66666666667)</f>
        <v>42874.66667</v>
      </c>
      <c r="B630" s="23">
        <f>IFERROR(__xludf.DUMMYFUNCTION("""COMPUTED_VALUE"""),62.65)</f>
        <v>62.65</v>
      </c>
      <c r="C630" s="22">
        <f>IFERROR(__xludf.DUMMYFUNCTION("""COMPUTED_VALUE"""),44127.66666666667)</f>
        <v>44127.66667</v>
      </c>
      <c r="D630" s="23">
        <f>IFERROR(__xludf.DUMMYFUNCTION("""COMPUTED_VALUE"""),103.43)</f>
        <v>103.43</v>
      </c>
      <c r="E630" s="22">
        <f>IFERROR(__xludf.DUMMYFUNCTION("""COMPUTED_VALUE"""),43053.66666666667)</f>
        <v>43053.66667</v>
      </c>
      <c r="F630" s="23">
        <f>IFERROR(__xludf.DUMMYFUNCTION("""COMPUTED_VALUE"""),14.33)</f>
        <v>14.33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>
      <c r="A631" s="22">
        <f>IFERROR(__xludf.DUMMYFUNCTION("""COMPUTED_VALUE"""),42877.66666666667)</f>
        <v>42877.66667</v>
      </c>
      <c r="B631" s="23">
        <f>IFERROR(__xludf.DUMMYFUNCTION("""COMPUTED_VALUE"""),63.15)</f>
        <v>63.15</v>
      </c>
      <c r="C631" s="22">
        <f>IFERROR(__xludf.DUMMYFUNCTION("""COMPUTED_VALUE"""),44130.66666666667)</f>
        <v>44130.66667</v>
      </c>
      <c r="D631" s="23">
        <f>IFERROR(__xludf.DUMMYFUNCTION("""COMPUTED_VALUE"""),103.23)</f>
        <v>103.23</v>
      </c>
      <c r="E631" s="22">
        <f>IFERROR(__xludf.DUMMYFUNCTION("""COMPUTED_VALUE"""),43054.66666666667)</f>
        <v>43054.66667</v>
      </c>
      <c r="F631" s="23">
        <f>IFERROR(__xludf.DUMMYFUNCTION("""COMPUTED_VALUE"""),14.35)</f>
        <v>14.35</v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>
      <c r="A632" s="22">
        <f>IFERROR(__xludf.DUMMYFUNCTION("""COMPUTED_VALUE"""),42878.66666666667)</f>
        <v>42878.66667</v>
      </c>
      <c r="B632" s="23">
        <f>IFERROR(__xludf.DUMMYFUNCTION("""COMPUTED_VALUE"""),62.78)</f>
        <v>62.78</v>
      </c>
      <c r="C632" s="22">
        <f>IFERROR(__xludf.DUMMYFUNCTION("""COMPUTED_VALUE"""),44131.66666666667)</f>
        <v>44131.66667</v>
      </c>
      <c r="D632" s="23">
        <f>IFERROR(__xludf.DUMMYFUNCTION("""COMPUTED_VALUE"""),101.41)</f>
        <v>101.41</v>
      </c>
      <c r="E632" s="22">
        <f>IFERROR(__xludf.DUMMYFUNCTION("""COMPUTED_VALUE"""),43055.66666666667)</f>
        <v>43055.66667</v>
      </c>
      <c r="F632" s="23">
        <f>IFERROR(__xludf.DUMMYFUNCTION("""COMPUTED_VALUE"""),14.34)</f>
        <v>14.34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>
      <c r="A633" s="22">
        <f>IFERROR(__xludf.DUMMYFUNCTION("""COMPUTED_VALUE"""),42879.66666666667)</f>
        <v>42879.66667</v>
      </c>
      <c r="B633" s="23">
        <f>IFERROR(__xludf.DUMMYFUNCTION("""COMPUTED_VALUE"""),63.24)</f>
        <v>63.24</v>
      </c>
      <c r="C633" s="22">
        <f>IFERROR(__xludf.DUMMYFUNCTION("""COMPUTED_VALUE"""),44132.66666666667)</f>
        <v>44132.66667</v>
      </c>
      <c r="D633" s="23">
        <f>IFERROR(__xludf.DUMMYFUNCTION("""COMPUTED_VALUE"""),101.71)</f>
        <v>101.71</v>
      </c>
      <c r="E633" s="22">
        <f>IFERROR(__xludf.DUMMYFUNCTION("""COMPUTED_VALUE"""),43056.66666666667)</f>
        <v>43056.66667</v>
      </c>
      <c r="F633" s="23">
        <f>IFERROR(__xludf.DUMMYFUNCTION("""COMPUTED_VALUE"""),14.53)</f>
        <v>14.53</v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>
      <c r="A634" s="22">
        <f>IFERROR(__xludf.DUMMYFUNCTION("""COMPUTED_VALUE"""),42880.66666666667)</f>
        <v>42880.66667</v>
      </c>
      <c r="B634" s="23">
        <f>IFERROR(__xludf.DUMMYFUNCTION("""COMPUTED_VALUE"""),63.21)</f>
        <v>63.21</v>
      </c>
      <c r="C634" s="22">
        <f>IFERROR(__xludf.DUMMYFUNCTION("""COMPUTED_VALUE"""),44133.66666666667)</f>
        <v>44133.66667</v>
      </c>
      <c r="D634" s="23">
        <f>IFERROR(__xludf.DUMMYFUNCTION("""COMPUTED_VALUE"""),100.05)</f>
        <v>100.05</v>
      </c>
      <c r="E634" s="22">
        <f>IFERROR(__xludf.DUMMYFUNCTION("""COMPUTED_VALUE"""),43059.66666666667)</f>
        <v>43059.66667</v>
      </c>
      <c r="F634" s="23">
        <f>IFERROR(__xludf.DUMMYFUNCTION("""COMPUTED_VALUE"""),14.46)</f>
        <v>14.46</v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>
      <c r="A635" s="22">
        <f>IFERROR(__xludf.DUMMYFUNCTION("""COMPUTED_VALUE"""),42881.66666666667)</f>
        <v>42881.66667</v>
      </c>
      <c r="B635" s="23">
        <f>IFERROR(__xludf.DUMMYFUNCTION("""COMPUTED_VALUE"""),63.6)</f>
        <v>63.6</v>
      </c>
      <c r="C635" s="22">
        <f>IFERROR(__xludf.DUMMYFUNCTION("""COMPUTED_VALUE"""),44134.66666666667)</f>
        <v>44134.66667</v>
      </c>
      <c r="D635" s="23">
        <f>IFERROR(__xludf.DUMMYFUNCTION("""COMPUTED_VALUE"""),99.27)</f>
        <v>99.27</v>
      </c>
      <c r="E635" s="22">
        <f>IFERROR(__xludf.DUMMYFUNCTION("""COMPUTED_VALUE"""),43060.66666666667)</f>
        <v>43060.66667</v>
      </c>
      <c r="F635" s="23">
        <f>IFERROR(__xludf.DUMMYFUNCTION("""COMPUTED_VALUE"""),14.55)</f>
        <v>14.55</v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>
      <c r="A636" s="22">
        <f>IFERROR(__xludf.DUMMYFUNCTION("""COMPUTED_VALUE"""),42884.66666666667)</f>
        <v>42884.66667</v>
      </c>
      <c r="B636" s="23">
        <f>IFERROR(__xludf.DUMMYFUNCTION("""COMPUTED_VALUE"""),63.7)</f>
        <v>63.7</v>
      </c>
      <c r="C636" s="22">
        <f>IFERROR(__xludf.DUMMYFUNCTION("""COMPUTED_VALUE"""),44137.66666666667)</f>
        <v>44137.66667</v>
      </c>
      <c r="D636" s="23">
        <f>IFERROR(__xludf.DUMMYFUNCTION("""COMPUTED_VALUE"""),99.74)</f>
        <v>99.74</v>
      </c>
      <c r="E636" s="22">
        <f>IFERROR(__xludf.DUMMYFUNCTION("""COMPUTED_VALUE"""),43061.66666666667)</f>
        <v>43061.66667</v>
      </c>
      <c r="F636" s="23">
        <f>IFERROR(__xludf.DUMMYFUNCTION("""COMPUTED_VALUE"""),14.62)</f>
        <v>14.62</v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>
      <c r="A637" s="22">
        <f>IFERROR(__xludf.DUMMYFUNCTION("""COMPUTED_VALUE"""),42885.66666666667)</f>
        <v>42885.66667</v>
      </c>
      <c r="B637" s="23">
        <f>IFERROR(__xludf.DUMMYFUNCTION("""COMPUTED_VALUE"""),63.52)</f>
        <v>63.52</v>
      </c>
      <c r="C637" s="22">
        <f>IFERROR(__xludf.DUMMYFUNCTION("""COMPUTED_VALUE"""),44138.66666666667)</f>
        <v>44138.66667</v>
      </c>
      <c r="D637" s="23">
        <f>IFERROR(__xludf.DUMMYFUNCTION("""COMPUTED_VALUE"""),101.73)</f>
        <v>101.73</v>
      </c>
      <c r="E637" s="22">
        <f>IFERROR(__xludf.DUMMYFUNCTION("""COMPUTED_VALUE"""),43062.66666666667)</f>
        <v>43062.66667</v>
      </c>
      <c r="F637" s="23">
        <f>IFERROR(__xludf.DUMMYFUNCTION("""COMPUTED_VALUE"""),14.54)</f>
        <v>14.54</v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>
      <c r="A638" s="22">
        <f>IFERROR(__xludf.DUMMYFUNCTION("""COMPUTED_VALUE"""),42886.66666666667)</f>
        <v>42886.66667</v>
      </c>
      <c r="B638" s="23">
        <f>IFERROR(__xludf.DUMMYFUNCTION("""COMPUTED_VALUE"""),63.45)</f>
        <v>63.45</v>
      </c>
      <c r="C638" s="22">
        <f>IFERROR(__xludf.DUMMYFUNCTION("""COMPUTED_VALUE"""),44139.66666666667)</f>
        <v>44139.66667</v>
      </c>
      <c r="D638" s="23">
        <f>IFERROR(__xludf.DUMMYFUNCTION("""COMPUTED_VALUE"""),101.46)</f>
        <v>101.46</v>
      </c>
      <c r="E638" s="22">
        <f>IFERROR(__xludf.DUMMYFUNCTION("""COMPUTED_VALUE"""),43063.66666666667)</f>
        <v>43063.66667</v>
      </c>
      <c r="F638" s="23">
        <f>IFERROR(__xludf.DUMMYFUNCTION("""COMPUTED_VALUE"""),14.55)</f>
        <v>14.55</v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>
      <c r="A639" s="22">
        <f>IFERROR(__xludf.DUMMYFUNCTION("""COMPUTED_VALUE"""),42887.66666666667)</f>
        <v>42887.66667</v>
      </c>
      <c r="B639" s="23">
        <f>IFERROR(__xludf.DUMMYFUNCTION("""COMPUTED_VALUE"""),64.03)</f>
        <v>64.03</v>
      </c>
      <c r="C639" s="22">
        <f>IFERROR(__xludf.DUMMYFUNCTION("""COMPUTED_VALUE"""),44140.66666666667)</f>
        <v>44140.66667</v>
      </c>
      <c r="D639" s="23">
        <f>IFERROR(__xludf.DUMMYFUNCTION("""COMPUTED_VALUE"""),102.83)</f>
        <v>102.83</v>
      </c>
      <c r="E639" s="22">
        <f>IFERROR(__xludf.DUMMYFUNCTION("""COMPUTED_VALUE"""),43066.66666666667)</f>
        <v>43066.66667</v>
      </c>
      <c r="F639" s="23">
        <f>IFERROR(__xludf.DUMMYFUNCTION("""COMPUTED_VALUE"""),14.62)</f>
        <v>14.62</v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>
      <c r="A640" s="22">
        <f>IFERROR(__xludf.DUMMYFUNCTION("""COMPUTED_VALUE"""),42888.66666666667)</f>
        <v>42888.66667</v>
      </c>
      <c r="B640" s="23">
        <f>IFERROR(__xludf.DUMMYFUNCTION("""COMPUTED_VALUE"""),64.73)</f>
        <v>64.73</v>
      </c>
      <c r="C640" s="22">
        <f>IFERROR(__xludf.DUMMYFUNCTION("""COMPUTED_VALUE"""),44141.66666666667)</f>
        <v>44141.66667</v>
      </c>
      <c r="D640" s="23">
        <f>IFERROR(__xludf.DUMMYFUNCTION("""COMPUTED_VALUE"""),103.72)</f>
        <v>103.72</v>
      </c>
      <c r="E640" s="22">
        <f>IFERROR(__xludf.DUMMYFUNCTION("""COMPUTED_VALUE"""),43067.66666666667)</f>
        <v>43067.66667</v>
      </c>
      <c r="F640" s="23">
        <f>IFERROR(__xludf.DUMMYFUNCTION("""COMPUTED_VALUE"""),14.59)</f>
        <v>14.59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>
      <c r="A641" s="22">
        <f>IFERROR(__xludf.DUMMYFUNCTION("""COMPUTED_VALUE"""),42891.66666666667)</f>
        <v>42891.66667</v>
      </c>
      <c r="B641" s="23">
        <f>IFERROR(__xludf.DUMMYFUNCTION("""COMPUTED_VALUE"""),64.25)</f>
        <v>64.25</v>
      </c>
      <c r="C641" s="22">
        <f>IFERROR(__xludf.DUMMYFUNCTION("""COMPUTED_VALUE"""),44144.66666666667)</f>
        <v>44144.66667</v>
      </c>
      <c r="D641" s="23">
        <f>IFERROR(__xludf.DUMMYFUNCTION("""COMPUTED_VALUE"""),105.62)</f>
        <v>105.62</v>
      </c>
      <c r="E641" s="22">
        <f>IFERROR(__xludf.DUMMYFUNCTION("""COMPUTED_VALUE"""),43068.66666666667)</f>
        <v>43068.66667</v>
      </c>
      <c r="F641" s="23">
        <f>IFERROR(__xludf.DUMMYFUNCTION("""COMPUTED_VALUE"""),14.68)</f>
        <v>14.68</v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>
      <c r="A642" s="22">
        <f>IFERROR(__xludf.DUMMYFUNCTION("""COMPUTED_VALUE"""),42892.66666666667)</f>
        <v>42892.66667</v>
      </c>
      <c r="B642" s="23">
        <f>IFERROR(__xludf.DUMMYFUNCTION("""COMPUTED_VALUE"""),63.84)</f>
        <v>63.84</v>
      </c>
      <c r="C642" s="22">
        <f>IFERROR(__xludf.DUMMYFUNCTION("""COMPUTED_VALUE"""),44145.66666666667)</f>
        <v>44145.66667</v>
      </c>
      <c r="D642" s="23">
        <f>IFERROR(__xludf.DUMMYFUNCTION("""COMPUTED_VALUE"""),106.25)</f>
        <v>106.25</v>
      </c>
      <c r="E642" s="22">
        <f>IFERROR(__xludf.DUMMYFUNCTION("""COMPUTED_VALUE"""),43069.66666666667)</f>
        <v>43069.66667</v>
      </c>
      <c r="F642" s="23">
        <f>IFERROR(__xludf.DUMMYFUNCTION("""COMPUTED_VALUE"""),14.4)</f>
        <v>14.4</v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>
      <c r="A643" s="22">
        <f>IFERROR(__xludf.DUMMYFUNCTION("""COMPUTED_VALUE"""),42893.66666666667)</f>
        <v>42893.66667</v>
      </c>
      <c r="B643" s="23">
        <f>IFERROR(__xludf.DUMMYFUNCTION("""COMPUTED_VALUE"""),63.41)</f>
        <v>63.41</v>
      </c>
      <c r="C643" s="22">
        <f>IFERROR(__xludf.DUMMYFUNCTION("""COMPUTED_VALUE"""),44146.66666666667)</f>
        <v>44146.66667</v>
      </c>
      <c r="D643" s="23">
        <f>IFERROR(__xludf.DUMMYFUNCTION("""COMPUTED_VALUE"""),108.3)</f>
        <v>108.3</v>
      </c>
      <c r="E643" s="22">
        <f>IFERROR(__xludf.DUMMYFUNCTION("""COMPUTED_VALUE"""),43070.66666666667)</f>
        <v>43070.66667</v>
      </c>
      <c r="F643" s="23">
        <f>IFERROR(__xludf.DUMMYFUNCTION("""COMPUTED_VALUE"""),14.57)</f>
        <v>14.57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>
      <c r="A644" s="22">
        <f>IFERROR(__xludf.DUMMYFUNCTION("""COMPUTED_VALUE"""),42894.66666666667)</f>
        <v>42894.66667</v>
      </c>
      <c r="B644" s="23">
        <f>IFERROR(__xludf.DUMMYFUNCTION("""COMPUTED_VALUE"""),63.25)</f>
        <v>63.25</v>
      </c>
      <c r="C644" s="22">
        <f>IFERROR(__xludf.DUMMYFUNCTION("""COMPUTED_VALUE"""),44147.66666666667)</f>
        <v>44147.66667</v>
      </c>
      <c r="D644" s="23">
        <f>IFERROR(__xludf.DUMMYFUNCTION("""COMPUTED_VALUE"""),107.8)</f>
        <v>107.8</v>
      </c>
      <c r="E644" s="22">
        <f>IFERROR(__xludf.DUMMYFUNCTION("""COMPUTED_VALUE"""),43073.66666666667)</f>
        <v>43073.66667</v>
      </c>
      <c r="F644" s="23">
        <f>IFERROR(__xludf.DUMMYFUNCTION("""COMPUTED_VALUE"""),14.57)</f>
        <v>14.57</v>
      </c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>
      <c r="A645" s="22">
        <f>IFERROR(__xludf.DUMMYFUNCTION("""COMPUTED_VALUE"""),42895.66666666667)</f>
        <v>42895.66667</v>
      </c>
      <c r="B645" s="23">
        <f>IFERROR(__xludf.DUMMYFUNCTION("""COMPUTED_VALUE"""),63.23)</f>
        <v>63.23</v>
      </c>
      <c r="C645" s="22">
        <f>IFERROR(__xludf.DUMMYFUNCTION("""COMPUTED_VALUE"""),44148.66666666667)</f>
        <v>44148.66667</v>
      </c>
      <c r="D645" s="23">
        <f>IFERROR(__xludf.DUMMYFUNCTION("""COMPUTED_VALUE"""),107.61)</f>
        <v>107.61</v>
      </c>
      <c r="E645" s="22">
        <f>IFERROR(__xludf.DUMMYFUNCTION("""COMPUTED_VALUE"""),43074.66666666667)</f>
        <v>43074.66667</v>
      </c>
      <c r="F645" s="23">
        <f>IFERROR(__xludf.DUMMYFUNCTION("""COMPUTED_VALUE"""),14.24)</f>
        <v>14.24</v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>
      <c r="A646" s="22">
        <f>IFERROR(__xludf.DUMMYFUNCTION("""COMPUTED_VALUE"""),42899.66666666667)</f>
        <v>42899.66667</v>
      </c>
      <c r="B646" s="23">
        <f>IFERROR(__xludf.DUMMYFUNCTION("""COMPUTED_VALUE"""),63.02)</f>
        <v>63.02</v>
      </c>
      <c r="C646" s="22">
        <f>IFERROR(__xludf.DUMMYFUNCTION("""COMPUTED_VALUE"""),44151.66666666667)</f>
        <v>44151.66667</v>
      </c>
      <c r="D646" s="23">
        <f>IFERROR(__xludf.DUMMYFUNCTION("""COMPUTED_VALUE"""),109.0)</f>
        <v>109</v>
      </c>
      <c r="E646" s="22">
        <f>IFERROR(__xludf.DUMMYFUNCTION("""COMPUTED_VALUE"""),43075.66666666667)</f>
        <v>43075.66667</v>
      </c>
      <c r="F646" s="23">
        <f>IFERROR(__xludf.DUMMYFUNCTION("""COMPUTED_VALUE"""),14.29)</f>
        <v>14.29</v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>
      <c r="A647" s="22">
        <f>IFERROR(__xludf.DUMMYFUNCTION("""COMPUTED_VALUE"""),42900.66666666667)</f>
        <v>42900.66667</v>
      </c>
      <c r="B647" s="23">
        <f>IFERROR(__xludf.DUMMYFUNCTION("""COMPUTED_VALUE"""),63.23)</f>
        <v>63.23</v>
      </c>
      <c r="C647" s="22">
        <f>IFERROR(__xludf.DUMMYFUNCTION("""COMPUTED_VALUE"""),44152.66666666667)</f>
        <v>44152.66667</v>
      </c>
      <c r="D647" s="23">
        <f>IFERROR(__xludf.DUMMYFUNCTION("""COMPUTED_VALUE"""),109.14)</f>
        <v>109.14</v>
      </c>
      <c r="E647" s="22">
        <f>IFERROR(__xludf.DUMMYFUNCTION("""COMPUTED_VALUE"""),43076.66666666667)</f>
        <v>43076.66667</v>
      </c>
      <c r="F647" s="23">
        <f>IFERROR(__xludf.DUMMYFUNCTION("""COMPUTED_VALUE"""),14.54)</f>
        <v>14.54</v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>
      <c r="A648" s="22">
        <f>IFERROR(__xludf.DUMMYFUNCTION("""COMPUTED_VALUE"""),42901.66666666667)</f>
        <v>42901.66667</v>
      </c>
      <c r="B648" s="23">
        <f>IFERROR(__xludf.DUMMYFUNCTION("""COMPUTED_VALUE"""),62.68)</f>
        <v>62.68</v>
      </c>
      <c r="C648" s="22">
        <f>IFERROR(__xludf.DUMMYFUNCTION("""COMPUTED_VALUE"""),44153.66666666667)</f>
        <v>44153.66667</v>
      </c>
      <c r="D648" s="23">
        <f>IFERROR(__xludf.DUMMYFUNCTION("""COMPUTED_VALUE"""),109.56)</f>
        <v>109.56</v>
      </c>
      <c r="E648" s="22">
        <f>IFERROR(__xludf.DUMMYFUNCTION("""COMPUTED_VALUE"""),43077.66666666667)</f>
        <v>43077.66667</v>
      </c>
      <c r="F648" s="23">
        <f>IFERROR(__xludf.DUMMYFUNCTION("""COMPUTED_VALUE"""),14.63)</f>
        <v>14.63</v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>
      <c r="A649" s="22">
        <f>IFERROR(__xludf.DUMMYFUNCTION("""COMPUTED_VALUE"""),42902.66666666667)</f>
        <v>42902.66667</v>
      </c>
      <c r="B649" s="23">
        <f>IFERROR(__xludf.DUMMYFUNCTION("""COMPUTED_VALUE"""),62.72)</f>
        <v>62.72</v>
      </c>
      <c r="C649" s="22">
        <f>IFERROR(__xludf.DUMMYFUNCTION("""COMPUTED_VALUE"""),44154.66666666667)</f>
        <v>44154.66667</v>
      </c>
      <c r="D649" s="23">
        <f>IFERROR(__xludf.DUMMYFUNCTION("""COMPUTED_VALUE"""),109.74)</f>
        <v>109.74</v>
      </c>
      <c r="E649" s="22">
        <f>IFERROR(__xludf.DUMMYFUNCTION("""COMPUTED_VALUE"""),43080.66666666667)</f>
        <v>43080.66667</v>
      </c>
      <c r="F649" s="23">
        <f>IFERROR(__xludf.DUMMYFUNCTION("""COMPUTED_VALUE"""),14.66)</f>
        <v>14.66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>
      <c r="A650" s="22">
        <f>IFERROR(__xludf.DUMMYFUNCTION("""COMPUTED_VALUE"""),42905.66666666667)</f>
        <v>42905.66667</v>
      </c>
      <c r="B650" s="23">
        <f>IFERROR(__xludf.DUMMYFUNCTION("""COMPUTED_VALUE"""),62.81)</f>
        <v>62.81</v>
      </c>
      <c r="C650" s="22">
        <f>IFERROR(__xludf.DUMMYFUNCTION("""COMPUTED_VALUE"""),44155.66666666667)</f>
        <v>44155.66667</v>
      </c>
      <c r="D650" s="23">
        <f>IFERROR(__xludf.DUMMYFUNCTION("""COMPUTED_VALUE"""),109.84)</f>
        <v>109.84</v>
      </c>
      <c r="E650" s="22">
        <f>IFERROR(__xludf.DUMMYFUNCTION("""COMPUTED_VALUE"""),43081.66666666667)</f>
        <v>43081.66667</v>
      </c>
      <c r="F650" s="23">
        <f>IFERROR(__xludf.DUMMYFUNCTION("""COMPUTED_VALUE"""),14.75)</f>
        <v>14.75</v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>
      <c r="A651" s="22">
        <f>IFERROR(__xludf.DUMMYFUNCTION("""COMPUTED_VALUE"""),42906.66666666667)</f>
        <v>42906.66667</v>
      </c>
      <c r="B651" s="23">
        <f>IFERROR(__xludf.DUMMYFUNCTION("""COMPUTED_VALUE"""),63.12)</f>
        <v>63.12</v>
      </c>
      <c r="C651" s="22">
        <f>IFERROR(__xludf.DUMMYFUNCTION("""COMPUTED_VALUE"""),44158.66666666667)</f>
        <v>44158.66667</v>
      </c>
      <c r="D651" s="23">
        <f>IFERROR(__xludf.DUMMYFUNCTION("""COMPUTED_VALUE"""),110.27)</f>
        <v>110.27</v>
      </c>
      <c r="E651" s="22">
        <f>IFERROR(__xludf.DUMMYFUNCTION("""COMPUTED_VALUE"""),43082.66666666667)</f>
        <v>43082.66667</v>
      </c>
      <c r="F651" s="23">
        <f>IFERROR(__xludf.DUMMYFUNCTION("""COMPUTED_VALUE"""),14.63)</f>
        <v>14.63</v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>
      <c r="A652" s="22">
        <f>IFERROR(__xludf.DUMMYFUNCTION("""COMPUTED_VALUE"""),42907.66666666667)</f>
        <v>42907.66667</v>
      </c>
      <c r="B652" s="23">
        <f>IFERROR(__xludf.DUMMYFUNCTION("""COMPUTED_VALUE"""),63.02)</f>
        <v>63.02</v>
      </c>
      <c r="C652" s="22">
        <f>IFERROR(__xludf.DUMMYFUNCTION("""COMPUTED_VALUE"""),44159.66666666667)</f>
        <v>44159.66667</v>
      </c>
      <c r="D652" s="23">
        <f>IFERROR(__xludf.DUMMYFUNCTION("""COMPUTED_VALUE"""),111.86)</f>
        <v>111.86</v>
      </c>
      <c r="E652" s="22">
        <f>IFERROR(__xludf.DUMMYFUNCTION("""COMPUTED_VALUE"""),43083.66666666667)</f>
        <v>43083.66667</v>
      </c>
      <c r="F652" s="23">
        <f>IFERROR(__xludf.DUMMYFUNCTION("""COMPUTED_VALUE"""),14.49)</f>
        <v>14.49</v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>
      <c r="A653" s="22">
        <f>IFERROR(__xludf.DUMMYFUNCTION("""COMPUTED_VALUE"""),42908.66666666667)</f>
        <v>42908.66667</v>
      </c>
      <c r="B653" s="23">
        <f>IFERROR(__xludf.DUMMYFUNCTION("""COMPUTED_VALUE"""),63.03)</f>
        <v>63.03</v>
      </c>
      <c r="C653" s="22">
        <f>IFERROR(__xludf.DUMMYFUNCTION("""COMPUTED_VALUE"""),44160.66666666667)</f>
        <v>44160.66667</v>
      </c>
      <c r="D653" s="23">
        <f>IFERROR(__xludf.DUMMYFUNCTION("""COMPUTED_VALUE"""),112.4)</f>
        <v>112.4</v>
      </c>
      <c r="E653" s="22">
        <f>IFERROR(__xludf.DUMMYFUNCTION("""COMPUTED_VALUE"""),43084.66666666667)</f>
        <v>43084.66667</v>
      </c>
      <c r="F653" s="23">
        <f>IFERROR(__xludf.DUMMYFUNCTION("""COMPUTED_VALUE"""),14.47)</f>
        <v>14.47</v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>
      <c r="A654" s="22">
        <f>IFERROR(__xludf.DUMMYFUNCTION("""COMPUTED_VALUE"""),42909.66666666667)</f>
        <v>42909.66667</v>
      </c>
      <c r="B654" s="23">
        <f>IFERROR(__xludf.DUMMYFUNCTION("""COMPUTED_VALUE"""),63.08)</f>
        <v>63.08</v>
      </c>
      <c r="C654" s="22">
        <f>IFERROR(__xludf.DUMMYFUNCTION("""COMPUTED_VALUE"""),44161.66666666667)</f>
        <v>44161.66667</v>
      </c>
      <c r="D654" s="23">
        <f>IFERROR(__xludf.DUMMYFUNCTION("""COMPUTED_VALUE"""),111.57)</f>
        <v>111.57</v>
      </c>
      <c r="E654" s="22">
        <f>IFERROR(__xludf.DUMMYFUNCTION("""COMPUTED_VALUE"""),43087.66666666667)</f>
        <v>43087.66667</v>
      </c>
      <c r="F654" s="23">
        <f>IFERROR(__xludf.DUMMYFUNCTION("""COMPUTED_VALUE"""),14.73)</f>
        <v>14.73</v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>
      <c r="A655" s="22">
        <f>IFERROR(__xludf.DUMMYFUNCTION("""COMPUTED_VALUE"""),42912.66666666667)</f>
        <v>42912.66667</v>
      </c>
      <c r="B655" s="23">
        <f>IFERROR(__xludf.DUMMYFUNCTION("""COMPUTED_VALUE"""),63.01)</f>
        <v>63.01</v>
      </c>
      <c r="C655" s="22">
        <f>IFERROR(__xludf.DUMMYFUNCTION("""COMPUTED_VALUE"""),44162.66666666667)</f>
        <v>44162.66667</v>
      </c>
      <c r="D655" s="23">
        <f>IFERROR(__xludf.DUMMYFUNCTION("""COMPUTED_VALUE"""),111.1)</f>
        <v>111.1</v>
      </c>
      <c r="E655" s="22">
        <f>IFERROR(__xludf.DUMMYFUNCTION("""COMPUTED_VALUE"""),43088.66666666667)</f>
        <v>43088.66667</v>
      </c>
      <c r="F655" s="23">
        <f>IFERROR(__xludf.DUMMYFUNCTION("""COMPUTED_VALUE"""),14.75)</f>
        <v>14.75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>
      <c r="A656" s="22">
        <f>IFERROR(__xludf.DUMMYFUNCTION("""COMPUTED_VALUE"""),42913.66666666667)</f>
        <v>42913.66667</v>
      </c>
      <c r="B656" s="23">
        <f>IFERROR(__xludf.DUMMYFUNCTION("""COMPUTED_VALUE"""),62.89)</f>
        <v>62.89</v>
      </c>
      <c r="C656" s="22">
        <f>IFERROR(__xludf.DUMMYFUNCTION("""COMPUTED_VALUE"""),44165.66666666667)</f>
        <v>44165.66667</v>
      </c>
      <c r="D656" s="23">
        <f>IFERROR(__xludf.DUMMYFUNCTION("""COMPUTED_VALUE"""),109.59)</f>
        <v>109.59</v>
      </c>
      <c r="E656" s="22">
        <f>IFERROR(__xludf.DUMMYFUNCTION("""COMPUTED_VALUE"""),43089.66666666667)</f>
        <v>43089.66667</v>
      </c>
      <c r="F656" s="23">
        <f>IFERROR(__xludf.DUMMYFUNCTION("""COMPUTED_VALUE"""),14.72)</f>
        <v>14.72</v>
      </c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>
      <c r="A657" s="22">
        <f>IFERROR(__xludf.DUMMYFUNCTION("""COMPUTED_VALUE"""),42914.66666666667)</f>
        <v>42914.66667</v>
      </c>
      <c r="B657" s="23">
        <f>IFERROR(__xludf.DUMMYFUNCTION("""COMPUTED_VALUE"""),62.52)</f>
        <v>62.52</v>
      </c>
      <c r="C657" s="22">
        <f>IFERROR(__xludf.DUMMYFUNCTION("""COMPUTED_VALUE"""),44166.66666666667)</f>
        <v>44166.66667</v>
      </c>
      <c r="D657" s="23">
        <f>IFERROR(__xludf.DUMMYFUNCTION("""COMPUTED_VALUE"""),110.7)</f>
        <v>110.7</v>
      </c>
      <c r="E657" s="22">
        <f>IFERROR(__xludf.DUMMYFUNCTION("""COMPUTED_VALUE"""),43090.66666666667)</f>
        <v>43090.66667</v>
      </c>
      <c r="F657" s="23">
        <f>IFERROR(__xludf.DUMMYFUNCTION("""COMPUTED_VALUE"""),14.65)</f>
        <v>14.65</v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>
      <c r="A658" s="22">
        <f>IFERROR(__xludf.DUMMYFUNCTION("""COMPUTED_VALUE"""),42915.66666666667)</f>
        <v>42915.66667</v>
      </c>
      <c r="B658" s="23">
        <f>IFERROR(__xludf.DUMMYFUNCTION("""COMPUTED_VALUE"""),62.77)</f>
        <v>62.77</v>
      </c>
      <c r="C658" s="22">
        <f>IFERROR(__xludf.DUMMYFUNCTION("""COMPUTED_VALUE"""),44167.66666666667)</f>
        <v>44167.66667</v>
      </c>
      <c r="D658" s="23">
        <f>IFERROR(__xludf.DUMMYFUNCTION("""COMPUTED_VALUE"""),110.89)</f>
        <v>110.89</v>
      </c>
      <c r="E658" s="22">
        <f>IFERROR(__xludf.DUMMYFUNCTION("""COMPUTED_VALUE"""),43091.66666666667)</f>
        <v>43091.66667</v>
      </c>
      <c r="F658" s="23">
        <f>IFERROR(__xludf.DUMMYFUNCTION("""COMPUTED_VALUE"""),14.59)</f>
        <v>14.59</v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>
      <c r="A659" s="22">
        <f>IFERROR(__xludf.DUMMYFUNCTION("""COMPUTED_VALUE"""),42916.66666666667)</f>
        <v>42916.66667</v>
      </c>
      <c r="B659" s="23">
        <f>IFERROR(__xludf.DUMMYFUNCTION("""COMPUTED_VALUE"""),61.87)</f>
        <v>61.87</v>
      </c>
      <c r="C659" s="22">
        <f>IFERROR(__xludf.DUMMYFUNCTION("""COMPUTED_VALUE"""),44168.66666666667)</f>
        <v>44168.66667</v>
      </c>
      <c r="D659" s="23">
        <f>IFERROR(__xludf.DUMMYFUNCTION("""COMPUTED_VALUE"""),111.26)</f>
        <v>111.26</v>
      </c>
      <c r="E659" s="22">
        <f>IFERROR(__xludf.DUMMYFUNCTION("""COMPUTED_VALUE"""),43096.66666666667)</f>
        <v>43096.66667</v>
      </c>
      <c r="F659" s="23">
        <f>IFERROR(__xludf.DUMMYFUNCTION("""COMPUTED_VALUE"""),14.44)</f>
        <v>14.44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>
      <c r="A660" s="22">
        <f>IFERROR(__xludf.DUMMYFUNCTION("""COMPUTED_VALUE"""),42919.66666666667)</f>
        <v>42919.66667</v>
      </c>
      <c r="B660" s="23">
        <f>IFERROR(__xludf.DUMMYFUNCTION("""COMPUTED_VALUE"""),61.08)</f>
        <v>61.08</v>
      </c>
      <c r="C660" s="22">
        <f>IFERROR(__xludf.DUMMYFUNCTION("""COMPUTED_VALUE"""),44169.66666666667)</f>
        <v>44169.66667</v>
      </c>
      <c r="D660" s="23">
        <f>IFERROR(__xludf.DUMMYFUNCTION("""COMPUTED_VALUE"""),111.59)</f>
        <v>111.59</v>
      </c>
      <c r="E660" s="22">
        <f>IFERROR(__xludf.DUMMYFUNCTION("""COMPUTED_VALUE"""),43097.66666666667)</f>
        <v>43097.66667</v>
      </c>
      <c r="F660" s="23">
        <f>IFERROR(__xludf.DUMMYFUNCTION("""COMPUTED_VALUE"""),14.34)</f>
        <v>14.34</v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>
      <c r="A661" s="22">
        <f>IFERROR(__xludf.DUMMYFUNCTION("""COMPUTED_VALUE"""),42920.66666666667)</f>
        <v>42920.66667</v>
      </c>
      <c r="B661" s="23">
        <f>IFERROR(__xludf.DUMMYFUNCTION("""COMPUTED_VALUE"""),61.5)</f>
        <v>61.5</v>
      </c>
      <c r="C661" s="22">
        <f>IFERROR(__xludf.DUMMYFUNCTION("""COMPUTED_VALUE"""),44172.66666666667)</f>
        <v>44172.66667</v>
      </c>
      <c r="D661" s="23">
        <f>IFERROR(__xludf.DUMMYFUNCTION("""COMPUTED_VALUE"""),112.11)</f>
        <v>112.11</v>
      </c>
      <c r="E661" s="22">
        <f>IFERROR(__xludf.DUMMYFUNCTION("""COMPUTED_VALUE"""),43098.66666666667)</f>
        <v>43098.66667</v>
      </c>
      <c r="F661" s="23">
        <f>IFERROR(__xludf.DUMMYFUNCTION("""COMPUTED_VALUE"""),14.32)</f>
        <v>14.32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>
      <c r="A662" s="22">
        <f>IFERROR(__xludf.DUMMYFUNCTION("""COMPUTED_VALUE"""),42921.66666666667)</f>
        <v>42921.66667</v>
      </c>
      <c r="B662" s="23">
        <f>IFERROR(__xludf.DUMMYFUNCTION("""COMPUTED_VALUE"""),61.46)</f>
        <v>61.46</v>
      </c>
      <c r="C662" s="22">
        <f>IFERROR(__xludf.DUMMYFUNCTION("""COMPUTED_VALUE"""),44173.66666666667)</f>
        <v>44173.66667</v>
      </c>
      <c r="D662" s="23">
        <f>IFERROR(__xludf.DUMMYFUNCTION("""COMPUTED_VALUE"""),112.39)</f>
        <v>112.39</v>
      </c>
      <c r="E662" s="22">
        <f>IFERROR(__xludf.DUMMYFUNCTION("""COMPUTED_VALUE"""),43102.66666666667)</f>
        <v>43102.66667</v>
      </c>
      <c r="F662" s="23">
        <f>IFERROR(__xludf.DUMMYFUNCTION("""COMPUTED_VALUE"""),14.21)</f>
        <v>14.21</v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>
      <c r="A663" s="22">
        <f>IFERROR(__xludf.DUMMYFUNCTION("""COMPUTED_VALUE"""),42922.66666666667)</f>
        <v>42922.66667</v>
      </c>
      <c r="B663" s="23">
        <f>IFERROR(__xludf.DUMMYFUNCTION("""COMPUTED_VALUE"""),61.65)</f>
        <v>61.65</v>
      </c>
      <c r="C663" s="22">
        <f>IFERROR(__xludf.DUMMYFUNCTION("""COMPUTED_VALUE"""),44174.66666666667)</f>
        <v>44174.66667</v>
      </c>
      <c r="D663" s="23">
        <f>IFERROR(__xludf.DUMMYFUNCTION("""COMPUTED_VALUE"""),113.11)</f>
        <v>113.11</v>
      </c>
      <c r="E663" s="22">
        <f>IFERROR(__xludf.DUMMYFUNCTION("""COMPUTED_VALUE"""),43103.66666666667)</f>
        <v>43103.66667</v>
      </c>
      <c r="F663" s="23">
        <f>IFERROR(__xludf.DUMMYFUNCTION("""COMPUTED_VALUE"""),14.43)</f>
        <v>14.43</v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>
      <c r="A664" s="22">
        <f>IFERROR(__xludf.DUMMYFUNCTION("""COMPUTED_VALUE"""),42923.66666666667)</f>
        <v>42923.66667</v>
      </c>
      <c r="B664" s="23">
        <f>IFERROR(__xludf.DUMMYFUNCTION("""COMPUTED_VALUE"""),61.38)</f>
        <v>61.38</v>
      </c>
      <c r="C664" s="22">
        <f>IFERROR(__xludf.DUMMYFUNCTION("""COMPUTED_VALUE"""),44175.66666666667)</f>
        <v>44175.66667</v>
      </c>
      <c r="D664" s="23">
        <f>IFERROR(__xludf.DUMMYFUNCTION("""COMPUTED_VALUE"""),112.5)</f>
        <v>112.5</v>
      </c>
      <c r="E664" s="22">
        <f>IFERROR(__xludf.DUMMYFUNCTION("""COMPUTED_VALUE"""),43104.66666666667)</f>
        <v>43104.66667</v>
      </c>
      <c r="F664" s="23">
        <f>IFERROR(__xludf.DUMMYFUNCTION("""COMPUTED_VALUE"""),14.56)</f>
        <v>14.56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>
      <c r="A665" s="22">
        <f>IFERROR(__xludf.DUMMYFUNCTION("""COMPUTED_VALUE"""),42926.66666666667)</f>
        <v>42926.66667</v>
      </c>
      <c r="B665" s="23">
        <f>IFERROR(__xludf.DUMMYFUNCTION("""COMPUTED_VALUE"""),61.53)</f>
        <v>61.53</v>
      </c>
      <c r="C665" s="22">
        <f>IFERROR(__xludf.DUMMYFUNCTION("""COMPUTED_VALUE"""),44176.66666666667)</f>
        <v>44176.66667</v>
      </c>
      <c r="D665" s="23">
        <f>IFERROR(__xludf.DUMMYFUNCTION("""COMPUTED_VALUE"""),111.82)</f>
        <v>111.82</v>
      </c>
      <c r="E665" s="22">
        <f>IFERROR(__xludf.DUMMYFUNCTION("""COMPUTED_VALUE"""),43105.66666666667)</f>
        <v>43105.66667</v>
      </c>
      <c r="F665" s="23">
        <f>IFERROR(__xludf.DUMMYFUNCTION("""COMPUTED_VALUE"""),14.56)</f>
        <v>14.56</v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>
      <c r="A666" s="22">
        <f>IFERROR(__xludf.DUMMYFUNCTION("""COMPUTED_VALUE"""),42927.66666666667)</f>
        <v>42927.66667</v>
      </c>
      <c r="B666" s="23">
        <f>IFERROR(__xludf.DUMMYFUNCTION("""COMPUTED_VALUE"""),61.55)</f>
        <v>61.55</v>
      </c>
      <c r="C666" s="22">
        <f>IFERROR(__xludf.DUMMYFUNCTION("""COMPUTED_VALUE"""),44179.66666666667)</f>
        <v>44179.66667</v>
      </c>
      <c r="D666" s="23">
        <f>IFERROR(__xludf.DUMMYFUNCTION("""COMPUTED_VALUE"""),112.73)</f>
        <v>112.73</v>
      </c>
      <c r="E666" s="22">
        <f>IFERROR(__xludf.DUMMYFUNCTION("""COMPUTED_VALUE"""),43108.66666666667)</f>
        <v>43108.66667</v>
      </c>
      <c r="F666" s="23">
        <f>IFERROR(__xludf.DUMMYFUNCTION("""COMPUTED_VALUE"""),14.72)</f>
        <v>14.72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>
      <c r="A667" s="22">
        <f>IFERROR(__xludf.DUMMYFUNCTION("""COMPUTED_VALUE"""),42928.66666666667)</f>
        <v>42928.66667</v>
      </c>
      <c r="B667" s="23">
        <f>IFERROR(__xludf.DUMMYFUNCTION("""COMPUTED_VALUE"""),61.2)</f>
        <v>61.2</v>
      </c>
      <c r="C667" s="22">
        <f>IFERROR(__xludf.DUMMYFUNCTION("""COMPUTED_VALUE"""),44180.66666666667)</f>
        <v>44180.66667</v>
      </c>
      <c r="D667" s="23">
        <f>IFERROR(__xludf.DUMMYFUNCTION("""COMPUTED_VALUE"""),111.4)</f>
        <v>111.4</v>
      </c>
      <c r="E667" s="22">
        <f>IFERROR(__xludf.DUMMYFUNCTION("""COMPUTED_VALUE"""),43109.66666666667)</f>
        <v>43109.66667</v>
      </c>
      <c r="F667" s="23">
        <f>IFERROR(__xludf.DUMMYFUNCTION("""COMPUTED_VALUE"""),14.73)</f>
        <v>14.73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>
      <c r="A668" s="22">
        <f>IFERROR(__xludf.DUMMYFUNCTION("""COMPUTED_VALUE"""),42929.66666666667)</f>
        <v>42929.66667</v>
      </c>
      <c r="B668" s="23">
        <f>IFERROR(__xludf.DUMMYFUNCTION("""COMPUTED_VALUE"""),61.35)</f>
        <v>61.35</v>
      </c>
      <c r="C668" s="22">
        <f>IFERROR(__xludf.DUMMYFUNCTION("""COMPUTED_VALUE"""),44181.66666666667)</f>
        <v>44181.66667</v>
      </c>
      <c r="D668" s="23">
        <f>IFERROR(__xludf.DUMMYFUNCTION("""COMPUTED_VALUE"""),112.34)</f>
        <v>112.34</v>
      </c>
      <c r="E668" s="22">
        <f>IFERROR(__xludf.DUMMYFUNCTION("""COMPUTED_VALUE"""),43110.66666666667)</f>
        <v>43110.66667</v>
      </c>
      <c r="F668" s="23">
        <f>IFERROR(__xludf.DUMMYFUNCTION("""COMPUTED_VALUE"""),14.78)</f>
        <v>14.78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>
      <c r="A669" s="22">
        <f>IFERROR(__xludf.DUMMYFUNCTION("""COMPUTED_VALUE"""),42930.66666666667)</f>
        <v>42930.66667</v>
      </c>
      <c r="B669" s="23">
        <f>IFERROR(__xludf.DUMMYFUNCTION("""COMPUTED_VALUE"""),61.08)</f>
        <v>61.08</v>
      </c>
      <c r="C669" s="22">
        <f>IFERROR(__xludf.DUMMYFUNCTION("""COMPUTED_VALUE"""),44182.66666666667)</f>
        <v>44182.66667</v>
      </c>
      <c r="D669" s="23">
        <f>IFERROR(__xludf.DUMMYFUNCTION("""COMPUTED_VALUE"""),113.5)</f>
        <v>113.5</v>
      </c>
      <c r="E669" s="22">
        <f>IFERROR(__xludf.DUMMYFUNCTION("""COMPUTED_VALUE"""),43111.66666666667)</f>
        <v>43111.66667</v>
      </c>
      <c r="F669" s="23">
        <f>IFERROR(__xludf.DUMMYFUNCTION("""COMPUTED_VALUE"""),14.68)</f>
        <v>14.68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>
      <c r="A670" s="22">
        <f>IFERROR(__xludf.DUMMYFUNCTION("""COMPUTED_VALUE"""),42933.66666666667)</f>
        <v>42933.66667</v>
      </c>
      <c r="B670" s="23">
        <f>IFERROR(__xludf.DUMMYFUNCTION("""COMPUTED_VALUE"""),60.89)</f>
        <v>60.89</v>
      </c>
      <c r="C670" s="22">
        <f>IFERROR(__xludf.DUMMYFUNCTION("""COMPUTED_VALUE"""),44183.66666666667)</f>
        <v>44183.66667</v>
      </c>
      <c r="D670" s="23">
        <f>IFERROR(__xludf.DUMMYFUNCTION("""COMPUTED_VALUE"""),112.35)</f>
        <v>112.35</v>
      </c>
      <c r="E670" s="22">
        <f>IFERROR(__xludf.DUMMYFUNCTION("""COMPUTED_VALUE"""),43112.66666666667)</f>
        <v>43112.66667</v>
      </c>
      <c r="F670" s="23">
        <f>IFERROR(__xludf.DUMMYFUNCTION("""COMPUTED_VALUE"""),14.76)</f>
        <v>14.76</v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>
      <c r="A671" s="22">
        <f>IFERROR(__xludf.DUMMYFUNCTION("""COMPUTED_VALUE"""),42934.66666666667)</f>
        <v>42934.66667</v>
      </c>
      <c r="B671" s="23">
        <f>IFERROR(__xludf.DUMMYFUNCTION("""COMPUTED_VALUE"""),60.15)</f>
        <v>60.15</v>
      </c>
      <c r="C671" s="22">
        <f>IFERROR(__xludf.DUMMYFUNCTION("""COMPUTED_VALUE"""),44186.66666666667)</f>
        <v>44186.66667</v>
      </c>
      <c r="D671" s="23">
        <f>IFERROR(__xludf.DUMMYFUNCTION("""COMPUTED_VALUE"""),112.0)</f>
        <v>112</v>
      </c>
      <c r="E671" s="22">
        <f>IFERROR(__xludf.DUMMYFUNCTION("""COMPUTED_VALUE"""),43115.66666666667)</f>
        <v>43115.66667</v>
      </c>
      <c r="F671" s="23">
        <f>IFERROR(__xludf.DUMMYFUNCTION("""COMPUTED_VALUE"""),14.8)</f>
        <v>14.8</v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>
      <c r="A672" s="22">
        <f>IFERROR(__xludf.DUMMYFUNCTION("""COMPUTED_VALUE"""),42935.66666666667)</f>
        <v>42935.66667</v>
      </c>
      <c r="B672" s="23">
        <f>IFERROR(__xludf.DUMMYFUNCTION("""COMPUTED_VALUE"""),59.96)</f>
        <v>59.96</v>
      </c>
      <c r="C672" s="22">
        <f>IFERROR(__xludf.DUMMYFUNCTION("""COMPUTED_VALUE"""),44187.66666666667)</f>
        <v>44187.66667</v>
      </c>
      <c r="D672" s="23">
        <f>IFERROR(__xludf.DUMMYFUNCTION("""COMPUTED_VALUE"""),110.91)</f>
        <v>110.91</v>
      </c>
      <c r="E672" s="22">
        <f>IFERROR(__xludf.DUMMYFUNCTION("""COMPUTED_VALUE"""),43116.66666666667)</f>
        <v>43116.66667</v>
      </c>
      <c r="F672" s="23">
        <f>IFERROR(__xludf.DUMMYFUNCTION("""COMPUTED_VALUE"""),14.74)</f>
        <v>14.74</v>
      </c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>
      <c r="A673" s="22">
        <f>IFERROR(__xludf.DUMMYFUNCTION("""COMPUTED_VALUE"""),42936.66666666667)</f>
        <v>42936.66667</v>
      </c>
      <c r="B673" s="23">
        <f>IFERROR(__xludf.DUMMYFUNCTION("""COMPUTED_VALUE"""),60.59)</f>
        <v>60.59</v>
      </c>
      <c r="C673" s="22">
        <f>IFERROR(__xludf.DUMMYFUNCTION("""COMPUTED_VALUE"""),44188.66666666667)</f>
        <v>44188.66667</v>
      </c>
      <c r="D673" s="23">
        <f>IFERROR(__xludf.DUMMYFUNCTION("""COMPUTED_VALUE"""),111.6)</f>
        <v>111.6</v>
      </c>
      <c r="E673" s="22">
        <f>IFERROR(__xludf.DUMMYFUNCTION("""COMPUTED_VALUE"""),43117.66666666667)</f>
        <v>43117.66667</v>
      </c>
      <c r="F673" s="23">
        <f>IFERROR(__xludf.DUMMYFUNCTION("""COMPUTED_VALUE"""),14.72)</f>
        <v>14.72</v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>
      <c r="A674" s="22">
        <f>IFERROR(__xludf.DUMMYFUNCTION("""COMPUTED_VALUE"""),42937.66666666667)</f>
        <v>42937.66667</v>
      </c>
      <c r="B674" s="23">
        <f>IFERROR(__xludf.DUMMYFUNCTION("""COMPUTED_VALUE"""),60.44)</f>
        <v>60.44</v>
      </c>
      <c r="C674" s="22">
        <f>IFERROR(__xludf.DUMMYFUNCTION("""COMPUTED_VALUE"""),44189.66666666667)</f>
        <v>44189.66667</v>
      </c>
      <c r="D674" s="23">
        <f>IFERROR(__xludf.DUMMYFUNCTION("""COMPUTED_VALUE"""),112.09)</f>
        <v>112.09</v>
      </c>
      <c r="E674" s="22">
        <f>IFERROR(__xludf.DUMMYFUNCTION("""COMPUTED_VALUE"""),43118.66666666667)</f>
        <v>43118.66667</v>
      </c>
      <c r="F674" s="23">
        <f>IFERROR(__xludf.DUMMYFUNCTION("""COMPUTED_VALUE"""),14.82)</f>
        <v>14.82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>
      <c r="A675" s="22">
        <f>IFERROR(__xludf.DUMMYFUNCTION("""COMPUTED_VALUE"""),42940.66666666667)</f>
        <v>42940.66667</v>
      </c>
      <c r="B675" s="23">
        <f>IFERROR(__xludf.DUMMYFUNCTION("""COMPUTED_VALUE"""),60.21)</f>
        <v>60.21</v>
      </c>
      <c r="C675" s="22">
        <f>IFERROR(__xludf.DUMMYFUNCTION("""COMPUTED_VALUE"""),44194.66666666667)</f>
        <v>44194.66667</v>
      </c>
      <c r="D675" s="23">
        <f>IFERROR(__xludf.DUMMYFUNCTION("""COMPUTED_VALUE"""),112.5)</f>
        <v>112.5</v>
      </c>
      <c r="E675" s="22">
        <f>IFERROR(__xludf.DUMMYFUNCTION("""COMPUTED_VALUE"""),43119.66666666667)</f>
        <v>43119.66667</v>
      </c>
      <c r="F675" s="23">
        <f>IFERROR(__xludf.DUMMYFUNCTION("""COMPUTED_VALUE"""),14.69)</f>
        <v>14.69</v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>
      <c r="A676" s="22">
        <f>IFERROR(__xludf.DUMMYFUNCTION("""COMPUTED_VALUE"""),42941.66666666667)</f>
        <v>42941.66667</v>
      </c>
      <c r="B676" s="23">
        <f>IFERROR(__xludf.DUMMYFUNCTION("""COMPUTED_VALUE"""),60.1)</f>
        <v>60.1</v>
      </c>
      <c r="C676" s="22">
        <f>IFERROR(__xludf.DUMMYFUNCTION("""COMPUTED_VALUE"""),44195.66666666667)</f>
        <v>44195.66667</v>
      </c>
      <c r="D676" s="23">
        <f>IFERROR(__xludf.DUMMYFUNCTION("""COMPUTED_VALUE"""),112.18)</f>
        <v>112.18</v>
      </c>
      <c r="E676" s="22">
        <f>IFERROR(__xludf.DUMMYFUNCTION("""COMPUTED_VALUE"""),43122.66666666667)</f>
        <v>43122.66667</v>
      </c>
      <c r="F676" s="23">
        <f>IFERROR(__xludf.DUMMYFUNCTION("""COMPUTED_VALUE"""),14.8)</f>
        <v>14.8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>
      <c r="A677" s="22">
        <f>IFERROR(__xludf.DUMMYFUNCTION("""COMPUTED_VALUE"""),42942.66666666667)</f>
        <v>42942.66667</v>
      </c>
      <c r="B677" s="23">
        <f>IFERROR(__xludf.DUMMYFUNCTION("""COMPUTED_VALUE"""),60.63)</f>
        <v>60.63</v>
      </c>
      <c r="C677" s="22">
        <f>IFERROR(__xludf.DUMMYFUNCTION("""COMPUTED_VALUE"""),44196.66666666667)</f>
        <v>44196.66667</v>
      </c>
      <c r="D677" s="23">
        <f>IFERROR(__xludf.DUMMYFUNCTION("""COMPUTED_VALUE"""),110.87)</f>
        <v>110.87</v>
      </c>
      <c r="E677" s="22">
        <f>IFERROR(__xludf.DUMMYFUNCTION("""COMPUTED_VALUE"""),43123.66666666667)</f>
        <v>43123.66667</v>
      </c>
      <c r="F677" s="23">
        <f>IFERROR(__xludf.DUMMYFUNCTION("""COMPUTED_VALUE"""),15.03)</f>
        <v>15.03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>
      <c r="A678" s="22">
        <f>IFERROR(__xludf.DUMMYFUNCTION("""COMPUTED_VALUE"""),42943.66666666667)</f>
        <v>42943.66667</v>
      </c>
      <c r="B678" s="23">
        <f>IFERROR(__xludf.DUMMYFUNCTION("""COMPUTED_VALUE"""),59.71)</f>
        <v>59.71</v>
      </c>
      <c r="C678" s="22">
        <f>IFERROR(__xludf.DUMMYFUNCTION("""COMPUTED_VALUE"""),44200.66666666667)</f>
        <v>44200.66667</v>
      </c>
      <c r="D678" s="23">
        <f>IFERROR(__xludf.DUMMYFUNCTION("""COMPUTED_VALUE"""),111.66)</f>
        <v>111.66</v>
      </c>
      <c r="E678" s="22">
        <f>IFERROR(__xludf.DUMMYFUNCTION("""COMPUTED_VALUE"""),43124.66666666667)</f>
        <v>43124.66667</v>
      </c>
      <c r="F678" s="23">
        <f>IFERROR(__xludf.DUMMYFUNCTION("""COMPUTED_VALUE"""),15.04)</f>
        <v>15.04</v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>
      <c r="A679" s="22">
        <f>IFERROR(__xludf.DUMMYFUNCTION("""COMPUTED_VALUE"""),42944.66666666667)</f>
        <v>42944.66667</v>
      </c>
      <c r="B679" s="23">
        <f>IFERROR(__xludf.DUMMYFUNCTION("""COMPUTED_VALUE"""),59.88)</f>
        <v>59.88</v>
      </c>
      <c r="C679" s="22">
        <f>IFERROR(__xludf.DUMMYFUNCTION("""COMPUTED_VALUE"""),44201.66666666667)</f>
        <v>44201.66667</v>
      </c>
      <c r="D679" s="23">
        <f>IFERROR(__xludf.DUMMYFUNCTION("""COMPUTED_VALUE"""),111.55)</f>
        <v>111.55</v>
      </c>
      <c r="E679" s="22">
        <f>IFERROR(__xludf.DUMMYFUNCTION("""COMPUTED_VALUE"""),43125.66666666667)</f>
        <v>43125.66667</v>
      </c>
      <c r="F679" s="23">
        <f>IFERROR(__xludf.DUMMYFUNCTION("""COMPUTED_VALUE"""),14.81)</f>
        <v>14.81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>
      <c r="A680" s="22">
        <f>IFERROR(__xludf.DUMMYFUNCTION("""COMPUTED_VALUE"""),42947.66666666667)</f>
        <v>42947.66667</v>
      </c>
      <c r="B680" s="23">
        <f>IFERROR(__xludf.DUMMYFUNCTION("""COMPUTED_VALUE"""),59.9)</f>
        <v>59.9</v>
      </c>
      <c r="C680" s="22">
        <f>IFERROR(__xludf.DUMMYFUNCTION("""COMPUTED_VALUE"""),44202.66666666667)</f>
        <v>44202.66667</v>
      </c>
      <c r="D680" s="23">
        <f>IFERROR(__xludf.DUMMYFUNCTION("""COMPUTED_VALUE"""),110.44)</f>
        <v>110.44</v>
      </c>
      <c r="E680" s="22">
        <f>IFERROR(__xludf.DUMMYFUNCTION("""COMPUTED_VALUE"""),43129.66666666667)</f>
        <v>43129.66667</v>
      </c>
      <c r="F680" s="23">
        <f>IFERROR(__xludf.DUMMYFUNCTION("""COMPUTED_VALUE"""),15.02)</f>
        <v>15.02</v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>
      <c r="A681" s="22">
        <f>IFERROR(__xludf.DUMMYFUNCTION("""COMPUTED_VALUE"""),42948.66666666667)</f>
        <v>42948.66667</v>
      </c>
      <c r="B681" s="23">
        <f>IFERROR(__xludf.DUMMYFUNCTION("""COMPUTED_VALUE"""),59.86)</f>
        <v>59.86</v>
      </c>
      <c r="C681" s="22">
        <f>IFERROR(__xludf.DUMMYFUNCTION("""COMPUTED_VALUE"""),44203.66666666667)</f>
        <v>44203.66667</v>
      </c>
      <c r="D681" s="23">
        <f>IFERROR(__xludf.DUMMYFUNCTION("""COMPUTED_VALUE"""),112.6)</f>
        <v>112.6</v>
      </c>
      <c r="E681" s="22">
        <f>IFERROR(__xludf.DUMMYFUNCTION("""COMPUTED_VALUE"""),43130.66666666667)</f>
        <v>43130.66667</v>
      </c>
      <c r="F681" s="23">
        <f>IFERROR(__xludf.DUMMYFUNCTION("""COMPUTED_VALUE"""),14.89)</f>
        <v>14.89</v>
      </c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>
      <c r="A682" s="22">
        <f>IFERROR(__xludf.DUMMYFUNCTION("""COMPUTED_VALUE"""),42949.66666666667)</f>
        <v>42949.66667</v>
      </c>
      <c r="B682" s="23">
        <f>IFERROR(__xludf.DUMMYFUNCTION("""COMPUTED_VALUE"""),60.37)</f>
        <v>60.37</v>
      </c>
      <c r="C682" s="22">
        <f>IFERROR(__xludf.DUMMYFUNCTION("""COMPUTED_VALUE"""),44204.66666666667)</f>
        <v>44204.66667</v>
      </c>
      <c r="D682" s="23">
        <f>IFERROR(__xludf.DUMMYFUNCTION("""COMPUTED_VALUE"""),113.0)</f>
        <v>113</v>
      </c>
      <c r="E682" s="22">
        <f>IFERROR(__xludf.DUMMYFUNCTION("""COMPUTED_VALUE"""),43131.66666666667)</f>
        <v>43131.66667</v>
      </c>
      <c r="F682" s="23">
        <f>IFERROR(__xludf.DUMMYFUNCTION("""COMPUTED_VALUE"""),14.93)</f>
        <v>14.93</v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>
      <c r="A683" s="22">
        <f>IFERROR(__xludf.DUMMYFUNCTION("""COMPUTED_VALUE"""),42950.66666666667)</f>
        <v>42950.66667</v>
      </c>
      <c r="B683" s="23">
        <f>IFERROR(__xludf.DUMMYFUNCTION("""COMPUTED_VALUE"""),60.54)</f>
        <v>60.54</v>
      </c>
      <c r="C683" s="22">
        <f>IFERROR(__xludf.DUMMYFUNCTION("""COMPUTED_VALUE"""),44207.66666666667)</f>
        <v>44207.66667</v>
      </c>
      <c r="D683" s="23">
        <f>IFERROR(__xludf.DUMMYFUNCTION("""COMPUTED_VALUE"""),112.18)</f>
        <v>112.18</v>
      </c>
      <c r="E683" s="22">
        <f>IFERROR(__xludf.DUMMYFUNCTION("""COMPUTED_VALUE"""),43132.66666666667)</f>
        <v>43132.66667</v>
      </c>
      <c r="F683" s="23">
        <f>IFERROR(__xludf.DUMMYFUNCTION("""COMPUTED_VALUE"""),15.04)</f>
        <v>15.04</v>
      </c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>
      <c r="A684" s="22">
        <f>IFERROR(__xludf.DUMMYFUNCTION("""COMPUTED_VALUE"""),42951.66666666667)</f>
        <v>42951.66667</v>
      </c>
      <c r="B684" s="23">
        <f>IFERROR(__xludf.DUMMYFUNCTION("""COMPUTED_VALUE"""),60.27)</f>
        <v>60.27</v>
      </c>
      <c r="C684" s="22">
        <f>IFERROR(__xludf.DUMMYFUNCTION("""COMPUTED_VALUE"""),44208.66666666667)</f>
        <v>44208.66667</v>
      </c>
      <c r="D684" s="23">
        <f>IFERROR(__xludf.DUMMYFUNCTION("""COMPUTED_VALUE"""),111.9)</f>
        <v>111.9</v>
      </c>
      <c r="E684" s="22">
        <f>IFERROR(__xludf.DUMMYFUNCTION("""COMPUTED_VALUE"""),43133.66666666667)</f>
        <v>43133.66667</v>
      </c>
      <c r="F684" s="23">
        <f>IFERROR(__xludf.DUMMYFUNCTION("""COMPUTED_VALUE"""),14.98)</f>
        <v>14.98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>
      <c r="A685" s="22">
        <f>IFERROR(__xludf.DUMMYFUNCTION("""COMPUTED_VALUE"""),42954.66666666667)</f>
        <v>42954.66667</v>
      </c>
      <c r="B685" s="23">
        <f>IFERROR(__xludf.DUMMYFUNCTION("""COMPUTED_VALUE"""),61.0)</f>
        <v>61</v>
      </c>
      <c r="C685" s="22">
        <f>IFERROR(__xludf.DUMMYFUNCTION("""COMPUTED_VALUE"""),44209.66666666667)</f>
        <v>44209.66667</v>
      </c>
      <c r="D685" s="23">
        <f>IFERROR(__xludf.DUMMYFUNCTION("""COMPUTED_VALUE"""),111.99)</f>
        <v>111.99</v>
      </c>
      <c r="E685" s="22">
        <f>IFERROR(__xludf.DUMMYFUNCTION("""COMPUTED_VALUE"""),43136.66666666667)</f>
        <v>43136.66667</v>
      </c>
      <c r="F685" s="23">
        <f>IFERROR(__xludf.DUMMYFUNCTION("""COMPUTED_VALUE"""),14.71)</f>
        <v>14.71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>
      <c r="A686" s="22">
        <f>IFERROR(__xludf.DUMMYFUNCTION("""COMPUTED_VALUE"""),42955.66666666667)</f>
        <v>42955.66667</v>
      </c>
      <c r="B686" s="23">
        <f>IFERROR(__xludf.DUMMYFUNCTION("""COMPUTED_VALUE"""),60.69)</f>
        <v>60.69</v>
      </c>
      <c r="C686" s="22">
        <f>IFERROR(__xludf.DUMMYFUNCTION("""COMPUTED_VALUE"""),44210.66666666667)</f>
        <v>44210.66667</v>
      </c>
      <c r="D686" s="23">
        <f>IFERROR(__xludf.DUMMYFUNCTION("""COMPUTED_VALUE"""),112.45)</f>
        <v>112.45</v>
      </c>
      <c r="E686" s="22">
        <f>IFERROR(__xludf.DUMMYFUNCTION("""COMPUTED_VALUE"""),43137.66666666667)</f>
        <v>43137.66667</v>
      </c>
      <c r="F686" s="23">
        <f>IFERROR(__xludf.DUMMYFUNCTION("""COMPUTED_VALUE"""),14.0)</f>
        <v>14</v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>
      <c r="A687" s="22">
        <f>IFERROR(__xludf.DUMMYFUNCTION("""COMPUTED_VALUE"""),42956.66666666667)</f>
        <v>42956.66667</v>
      </c>
      <c r="B687" s="23">
        <f>IFERROR(__xludf.DUMMYFUNCTION("""COMPUTED_VALUE"""),60.74)</f>
        <v>60.74</v>
      </c>
      <c r="C687" s="22">
        <f>IFERROR(__xludf.DUMMYFUNCTION("""COMPUTED_VALUE"""),44211.66666666667)</f>
        <v>44211.66667</v>
      </c>
      <c r="D687" s="23">
        <f>IFERROR(__xludf.DUMMYFUNCTION("""COMPUTED_VALUE"""),112.56)</f>
        <v>112.56</v>
      </c>
      <c r="E687" s="22">
        <f>IFERROR(__xludf.DUMMYFUNCTION("""COMPUTED_VALUE"""),43138.66666666667)</f>
        <v>43138.66667</v>
      </c>
      <c r="F687" s="23">
        <f>IFERROR(__xludf.DUMMYFUNCTION("""COMPUTED_VALUE"""),14.53)</f>
        <v>14.53</v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>
      <c r="A688" s="22">
        <f>IFERROR(__xludf.DUMMYFUNCTION("""COMPUTED_VALUE"""),42957.66666666667)</f>
        <v>42957.66667</v>
      </c>
      <c r="B688" s="23">
        <f>IFERROR(__xludf.DUMMYFUNCTION("""COMPUTED_VALUE"""),60.76)</f>
        <v>60.76</v>
      </c>
      <c r="C688" s="22">
        <f>IFERROR(__xludf.DUMMYFUNCTION("""COMPUTED_VALUE"""),44214.66666666667)</f>
        <v>44214.66667</v>
      </c>
      <c r="D688" s="23">
        <f>IFERROR(__xludf.DUMMYFUNCTION("""COMPUTED_VALUE"""),111.51)</f>
        <v>111.51</v>
      </c>
      <c r="E688" s="22">
        <f>IFERROR(__xludf.DUMMYFUNCTION("""COMPUTED_VALUE"""),43139.66666666667)</f>
        <v>43139.66667</v>
      </c>
      <c r="F688" s="23">
        <f>IFERROR(__xludf.DUMMYFUNCTION("""COMPUTED_VALUE"""),14.54)</f>
        <v>14.54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>
      <c r="A689" s="22">
        <f>IFERROR(__xludf.DUMMYFUNCTION("""COMPUTED_VALUE"""),42958.66666666667)</f>
        <v>42958.66667</v>
      </c>
      <c r="B689" s="23">
        <f>IFERROR(__xludf.DUMMYFUNCTION("""COMPUTED_VALUE"""),60.1)</f>
        <v>60.1</v>
      </c>
      <c r="C689" s="22">
        <f>IFERROR(__xludf.DUMMYFUNCTION("""COMPUTED_VALUE"""),44215.66666666667)</f>
        <v>44215.66667</v>
      </c>
      <c r="D689" s="23">
        <f>IFERROR(__xludf.DUMMYFUNCTION("""COMPUTED_VALUE"""),112.94)</f>
        <v>112.94</v>
      </c>
      <c r="E689" s="22">
        <f>IFERROR(__xludf.DUMMYFUNCTION("""COMPUTED_VALUE"""),43140.66666666667)</f>
        <v>43140.66667</v>
      </c>
      <c r="F689" s="23">
        <f>IFERROR(__xludf.DUMMYFUNCTION("""COMPUTED_VALUE"""),14.1)</f>
        <v>14.1</v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>
      <c r="A690" s="22">
        <f>IFERROR(__xludf.DUMMYFUNCTION("""COMPUTED_VALUE"""),42961.66666666667)</f>
        <v>42961.66667</v>
      </c>
      <c r="B690" s="23">
        <f>IFERROR(__xludf.DUMMYFUNCTION("""COMPUTED_VALUE"""),60.14)</f>
        <v>60.14</v>
      </c>
      <c r="C690" s="22">
        <f>IFERROR(__xludf.DUMMYFUNCTION("""COMPUTED_VALUE"""),44216.66666666667)</f>
        <v>44216.66667</v>
      </c>
      <c r="D690" s="23">
        <f>IFERROR(__xludf.DUMMYFUNCTION("""COMPUTED_VALUE"""),113.39)</f>
        <v>113.39</v>
      </c>
      <c r="E690" s="22">
        <f>IFERROR(__xludf.DUMMYFUNCTION("""COMPUTED_VALUE"""),43143.66666666667)</f>
        <v>43143.66667</v>
      </c>
      <c r="F690" s="23">
        <f>IFERROR(__xludf.DUMMYFUNCTION("""COMPUTED_VALUE"""),14.26)</f>
        <v>14.26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>
      <c r="A691" s="22">
        <f>IFERROR(__xludf.DUMMYFUNCTION("""COMPUTED_VALUE"""),42962.66666666667)</f>
        <v>42962.66667</v>
      </c>
      <c r="B691" s="23">
        <f>IFERROR(__xludf.DUMMYFUNCTION("""COMPUTED_VALUE"""),60.83)</f>
        <v>60.83</v>
      </c>
      <c r="C691" s="22">
        <f>IFERROR(__xludf.DUMMYFUNCTION("""COMPUTED_VALUE"""),44217.66666666667)</f>
        <v>44217.66667</v>
      </c>
      <c r="D691" s="23">
        <f>IFERROR(__xludf.DUMMYFUNCTION("""COMPUTED_VALUE"""),114.09)</f>
        <v>114.09</v>
      </c>
      <c r="E691" s="22">
        <f>IFERROR(__xludf.DUMMYFUNCTION("""COMPUTED_VALUE"""),43144.66666666667)</f>
        <v>43144.66667</v>
      </c>
      <c r="F691" s="23">
        <f>IFERROR(__xludf.DUMMYFUNCTION("""COMPUTED_VALUE"""),14.35)</f>
        <v>14.35</v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>
      <c r="A692" s="22">
        <f>IFERROR(__xludf.DUMMYFUNCTION("""COMPUTED_VALUE"""),42963.66666666667)</f>
        <v>42963.66667</v>
      </c>
      <c r="B692" s="23">
        <f>IFERROR(__xludf.DUMMYFUNCTION("""COMPUTED_VALUE"""),60.79)</f>
        <v>60.79</v>
      </c>
      <c r="C692" s="22">
        <f>IFERROR(__xludf.DUMMYFUNCTION("""COMPUTED_VALUE"""),44218.66666666667)</f>
        <v>44218.66667</v>
      </c>
      <c r="D692" s="23">
        <f>IFERROR(__xludf.DUMMYFUNCTION("""COMPUTED_VALUE"""),113.7)</f>
        <v>113.7</v>
      </c>
      <c r="E692" s="22">
        <f>IFERROR(__xludf.DUMMYFUNCTION("""COMPUTED_VALUE"""),43145.66666666667)</f>
        <v>43145.66667</v>
      </c>
      <c r="F692" s="23">
        <f>IFERROR(__xludf.DUMMYFUNCTION("""COMPUTED_VALUE"""),14.44)</f>
        <v>14.44</v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>
      <c r="A693" s="22">
        <f>IFERROR(__xludf.DUMMYFUNCTION("""COMPUTED_VALUE"""),42964.66666666667)</f>
        <v>42964.66667</v>
      </c>
      <c r="B693" s="23">
        <f>IFERROR(__xludf.DUMMYFUNCTION("""COMPUTED_VALUE"""),60.14)</f>
        <v>60.14</v>
      </c>
      <c r="C693" s="22">
        <f>IFERROR(__xludf.DUMMYFUNCTION("""COMPUTED_VALUE"""),44221.66666666667)</f>
        <v>44221.66667</v>
      </c>
      <c r="D693" s="23">
        <f>IFERROR(__xludf.DUMMYFUNCTION("""COMPUTED_VALUE"""),114.15)</f>
        <v>114.15</v>
      </c>
      <c r="E693" s="22">
        <f>IFERROR(__xludf.DUMMYFUNCTION("""COMPUTED_VALUE"""),43146.66666666667)</f>
        <v>43146.66667</v>
      </c>
      <c r="F693" s="23">
        <f>IFERROR(__xludf.DUMMYFUNCTION("""COMPUTED_VALUE"""),14.71)</f>
        <v>14.71</v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>
      <c r="A694" s="22">
        <f>IFERROR(__xludf.DUMMYFUNCTION("""COMPUTED_VALUE"""),42965.66666666667)</f>
        <v>42965.66667</v>
      </c>
      <c r="B694" s="23">
        <f>IFERROR(__xludf.DUMMYFUNCTION("""COMPUTED_VALUE"""),59.81)</f>
        <v>59.81</v>
      </c>
      <c r="C694" s="22">
        <f>IFERROR(__xludf.DUMMYFUNCTION("""COMPUTED_VALUE"""),44223.66666666667)</f>
        <v>44223.66667</v>
      </c>
      <c r="D694" s="23">
        <f>IFERROR(__xludf.DUMMYFUNCTION("""COMPUTED_VALUE"""),113.49)</f>
        <v>113.49</v>
      </c>
      <c r="E694" s="22">
        <f>IFERROR(__xludf.DUMMYFUNCTION("""COMPUTED_VALUE"""),43147.66666666667)</f>
        <v>43147.66667</v>
      </c>
      <c r="F694" s="23">
        <f>IFERROR(__xludf.DUMMYFUNCTION("""COMPUTED_VALUE"""),14.86)</f>
        <v>14.86</v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>
      <c r="A695" s="22">
        <f>IFERROR(__xludf.DUMMYFUNCTION("""COMPUTED_VALUE"""),42968.66666666667)</f>
        <v>42968.66667</v>
      </c>
      <c r="B695" s="23">
        <f>IFERROR(__xludf.DUMMYFUNCTION("""COMPUTED_VALUE"""),59.47)</f>
        <v>59.47</v>
      </c>
      <c r="C695" s="22">
        <f>IFERROR(__xludf.DUMMYFUNCTION("""COMPUTED_VALUE"""),44224.66666666667)</f>
        <v>44224.66667</v>
      </c>
      <c r="D695" s="23">
        <f>IFERROR(__xludf.DUMMYFUNCTION("""COMPUTED_VALUE"""),111.39)</f>
        <v>111.39</v>
      </c>
      <c r="E695" s="22">
        <f>IFERROR(__xludf.DUMMYFUNCTION("""COMPUTED_VALUE"""),43150.66666666667)</f>
        <v>43150.66667</v>
      </c>
      <c r="F695" s="23">
        <f>IFERROR(__xludf.DUMMYFUNCTION("""COMPUTED_VALUE"""),14.92)</f>
        <v>14.92</v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>
      <c r="A696" s="22">
        <f>IFERROR(__xludf.DUMMYFUNCTION("""COMPUTED_VALUE"""),42969.66666666667)</f>
        <v>42969.66667</v>
      </c>
      <c r="B696" s="23">
        <f>IFERROR(__xludf.DUMMYFUNCTION("""COMPUTED_VALUE"""),59.53)</f>
        <v>59.53</v>
      </c>
      <c r="C696" s="22">
        <f>IFERROR(__xludf.DUMMYFUNCTION("""COMPUTED_VALUE"""),44225.66666666667)</f>
        <v>44225.66667</v>
      </c>
      <c r="D696" s="23">
        <f>IFERROR(__xludf.DUMMYFUNCTION("""COMPUTED_VALUE"""),110.65)</f>
        <v>110.65</v>
      </c>
      <c r="E696" s="22">
        <f>IFERROR(__xludf.DUMMYFUNCTION("""COMPUTED_VALUE"""),43151.66666666667)</f>
        <v>43151.66667</v>
      </c>
      <c r="F696" s="23">
        <f>IFERROR(__xludf.DUMMYFUNCTION("""COMPUTED_VALUE"""),14.84)</f>
        <v>14.84</v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>
      <c r="A697" s="22">
        <f>IFERROR(__xludf.DUMMYFUNCTION("""COMPUTED_VALUE"""),42970.66666666667)</f>
        <v>42970.66667</v>
      </c>
      <c r="B697" s="23">
        <f>IFERROR(__xludf.DUMMYFUNCTION("""COMPUTED_VALUE"""),60.14)</f>
        <v>60.14</v>
      </c>
      <c r="C697" s="22">
        <f>IFERROR(__xludf.DUMMYFUNCTION("""COMPUTED_VALUE"""),44228.66666666667)</f>
        <v>44228.66667</v>
      </c>
      <c r="D697" s="23">
        <f>IFERROR(__xludf.DUMMYFUNCTION("""COMPUTED_VALUE"""),111.5)</f>
        <v>111.5</v>
      </c>
      <c r="E697" s="22">
        <f>IFERROR(__xludf.DUMMYFUNCTION("""COMPUTED_VALUE"""),43152.66666666667)</f>
        <v>43152.66667</v>
      </c>
      <c r="F697" s="23">
        <f>IFERROR(__xludf.DUMMYFUNCTION("""COMPUTED_VALUE"""),14.97)</f>
        <v>14.97</v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>
      <c r="A698" s="22">
        <f>IFERROR(__xludf.DUMMYFUNCTION("""COMPUTED_VALUE"""),42971.66666666667)</f>
        <v>42971.66667</v>
      </c>
      <c r="B698" s="23">
        <f>IFERROR(__xludf.DUMMYFUNCTION("""COMPUTED_VALUE"""),60.05)</f>
        <v>60.05</v>
      </c>
      <c r="C698" s="22">
        <f>IFERROR(__xludf.DUMMYFUNCTION("""COMPUTED_VALUE"""),44229.66666666667)</f>
        <v>44229.66667</v>
      </c>
      <c r="D698" s="23">
        <f>IFERROR(__xludf.DUMMYFUNCTION("""COMPUTED_VALUE"""),113.19)</f>
        <v>113.19</v>
      </c>
      <c r="E698" s="22">
        <f>IFERROR(__xludf.DUMMYFUNCTION("""COMPUTED_VALUE"""),43153.66666666667)</f>
        <v>43153.66667</v>
      </c>
      <c r="F698" s="23">
        <f>IFERROR(__xludf.DUMMYFUNCTION("""COMPUTED_VALUE"""),14.93)</f>
        <v>14.93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>
      <c r="A699" s="22">
        <f>IFERROR(__xludf.DUMMYFUNCTION("""COMPUTED_VALUE"""),42972.66666666667)</f>
        <v>42972.66667</v>
      </c>
      <c r="B699" s="23">
        <f>IFERROR(__xludf.DUMMYFUNCTION("""COMPUTED_VALUE"""),60.05)</f>
        <v>60.05</v>
      </c>
      <c r="C699" s="22">
        <f>IFERROR(__xludf.DUMMYFUNCTION("""COMPUTED_VALUE"""),44230.66666666667)</f>
        <v>44230.66667</v>
      </c>
      <c r="D699" s="23">
        <f>IFERROR(__xludf.DUMMYFUNCTION("""COMPUTED_VALUE"""),114.51)</f>
        <v>114.51</v>
      </c>
      <c r="E699" s="22">
        <f>IFERROR(__xludf.DUMMYFUNCTION("""COMPUTED_VALUE"""),43154.66666666667)</f>
        <v>43154.66667</v>
      </c>
      <c r="F699" s="23">
        <f>IFERROR(__xludf.DUMMYFUNCTION("""COMPUTED_VALUE"""),15.07)</f>
        <v>15.07</v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>
      <c r="A700" s="22">
        <f>IFERROR(__xludf.DUMMYFUNCTION("""COMPUTED_VALUE"""),42975.66666666667)</f>
        <v>42975.66667</v>
      </c>
      <c r="B700" s="23">
        <f>IFERROR(__xludf.DUMMYFUNCTION("""COMPUTED_VALUE"""),59.8)</f>
        <v>59.8</v>
      </c>
      <c r="C700" s="22">
        <f>IFERROR(__xludf.DUMMYFUNCTION("""COMPUTED_VALUE"""),44231.66666666667)</f>
        <v>44231.66667</v>
      </c>
      <c r="D700" s="23">
        <f>IFERROR(__xludf.DUMMYFUNCTION("""COMPUTED_VALUE"""),113.15)</f>
        <v>113.15</v>
      </c>
      <c r="E700" s="22">
        <f>IFERROR(__xludf.DUMMYFUNCTION("""COMPUTED_VALUE"""),43157.66666666667)</f>
        <v>43157.66667</v>
      </c>
      <c r="F700" s="23">
        <f>IFERROR(__xludf.DUMMYFUNCTION("""COMPUTED_VALUE"""),15.22)</f>
        <v>15.22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>
      <c r="A701" s="22">
        <f>IFERROR(__xludf.DUMMYFUNCTION("""COMPUTED_VALUE"""),42976.66666666667)</f>
        <v>42976.66667</v>
      </c>
      <c r="B701" s="23">
        <f>IFERROR(__xludf.DUMMYFUNCTION("""COMPUTED_VALUE"""),59.77)</f>
        <v>59.77</v>
      </c>
      <c r="C701" s="22">
        <f>IFERROR(__xludf.DUMMYFUNCTION("""COMPUTED_VALUE"""),44232.66666666667)</f>
        <v>44232.66667</v>
      </c>
      <c r="D701" s="23">
        <f>IFERROR(__xludf.DUMMYFUNCTION("""COMPUTED_VALUE"""),114.43)</f>
        <v>114.43</v>
      </c>
      <c r="E701" s="22">
        <f>IFERROR(__xludf.DUMMYFUNCTION("""COMPUTED_VALUE"""),43158.66666666667)</f>
        <v>43158.66667</v>
      </c>
      <c r="F701" s="23">
        <f>IFERROR(__xludf.DUMMYFUNCTION("""COMPUTED_VALUE"""),15.46)</f>
        <v>15.46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>
      <c r="A702" s="22">
        <f>IFERROR(__xludf.DUMMYFUNCTION("""COMPUTED_VALUE"""),42977.66666666667)</f>
        <v>42977.66667</v>
      </c>
      <c r="B702" s="23">
        <f>IFERROR(__xludf.DUMMYFUNCTION("""COMPUTED_VALUE"""),59.68)</f>
        <v>59.68</v>
      </c>
      <c r="C702" s="22">
        <f>IFERROR(__xludf.DUMMYFUNCTION("""COMPUTED_VALUE"""),44235.66666666667)</f>
        <v>44235.66667</v>
      </c>
      <c r="D702" s="23">
        <f>IFERROR(__xludf.DUMMYFUNCTION("""COMPUTED_VALUE"""),115.09)</f>
        <v>115.09</v>
      </c>
      <c r="E702" s="22">
        <f>IFERROR(__xludf.DUMMYFUNCTION("""COMPUTED_VALUE"""),43159.66666666667)</f>
        <v>43159.66667</v>
      </c>
      <c r="F702" s="23">
        <f>IFERROR(__xludf.DUMMYFUNCTION("""COMPUTED_VALUE"""),15.39)</f>
        <v>15.39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>
      <c r="A703" s="22">
        <f>IFERROR(__xludf.DUMMYFUNCTION("""COMPUTED_VALUE"""),42978.66666666667)</f>
        <v>42978.66667</v>
      </c>
      <c r="B703" s="23">
        <f>IFERROR(__xludf.DUMMYFUNCTION("""COMPUTED_VALUE"""),60.35)</f>
        <v>60.35</v>
      </c>
      <c r="C703" s="22">
        <f>IFERROR(__xludf.DUMMYFUNCTION("""COMPUTED_VALUE"""),44236.66666666667)</f>
        <v>44236.66667</v>
      </c>
      <c r="D703" s="23">
        <f>IFERROR(__xludf.DUMMYFUNCTION("""COMPUTED_VALUE"""),114.06)</f>
        <v>114.06</v>
      </c>
      <c r="E703" s="22">
        <f>IFERROR(__xludf.DUMMYFUNCTION("""COMPUTED_VALUE"""),43160.66666666667)</f>
        <v>43160.66667</v>
      </c>
      <c r="F703" s="23">
        <f>IFERROR(__xludf.DUMMYFUNCTION("""COMPUTED_VALUE"""),15.41)</f>
        <v>15.41</v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>
      <c r="A704" s="22">
        <f>IFERROR(__xludf.DUMMYFUNCTION("""COMPUTED_VALUE"""),42979.66666666667)</f>
        <v>42979.66667</v>
      </c>
      <c r="B704" s="23">
        <f>IFERROR(__xludf.DUMMYFUNCTION("""COMPUTED_VALUE"""),60.45)</f>
        <v>60.45</v>
      </c>
      <c r="C704" s="22">
        <f>IFERROR(__xludf.DUMMYFUNCTION("""COMPUTED_VALUE"""),44237.66666666667)</f>
        <v>44237.66667</v>
      </c>
      <c r="D704" s="23">
        <f>IFERROR(__xludf.DUMMYFUNCTION("""COMPUTED_VALUE"""),114.67)</f>
        <v>114.67</v>
      </c>
      <c r="E704" s="22">
        <f>IFERROR(__xludf.DUMMYFUNCTION("""COMPUTED_VALUE"""),43161.66666666667)</f>
        <v>43161.66667</v>
      </c>
      <c r="F704" s="23">
        <f>IFERROR(__xludf.DUMMYFUNCTION("""COMPUTED_VALUE"""),15.11)</f>
        <v>15.11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>
      <c r="A705" s="22">
        <f>IFERROR(__xludf.DUMMYFUNCTION("""COMPUTED_VALUE"""),42982.66666666667)</f>
        <v>42982.66667</v>
      </c>
      <c r="B705" s="23">
        <f>IFERROR(__xludf.DUMMYFUNCTION("""COMPUTED_VALUE"""),60.14)</f>
        <v>60.14</v>
      </c>
      <c r="C705" s="22">
        <f>IFERROR(__xludf.DUMMYFUNCTION("""COMPUTED_VALUE"""),44238.66666666667)</f>
        <v>44238.66667</v>
      </c>
      <c r="D705" s="23">
        <f>IFERROR(__xludf.DUMMYFUNCTION("""COMPUTED_VALUE"""),114.57)</f>
        <v>114.57</v>
      </c>
      <c r="E705" s="22">
        <f>IFERROR(__xludf.DUMMYFUNCTION("""COMPUTED_VALUE"""),43164.66666666667)</f>
        <v>43164.66667</v>
      </c>
      <c r="F705" s="23">
        <f>IFERROR(__xludf.DUMMYFUNCTION("""COMPUTED_VALUE"""),15.16)</f>
        <v>15.16</v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>
      <c r="A706" s="22">
        <f>IFERROR(__xludf.DUMMYFUNCTION("""COMPUTED_VALUE"""),42983.66666666667)</f>
        <v>42983.66667</v>
      </c>
      <c r="B706" s="23">
        <f>IFERROR(__xludf.DUMMYFUNCTION("""COMPUTED_VALUE"""),60.12)</f>
        <v>60.12</v>
      </c>
      <c r="C706" s="22">
        <f>IFERROR(__xludf.DUMMYFUNCTION("""COMPUTED_VALUE"""),44239.66666666667)</f>
        <v>44239.66667</v>
      </c>
      <c r="D706" s="23">
        <f>IFERROR(__xludf.DUMMYFUNCTION("""COMPUTED_VALUE"""),113.9)</f>
        <v>113.9</v>
      </c>
      <c r="E706" s="22">
        <f>IFERROR(__xludf.DUMMYFUNCTION("""COMPUTED_VALUE"""),43165.66666666667)</f>
        <v>43165.66667</v>
      </c>
      <c r="F706" s="23">
        <f>IFERROR(__xludf.DUMMYFUNCTION("""COMPUTED_VALUE"""),15.36)</f>
        <v>15.36</v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>
      <c r="A707" s="22">
        <f>IFERROR(__xludf.DUMMYFUNCTION("""COMPUTED_VALUE"""),42984.66666666667)</f>
        <v>42984.66667</v>
      </c>
      <c r="B707" s="23">
        <f>IFERROR(__xludf.DUMMYFUNCTION("""COMPUTED_VALUE"""),59.75)</f>
        <v>59.75</v>
      </c>
      <c r="C707" s="22">
        <f>IFERROR(__xludf.DUMMYFUNCTION("""COMPUTED_VALUE"""),44242.66666666667)</f>
        <v>44242.66667</v>
      </c>
      <c r="D707" s="23">
        <f>IFERROR(__xludf.DUMMYFUNCTION("""COMPUTED_VALUE"""),115.09)</f>
        <v>115.09</v>
      </c>
      <c r="E707" s="22">
        <f>IFERROR(__xludf.DUMMYFUNCTION("""COMPUTED_VALUE"""),43166.66666666667)</f>
        <v>43166.66667</v>
      </c>
      <c r="F707" s="23">
        <f>IFERROR(__xludf.DUMMYFUNCTION("""COMPUTED_VALUE"""),15.2)</f>
        <v>15.2</v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>
      <c r="A708" s="22">
        <f>IFERROR(__xludf.DUMMYFUNCTION("""COMPUTED_VALUE"""),42985.66666666667)</f>
        <v>42985.66667</v>
      </c>
      <c r="B708" s="23">
        <f>IFERROR(__xludf.DUMMYFUNCTION("""COMPUTED_VALUE"""),59.9)</f>
        <v>59.9</v>
      </c>
      <c r="C708" s="22">
        <f>IFERROR(__xludf.DUMMYFUNCTION("""COMPUTED_VALUE"""),44243.66666666667)</f>
        <v>44243.66667</v>
      </c>
      <c r="D708" s="23">
        <f>IFERROR(__xludf.DUMMYFUNCTION("""COMPUTED_VALUE"""),115.68)</f>
        <v>115.68</v>
      </c>
      <c r="E708" s="22">
        <f>IFERROR(__xludf.DUMMYFUNCTION("""COMPUTED_VALUE"""),43167.66666666667)</f>
        <v>43167.66667</v>
      </c>
      <c r="F708" s="23">
        <f>IFERROR(__xludf.DUMMYFUNCTION("""COMPUTED_VALUE"""),15.33)</f>
        <v>15.33</v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>
      <c r="A709" s="22">
        <f>IFERROR(__xludf.DUMMYFUNCTION("""COMPUTED_VALUE"""),42986.66666666667)</f>
        <v>42986.66667</v>
      </c>
      <c r="B709" s="23">
        <f>IFERROR(__xludf.DUMMYFUNCTION("""COMPUTED_VALUE"""),59.23)</f>
        <v>59.23</v>
      </c>
      <c r="C709" s="22">
        <f>IFERROR(__xludf.DUMMYFUNCTION("""COMPUTED_VALUE"""),44244.66666666667)</f>
        <v>44244.66667</v>
      </c>
      <c r="D709" s="23">
        <f>IFERROR(__xludf.DUMMYFUNCTION("""COMPUTED_VALUE"""),115.54)</f>
        <v>115.54</v>
      </c>
      <c r="E709" s="22">
        <f>IFERROR(__xludf.DUMMYFUNCTION("""COMPUTED_VALUE"""),43168.66666666667)</f>
        <v>43168.66667</v>
      </c>
      <c r="F709" s="23">
        <f>IFERROR(__xludf.DUMMYFUNCTION("""COMPUTED_VALUE"""),15.52)</f>
        <v>15.52</v>
      </c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>
      <c r="A710" s="22">
        <f>IFERROR(__xludf.DUMMYFUNCTION("""COMPUTED_VALUE"""),42989.66666666667)</f>
        <v>42989.66667</v>
      </c>
      <c r="B710" s="23">
        <f>IFERROR(__xludf.DUMMYFUNCTION("""COMPUTED_VALUE"""),59.94)</f>
        <v>59.94</v>
      </c>
      <c r="C710" s="22">
        <f>IFERROR(__xludf.DUMMYFUNCTION("""COMPUTED_VALUE"""),44245.66666666667)</f>
        <v>44245.66667</v>
      </c>
      <c r="D710" s="23">
        <f>IFERROR(__xludf.DUMMYFUNCTION("""COMPUTED_VALUE"""),115.52)</f>
        <v>115.52</v>
      </c>
      <c r="E710" s="22">
        <f>IFERROR(__xludf.DUMMYFUNCTION("""COMPUTED_VALUE"""),43171.66666666667)</f>
        <v>43171.66667</v>
      </c>
      <c r="F710" s="23">
        <f>IFERROR(__xludf.DUMMYFUNCTION("""COMPUTED_VALUE"""),15.71)</f>
        <v>15.71</v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>
      <c r="A711" s="22">
        <f>IFERROR(__xludf.DUMMYFUNCTION("""COMPUTED_VALUE"""),42990.66666666667)</f>
        <v>42990.66667</v>
      </c>
      <c r="B711" s="23">
        <f>IFERROR(__xludf.DUMMYFUNCTION("""COMPUTED_VALUE"""),60.47)</f>
        <v>60.47</v>
      </c>
      <c r="C711" s="22">
        <f>IFERROR(__xludf.DUMMYFUNCTION("""COMPUTED_VALUE"""),44246.66666666667)</f>
        <v>44246.66667</v>
      </c>
      <c r="D711" s="23">
        <f>IFERROR(__xludf.DUMMYFUNCTION("""COMPUTED_VALUE"""),113.95)</f>
        <v>113.95</v>
      </c>
      <c r="E711" s="22">
        <f>IFERROR(__xludf.DUMMYFUNCTION("""COMPUTED_VALUE"""),43172.66666666667)</f>
        <v>43172.66667</v>
      </c>
      <c r="F711" s="23">
        <f>IFERROR(__xludf.DUMMYFUNCTION("""COMPUTED_VALUE"""),15.72)</f>
        <v>15.72</v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>
      <c r="A712" s="22">
        <f>IFERROR(__xludf.DUMMYFUNCTION("""COMPUTED_VALUE"""),42991.66666666667)</f>
        <v>42991.66667</v>
      </c>
      <c r="B712" s="23">
        <f>IFERROR(__xludf.DUMMYFUNCTION("""COMPUTED_VALUE"""),60.57)</f>
        <v>60.57</v>
      </c>
      <c r="C712" s="22">
        <f>IFERROR(__xludf.DUMMYFUNCTION("""COMPUTED_VALUE"""),44249.66666666667)</f>
        <v>44249.66667</v>
      </c>
      <c r="D712" s="23">
        <f>IFERROR(__xludf.DUMMYFUNCTION("""COMPUTED_VALUE"""),113.85)</f>
        <v>113.85</v>
      </c>
      <c r="E712" s="22">
        <f>IFERROR(__xludf.DUMMYFUNCTION("""COMPUTED_VALUE"""),43173.66666666667)</f>
        <v>43173.66667</v>
      </c>
      <c r="F712" s="23">
        <f>IFERROR(__xludf.DUMMYFUNCTION("""COMPUTED_VALUE"""),15.48)</f>
        <v>15.48</v>
      </c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>
      <c r="A713" s="22">
        <f>IFERROR(__xludf.DUMMYFUNCTION("""COMPUTED_VALUE"""),42992.66666666667)</f>
        <v>42992.66667</v>
      </c>
      <c r="B713" s="23">
        <f>IFERROR(__xludf.DUMMYFUNCTION("""COMPUTED_VALUE"""),60.6)</f>
        <v>60.6</v>
      </c>
      <c r="C713" s="22">
        <f>IFERROR(__xludf.DUMMYFUNCTION("""COMPUTED_VALUE"""),44250.66666666667)</f>
        <v>44250.66667</v>
      </c>
      <c r="D713" s="23">
        <f>IFERROR(__xludf.DUMMYFUNCTION("""COMPUTED_VALUE"""),114.86)</f>
        <v>114.86</v>
      </c>
      <c r="E713" s="22">
        <f>IFERROR(__xludf.DUMMYFUNCTION("""COMPUTED_VALUE"""),43174.66666666667)</f>
        <v>43174.66667</v>
      </c>
      <c r="F713" s="23">
        <f>IFERROR(__xludf.DUMMYFUNCTION("""COMPUTED_VALUE"""),15.5)</f>
        <v>15.5</v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>
      <c r="A714" s="22">
        <f>IFERROR(__xludf.DUMMYFUNCTION("""COMPUTED_VALUE"""),42993.66666666667)</f>
        <v>42993.66667</v>
      </c>
      <c r="B714" s="23">
        <f>IFERROR(__xludf.DUMMYFUNCTION("""COMPUTED_VALUE"""),60.67)</f>
        <v>60.67</v>
      </c>
      <c r="C714" s="22">
        <f>IFERROR(__xludf.DUMMYFUNCTION("""COMPUTED_VALUE"""),44251.66666666667)</f>
        <v>44251.66667</v>
      </c>
      <c r="D714" s="23">
        <f>IFERROR(__xludf.DUMMYFUNCTION("""COMPUTED_VALUE"""),114.08)</f>
        <v>114.08</v>
      </c>
      <c r="E714" s="22">
        <f>IFERROR(__xludf.DUMMYFUNCTION("""COMPUTED_VALUE"""),43175.66666666667)</f>
        <v>43175.66667</v>
      </c>
      <c r="F714" s="23">
        <f>IFERROR(__xludf.DUMMYFUNCTION("""COMPUTED_VALUE"""),15.67)</f>
        <v>15.67</v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>
      <c r="A715" s="22">
        <f>IFERROR(__xludf.DUMMYFUNCTION("""COMPUTED_VALUE"""),42996.66666666667)</f>
        <v>42996.66667</v>
      </c>
      <c r="B715" s="23">
        <f>IFERROR(__xludf.DUMMYFUNCTION("""COMPUTED_VALUE"""),60.75)</f>
        <v>60.75</v>
      </c>
      <c r="C715" s="22">
        <f>IFERROR(__xludf.DUMMYFUNCTION("""COMPUTED_VALUE"""),44252.66666666667)</f>
        <v>44252.66667</v>
      </c>
      <c r="D715" s="23">
        <f>IFERROR(__xludf.DUMMYFUNCTION("""COMPUTED_VALUE"""),115.1)</f>
        <v>115.1</v>
      </c>
      <c r="E715" s="22">
        <f>IFERROR(__xludf.DUMMYFUNCTION("""COMPUTED_VALUE"""),43178.66666666667)</f>
        <v>43178.66667</v>
      </c>
      <c r="F715" s="23">
        <f>IFERROR(__xludf.DUMMYFUNCTION("""COMPUTED_VALUE"""),15.7)</f>
        <v>15.7</v>
      </c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>
      <c r="A716" s="22">
        <f>IFERROR(__xludf.DUMMYFUNCTION("""COMPUTED_VALUE"""),42997.66666666667)</f>
        <v>42997.66667</v>
      </c>
      <c r="B716" s="23">
        <f>IFERROR(__xludf.DUMMYFUNCTION("""COMPUTED_VALUE"""),61.2)</f>
        <v>61.2</v>
      </c>
      <c r="C716" s="22">
        <f>IFERROR(__xludf.DUMMYFUNCTION("""COMPUTED_VALUE"""),44253.66666666667)</f>
        <v>44253.66667</v>
      </c>
      <c r="D716" s="23">
        <f>IFERROR(__xludf.DUMMYFUNCTION("""COMPUTED_VALUE"""),112.45)</f>
        <v>112.45</v>
      </c>
      <c r="E716" s="22">
        <f>IFERROR(__xludf.DUMMYFUNCTION("""COMPUTED_VALUE"""),43179.66666666667)</f>
        <v>43179.66667</v>
      </c>
      <c r="F716" s="23">
        <f>IFERROR(__xludf.DUMMYFUNCTION("""COMPUTED_VALUE"""),15.49)</f>
        <v>15.49</v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>
      <c r="A717" s="22">
        <f>IFERROR(__xludf.DUMMYFUNCTION("""COMPUTED_VALUE"""),42998.66666666667)</f>
        <v>42998.66667</v>
      </c>
      <c r="B717" s="23">
        <f>IFERROR(__xludf.DUMMYFUNCTION("""COMPUTED_VALUE"""),60.8)</f>
        <v>60.8</v>
      </c>
      <c r="C717" s="22">
        <f>IFERROR(__xludf.DUMMYFUNCTION("""COMPUTED_VALUE"""),44256.66666666667)</f>
        <v>44256.66667</v>
      </c>
      <c r="D717" s="23">
        <f>IFERROR(__xludf.DUMMYFUNCTION("""COMPUTED_VALUE"""),114.35)</f>
        <v>114.35</v>
      </c>
      <c r="E717" s="22">
        <f>IFERROR(__xludf.DUMMYFUNCTION("""COMPUTED_VALUE"""),43180.66666666667)</f>
        <v>43180.66667</v>
      </c>
      <c r="F717" s="23">
        <f>IFERROR(__xludf.DUMMYFUNCTION("""COMPUTED_VALUE"""),15.55)</f>
        <v>15.55</v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>
      <c r="A718" s="22">
        <f>IFERROR(__xludf.DUMMYFUNCTION("""COMPUTED_VALUE"""),42999.66666666667)</f>
        <v>42999.66667</v>
      </c>
      <c r="B718" s="23">
        <f>IFERROR(__xludf.DUMMYFUNCTION("""COMPUTED_VALUE"""),61.14)</f>
        <v>61.14</v>
      </c>
      <c r="C718" s="22">
        <f>IFERROR(__xludf.DUMMYFUNCTION("""COMPUTED_VALUE"""),44257.66666666667)</f>
        <v>44257.66667</v>
      </c>
      <c r="D718" s="23">
        <f>IFERROR(__xludf.DUMMYFUNCTION("""COMPUTED_VALUE"""),114.04)</f>
        <v>114.04</v>
      </c>
      <c r="E718" s="22">
        <f>IFERROR(__xludf.DUMMYFUNCTION("""COMPUTED_VALUE"""),43181.66666666667)</f>
        <v>43181.66667</v>
      </c>
      <c r="F718" s="23">
        <f>IFERROR(__xludf.DUMMYFUNCTION("""COMPUTED_VALUE"""),15.39)</f>
        <v>15.39</v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>
      <c r="A719" s="22">
        <f>IFERROR(__xludf.DUMMYFUNCTION("""COMPUTED_VALUE"""),43000.66666666667)</f>
        <v>43000.66667</v>
      </c>
      <c r="B719" s="23">
        <f>IFERROR(__xludf.DUMMYFUNCTION("""COMPUTED_VALUE"""),61.37)</f>
        <v>61.37</v>
      </c>
      <c r="C719" s="22">
        <f>IFERROR(__xludf.DUMMYFUNCTION("""COMPUTED_VALUE"""),44258.66666666667)</f>
        <v>44258.66667</v>
      </c>
      <c r="D719" s="23">
        <f>IFERROR(__xludf.DUMMYFUNCTION("""COMPUTED_VALUE"""),114.94)</f>
        <v>114.94</v>
      </c>
      <c r="E719" s="22">
        <f>IFERROR(__xludf.DUMMYFUNCTION("""COMPUTED_VALUE"""),43182.66666666667)</f>
        <v>43182.66667</v>
      </c>
      <c r="F719" s="23">
        <f>IFERROR(__xludf.DUMMYFUNCTION("""COMPUTED_VALUE"""),14.87)</f>
        <v>14.87</v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>
      <c r="A720" s="22">
        <f>IFERROR(__xludf.DUMMYFUNCTION("""COMPUTED_VALUE"""),43003.66666666667)</f>
        <v>43003.66667</v>
      </c>
      <c r="B720" s="23">
        <f>IFERROR(__xludf.DUMMYFUNCTION("""COMPUTED_VALUE"""),61.23)</f>
        <v>61.23</v>
      </c>
      <c r="C720" s="22">
        <f>IFERROR(__xludf.DUMMYFUNCTION("""COMPUTED_VALUE"""),44259.66666666667)</f>
        <v>44259.66667</v>
      </c>
      <c r="D720" s="23">
        <f>IFERROR(__xludf.DUMMYFUNCTION("""COMPUTED_VALUE"""),113.99)</f>
        <v>113.99</v>
      </c>
      <c r="E720" s="22">
        <f>IFERROR(__xludf.DUMMYFUNCTION("""COMPUTED_VALUE"""),43185.66666666667)</f>
        <v>43185.66667</v>
      </c>
      <c r="F720" s="23">
        <f>IFERROR(__xludf.DUMMYFUNCTION("""COMPUTED_VALUE"""),14.8)</f>
        <v>14.8</v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>
      <c r="A721" s="22">
        <f>IFERROR(__xludf.DUMMYFUNCTION("""COMPUTED_VALUE"""),43004.66666666667)</f>
        <v>43004.66667</v>
      </c>
      <c r="B721" s="23">
        <f>IFERROR(__xludf.DUMMYFUNCTION("""COMPUTED_VALUE"""),61.3)</f>
        <v>61.3</v>
      </c>
      <c r="C721" s="22">
        <f>IFERROR(__xludf.DUMMYFUNCTION("""COMPUTED_VALUE"""),44260.66666666667)</f>
        <v>44260.66667</v>
      </c>
      <c r="D721" s="23">
        <f>IFERROR(__xludf.DUMMYFUNCTION("""COMPUTED_VALUE"""),113.47)</f>
        <v>113.47</v>
      </c>
      <c r="E721" s="22">
        <f>IFERROR(__xludf.DUMMYFUNCTION("""COMPUTED_VALUE"""),43186.66666666667)</f>
        <v>43186.66667</v>
      </c>
      <c r="F721" s="23">
        <f>IFERROR(__xludf.DUMMYFUNCTION("""COMPUTED_VALUE"""),15.22)</f>
        <v>15.22</v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>
      <c r="A722" s="22">
        <f>IFERROR(__xludf.DUMMYFUNCTION("""COMPUTED_VALUE"""),43005.66666666667)</f>
        <v>43005.66667</v>
      </c>
      <c r="B722" s="23">
        <f>IFERROR(__xludf.DUMMYFUNCTION("""COMPUTED_VALUE"""),61.8)</f>
        <v>61.8</v>
      </c>
      <c r="C722" s="22">
        <f>IFERROR(__xludf.DUMMYFUNCTION("""COMPUTED_VALUE"""),44263.66666666667)</f>
        <v>44263.66667</v>
      </c>
      <c r="D722" s="23">
        <f>IFERROR(__xludf.DUMMYFUNCTION("""COMPUTED_VALUE"""),114.21)</f>
        <v>114.21</v>
      </c>
      <c r="E722" s="22">
        <f>IFERROR(__xludf.DUMMYFUNCTION("""COMPUTED_VALUE"""),43187.66666666667)</f>
        <v>43187.66667</v>
      </c>
      <c r="F722" s="23">
        <f>IFERROR(__xludf.DUMMYFUNCTION("""COMPUTED_VALUE"""),14.7)</f>
        <v>14.7</v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>
      <c r="A723" s="22">
        <f>IFERROR(__xludf.DUMMYFUNCTION("""COMPUTED_VALUE"""),43006.66666666667)</f>
        <v>43006.66667</v>
      </c>
      <c r="B723" s="23">
        <f>IFERROR(__xludf.DUMMYFUNCTION("""COMPUTED_VALUE"""),62.32)</f>
        <v>62.32</v>
      </c>
      <c r="C723" s="22">
        <f>IFERROR(__xludf.DUMMYFUNCTION("""COMPUTED_VALUE"""),44264.66666666667)</f>
        <v>44264.66667</v>
      </c>
      <c r="D723" s="23">
        <f>IFERROR(__xludf.DUMMYFUNCTION("""COMPUTED_VALUE"""),114.8)</f>
        <v>114.8</v>
      </c>
      <c r="E723" s="22">
        <f>IFERROR(__xludf.DUMMYFUNCTION("""COMPUTED_VALUE"""),43188.66666666667)</f>
        <v>43188.66667</v>
      </c>
      <c r="F723" s="23">
        <f>IFERROR(__xludf.DUMMYFUNCTION("""COMPUTED_VALUE"""),14.65)</f>
        <v>14.65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>
      <c r="A724" s="22">
        <f>IFERROR(__xludf.DUMMYFUNCTION("""COMPUTED_VALUE"""),43007.66666666667)</f>
        <v>43007.66667</v>
      </c>
      <c r="B724" s="23">
        <f>IFERROR(__xludf.DUMMYFUNCTION("""COMPUTED_VALUE"""),62.25)</f>
        <v>62.25</v>
      </c>
      <c r="C724" s="22">
        <f>IFERROR(__xludf.DUMMYFUNCTION("""COMPUTED_VALUE"""),44265.66666666667)</f>
        <v>44265.66667</v>
      </c>
      <c r="D724" s="23">
        <f>IFERROR(__xludf.DUMMYFUNCTION("""COMPUTED_VALUE"""),113.84)</f>
        <v>113.84</v>
      </c>
      <c r="E724" s="22">
        <f>IFERROR(__xludf.DUMMYFUNCTION("""COMPUTED_VALUE"""),43193.66666666667)</f>
        <v>43193.66667</v>
      </c>
      <c r="F724" s="23">
        <f>IFERROR(__xludf.DUMMYFUNCTION("""COMPUTED_VALUE"""),14.44)</f>
        <v>14.44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>
      <c r="A725" s="22">
        <f>IFERROR(__xludf.DUMMYFUNCTION("""COMPUTED_VALUE"""),43010.66666666667)</f>
        <v>43010.66667</v>
      </c>
      <c r="B725" s="23">
        <f>IFERROR(__xludf.DUMMYFUNCTION("""COMPUTED_VALUE"""),62.33)</f>
        <v>62.33</v>
      </c>
      <c r="C725" s="22">
        <f>IFERROR(__xludf.DUMMYFUNCTION("""COMPUTED_VALUE"""),44266.66666666667)</f>
        <v>44266.66667</v>
      </c>
      <c r="D725" s="23">
        <f>IFERROR(__xludf.DUMMYFUNCTION("""COMPUTED_VALUE"""),113.67)</f>
        <v>113.67</v>
      </c>
      <c r="E725" s="22">
        <f>IFERROR(__xludf.DUMMYFUNCTION("""COMPUTED_VALUE"""),43194.66666666667)</f>
        <v>43194.66667</v>
      </c>
      <c r="F725" s="23">
        <f>IFERROR(__xludf.DUMMYFUNCTION("""COMPUTED_VALUE"""),14.48)</f>
        <v>14.48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>
      <c r="A726" s="22">
        <f>IFERROR(__xludf.DUMMYFUNCTION("""COMPUTED_VALUE"""),43011.66666666667)</f>
        <v>43011.66667</v>
      </c>
      <c r="B726" s="23">
        <f>IFERROR(__xludf.DUMMYFUNCTION("""COMPUTED_VALUE"""),62.71)</f>
        <v>62.71</v>
      </c>
      <c r="C726" s="22">
        <f>IFERROR(__xludf.DUMMYFUNCTION("""COMPUTED_VALUE"""),44267.66666666667)</f>
        <v>44267.66667</v>
      </c>
      <c r="D726" s="23">
        <f>IFERROR(__xludf.DUMMYFUNCTION("""COMPUTED_VALUE"""),114.66)</f>
        <v>114.66</v>
      </c>
      <c r="E726" s="22">
        <f>IFERROR(__xludf.DUMMYFUNCTION("""COMPUTED_VALUE"""),43195.66666666667)</f>
        <v>43195.66667</v>
      </c>
      <c r="F726" s="23">
        <f>IFERROR(__xludf.DUMMYFUNCTION("""COMPUTED_VALUE"""),14.9)</f>
        <v>14.9</v>
      </c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>
      <c r="A727" s="22">
        <f>IFERROR(__xludf.DUMMYFUNCTION("""COMPUTED_VALUE"""),43012.66666666667)</f>
        <v>43012.66667</v>
      </c>
      <c r="B727" s="23">
        <f>IFERROR(__xludf.DUMMYFUNCTION("""COMPUTED_VALUE"""),62.49)</f>
        <v>62.49</v>
      </c>
      <c r="C727" s="22">
        <f>IFERROR(__xludf.DUMMYFUNCTION("""COMPUTED_VALUE"""),44270.66666666667)</f>
        <v>44270.66667</v>
      </c>
      <c r="D727" s="23">
        <f>IFERROR(__xludf.DUMMYFUNCTION("""COMPUTED_VALUE"""),114.81)</f>
        <v>114.81</v>
      </c>
      <c r="E727" s="22">
        <f>IFERROR(__xludf.DUMMYFUNCTION("""COMPUTED_VALUE"""),43196.66666666667)</f>
        <v>43196.66667</v>
      </c>
      <c r="F727" s="23">
        <f>IFERROR(__xludf.DUMMYFUNCTION("""COMPUTED_VALUE"""),14.7)</f>
        <v>14.7</v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>
      <c r="A728" s="22">
        <f>IFERROR(__xludf.DUMMYFUNCTION("""COMPUTED_VALUE"""),43013.66666666667)</f>
        <v>43013.66667</v>
      </c>
      <c r="B728" s="23">
        <f>IFERROR(__xludf.DUMMYFUNCTION("""COMPUTED_VALUE"""),62.68)</f>
        <v>62.68</v>
      </c>
      <c r="C728" s="22">
        <f>IFERROR(__xludf.DUMMYFUNCTION("""COMPUTED_VALUE"""),44271.66666666667)</f>
        <v>44271.66667</v>
      </c>
      <c r="D728" s="23">
        <f>IFERROR(__xludf.DUMMYFUNCTION("""COMPUTED_VALUE"""),115.91)</f>
        <v>115.91</v>
      </c>
      <c r="E728" s="22">
        <f>IFERROR(__xludf.DUMMYFUNCTION("""COMPUTED_VALUE"""),43199.66666666667)</f>
        <v>43199.66667</v>
      </c>
      <c r="F728" s="23">
        <f>IFERROR(__xludf.DUMMYFUNCTION("""COMPUTED_VALUE"""),14.67)</f>
        <v>14.67</v>
      </c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>
      <c r="A729" s="22">
        <f>IFERROR(__xludf.DUMMYFUNCTION("""COMPUTED_VALUE"""),43014.66666666667)</f>
        <v>43014.66667</v>
      </c>
      <c r="B729" s="23">
        <f>IFERROR(__xludf.DUMMYFUNCTION("""COMPUTED_VALUE"""),63.48)</f>
        <v>63.48</v>
      </c>
      <c r="C729" s="22">
        <f>IFERROR(__xludf.DUMMYFUNCTION("""COMPUTED_VALUE"""),44272.66666666667)</f>
        <v>44272.66667</v>
      </c>
      <c r="D729" s="23">
        <f>IFERROR(__xludf.DUMMYFUNCTION("""COMPUTED_VALUE"""),115.15)</f>
        <v>115.15</v>
      </c>
      <c r="E729" s="22">
        <f>IFERROR(__xludf.DUMMYFUNCTION("""COMPUTED_VALUE"""),43200.66666666667)</f>
        <v>43200.66667</v>
      </c>
      <c r="F729" s="23">
        <f>IFERROR(__xludf.DUMMYFUNCTION("""COMPUTED_VALUE"""),14.78)</f>
        <v>14.78</v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>
      <c r="A730" s="22">
        <f>IFERROR(__xludf.DUMMYFUNCTION("""COMPUTED_VALUE"""),43017.66666666667)</f>
        <v>43017.66667</v>
      </c>
      <c r="B730" s="23">
        <f>IFERROR(__xludf.DUMMYFUNCTION("""COMPUTED_VALUE"""),63.44)</f>
        <v>63.44</v>
      </c>
      <c r="C730" s="22">
        <f>IFERROR(__xludf.DUMMYFUNCTION("""COMPUTED_VALUE"""),44273.66666666667)</f>
        <v>44273.66667</v>
      </c>
      <c r="D730" s="23">
        <f>IFERROR(__xludf.DUMMYFUNCTION("""COMPUTED_VALUE"""),114.42)</f>
        <v>114.42</v>
      </c>
      <c r="E730" s="22">
        <f>IFERROR(__xludf.DUMMYFUNCTION("""COMPUTED_VALUE"""),43201.66666666667)</f>
        <v>43201.66667</v>
      </c>
      <c r="F730" s="23">
        <f>IFERROR(__xludf.DUMMYFUNCTION("""COMPUTED_VALUE"""),14.75)</f>
        <v>14.75</v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>
      <c r="A731" s="22">
        <f>IFERROR(__xludf.DUMMYFUNCTION("""COMPUTED_VALUE"""),43018.66666666667)</f>
        <v>43018.66667</v>
      </c>
      <c r="B731" s="23">
        <f>IFERROR(__xludf.DUMMYFUNCTION("""COMPUTED_VALUE"""),63.27)</f>
        <v>63.27</v>
      </c>
      <c r="C731" s="22">
        <f>IFERROR(__xludf.DUMMYFUNCTION("""COMPUTED_VALUE"""),44274.66666666667)</f>
        <v>44274.66667</v>
      </c>
      <c r="D731" s="23">
        <f>IFERROR(__xludf.DUMMYFUNCTION("""COMPUTED_VALUE"""),113.87)</f>
        <v>113.87</v>
      </c>
      <c r="E731" s="22">
        <f>IFERROR(__xludf.DUMMYFUNCTION("""COMPUTED_VALUE"""),43202.66666666667)</f>
        <v>43202.66667</v>
      </c>
      <c r="F731" s="23">
        <f>IFERROR(__xludf.DUMMYFUNCTION("""COMPUTED_VALUE"""),14.75)</f>
        <v>14.75</v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>
      <c r="A732" s="22">
        <f>IFERROR(__xludf.DUMMYFUNCTION("""COMPUTED_VALUE"""),43019.66666666667)</f>
        <v>43019.66667</v>
      </c>
      <c r="B732" s="23">
        <f>IFERROR(__xludf.DUMMYFUNCTION("""COMPUTED_VALUE"""),63.47)</f>
        <v>63.47</v>
      </c>
      <c r="C732" s="22">
        <f>IFERROR(__xludf.DUMMYFUNCTION("""COMPUTED_VALUE"""),44277.66666666667)</f>
        <v>44277.66667</v>
      </c>
      <c r="D732" s="23">
        <f>IFERROR(__xludf.DUMMYFUNCTION("""COMPUTED_VALUE"""),114.54)</f>
        <v>114.54</v>
      </c>
      <c r="E732" s="22">
        <f>IFERROR(__xludf.DUMMYFUNCTION("""COMPUTED_VALUE"""),43203.66666666667)</f>
        <v>43203.66667</v>
      </c>
      <c r="F732" s="23">
        <f>IFERROR(__xludf.DUMMYFUNCTION("""COMPUTED_VALUE"""),14.83)</f>
        <v>14.83</v>
      </c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>
      <c r="A733" s="22">
        <f>IFERROR(__xludf.DUMMYFUNCTION("""COMPUTED_VALUE"""),43020.66666666667)</f>
        <v>43020.66667</v>
      </c>
      <c r="B733" s="23">
        <f>IFERROR(__xludf.DUMMYFUNCTION("""COMPUTED_VALUE"""),63.28)</f>
        <v>63.28</v>
      </c>
      <c r="C733" s="22">
        <f>IFERROR(__xludf.DUMMYFUNCTION("""COMPUTED_VALUE"""),44278.66666666667)</f>
        <v>44278.66667</v>
      </c>
      <c r="D733" s="23">
        <f>IFERROR(__xludf.DUMMYFUNCTION("""COMPUTED_VALUE"""),114.48)</f>
        <v>114.48</v>
      </c>
      <c r="E733" s="22">
        <f>IFERROR(__xludf.DUMMYFUNCTION("""COMPUTED_VALUE"""),43206.66666666667)</f>
        <v>43206.66667</v>
      </c>
      <c r="F733" s="23">
        <f>IFERROR(__xludf.DUMMYFUNCTION("""COMPUTED_VALUE"""),14.86)</f>
        <v>14.86</v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>
      <c r="A734" s="22">
        <f>IFERROR(__xludf.DUMMYFUNCTION("""COMPUTED_VALUE"""),43021.66666666667)</f>
        <v>43021.66667</v>
      </c>
      <c r="B734" s="23">
        <f>IFERROR(__xludf.DUMMYFUNCTION("""COMPUTED_VALUE"""),63.24)</f>
        <v>63.24</v>
      </c>
      <c r="C734" s="22">
        <f>IFERROR(__xludf.DUMMYFUNCTION("""COMPUTED_VALUE"""),44279.66666666667)</f>
        <v>44279.66667</v>
      </c>
      <c r="D734" s="23">
        <f>IFERROR(__xludf.DUMMYFUNCTION("""COMPUTED_VALUE"""),115.0)</f>
        <v>115</v>
      </c>
      <c r="E734" s="22">
        <f>IFERROR(__xludf.DUMMYFUNCTION("""COMPUTED_VALUE"""),43207.66666666667)</f>
        <v>43207.66667</v>
      </c>
      <c r="F734" s="23">
        <f>IFERROR(__xludf.DUMMYFUNCTION("""COMPUTED_VALUE"""),15.01)</f>
        <v>15.01</v>
      </c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>
      <c r="A735" s="22">
        <f>IFERROR(__xludf.DUMMYFUNCTION("""COMPUTED_VALUE"""),43024.66666666667)</f>
        <v>43024.66667</v>
      </c>
      <c r="B735" s="23">
        <f>IFERROR(__xludf.DUMMYFUNCTION("""COMPUTED_VALUE"""),63.04)</f>
        <v>63.04</v>
      </c>
      <c r="C735" s="22">
        <f>IFERROR(__xludf.DUMMYFUNCTION("""COMPUTED_VALUE"""),44280.66666666667)</f>
        <v>44280.66667</v>
      </c>
      <c r="D735" s="23">
        <f>IFERROR(__xludf.DUMMYFUNCTION("""COMPUTED_VALUE"""),114.92)</f>
        <v>114.92</v>
      </c>
      <c r="E735" s="22">
        <f>IFERROR(__xludf.DUMMYFUNCTION("""COMPUTED_VALUE"""),43208.66666666667)</f>
        <v>43208.66667</v>
      </c>
      <c r="F735" s="23">
        <f>IFERROR(__xludf.DUMMYFUNCTION("""COMPUTED_VALUE"""),15.26)</f>
        <v>15.26</v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>
      <c r="A736" s="22">
        <f>IFERROR(__xludf.DUMMYFUNCTION("""COMPUTED_VALUE"""),43025.66666666667)</f>
        <v>43025.66667</v>
      </c>
      <c r="B736" s="23">
        <f>IFERROR(__xludf.DUMMYFUNCTION("""COMPUTED_VALUE"""),63.1)</f>
        <v>63.1</v>
      </c>
      <c r="C736" s="22">
        <f>IFERROR(__xludf.DUMMYFUNCTION("""COMPUTED_VALUE"""),44281.66666666667)</f>
        <v>44281.66667</v>
      </c>
      <c r="D736" s="23">
        <f>IFERROR(__xludf.DUMMYFUNCTION("""COMPUTED_VALUE"""),115.8)</f>
        <v>115.8</v>
      </c>
      <c r="E736" s="22">
        <f>IFERROR(__xludf.DUMMYFUNCTION("""COMPUTED_VALUE"""),43209.66666666667)</f>
        <v>43209.66667</v>
      </c>
      <c r="F736" s="23">
        <f>IFERROR(__xludf.DUMMYFUNCTION("""COMPUTED_VALUE"""),15.22)</f>
        <v>15.22</v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>
      <c r="A737" s="22">
        <f>IFERROR(__xludf.DUMMYFUNCTION("""COMPUTED_VALUE"""),43026.66666666667)</f>
        <v>43026.66667</v>
      </c>
      <c r="B737" s="23">
        <f>IFERROR(__xludf.DUMMYFUNCTION("""COMPUTED_VALUE"""),63.13)</f>
        <v>63.13</v>
      </c>
      <c r="C737" s="22">
        <f>IFERROR(__xludf.DUMMYFUNCTION("""COMPUTED_VALUE"""),44284.66666666667)</f>
        <v>44284.66667</v>
      </c>
      <c r="D737" s="23">
        <f>IFERROR(__xludf.DUMMYFUNCTION("""COMPUTED_VALUE"""),115.35)</f>
        <v>115.35</v>
      </c>
      <c r="E737" s="22">
        <f>IFERROR(__xludf.DUMMYFUNCTION("""COMPUTED_VALUE"""),43210.66666666667)</f>
        <v>43210.66667</v>
      </c>
      <c r="F737" s="23">
        <f>IFERROR(__xludf.DUMMYFUNCTION("""COMPUTED_VALUE"""),15.23)</f>
        <v>15.23</v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>
      <c r="A738" s="22">
        <f>IFERROR(__xludf.DUMMYFUNCTION("""COMPUTED_VALUE"""),43027.66666666667)</f>
        <v>43027.66667</v>
      </c>
      <c r="B738" s="23">
        <f>IFERROR(__xludf.DUMMYFUNCTION("""COMPUTED_VALUE"""),63.14)</f>
        <v>63.14</v>
      </c>
      <c r="C738" s="22">
        <f>IFERROR(__xludf.DUMMYFUNCTION("""COMPUTED_VALUE"""),44285.66666666667)</f>
        <v>44285.66667</v>
      </c>
      <c r="D738" s="23">
        <f>IFERROR(__xludf.DUMMYFUNCTION("""COMPUTED_VALUE"""),115.33)</f>
        <v>115.33</v>
      </c>
      <c r="E738" s="22">
        <f>IFERROR(__xludf.DUMMYFUNCTION("""COMPUTED_VALUE"""),43213.66666666667)</f>
        <v>43213.66667</v>
      </c>
      <c r="F738" s="23">
        <f>IFERROR(__xludf.DUMMYFUNCTION("""COMPUTED_VALUE"""),15.11)</f>
        <v>15.11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>
      <c r="A739" s="22">
        <f>IFERROR(__xludf.DUMMYFUNCTION("""COMPUTED_VALUE"""),43028.66666666667)</f>
        <v>43028.66667</v>
      </c>
      <c r="B739" s="23">
        <f>IFERROR(__xludf.DUMMYFUNCTION("""COMPUTED_VALUE"""),63.26)</f>
        <v>63.26</v>
      </c>
      <c r="C739" s="22">
        <f>IFERROR(__xludf.DUMMYFUNCTION("""COMPUTED_VALUE"""),44286.66666666667)</f>
        <v>44286.66667</v>
      </c>
      <c r="D739" s="23">
        <f>IFERROR(__xludf.DUMMYFUNCTION("""COMPUTED_VALUE"""),116.06)</f>
        <v>116.06</v>
      </c>
      <c r="E739" s="22">
        <f>IFERROR(__xludf.DUMMYFUNCTION("""COMPUTED_VALUE"""),43214.66666666667)</f>
        <v>43214.66667</v>
      </c>
      <c r="F739" s="23">
        <f>IFERROR(__xludf.DUMMYFUNCTION("""COMPUTED_VALUE"""),15.21)</f>
        <v>15.21</v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>
      <c r="A740" s="22">
        <f>IFERROR(__xludf.DUMMYFUNCTION("""COMPUTED_VALUE"""),43031.66666666667)</f>
        <v>43031.66667</v>
      </c>
      <c r="B740" s="23">
        <f>IFERROR(__xludf.DUMMYFUNCTION("""COMPUTED_VALUE"""),63.53)</f>
        <v>63.53</v>
      </c>
      <c r="C740" s="22">
        <f>IFERROR(__xludf.DUMMYFUNCTION("""COMPUTED_VALUE"""),44287.66666666667)</f>
        <v>44287.66667</v>
      </c>
      <c r="D740" s="23">
        <f>IFERROR(__xludf.DUMMYFUNCTION("""COMPUTED_VALUE"""),115.0)</f>
        <v>115</v>
      </c>
      <c r="E740" s="22">
        <f>IFERROR(__xludf.DUMMYFUNCTION("""COMPUTED_VALUE"""),43216.66666666667)</f>
        <v>43216.66667</v>
      </c>
      <c r="F740" s="23">
        <f>IFERROR(__xludf.DUMMYFUNCTION("""COMPUTED_VALUE"""),15.02)</f>
        <v>15.02</v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>
      <c r="A741" s="22">
        <f>IFERROR(__xludf.DUMMYFUNCTION("""COMPUTED_VALUE"""),43032.66666666667)</f>
        <v>43032.66667</v>
      </c>
      <c r="B741" s="23">
        <f>IFERROR(__xludf.DUMMYFUNCTION("""COMPUTED_VALUE"""),63.46)</f>
        <v>63.46</v>
      </c>
      <c r="C741" s="22">
        <f>IFERROR(__xludf.DUMMYFUNCTION("""COMPUTED_VALUE"""),44292.66666666667)</f>
        <v>44292.66667</v>
      </c>
      <c r="D741" s="23">
        <f>IFERROR(__xludf.DUMMYFUNCTION("""COMPUTED_VALUE"""),116.0)</f>
        <v>116</v>
      </c>
      <c r="E741" s="22">
        <f>IFERROR(__xludf.DUMMYFUNCTION("""COMPUTED_VALUE"""),43217.66666666667)</f>
        <v>43217.66667</v>
      </c>
      <c r="F741" s="23">
        <f>IFERROR(__xludf.DUMMYFUNCTION("""COMPUTED_VALUE"""),15.49)</f>
        <v>15.49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>
      <c r="A742" s="22">
        <f>IFERROR(__xludf.DUMMYFUNCTION("""COMPUTED_VALUE"""),43033.66666666667)</f>
        <v>43033.66667</v>
      </c>
      <c r="B742" s="23">
        <f>IFERROR(__xludf.DUMMYFUNCTION("""COMPUTED_VALUE"""),64.14)</f>
        <v>64.14</v>
      </c>
      <c r="C742" s="22">
        <f>IFERROR(__xludf.DUMMYFUNCTION("""COMPUTED_VALUE"""),44293.66666666667)</f>
        <v>44293.66667</v>
      </c>
      <c r="D742" s="23">
        <f>IFERROR(__xludf.DUMMYFUNCTION("""COMPUTED_VALUE"""),116.64)</f>
        <v>116.64</v>
      </c>
      <c r="E742" s="22">
        <f>IFERROR(__xludf.DUMMYFUNCTION("""COMPUTED_VALUE"""),43220.66666666667)</f>
        <v>43220.66667</v>
      </c>
      <c r="F742" s="23">
        <f>IFERROR(__xludf.DUMMYFUNCTION("""COMPUTED_VALUE"""),15.35)</f>
        <v>15.35</v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>
      <c r="A743" s="22">
        <f>IFERROR(__xludf.DUMMYFUNCTION("""COMPUTED_VALUE"""),43034.66666666667)</f>
        <v>43034.66667</v>
      </c>
      <c r="B743" s="23">
        <f>IFERROR(__xludf.DUMMYFUNCTION("""COMPUTED_VALUE"""),64.27)</f>
        <v>64.27</v>
      </c>
      <c r="C743" s="22">
        <f>IFERROR(__xludf.DUMMYFUNCTION("""COMPUTED_VALUE"""),44294.66666666667)</f>
        <v>44294.66667</v>
      </c>
      <c r="D743" s="23">
        <f>IFERROR(__xludf.DUMMYFUNCTION("""COMPUTED_VALUE"""),117.75)</f>
        <v>117.75</v>
      </c>
      <c r="E743" s="22">
        <f>IFERROR(__xludf.DUMMYFUNCTION("""COMPUTED_VALUE"""),43221.66666666667)</f>
        <v>43221.66667</v>
      </c>
      <c r="F743" s="23">
        <f>IFERROR(__xludf.DUMMYFUNCTION("""COMPUTED_VALUE"""),15.23)</f>
        <v>15.23</v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>
      <c r="A744" s="22">
        <f>IFERROR(__xludf.DUMMYFUNCTION("""COMPUTED_VALUE"""),43035.66666666667)</f>
        <v>43035.66667</v>
      </c>
      <c r="B744" s="23">
        <f>IFERROR(__xludf.DUMMYFUNCTION("""COMPUTED_VALUE"""),64.82)</f>
        <v>64.82</v>
      </c>
      <c r="C744" s="22">
        <f>IFERROR(__xludf.DUMMYFUNCTION("""COMPUTED_VALUE"""),44295.66666666667)</f>
        <v>44295.66667</v>
      </c>
      <c r="D744" s="23">
        <f>IFERROR(__xludf.DUMMYFUNCTION("""COMPUTED_VALUE"""),117.75)</f>
        <v>117.75</v>
      </c>
      <c r="E744" s="22">
        <f>IFERROR(__xludf.DUMMYFUNCTION("""COMPUTED_VALUE"""),43222.66666666667)</f>
        <v>43222.66667</v>
      </c>
      <c r="F744" s="23">
        <f>IFERROR(__xludf.DUMMYFUNCTION("""COMPUTED_VALUE"""),15.52)</f>
        <v>15.52</v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>
      <c r="A745" s="22">
        <f>IFERROR(__xludf.DUMMYFUNCTION("""COMPUTED_VALUE"""),43038.66666666667)</f>
        <v>43038.66667</v>
      </c>
      <c r="B745" s="23">
        <f>IFERROR(__xludf.DUMMYFUNCTION("""COMPUTED_VALUE"""),64.67)</f>
        <v>64.67</v>
      </c>
      <c r="C745" s="22">
        <f>IFERROR(__xludf.DUMMYFUNCTION("""COMPUTED_VALUE"""),44298.66666666667)</f>
        <v>44298.66667</v>
      </c>
      <c r="D745" s="23">
        <f>IFERROR(__xludf.DUMMYFUNCTION("""COMPUTED_VALUE"""),117.41)</f>
        <v>117.41</v>
      </c>
      <c r="E745" s="22">
        <f>IFERROR(__xludf.DUMMYFUNCTION("""COMPUTED_VALUE"""),43223.66666666667)</f>
        <v>43223.66667</v>
      </c>
      <c r="F745" s="23">
        <f>IFERROR(__xludf.DUMMYFUNCTION("""COMPUTED_VALUE"""),15.29)</f>
        <v>15.29</v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>
      <c r="A746" s="22">
        <f>IFERROR(__xludf.DUMMYFUNCTION("""COMPUTED_VALUE"""),43039.66666666667)</f>
        <v>43039.66667</v>
      </c>
      <c r="B746" s="23">
        <f>IFERROR(__xludf.DUMMYFUNCTION("""COMPUTED_VALUE"""),64.75)</f>
        <v>64.75</v>
      </c>
      <c r="C746" s="22">
        <f>IFERROR(__xludf.DUMMYFUNCTION("""COMPUTED_VALUE"""),44299.66666666667)</f>
        <v>44299.66667</v>
      </c>
      <c r="D746" s="23">
        <f>IFERROR(__xludf.DUMMYFUNCTION("""COMPUTED_VALUE"""),117.29)</f>
        <v>117.29</v>
      </c>
      <c r="E746" s="22">
        <f>IFERROR(__xludf.DUMMYFUNCTION("""COMPUTED_VALUE"""),43224.66666666667)</f>
        <v>43224.66667</v>
      </c>
      <c r="F746" s="23">
        <f>IFERROR(__xludf.DUMMYFUNCTION("""COMPUTED_VALUE"""),15.31)</f>
        <v>15.31</v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>
      <c r="A747" s="22">
        <f>IFERROR(__xludf.DUMMYFUNCTION("""COMPUTED_VALUE"""),43040.66666666667)</f>
        <v>43040.66667</v>
      </c>
      <c r="B747" s="23">
        <f>IFERROR(__xludf.DUMMYFUNCTION("""COMPUTED_VALUE"""),65.14)</f>
        <v>65.14</v>
      </c>
      <c r="C747" s="22">
        <f>IFERROR(__xludf.DUMMYFUNCTION("""COMPUTED_VALUE"""),44300.66666666667)</f>
        <v>44300.66667</v>
      </c>
      <c r="D747" s="23">
        <f>IFERROR(__xludf.DUMMYFUNCTION("""COMPUTED_VALUE"""),118.29)</f>
        <v>118.29</v>
      </c>
      <c r="E747" s="22">
        <f>IFERROR(__xludf.DUMMYFUNCTION("""COMPUTED_VALUE"""),43227.66666666667)</f>
        <v>43227.66667</v>
      </c>
      <c r="F747" s="23">
        <f>IFERROR(__xludf.DUMMYFUNCTION("""COMPUTED_VALUE"""),15.73)</f>
        <v>15.73</v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>
      <c r="A748" s="22">
        <f>IFERROR(__xludf.DUMMYFUNCTION("""COMPUTED_VALUE"""),43041.66666666667)</f>
        <v>43041.66667</v>
      </c>
      <c r="B748" s="23">
        <f>IFERROR(__xludf.DUMMYFUNCTION("""COMPUTED_VALUE"""),64.53)</f>
        <v>64.53</v>
      </c>
      <c r="C748" s="22">
        <f>IFERROR(__xludf.DUMMYFUNCTION("""COMPUTED_VALUE"""),44301.66666666667)</f>
        <v>44301.66667</v>
      </c>
      <c r="D748" s="23">
        <f>IFERROR(__xludf.DUMMYFUNCTION("""COMPUTED_VALUE"""),118.92)</f>
        <v>118.92</v>
      </c>
      <c r="E748" s="22">
        <f>IFERROR(__xludf.DUMMYFUNCTION("""COMPUTED_VALUE"""),43228.66666666667)</f>
        <v>43228.66667</v>
      </c>
      <c r="F748" s="23">
        <f>IFERROR(__xludf.DUMMYFUNCTION("""COMPUTED_VALUE"""),15.75)</f>
        <v>15.75</v>
      </c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>
      <c r="A749" s="22">
        <f>IFERROR(__xludf.DUMMYFUNCTION("""COMPUTED_VALUE"""),43042.66666666667)</f>
        <v>43042.66667</v>
      </c>
      <c r="B749" s="23">
        <f>IFERROR(__xludf.DUMMYFUNCTION("""COMPUTED_VALUE"""),64.87)</f>
        <v>64.87</v>
      </c>
      <c r="C749" s="22">
        <f>IFERROR(__xludf.DUMMYFUNCTION("""COMPUTED_VALUE"""),44302.66666666667)</f>
        <v>44302.66667</v>
      </c>
      <c r="D749" s="23">
        <f>IFERROR(__xludf.DUMMYFUNCTION("""COMPUTED_VALUE"""),118.84)</f>
        <v>118.84</v>
      </c>
      <c r="E749" s="22">
        <f>IFERROR(__xludf.DUMMYFUNCTION("""COMPUTED_VALUE"""),43229.66666666667)</f>
        <v>43229.66667</v>
      </c>
      <c r="F749" s="23">
        <f>IFERROR(__xludf.DUMMYFUNCTION("""COMPUTED_VALUE"""),15.92)</f>
        <v>15.92</v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>
      <c r="A750" s="22">
        <f>IFERROR(__xludf.DUMMYFUNCTION("""COMPUTED_VALUE"""),43045.66666666667)</f>
        <v>43045.66667</v>
      </c>
      <c r="B750" s="23">
        <f>IFERROR(__xludf.DUMMYFUNCTION("""COMPUTED_VALUE"""),65.08)</f>
        <v>65.08</v>
      </c>
      <c r="C750" s="22">
        <f>IFERROR(__xludf.DUMMYFUNCTION("""COMPUTED_VALUE"""),44305.66666666667)</f>
        <v>44305.66667</v>
      </c>
      <c r="D750" s="23">
        <f>IFERROR(__xludf.DUMMYFUNCTION("""COMPUTED_VALUE"""),119.0)</f>
        <v>119</v>
      </c>
      <c r="E750" s="22">
        <f>IFERROR(__xludf.DUMMYFUNCTION("""COMPUTED_VALUE"""),43230.66666666667)</f>
        <v>43230.66667</v>
      </c>
      <c r="F750" s="23">
        <f>IFERROR(__xludf.DUMMYFUNCTION("""COMPUTED_VALUE"""),16.08)</f>
        <v>16.08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>
      <c r="A751" s="22">
        <f>IFERROR(__xludf.DUMMYFUNCTION("""COMPUTED_VALUE"""),43046.66666666667)</f>
        <v>43046.66667</v>
      </c>
      <c r="B751" s="23">
        <f>IFERROR(__xludf.DUMMYFUNCTION("""COMPUTED_VALUE"""),65.34)</f>
        <v>65.34</v>
      </c>
      <c r="C751" s="22">
        <f>IFERROR(__xludf.DUMMYFUNCTION("""COMPUTED_VALUE"""),44306.66666666667)</f>
        <v>44306.66667</v>
      </c>
      <c r="D751" s="23">
        <f>IFERROR(__xludf.DUMMYFUNCTION("""COMPUTED_VALUE"""),118.16)</f>
        <v>118.16</v>
      </c>
      <c r="E751" s="22">
        <f>IFERROR(__xludf.DUMMYFUNCTION("""COMPUTED_VALUE"""),43231.66666666667)</f>
        <v>43231.66667</v>
      </c>
      <c r="F751" s="23">
        <f>IFERROR(__xludf.DUMMYFUNCTION("""COMPUTED_VALUE"""),16.02)</f>
        <v>16.02</v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>
      <c r="A752" s="22">
        <f>IFERROR(__xludf.DUMMYFUNCTION("""COMPUTED_VALUE"""),43047.66666666667)</f>
        <v>43047.66667</v>
      </c>
      <c r="B752" s="23">
        <f>IFERROR(__xludf.DUMMYFUNCTION("""COMPUTED_VALUE"""),65.31)</f>
        <v>65.31</v>
      </c>
      <c r="C752" s="22">
        <f>IFERROR(__xludf.DUMMYFUNCTION("""COMPUTED_VALUE"""),44307.66666666667)</f>
        <v>44307.66667</v>
      </c>
      <c r="D752" s="23">
        <f>IFERROR(__xludf.DUMMYFUNCTION("""COMPUTED_VALUE"""),117.8)</f>
        <v>117.8</v>
      </c>
      <c r="E752" s="22">
        <f>IFERROR(__xludf.DUMMYFUNCTION("""COMPUTED_VALUE"""),43234.66666666667)</f>
        <v>43234.66667</v>
      </c>
      <c r="F752" s="23">
        <f>IFERROR(__xludf.DUMMYFUNCTION("""COMPUTED_VALUE"""),16.02)</f>
        <v>16.02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>
      <c r="A753" s="22">
        <f>IFERROR(__xludf.DUMMYFUNCTION("""COMPUTED_VALUE"""),43048.66666666667)</f>
        <v>43048.66667</v>
      </c>
      <c r="B753" s="23">
        <f>IFERROR(__xludf.DUMMYFUNCTION("""COMPUTED_VALUE"""),65.17)</f>
        <v>65.17</v>
      </c>
      <c r="C753" s="22">
        <f>IFERROR(__xludf.DUMMYFUNCTION("""COMPUTED_VALUE"""),44308.66666666667)</f>
        <v>44308.66667</v>
      </c>
      <c r="D753" s="23">
        <f>IFERROR(__xludf.DUMMYFUNCTION("""COMPUTED_VALUE"""),118.94)</f>
        <v>118.94</v>
      </c>
      <c r="E753" s="22">
        <f>IFERROR(__xludf.DUMMYFUNCTION("""COMPUTED_VALUE"""),43235.66666666667)</f>
        <v>43235.66667</v>
      </c>
      <c r="F753" s="23">
        <f>IFERROR(__xludf.DUMMYFUNCTION("""COMPUTED_VALUE"""),16.06)</f>
        <v>16.06</v>
      </c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>
      <c r="A754" s="22">
        <f>IFERROR(__xludf.DUMMYFUNCTION("""COMPUTED_VALUE"""),43049.66666666667)</f>
        <v>43049.66667</v>
      </c>
      <c r="B754" s="23">
        <f>IFERROR(__xludf.DUMMYFUNCTION("""COMPUTED_VALUE"""),65.02)</f>
        <v>65.02</v>
      </c>
      <c r="C754" s="22">
        <f>IFERROR(__xludf.DUMMYFUNCTION("""COMPUTED_VALUE"""),44309.66666666667)</f>
        <v>44309.66667</v>
      </c>
      <c r="D754" s="23">
        <f>IFERROR(__xludf.DUMMYFUNCTION("""COMPUTED_VALUE"""),118.78)</f>
        <v>118.78</v>
      </c>
      <c r="E754" s="22">
        <f>IFERROR(__xludf.DUMMYFUNCTION("""COMPUTED_VALUE"""),43236.66666666667)</f>
        <v>43236.66667</v>
      </c>
      <c r="F754" s="23">
        <f>IFERROR(__xludf.DUMMYFUNCTION("""COMPUTED_VALUE"""),15.97)</f>
        <v>15.97</v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>
      <c r="A755" s="22">
        <f>IFERROR(__xludf.DUMMYFUNCTION("""COMPUTED_VALUE"""),43052.66666666667)</f>
        <v>43052.66667</v>
      </c>
      <c r="B755" s="23">
        <f>IFERROR(__xludf.DUMMYFUNCTION("""COMPUTED_VALUE"""),65.11)</f>
        <v>65.11</v>
      </c>
      <c r="C755" s="22">
        <f>IFERROR(__xludf.DUMMYFUNCTION("""COMPUTED_VALUE"""),44312.66666666667)</f>
        <v>44312.66667</v>
      </c>
      <c r="D755" s="23">
        <f>IFERROR(__xludf.DUMMYFUNCTION("""COMPUTED_VALUE"""),118.76)</f>
        <v>118.76</v>
      </c>
      <c r="E755" s="22">
        <f>IFERROR(__xludf.DUMMYFUNCTION("""COMPUTED_VALUE"""),43237.66666666667)</f>
        <v>43237.66667</v>
      </c>
      <c r="F755" s="23">
        <f>IFERROR(__xludf.DUMMYFUNCTION("""COMPUTED_VALUE"""),15.91)</f>
        <v>15.91</v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>
      <c r="A756" s="22">
        <f>IFERROR(__xludf.DUMMYFUNCTION("""COMPUTED_VALUE"""),43053.66666666667)</f>
        <v>43053.66667</v>
      </c>
      <c r="B756" s="23">
        <f>IFERROR(__xludf.DUMMYFUNCTION("""COMPUTED_VALUE"""),65.12)</f>
        <v>65.12</v>
      </c>
      <c r="C756" s="22">
        <f>IFERROR(__xludf.DUMMYFUNCTION("""COMPUTED_VALUE"""),44313.66666666667)</f>
        <v>44313.66667</v>
      </c>
      <c r="D756" s="23">
        <f>IFERROR(__xludf.DUMMYFUNCTION("""COMPUTED_VALUE"""),118.55)</f>
        <v>118.55</v>
      </c>
      <c r="E756" s="22">
        <f>IFERROR(__xludf.DUMMYFUNCTION("""COMPUTED_VALUE"""),43238.66666666667)</f>
        <v>43238.66667</v>
      </c>
      <c r="F756" s="23">
        <f>IFERROR(__xludf.DUMMYFUNCTION("""COMPUTED_VALUE"""),15.99)</f>
        <v>15.99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>
      <c r="A757" s="22">
        <f>IFERROR(__xludf.DUMMYFUNCTION("""COMPUTED_VALUE"""),43054.66666666667)</f>
        <v>43054.66667</v>
      </c>
      <c r="B757" s="23">
        <f>IFERROR(__xludf.DUMMYFUNCTION("""COMPUTED_VALUE"""),65.39)</f>
        <v>65.39</v>
      </c>
      <c r="C757" s="22">
        <f>IFERROR(__xludf.DUMMYFUNCTION("""COMPUTED_VALUE"""),44314.66666666667)</f>
        <v>44314.66667</v>
      </c>
      <c r="D757" s="23">
        <f>IFERROR(__xludf.DUMMYFUNCTION("""COMPUTED_VALUE"""),119.04)</f>
        <v>119.04</v>
      </c>
      <c r="E757" s="22">
        <f>IFERROR(__xludf.DUMMYFUNCTION("""COMPUTED_VALUE"""),43241.66666666667)</f>
        <v>43241.66667</v>
      </c>
      <c r="F757" s="23">
        <f>IFERROR(__xludf.DUMMYFUNCTION("""COMPUTED_VALUE"""),15.97)</f>
        <v>15.97</v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>
      <c r="A758" s="22">
        <f>IFERROR(__xludf.DUMMYFUNCTION("""COMPUTED_VALUE"""),43055.66666666667)</f>
        <v>43055.66667</v>
      </c>
      <c r="B758" s="23">
        <f>IFERROR(__xludf.DUMMYFUNCTION("""COMPUTED_VALUE"""),65.38)</f>
        <v>65.38</v>
      </c>
      <c r="C758" s="22">
        <f>IFERROR(__xludf.DUMMYFUNCTION("""COMPUTED_VALUE"""),44315.66666666667)</f>
        <v>44315.66667</v>
      </c>
      <c r="D758" s="23">
        <f>IFERROR(__xludf.DUMMYFUNCTION("""COMPUTED_VALUE"""),119.4)</f>
        <v>119.4</v>
      </c>
      <c r="E758" s="22">
        <f>IFERROR(__xludf.DUMMYFUNCTION("""COMPUTED_VALUE"""),43242.66666666667)</f>
        <v>43242.66667</v>
      </c>
      <c r="F758" s="23">
        <f>IFERROR(__xludf.DUMMYFUNCTION("""COMPUTED_VALUE"""),15.82)</f>
        <v>15.82</v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>
      <c r="A759" s="22">
        <f>IFERROR(__xludf.DUMMYFUNCTION("""COMPUTED_VALUE"""),43056.66666666667)</f>
        <v>43056.66667</v>
      </c>
      <c r="B759" s="23">
        <f>IFERROR(__xludf.DUMMYFUNCTION("""COMPUTED_VALUE"""),65.81)</f>
        <v>65.81</v>
      </c>
      <c r="C759" s="22">
        <f>IFERROR(__xludf.DUMMYFUNCTION("""COMPUTED_VALUE"""),44316.66666666667)</f>
        <v>44316.66667</v>
      </c>
      <c r="D759" s="23">
        <f>IFERROR(__xludf.DUMMYFUNCTION("""COMPUTED_VALUE"""),118.28)</f>
        <v>118.28</v>
      </c>
      <c r="E759" s="22">
        <f>IFERROR(__xludf.DUMMYFUNCTION("""COMPUTED_VALUE"""),43243.66666666667)</f>
        <v>43243.66667</v>
      </c>
      <c r="F759" s="23">
        <f>IFERROR(__xludf.DUMMYFUNCTION("""COMPUTED_VALUE"""),15.82)</f>
        <v>15.82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>
      <c r="A760" s="22">
        <f>IFERROR(__xludf.DUMMYFUNCTION("""COMPUTED_VALUE"""),43059.66666666667)</f>
        <v>43059.66667</v>
      </c>
      <c r="B760" s="23">
        <f>IFERROR(__xludf.DUMMYFUNCTION("""COMPUTED_VALUE"""),65.59)</f>
        <v>65.59</v>
      </c>
      <c r="C760" s="22">
        <f>IFERROR(__xludf.DUMMYFUNCTION("""COMPUTED_VALUE"""),44319.66666666667)</f>
        <v>44319.66667</v>
      </c>
      <c r="D760" s="23">
        <f>IFERROR(__xludf.DUMMYFUNCTION("""COMPUTED_VALUE"""),118.52)</f>
        <v>118.52</v>
      </c>
      <c r="E760" s="22">
        <f>IFERROR(__xludf.DUMMYFUNCTION("""COMPUTED_VALUE"""),43244.66666666667)</f>
        <v>43244.66667</v>
      </c>
      <c r="F760" s="23">
        <f>IFERROR(__xludf.DUMMYFUNCTION("""COMPUTED_VALUE"""),15.93)</f>
        <v>15.93</v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>
      <c r="A761" s="22">
        <f>IFERROR(__xludf.DUMMYFUNCTION("""COMPUTED_VALUE"""),43060.66666666667)</f>
        <v>43060.66667</v>
      </c>
      <c r="B761" s="23">
        <f>IFERROR(__xludf.DUMMYFUNCTION("""COMPUTED_VALUE"""),66.16)</f>
        <v>66.16</v>
      </c>
      <c r="C761" s="22">
        <f>IFERROR(__xludf.DUMMYFUNCTION("""COMPUTED_VALUE"""),44320.66666666667)</f>
        <v>44320.66667</v>
      </c>
      <c r="D761" s="23">
        <f>IFERROR(__xludf.DUMMYFUNCTION("""COMPUTED_VALUE"""),119.12)</f>
        <v>119.12</v>
      </c>
      <c r="E761" s="22">
        <f>IFERROR(__xludf.DUMMYFUNCTION("""COMPUTED_VALUE"""),43245.66666666667)</f>
        <v>43245.66667</v>
      </c>
      <c r="F761" s="23">
        <f>IFERROR(__xludf.DUMMYFUNCTION("""COMPUTED_VALUE"""),16.03)</f>
        <v>16.03</v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>
      <c r="A762" s="22">
        <f>IFERROR(__xludf.DUMMYFUNCTION("""COMPUTED_VALUE"""),43061.66666666667)</f>
        <v>43061.66667</v>
      </c>
      <c r="B762" s="23">
        <f>IFERROR(__xludf.DUMMYFUNCTION("""COMPUTED_VALUE"""),66.23)</f>
        <v>66.23</v>
      </c>
      <c r="C762" s="22">
        <f>IFERROR(__xludf.DUMMYFUNCTION("""COMPUTED_VALUE"""),44321.66666666667)</f>
        <v>44321.66667</v>
      </c>
      <c r="D762" s="23">
        <f>IFERROR(__xludf.DUMMYFUNCTION("""COMPUTED_VALUE"""),119.64)</f>
        <v>119.64</v>
      </c>
      <c r="E762" s="22">
        <f>IFERROR(__xludf.DUMMYFUNCTION("""COMPUTED_VALUE"""),43248.66666666667)</f>
        <v>43248.66667</v>
      </c>
      <c r="F762" s="23">
        <f>IFERROR(__xludf.DUMMYFUNCTION("""COMPUTED_VALUE"""),16.06)</f>
        <v>16.06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>
      <c r="A763" s="22">
        <f>IFERROR(__xludf.DUMMYFUNCTION("""COMPUTED_VALUE"""),43062.66666666667)</f>
        <v>43062.66667</v>
      </c>
      <c r="B763" s="23">
        <f>IFERROR(__xludf.DUMMYFUNCTION("""COMPUTED_VALUE"""),65.82)</f>
        <v>65.82</v>
      </c>
      <c r="C763" s="22">
        <f>IFERROR(__xludf.DUMMYFUNCTION("""COMPUTED_VALUE"""),44322.66666666667)</f>
        <v>44322.66667</v>
      </c>
      <c r="D763" s="23">
        <f>IFERROR(__xludf.DUMMYFUNCTION("""COMPUTED_VALUE"""),119.14)</f>
        <v>119.14</v>
      </c>
      <c r="E763" s="22">
        <f>IFERROR(__xludf.DUMMYFUNCTION("""COMPUTED_VALUE"""),43249.66666666667)</f>
        <v>43249.66667</v>
      </c>
      <c r="F763" s="23">
        <f>IFERROR(__xludf.DUMMYFUNCTION("""COMPUTED_VALUE"""),16.05)</f>
        <v>16.05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>
      <c r="A764" s="22">
        <f>IFERROR(__xludf.DUMMYFUNCTION("""COMPUTED_VALUE"""),43063.66666666667)</f>
        <v>43063.66667</v>
      </c>
      <c r="B764" s="23">
        <f>IFERROR(__xludf.DUMMYFUNCTION("""COMPUTED_VALUE"""),65.94)</f>
        <v>65.94</v>
      </c>
      <c r="C764" s="22">
        <f>IFERROR(__xludf.DUMMYFUNCTION("""COMPUTED_VALUE"""),44323.66666666667)</f>
        <v>44323.66667</v>
      </c>
      <c r="D764" s="23">
        <f>IFERROR(__xludf.DUMMYFUNCTION("""COMPUTED_VALUE"""),119.41)</f>
        <v>119.41</v>
      </c>
      <c r="E764" s="22">
        <f>IFERROR(__xludf.DUMMYFUNCTION("""COMPUTED_VALUE"""),43250.66666666667)</f>
        <v>43250.66667</v>
      </c>
      <c r="F764" s="23">
        <f>IFERROR(__xludf.DUMMYFUNCTION("""COMPUTED_VALUE"""),16.07)</f>
        <v>16.07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>
      <c r="A765" s="22">
        <f>IFERROR(__xludf.DUMMYFUNCTION("""COMPUTED_VALUE"""),43066.66666666667)</f>
        <v>43066.66667</v>
      </c>
      <c r="B765" s="23">
        <f>IFERROR(__xludf.DUMMYFUNCTION("""COMPUTED_VALUE"""),66.16)</f>
        <v>66.16</v>
      </c>
      <c r="C765" s="22">
        <f>IFERROR(__xludf.DUMMYFUNCTION("""COMPUTED_VALUE"""),44326.66666666667)</f>
        <v>44326.66667</v>
      </c>
      <c r="D765" s="23">
        <f>IFERROR(__xludf.DUMMYFUNCTION("""COMPUTED_VALUE"""),120.95)</f>
        <v>120.95</v>
      </c>
      <c r="E765" s="22">
        <f>IFERROR(__xludf.DUMMYFUNCTION("""COMPUTED_VALUE"""),43251.66666666667)</f>
        <v>43251.66667</v>
      </c>
      <c r="F765" s="23">
        <f>IFERROR(__xludf.DUMMYFUNCTION("""COMPUTED_VALUE"""),16.05)</f>
        <v>16.05</v>
      </c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>
      <c r="A766" s="22">
        <f>IFERROR(__xludf.DUMMYFUNCTION("""COMPUTED_VALUE"""),43067.66666666667)</f>
        <v>43067.66667</v>
      </c>
      <c r="B766" s="23">
        <f>IFERROR(__xludf.DUMMYFUNCTION("""COMPUTED_VALUE"""),65.99)</f>
        <v>65.99</v>
      </c>
      <c r="C766" s="22">
        <f>IFERROR(__xludf.DUMMYFUNCTION("""COMPUTED_VALUE"""),44327.66666666667)</f>
        <v>44327.66667</v>
      </c>
      <c r="D766" s="23">
        <f>IFERROR(__xludf.DUMMYFUNCTION("""COMPUTED_VALUE"""),119.91)</f>
        <v>119.91</v>
      </c>
      <c r="E766" s="22">
        <f>IFERROR(__xludf.DUMMYFUNCTION("""COMPUTED_VALUE"""),43252.66666666667)</f>
        <v>43252.66667</v>
      </c>
      <c r="F766" s="23">
        <f>IFERROR(__xludf.DUMMYFUNCTION("""COMPUTED_VALUE"""),16.09)</f>
        <v>16.09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>
      <c r="A767" s="22">
        <f>IFERROR(__xludf.DUMMYFUNCTION("""COMPUTED_VALUE"""),43068.66666666667)</f>
        <v>43068.66667</v>
      </c>
      <c r="B767" s="23">
        <f>IFERROR(__xludf.DUMMYFUNCTION("""COMPUTED_VALUE"""),66.67)</f>
        <v>66.67</v>
      </c>
      <c r="C767" s="22">
        <f>IFERROR(__xludf.DUMMYFUNCTION("""COMPUTED_VALUE"""),44328.66666666667)</f>
        <v>44328.66667</v>
      </c>
      <c r="D767" s="23">
        <f>IFERROR(__xludf.DUMMYFUNCTION("""COMPUTED_VALUE"""),118.95)</f>
        <v>118.95</v>
      </c>
      <c r="E767" s="22">
        <f>IFERROR(__xludf.DUMMYFUNCTION("""COMPUTED_VALUE"""),43255.66666666667)</f>
        <v>43255.66667</v>
      </c>
      <c r="F767" s="23">
        <f>IFERROR(__xludf.DUMMYFUNCTION("""COMPUTED_VALUE"""),16.26)</f>
        <v>16.26</v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>
      <c r="A768" s="22">
        <f>IFERROR(__xludf.DUMMYFUNCTION("""COMPUTED_VALUE"""),43069.66666666667)</f>
        <v>43069.66667</v>
      </c>
      <c r="B768" s="23">
        <f>IFERROR(__xludf.DUMMYFUNCTION("""COMPUTED_VALUE"""),66.62)</f>
        <v>66.62</v>
      </c>
      <c r="C768" s="22">
        <f>IFERROR(__xludf.DUMMYFUNCTION("""COMPUTED_VALUE"""),44329.66666666667)</f>
        <v>44329.66667</v>
      </c>
      <c r="D768" s="23">
        <f>IFERROR(__xludf.DUMMYFUNCTION("""COMPUTED_VALUE"""),118.21)</f>
        <v>118.21</v>
      </c>
      <c r="E768" s="22">
        <f>IFERROR(__xludf.DUMMYFUNCTION("""COMPUTED_VALUE"""),43256.66666666667)</f>
        <v>43256.66667</v>
      </c>
      <c r="F768" s="23">
        <f>IFERROR(__xludf.DUMMYFUNCTION("""COMPUTED_VALUE"""),16.26)</f>
        <v>16.26</v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>
      <c r="A769" s="22">
        <f>IFERROR(__xludf.DUMMYFUNCTION("""COMPUTED_VALUE"""),43070.66666666667)</f>
        <v>43070.66667</v>
      </c>
      <c r="B769" s="23">
        <f>IFERROR(__xludf.DUMMYFUNCTION("""COMPUTED_VALUE"""),67.07)</f>
        <v>67.07</v>
      </c>
      <c r="C769" s="22">
        <f>IFERROR(__xludf.DUMMYFUNCTION("""COMPUTED_VALUE"""),44330.66666666667)</f>
        <v>44330.66667</v>
      </c>
      <c r="D769" s="23">
        <f>IFERROR(__xludf.DUMMYFUNCTION("""COMPUTED_VALUE"""),118.87)</f>
        <v>118.87</v>
      </c>
      <c r="E769" s="22">
        <f>IFERROR(__xludf.DUMMYFUNCTION("""COMPUTED_VALUE"""),43257.66666666667)</f>
        <v>43257.66667</v>
      </c>
      <c r="F769" s="23">
        <f>IFERROR(__xludf.DUMMYFUNCTION("""COMPUTED_VALUE"""),16.3)</f>
        <v>16.3</v>
      </c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>
      <c r="A770" s="22">
        <f>IFERROR(__xludf.DUMMYFUNCTION("""COMPUTED_VALUE"""),43073.66666666667)</f>
        <v>43073.66667</v>
      </c>
      <c r="B770" s="23">
        <f>IFERROR(__xludf.DUMMYFUNCTION("""COMPUTED_VALUE"""),67.11)</f>
        <v>67.11</v>
      </c>
      <c r="C770" s="22">
        <f>IFERROR(__xludf.DUMMYFUNCTION("""COMPUTED_VALUE"""),44333.66666666667)</f>
        <v>44333.66667</v>
      </c>
      <c r="D770" s="23">
        <f>IFERROR(__xludf.DUMMYFUNCTION("""COMPUTED_VALUE"""),119.1)</f>
        <v>119.1</v>
      </c>
      <c r="E770" s="22">
        <f>IFERROR(__xludf.DUMMYFUNCTION("""COMPUTED_VALUE"""),43258.66666666667)</f>
        <v>43258.66667</v>
      </c>
      <c r="F770" s="23">
        <f>IFERROR(__xludf.DUMMYFUNCTION("""COMPUTED_VALUE"""),16.37)</f>
        <v>16.37</v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>
      <c r="A771" s="22">
        <f>IFERROR(__xludf.DUMMYFUNCTION("""COMPUTED_VALUE"""),43074.66666666667)</f>
        <v>43074.66667</v>
      </c>
      <c r="B771" s="23">
        <f>IFERROR(__xludf.DUMMYFUNCTION("""COMPUTED_VALUE"""),66.31)</f>
        <v>66.31</v>
      </c>
      <c r="C771" s="22">
        <f>IFERROR(__xludf.DUMMYFUNCTION("""COMPUTED_VALUE"""),44334.66666666667)</f>
        <v>44334.66667</v>
      </c>
      <c r="D771" s="23">
        <f>IFERROR(__xludf.DUMMYFUNCTION("""COMPUTED_VALUE"""),119.7)</f>
        <v>119.7</v>
      </c>
      <c r="E771" s="22">
        <f>IFERROR(__xludf.DUMMYFUNCTION("""COMPUTED_VALUE"""),43259.66666666667)</f>
        <v>43259.66667</v>
      </c>
      <c r="F771" s="23">
        <f>IFERROR(__xludf.DUMMYFUNCTION("""COMPUTED_VALUE"""),16.27)</f>
        <v>16.27</v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>
      <c r="A772" s="22">
        <f>IFERROR(__xludf.DUMMYFUNCTION("""COMPUTED_VALUE"""),43075.66666666667)</f>
        <v>43075.66667</v>
      </c>
      <c r="B772" s="23">
        <f>IFERROR(__xludf.DUMMYFUNCTION("""COMPUTED_VALUE"""),66.4)</f>
        <v>66.4</v>
      </c>
      <c r="C772" s="22">
        <f>IFERROR(__xludf.DUMMYFUNCTION("""COMPUTED_VALUE"""),44335.66666666667)</f>
        <v>44335.66667</v>
      </c>
      <c r="D772" s="23">
        <f>IFERROR(__xludf.DUMMYFUNCTION("""COMPUTED_VALUE"""),117.44)</f>
        <v>117.44</v>
      </c>
      <c r="E772" s="22">
        <f>IFERROR(__xludf.DUMMYFUNCTION("""COMPUTED_VALUE"""),43263.66666666667)</f>
        <v>43263.66667</v>
      </c>
      <c r="F772" s="23">
        <f>IFERROR(__xludf.DUMMYFUNCTION("""COMPUTED_VALUE"""),16.35)</f>
        <v>16.35</v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>
      <c r="A773" s="22">
        <f>IFERROR(__xludf.DUMMYFUNCTION("""COMPUTED_VALUE"""),43076.66666666667)</f>
        <v>43076.66667</v>
      </c>
      <c r="B773" s="23">
        <f>IFERROR(__xludf.DUMMYFUNCTION("""COMPUTED_VALUE"""),66.91)</f>
        <v>66.91</v>
      </c>
      <c r="C773" s="22">
        <f>IFERROR(__xludf.DUMMYFUNCTION("""COMPUTED_VALUE"""),44336.66666666667)</f>
        <v>44336.66667</v>
      </c>
      <c r="D773" s="23">
        <f>IFERROR(__xludf.DUMMYFUNCTION("""COMPUTED_VALUE"""),118.86)</f>
        <v>118.86</v>
      </c>
      <c r="E773" s="22">
        <f>IFERROR(__xludf.DUMMYFUNCTION("""COMPUTED_VALUE"""),43264.66666666667)</f>
        <v>43264.66667</v>
      </c>
      <c r="F773" s="23">
        <f>IFERROR(__xludf.DUMMYFUNCTION("""COMPUTED_VALUE"""),16.57)</f>
        <v>16.57</v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>
      <c r="A774" s="22">
        <f>IFERROR(__xludf.DUMMYFUNCTION("""COMPUTED_VALUE"""),43077.66666666667)</f>
        <v>43077.66667</v>
      </c>
      <c r="B774" s="23">
        <f>IFERROR(__xludf.DUMMYFUNCTION("""COMPUTED_VALUE"""),67.36)</f>
        <v>67.36</v>
      </c>
      <c r="C774" s="22">
        <f>IFERROR(__xludf.DUMMYFUNCTION("""COMPUTED_VALUE"""),44337.66666666667)</f>
        <v>44337.66667</v>
      </c>
      <c r="D774" s="23">
        <f>IFERROR(__xludf.DUMMYFUNCTION("""COMPUTED_VALUE"""),118.9)</f>
        <v>118.9</v>
      </c>
      <c r="E774" s="22">
        <f>IFERROR(__xludf.DUMMYFUNCTION("""COMPUTED_VALUE"""),43265.66666666667)</f>
        <v>43265.66667</v>
      </c>
      <c r="F774" s="23">
        <f>IFERROR(__xludf.DUMMYFUNCTION("""COMPUTED_VALUE"""),16.51)</f>
        <v>16.51</v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>
      <c r="A775" s="22">
        <f>IFERROR(__xludf.DUMMYFUNCTION("""COMPUTED_VALUE"""),43080.66666666667)</f>
        <v>43080.66667</v>
      </c>
      <c r="B775" s="23">
        <f>IFERROR(__xludf.DUMMYFUNCTION("""COMPUTED_VALUE"""),67.62)</f>
        <v>67.62</v>
      </c>
      <c r="C775" s="22">
        <f>IFERROR(__xludf.DUMMYFUNCTION("""COMPUTED_VALUE"""),44340.66666666667)</f>
        <v>44340.66667</v>
      </c>
      <c r="D775" s="23">
        <f>IFERROR(__xludf.DUMMYFUNCTION("""COMPUTED_VALUE"""),119.36)</f>
        <v>119.36</v>
      </c>
      <c r="E775" s="22">
        <f>IFERROR(__xludf.DUMMYFUNCTION("""COMPUTED_VALUE"""),43266.66666666667)</f>
        <v>43266.66667</v>
      </c>
      <c r="F775" s="23">
        <f>IFERROR(__xludf.DUMMYFUNCTION("""COMPUTED_VALUE"""),16.97)</f>
        <v>16.97</v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>
      <c r="A776" s="22">
        <f>IFERROR(__xludf.DUMMYFUNCTION("""COMPUTED_VALUE"""),43081.66666666667)</f>
        <v>43081.66667</v>
      </c>
      <c r="B776" s="23">
        <f>IFERROR(__xludf.DUMMYFUNCTION("""COMPUTED_VALUE"""),67.72)</f>
        <v>67.72</v>
      </c>
      <c r="C776" s="22">
        <f>IFERROR(__xludf.DUMMYFUNCTION("""COMPUTED_VALUE"""),44341.66666666667)</f>
        <v>44341.66667</v>
      </c>
      <c r="D776" s="23">
        <f>IFERROR(__xludf.DUMMYFUNCTION("""COMPUTED_VALUE"""),120.38)</f>
        <v>120.38</v>
      </c>
      <c r="E776" s="22">
        <f>IFERROR(__xludf.DUMMYFUNCTION("""COMPUTED_VALUE"""),43269.66666666667)</f>
        <v>43269.66667</v>
      </c>
      <c r="F776" s="23">
        <f>IFERROR(__xludf.DUMMYFUNCTION("""COMPUTED_VALUE"""),16.83)</f>
        <v>16.83</v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>
      <c r="A777" s="22">
        <f>IFERROR(__xludf.DUMMYFUNCTION("""COMPUTED_VALUE"""),43082.66666666667)</f>
        <v>43082.66667</v>
      </c>
      <c r="B777" s="23">
        <f>IFERROR(__xludf.DUMMYFUNCTION("""COMPUTED_VALUE"""),67.32)</f>
        <v>67.32</v>
      </c>
      <c r="C777" s="22">
        <f>IFERROR(__xludf.DUMMYFUNCTION("""COMPUTED_VALUE"""),44342.66666666667)</f>
        <v>44342.66667</v>
      </c>
      <c r="D777" s="23">
        <f>IFERROR(__xludf.DUMMYFUNCTION("""COMPUTED_VALUE"""),120.19)</f>
        <v>120.19</v>
      </c>
      <c r="E777" s="22">
        <f>IFERROR(__xludf.DUMMYFUNCTION("""COMPUTED_VALUE"""),43270.66666666667)</f>
        <v>43270.66667</v>
      </c>
      <c r="F777" s="23">
        <f>IFERROR(__xludf.DUMMYFUNCTION("""COMPUTED_VALUE"""),16.87)</f>
        <v>16.87</v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>
      <c r="A778" s="22">
        <f>IFERROR(__xludf.DUMMYFUNCTION("""COMPUTED_VALUE"""),43083.66666666667)</f>
        <v>43083.66667</v>
      </c>
      <c r="B778" s="23">
        <f>IFERROR(__xludf.DUMMYFUNCTION("""COMPUTED_VALUE"""),66.67)</f>
        <v>66.67</v>
      </c>
      <c r="C778" s="22">
        <f>IFERROR(__xludf.DUMMYFUNCTION("""COMPUTED_VALUE"""),44343.66666666667)</f>
        <v>44343.66667</v>
      </c>
      <c r="D778" s="23">
        <f>IFERROR(__xludf.DUMMYFUNCTION("""COMPUTED_VALUE"""),120.3)</f>
        <v>120.3</v>
      </c>
      <c r="E778" s="22">
        <f>IFERROR(__xludf.DUMMYFUNCTION("""COMPUTED_VALUE"""),43271.66666666667)</f>
        <v>43271.66667</v>
      </c>
      <c r="F778" s="23">
        <f>IFERROR(__xludf.DUMMYFUNCTION("""COMPUTED_VALUE"""),17.01)</f>
        <v>17.01</v>
      </c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>
      <c r="A779" s="22">
        <f>IFERROR(__xludf.DUMMYFUNCTION("""COMPUTED_VALUE"""),43084.66666666667)</f>
        <v>43084.66667</v>
      </c>
      <c r="B779" s="23">
        <f>IFERROR(__xludf.DUMMYFUNCTION("""COMPUTED_VALUE"""),66.33)</f>
        <v>66.33</v>
      </c>
      <c r="C779" s="22">
        <f>IFERROR(__xludf.DUMMYFUNCTION("""COMPUTED_VALUE"""),44344.66666666667)</f>
        <v>44344.66667</v>
      </c>
      <c r="D779" s="23">
        <f>IFERROR(__xludf.DUMMYFUNCTION("""COMPUTED_VALUE"""),121.79)</f>
        <v>121.79</v>
      </c>
      <c r="E779" s="22">
        <f>IFERROR(__xludf.DUMMYFUNCTION("""COMPUTED_VALUE"""),43272.66666666667)</f>
        <v>43272.66667</v>
      </c>
      <c r="F779" s="23">
        <f>IFERROR(__xludf.DUMMYFUNCTION("""COMPUTED_VALUE"""),17.28)</f>
        <v>17.28</v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>
      <c r="A780" s="22">
        <f>IFERROR(__xludf.DUMMYFUNCTION("""COMPUTED_VALUE"""),43087.66666666667)</f>
        <v>43087.66667</v>
      </c>
      <c r="B780" s="23">
        <f>IFERROR(__xludf.DUMMYFUNCTION("""COMPUTED_VALUE"""),66.95)</f>
        <v>66.95</v>
      </c>
      <c r="C780" s="22">
        <f>IFERROR(__xludf.DUMMYFUNCTION("""COMPUTED_VALUE"""),44347.66666666667)</f>
        <v>44347.66667</v>
      </c>
      <c r="D780" s="23">
        <f>IFERROR(__xludf.DUMMYFUNCTION("""COMPUTED_VALUE"""),121.37)</f>
        <v>121.37</v>
      </c>
      <c r="E780" s="22">
        <f>IFERROR(__xludf.DUMMYFUNCTION("""COMPUTED_VALUE"""),43273.66666666667)</f>
        <v>43273.66667</v>
      </c>
      <c r="F780" s="23">
        <f>IFERROR(__xludf.DUMMYFUNCTION("""COMPUTED_VALUE"""),16.95)</f>
        <v>16.95</v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>
      <c r="A781" s="22">
        <f>IFERROR(__xludf.DUMMYFUNCTION("""COMPUTED_VALUE"""),43088.66666666667)</f>
        <v>43088.66667</v>
      </c>
      <c r="B781" s="23">
        <f>IFERROR(__xludf.DUMMYFUNCTION("""COMPUTED_VALUE"""),67.19)</f>
        <v>67.19</v>
      </c>
      <c r="C781" s="22">
        <f>IFERROR(__xludf.DUMMYFUNCTION("""COMPUTED_VALUE"""),44348.66666666667)</f>
        <v>44348.66667</v>
      </c>
      <c r="D781" s="23">
        <f>IFERROR(__xludf.DUMMYFUNCTION("""COMPUTED_VALUE"""),121.07)</f>
        <v>121.07</v>
      </c>
      <c r="E781" s="22">
        <f>IFERROR(__xludf.DUMMYFUNCTION("""COMPUTED_VALUE"""),43276.66666666667)</f>
        <v>43276.66667</v>
      </c>
      <c r="F781" s="23">
        <f>IFERROR(__xludf.DUMMYFUNCTION("""COMPUTED_VALUE"""),16.75)</f>
        <v>16.75</v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>
      <c r="A782" s="22">
        <f>IFERROR(__xludf.DUMMYFUNCTION("""COMPUTED_VALUE"""),43089.66666666667)</f>
        <v>43089.66667</v>
      </c>
      <c r="B782" s="23">
        <f>IFERROR(__xludf.DUMMYFUNCTION("""COMPUTED_VALUE"""),67.22)</f>
        <v>67.22</v>
      </c>
      <c r="C782" s="22">
        <f>IFERROR(__xludf.DUMMYFUNCTION("""COMPUTED_VALUE"""),44349.66666666667)</f>
        <v>44349.66667</v>
      </c>
      <c r="D782" s="23">
        <f>IFERROR(__xludf.DUMMYFUNCTION("""COMPUTED_VALUE"""),122.3)</f>
        <v>122.3</v>
      </c>
      <c r="E782" s="22">
        <f>IFERROR(__xludf.DUMMYFUNCTION("""COMPUTED_VALUE"""),43277.66666666667)</f>
        <v>43277.66667</v>
      </c>
      <c r="F782" s="23">
        <f>IFERROR(__xludf.DUMMYFUNCTION("""COMPUTED_VALUE"""),16.51)</f>
        <v>16.51</v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>
      <c r="A783" s="22">
        <f>IFERROR(__xludf.DUMMYFUNCTION("""COMPUTED_VALUE"""),43090.66666666667)</f>
        <v>43090.66667</v>
      </c>
      <c r="B783" s="23">
        <f>IFERROR(__xludf.DUMMYFUNCTION("""COMPUTED_VALUE"""),66.96)</f>
        <v>66.96</v>
      </c>
      <c r="C783" s="22">
        <f>IFERROR(__xludf.DUMMYFUNCTION("""COMPUTED_VALUE"""),44350.66666666667)</f>
        <v>44350.66667</v>
      </c>
      <c r="D783" s="23">
        <f>IFERROR(__xludf.DUMMYFUNCTION("""COMPUTED_VALUE"""),123.04)</f>
        <v>123.04</v>
      </c>
      <c r="E783" s="22">
        <f>IFERROR(__xludf.DUMMYFUNCTION("""COMPUTED_VALUE"""),43278.66666666667)</f>
        <v>43278.66667</v>
      </c>
      <c r="F783" s="23">
        <f>IFERROR(__xludf.DUMMYFUNCTION("""COMPUTED_VALUE"""),16.61)</f>
        <v>16.61</v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>
      <c r="A784" s="22">
        <f>IFERROR(__xludf.DUMMYFUNCTION("""COMPUTED_VALUE"""),43091.66666666667)</f>
        <v>43091.66667</v>
      </c>
      <c r="B784" s="23">
        <f>IFERROR(__xludf.DUMMYFUNCTION("""COMPUTED_VALUE"""),66.7)</f>
        <v>66.7</v>
      </c>
      <c r="C784" s="22">
        <f>IFERROR(__xludf.DUMMYFUNCTION("""COMPUTED_VALUE"""),44351.66666666667)</f>
        <v>44351.66667</v>
      </c>
      <c r="D784" s="23">
        <f>IFERROR(__xludf.DUMMYFUNCTION("""COMPUTED_VALUE"""),123.7)</f>
        <v>123.7</v>
      </c>
      <c r="E784" s="22">
        <f>IFERROR(__xludf.DUMMYFUNCTION("""COMPUTED_VALUE"""),43279.66666666667)</f>
        <v>43279.66667</v>
      </c>
      <c r="F784" s="23">
        <f>IFERROR(__xludf.DUMMYFUNCTION("""COMPUTED_VALUE"""),16.5)</f>
        <v>16.5</v>
      </c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>
      <c r="A785" s="22">
        <f>IFERROR(__xludf.DUMMYFUNCTION("""COMPUTED_VALUE"""),43096.66666666667)</f>
        <v>43096.66667</v>
      </c>
      <c r="B785" s="23">
        <f>IFERROR(__xludf.DUMMYFUNCTION("""COMPUTED_VALUE"""),66.47)</f>
        <v>66.47</v>
      </c>
      <c r="C785" s="22">
        <f>IFERROR(__xludf.DUMMYFUNCTION("""COMPUTED_VALUE"""),44354.66666666667)</f>
        <v>44354.66667</v>
      </c>
      <c r="D785" s="23">
        <f>IFERROR(__xludf.DUMMYFUNCTION("""COMPUTED_VALUE"""),123.47)</f>
        <v>123.47</v>
      </c>
      <c r="E785" s="22">
        <f>IFERROR(__xludf.DUMMYFUNCTION("""COMPUTED_VALUE"""),43280.66666666667)</f>
        <v>43280.66667</v>
      </c>
      <c r="F785" s="23">
        <f>IFERROR(__xludf.DUMMYFUNCTION("""COMPUTED_VALUE"""),16.61)</f>
        <v>16.61</v>
      </c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>
      <c r="A786" s="22">
        <f>IFERROR(__xludf.DUMMYFUNCTION("""COMPUTED_VALUE"""),43097.66666666667)</f>
        <v>43097.66667</v>
      </c>
      <c r="B786" s="23">
        <f>IFERROR(__xludf.DUMMYFUNCTION("""COMPUTED_VALUE"""),66.2)</f>
        <v>66.2</v>
      </c>
      <c r="C786" s="22">
        <f>IFERROR(__xludf.DUMMYFUNCTION("""COMPUTED_VALUE"""),44355.66666666667)</f>
        <v>44355.66667</v>
      </c>
      <c r="D786" s="23">
        <f>IFERROR(__xludf.DUMMYFUNCTION("""COMPUTED_VALUE"""),123.63)</f>
        <v>123.63</v>
      </c>
      <c r="E786" s="22">
        <f>IFERROR(__xludf.DUMMYFUNCTION("""COMPUTED_VALUE"""),43283.66666666667)</f>
        <v>43283.66667</v>
      </c>
      <c r="F786" s="23">
        <f>IFERROR(__xludf.DUMMYFUNCTION("""COMPUTED_VALUE"""),16.45)</f>
        <v>16.45</v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>
      <c r="A787" s="22">
        <f>IFERROR(__xludf.DUMMYFUNCTION("""COMPUTED_VALUE"""),43098.66666666667)</f>
        <v>43098.66667</v>
      </c>
      <c r="B787" s="23">
        <f>IFERROR(__xludf.DUMMYFUNCTION("""COMPUTED_VALUE"""),66.2)</f>
        <v>66.2</v>
      </c>
      <c r="C787" s="22">
        <f>IFERROR(__xludf.DUMMYFUNCTION("""COMPUTED_VALUE"""),44356.66666666667)</f>
        <v>44356.66667</v>
      </c>
      <c r="D787" s="23">
        <f>IFERROR(__xludf.DUMMYFUNCTION("""COMPUTED_VALUE"""),123.24)</f>
        <v>123.24</v>
      </c>
      <c r="E787" s="22">
        <f>IFERROR(__xludf.DUMMYFUNCTION("""COMPUTED_VALUE"""),43284.66666666667)</f>
        <v>43284.66667</v>
      </c>
      <c r="F787" s="23">
        <f>IFERROR(__xludf.DUMMYFUNCTION("""COMPUTED_VALUE"""),16.7)</f>
        <v>16.7</v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>
      <c r="A788" s="22">
        <f>IFERROR(__xludf.DUMMYFUNCTION("""COMPUTED_VALUE"""),43102.66666666667)</f>
        <v>43102.66667</v>
      </c>
      <c r="B788" s="23">
        <f>IFERROR(__xludf.DUMMYFUNCTION("""COMPUTED_VALUE"""),65.58)</f>
        <v>65.58</v>
      </c>
      <c r="C788" s="22">
        <f>IFERROR(__xludf.DUMMYFUNCTION("""COMPUTED_VALUE"""),44357.66666666667)</f>
        <v>44357.66667</v>
      </c>
      <c r="D788" s="23">
        <f>IFERROR(__xludf.DUMMYFUNCTION("""COMPUTED_VALUE"""),123.74)</f>
        <v>123.74</v>
      </c>
      <c r="E788" s="22">
        <f>IFERROR(__xludf.DUMMYFUNCTION("""COMPUTED_VALUE"""),43285.66666666667)</f>
        <v>43285.66667</v>
      </c>
      <c r="F788" s="23">
        <f>IFERROR(__xludf.DUMMYFUNCTION("""COMPUTED_VALUE"""),16.42)</f>
        <v>16.42</v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>
      <c r="A789" s="22">
        <f>IFERROR(__xludf.DUMMYFUNCTION("""COMPUTED_VALUE"""),43103.66666666667)</f>
        <v>43103.66667</v>
      </c>
      <c r="B789" s="23">
        <f>IFERROR(__xludf.DUMMYFUNCTION("""COMPUTED_VALUE"""),66.04)</f>
        <v>66.04</v>
      </c>
      <c r="C789" s="22">
        <f>IFERROR(__xludf.DUMMYFUNCTION("""COMPUTED_VALUE"""),44358.66666666667)</f>
        <v>44358.66667</v>
      </c>
      <c r="D789" s="23">
        <f>IFERROR(__xludf.DUMMYFUNCTION("""COMPUTED_VALUE"""),123.97)</f>
        <v>123.97</v>
      </c>
      <c r="E789" s="22">
        <f>IFERROR(__xludf.DUMMYFUNCTION("""COMPUTED_VALUE"""),43286.66666666667)</f>
        <v>43286.66667</v>
      </c>
      <c r="F789" s="23">
        <f>IFERROR(__xludf.DUMMYFUNCTION("""COMPUTED_VALUE"""),16.48)</f>
        <v>16.48</v>
      </c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>
      <c r="A790" s="22">
        <f>IFERROR(__xludf.DUMMYFUNCTION("""COMPUTED_VALUE"""),43104.66666666667)</f>
        <v>43104.66667</v>
      </c>
      <c r="B790" s="23">
        <f>IFERROR(__xludf.DUMMYFUNCTION("""COMPUTED_VALUE"""),66.27)</f>
        <v>66.27</v>
      </c>
      <c r="C790" s="22">
        <f>IFERROR(__xludf.DUMMYFUNCTION("""COMPUTED_VALUE"""),44362.66666666667)</f>
        <v>44362.66667</v>
      </c>
      <c r="D790" s="23">
        <f>IFERROR(__xludf.DUMMYFUNCTION("""COMPUTED_VALUE"""),125.14)</f>
        <v>125.14</v>
      </c>
      <c r="E790" s="22">
        <f>IFERROR(__xludf.DUMMYFUNCTION("""COMPUTED_VALUE"""),43287.66666666667)</f>
        <v>43287.66667</v>
      </c>
      <c r="F790" s="23">
        <f>IFERROR(__xludf.DUMMYFUNCTION("""COMPUTED_VALUE"""),16.66)</f>
        <v>16.66</v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>
      <c r="A791" s="22">
        <f>IFERROR(__xludf.DUMMYFUNCTION("""COMPUTED_VALUE"""),43105.66666666667)</f>
        <v>43105.66667</v>
      </c>
      <c r="B791" s="23">
        <f>IFERROR(__xludf.DUMMYFUNCTION("""COMPUTED_VALUE"""),66.61)</f>
        <v>66.61</v>
      </c>
      <c r="C791" s="22">
        <f>IFERROR(__xludf.DUMMYFUNCTION("""COMPUTED_VALUE"""),44363.66666666667)</f>
        <v>44363.66667</v>
      </c>
      <c r="D791" s="23">
        <f>IFERROR(__xludf.DUMMYFUNCTION("""COMPUTED_VALUE"""),125.23)</f>
        <v>125.23</v>
      </c>
      <c r="E791" s="22">
        <f>IFERROR(__xludf.DUMMYFUNCTION("""COMPUTED_VALUE"""),43290.66666666667)</f>
        <v>43290.66667</v>
      </c>
      <c r="F791" s="23">
        <f>IFERROR(__xludf.DUMMYFUNCTION("""COMPUTED_VALUE"""),16.78)</f>
        <v>16.78</v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>
      <c r="A792" s="22">
        <f>IFERROR(__xludf.DUMMYFUNCTION("""COMPUTED_VALUE"""),43108.66666666667)</f>
        <v>43108.66667</v>
      </c>
      <c r="B792" s="23">
        <f>IFERROR(__xludf.DUMMYFUNCTION("""COMPUTED_VALUE"""),67.08)</f>
        <v>67.08</v>
      </c>
      <c r="C792" s="22">
        <f>IFERROR(__xludf.DUMMYFUNCTION("""COMPUTED_VALUE"""),44364.66666666667)</f>
        <v>44364.66667</v>
      </c>
      <c r="D792" s="23">
        <f>IFERROR(__xludf.DUMMYFUNCTION("""COMPUTED_VALUE"""),124.76)</f>
        <v>124.76</v>
      </c>
      <c r="E792" s="22">
        <f>IFERROR(__xludf.DUMMYFUNCTION("""COMPUTED_VALUE"""),43291.66666666667)</f>
        <v>43291.66667</v>
      </c>
      <c r="F792" s="23">
        <f>IFERROR(__xludf.DUMMYFUNCTION("""COMPUTED_VALUE"""),16.93)</f>
        <v>16.93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>
      <c r="A793" s="22">
        <f>IFERROR(__xludf.DUMMYFUNCTION("""COMPUTED_VALUE"""),43109.66666666667)</f>
        <v>43109.66667</v>
      </c>
      <c r="B793" s="23">
        <f>IFERROR(__xludf.DUMMYFUNCTION("""COMPUTED_VALUE"""),67.01)</f>
        <v>67.01</v>
      </c>
      <c r="C793" s="22">
        <f>IFERROR(__xludf.DUMMYFUNCTION("""COMPUTED_VALUE"""),44365.66666666667)</f>
        <v>44365.66667</v>
      </c>
      <c r="D793" s="23">
        <f>IFERROR(__xludf.DUMMYFUNCTION("""COMPUTED_VALUE"""),125.04)</f>
        <v>125.04</v>
      </c>
      <c r="E793" s="22">
        <f>IFERROR(__xludf.DUMMYFUNCTION("""COMPUTED_VALUE"""),43292.66666666667)</f>
        <v>43292.66667</v>
      </c>
      <c r="F793" s="23">
        <f>IFERROR(__xludf.DUMMYFUNCTION("""COMPUTED_VALUE"""),16.85)</f>
        <v>16.85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>
      <c r="A794" s="22">
        <f>IFERROR(__xludf.DUMMYFUNCTION("""COMPUTED_VALUE"""),43110.66666666667)</f>
        <v>43110.66667</v>
      </c>
      <c r="B794" s="23">
        <f>IFERROR(__xludf.DUMMYFUNCTION("""COMPUTED_VALUE"""),67.36)</f>
        <v>67.36</v>
      </c>
      <c r="C794" s="22">
        <f>IFERROR(__xludf.DUMMYFUNCTION("""COMPUTED_VALUE"""),44368.66666666667)</f>
        <v>44368.66667</v>
      </c>
      <c r="D794" s="23">
        <f>IFERROR(__xludf.DUMMYFUNCTION("""COMPUTED_VALUE"""),122.56)</f>
        <v>122.56</v>
      </c>
      <c r="E794" s="22">
        <f>IFERROR(__xludf.DUMMYFUNCTION("""COMPUTED_VALUE"""),43293.66666666667)</f>
        <v>43293.66667</v>
      </c>
      <c r="F794" s="23">
        <f>IFERROR(__xludf.DUMMYFUNCTION("""COMPUTED_VALUE"""),17.07)</f>
        <v>17.07</v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>
      <c r="A795" s="22">
        <f>IFERROR(__xludf.DUMMYFUNCTION("""COMPUTED_VALUE"""),43111.66666666667)</f>
        <v>43111.66667</v>
      </c>
      <c r="B795" s="23">
        <f>IFERROR(__xludf.DUMMYFUNCTION("""COMPUTED_VALUE"""),66.89)</f>
        <v>66.89</v>
      </c>
      <c r="C795" s="22">
        <f>IFERROR(__xludf.DUMMYFUNCTION("""COMPUTED_VALUE"""),44369.66666666667)</f>
        <v>44369.66667</v>
      </c>
      <c r="D795" s="23">
        <f>IFERROR(__xludf.DUMMYFUNCTION("""COMPUTED_VALUE"""),124.34)</f>
        <v>124.34</v>
      </c>
      <c r="E795" s="22">
        <f>IFERROR(__xludf.DUMMYFUNCTION("""COMPUTED_VALUE"""),43294.66666666667)</f>
        <v>43294.66667</v>
      </c>
      <c r="F795" s="23">
        <f>IFERROR(__xludf.DUMMYFUNCTION("""COMPUTED_VALUE"""),17.27)</f>
        <v>17.27</v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>
      <c r="A796" s="22">
        <f>IFERROR(__xludf.DUMMYFUNCTION("""COMPUTED_VALUE"""),43112.66666666667)</f>
        <v>43112.66667</v>
      </c>
      <c r="B796" s="23">
        <f>IFERROR(__xludf.DUMMYFUNCTION("""COMPUTED_VALUE"""),67.18)</f>
        <v>67.18</v>
      </c>
      <c r="C796" s="22">
        <f>IFERROR(__xludf.DUMMYFUNCTION("""COMPUTED_VALUE"""),44370.66666666667)</f>
        <v>44370.66667</v>
      </c>
      <c r="D796" s="23">
        <f>IFERROR(__xludf.DUMMYFUNCTION("""COMPUTED_VALUE"""),123.58)</f>
        <v>123.58</v>
      </c>
      <c r="E796" s="22">
        <f>IFERROR(__xludf.DUMMYFUNCTION("""COMPUTED_VALUE"""),43297.66666666667)</f>
        <v>43297.66667</v>
      </c>
      <c r="F796" s="23">
        <f>IFERROR(__xludf.DUMMYFUNCTION("""COMPUTED_VALUE"""),17.18)</f>
        <v>17.18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>
      <c r="A797" s="22">
        <f>IFERROR(__xludf.DUMMYFUNCTION("""COMPUTED_VALUE"""),43115.66666666667)</f>
        <v>43115.66667</v>
      </c>
      <c r="B797" s="23">
        <f>IFERROR(__xludf.DUMMYFUNCTION("""COMPUTED_VALUE"""),67.4)</f>
        <v>67.4</v>
      </c>
      <c r="C797" s="22">
        <f>IFERROR(__xludf.DUMMYFUNCTION("""COMPUTED_VALUE"""),44371.66666666667)</f>
        <v>44371.66667</v>
      </c>
      <c r="D797" s="23">
        <f>IFERROR(__xludf.DUMMYFUNCTION("""COMPUTED_VALUE"""),123.13)</f>
        <v>123.13</v>
      </c>
      <c r="E797" s="22">
        <f>IFERROR(__xludf.DUMMYFUNCTION("""COMPUTED_VALUE"""),43298.66666666667)</f>
        <v>43298.66667</v>
      </c>
      <c r="F797" s="23">
        <f>IFERROR(__xludf.DUMMYFUNCTION("""COMPUTED_VALUE"""),17.0)</f>
        <v>17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>
      <c r="A798" s="22">
        <f>IFERROR(__xludf.DUMMYFUNCTION("""COMPUTED_VALUE"""),43116.66666666667)</f>
        <v>43116.66667</v>
      </c>
      <c r="B798" s="23">
        <f>IFERROR(__xludf.DUMMYFUNCTION("""COMPUTED_VALUE"""),67.31)</f>
        <v>67.31</v>
      </c>
      <c r="C798" s="22">
        <f>IFERROR(__xludf.DUMMYFUNCTION("""COMPUTED_VALUE"""),44372.66666666667)</f>
        <v>44372.66667</v>
      </c>
      <c r="D798" s="23">
        <f>IFERROR(__xludf.DUMMYFUNCTION("""COMPUTED_VALUE"""),123.7)</f>
        <v>123.7</v>
      </c>
      <c r="E798" s="22">
        <f>IFERROR(__xludf.DUMMYFUNCTION("""COMPUTED_VALUE"""),43299.66666666667)</f>
        <v>43299.66667</v>
      </c>
      <c r="F798" s="23">
        <f>IFERROR(__xludf.DUMMYFUNCTION("""COMPUTED_VALUE"""),17.42)</f>
        <v>17.42</v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>
      <c r="A799" s="22">
        <f>IFERROR(__xludf.DUMMYFUNCTION("""COMPUTED_VALUE"""),43117.66666666667)</f>
        <v>43117.66667</v>
      </c>
      <c r="B799" s="23">
        <f>IFERROR(__xludf.DUMMYFUNCTION("""COMPUTED_VALUE"""),67.05)</f>
        <v>67.05</v>
      </c>
      <c r="C799" s="22">
        <f>IFERROR(__xludf.DUMMYFUNCTION("""COMPUTED_VALUE"""),44375.66666666667)</f>
        <v>44375.66667</v>
      </c>
      <c r="D799" s="23">
        <f>IFERROR(__xludf.DUMMYFUNCTION("""COMPUTED_VALUE"""),123.67)</f>
        <v>123.67</v>
      </c>
      <c r="E799" s="22">
        <f>IFERROR(__xludf.DUMMYFUNCTION("""COMPUTED_VALUE"""),43300.66666666667)</f>
        <v>43300.66667</v>
      </c>
      <c r="F799" s="23">
        <f>IFERROR(__xludf.DUMMYFUNCTION("""COMPUTED_VALUE"""),17.26)</f>
        <v>17.26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>
      <c r="A800" s="22">
        <f>IFERROR(__xludf.DUMMYFUNCTION("""COMPUTED_VALUE"""),43118.66666666667)</f>
        <v>43118.66667</v>
      </c>
      <c r="B800" s="23">
        <f>IFERROR(__xludf.DUMMYFUNCTION("""COMPUTED_VALUE"""),67.4)</f>
        <v>67.4</v>
      </c>
      <c r="C800" s="22">
        <f>IFERROR(__xludf.DUMMYFUNCTION("""COMPUTED_VALUE"""),44376.66666666667)</f>
        <v>44376.66667</v>
      </c>
      <c r="D800" s="23">
        <f>IFERROR(__xludf.DUMMYFUNCTION("""COMPUTED_VALUE"""),123.82)</f>
        <v>123.82</v>
      </c>
      <c r="E800" s="22">
        <f>IFERROR(__xludf.DUMMYFUNCTION("""COMPUTED_VALUE"""),43301.66666666667)</f>
        <v>43301.66667</v>
      </c>
      <c r="F800" s="23">
        <f>IFERROR(__xludf.DUMMYFUNCTION("""COMPUTED_VALUE"""),17.31)</f>
        <v>17.31</v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>
      <c r="A801" s="22">
        <f>IFERROR(__xludf.DUMMYFUNCTION("""COMPUTED_VALUE"""),43119.66666666667)</f>
        <v>43119.66667</v>
      </c>
      <c r="B801" s="23">
        <f>IFERROR(__xludf.DUMMYFUNCTION("""COMPUTED_VALUE"""),66.79)</f>
        <v>66.79</v>
      </c>
      <c r="C801" s="22">
        <f>IFERROR(__xludf.DUMMYFUNCTION("""COMPUTED_VALUE"""),44377.66666666667)</f>
        <v>44377.66667</v>
      </c>
      <c r="D801" s="23">
        <f>IFERROR(__xludf.DUMMYFUNCTION("""COMPUTED_VALUE"""),123.91)</f>
        <v>123.91</v>
      </c>
      <c r="E801" s="22">
        <f>IFERROR(__xludf.DUMMYFUNCTION("""COMPUTED_VALUE"""),43304.66666666667)</f>
        <v>43304.66667</v>
      </c>
      <c r="F801" s="23">
        <f>IFERROR(__xludf.DUMMYFUNCTION("""COMPUTED_VALUE"""),17.09)</f>
        <v>17.09</v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>
      <c r="A802" s="22">
        <f>IFERROR(__xludf.DUMMYFUNCTION("""COMPUTED_VALUE"""),43122.66666666667)</f>
        <v>43122.66667</v>
      </c>
      <c r="B802" s="23">
        <f>IFERROR(__xludf.DUMMYFUNCTION("""COMPUTED_VALUE"""),67.31)</f>
        <v>67.31</v>
      </c>
      <c r="C802" s="22">
        <f>IFERROR(__xludf.DUMMYFUNCTION("""COMPUTED_VALUE"""),44378.66666666667)</f>
        <v>44378.66667</v>
      </c>
      <c r="D802" s="23">
        <f>IFERROR(__xludf.DUMMYFUNCTION("""COMPUTED_VALUE"""),122.74)</f>
        <v>122.74</v>
      </c>
      <c r="E802" s="22">
        <f>IFERROR(__xludf.DUMMYFUNCTION("""COMPUTED_VALUE"""),43305.66666666667)</f>
        <v>43305.66667</v>
      </c>
      <c r="F802" s="23">
        <f>IFERROR(__xludf.DUMMYFUNCTION("""COMPUTED_VALUE"""),17.43)</f>
        <v>17.43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>
      <c r="A803" s="22">
        <f>IFERROR(__xludf.DUMMYFUNCTION("""COMPUTED_VALUE"""),43123.66666666667)</f>
        <v>43123.66667</v>
      </c>
      <c r="B803" s="23">
        <f>IFERROR(__xludf.DUMMYFUNCTION("""COMPUTED_VALUE"""),68.06)</f>
        <v>68.06</v>
      </c>
      <c r="C803" s="22">
        <f>IFERROR(__xludf.DUMMYFUNCTION("""COMPUTED_VALUE"""),44379.66666666667)</f>
        <v>44379.66667</v>
      </c>
      <c r="D803" s="23">
        <f>IFERROR(__xludf.DUMMYFUNCTION("""COMPUTED_VALUE"""),123.25)</f>
        <v>123.25</v>
      </c>
      <c r="E803" s="22">
        <f>IFERROR(__xludf.DUMMYFUNCTION("""COMPUTED_VALUE"""),43306.66666666667)</f>
        <v>43306.66667</v>
      </c>
      <c r="F803" s="23">
        <f>IFERROR(__xludf.DUMMYFUNCTION("""COMPUTED_VALUE"""),17.31)</f>
        <v>17.31</v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>
      <c r="A804" s="22">
        <f>IFERROR(__xludf.DUMMYFUNCTION("""COMPUTED_VALUE"""),43124.66666666667)</f>
        <v>43124.66667</v>
      </c>
      <c r="B804" s="23">
        <f>IFERROR(__xludf.DUMMYFUNCTION("""COMPUTED_VALUE"""),67.88)</f>
        <v>67.88</v>
      </c>
      <c r="C804" s="22">
        <f>IFERROR(__xludf.DUMMYFUNCTION("""COMPUTED_VALUE"""),44382.66666666667)</f>
        <v>44382.66667</v>
      </c>
      <c r="D804" s="23">
        <f>IFERROR(__xludf.DUMMYFUNCTION("""COMPUTED_VALUE"""),123.43)</f>
        <v>123.43</v>
      </c>
      <c r="E804" s="22">
        <f>IFERROR(__xludf.DUMMYFUNCTION("""COMPUTED_VALUE"""),43307.66666666667)</f>
        <v>43307.66667</v>
      </c>
      <c r="F804" s="23">
        <f>IFERROR(__xludf.DUMMYFUNCTION("""COMPUTED_VALUE"""),17.22)</f>
        <v>17.22</v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>
      <c r="A805" s="22">
        <f>IFERROR(__xludf.DUMMYFUNCTION("""COMPUTED_VALUE"""),43125.66666666667)</f>
        <v>43125.66667</v>
      </c>
      <c r="B805" s="23">
        <f>IFERROR(__xludf.DUMMYFUNCTION("""COMPUTED_VALUE"""),67.32)</f>
        <v>67.32</v>
      </c>
      <c r="C805" s="22">
        <f>IFERROR(__xludf.DUMMYFUNCTION("""COMPUTED_VALUE"""),44383.66666666667)</f>
        <v>44383.66667</v>
      </c>
      <c r="D805" s="23">
        <f>IFERROR(__xludf.DUMMYFUNCTION("""COMPUTED_VALUE"""),122.48)</f>
        <v>122.48</v>
      </c>
      <c r="E805" s="22">
        <f>IFERROR(__xludf.DUMMYFUNCTION("""COMPUTED_VALUE"""),43308.66666666667)</f>
        <v>43308.66667</v>
      </c>
      <c r="F805" s="23">
        <f>IFERROR(__xludf.DUMMYFUNCTION("""COMPUTED_VALUE"""),17.43)</f>
        <v>17.43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>
      <c r="A806" s="22">
        <f>IFERROR(__xludf.DUMMYFUNCTION("""COMPUTED_VALUE"""),43129.66666666667)</f>
        <v>43129.66667</v>
      </c>
      <c r="B806" s="23">
        <f>IFERROR(__xludf.DUMMYFUNCTION("""COMPUTED_VALUE"""),67.78)</f>
        <v>67.78</v>
      </c>
      <c r="C806" s="22">
        <f>IFERROR(__xludf.DUMMYFUNCTION("""COMPUTED_VALUE"""),44384.66666666667)</f>
        <v>44384.66667</v>
      </c>
      <c r="D806" s="23">
        <f>IFERROR(__xludf.DUMMYFUNCTION("""COMPUTED_VALUE"""),123.53)</f>
        <v>123.53</v>
      </c>
      <c r="E806" s="22">
        <f>IFERROR(__xludf.DUMMYFUNCTION("""COMPUTED_VALUE"""),43311.66666666667)</f>
        <v>43311.66667</v>
      </c>
      <c r="F806" s="23">
        <f>IFERROR(__xludf.DUMMYFUNCTION("""COMPUTED_VALUE"""),16.96)</f>
        <v>16.96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>
      <c r="A807" s="22">
        <f>IFERROR(__xludf.DUMMYFUNCTION("""COMPUTED_VALUE"""),43130.66666666667)</f>
        <v>43130.66667</v>
      </c>
      <c r="B807" s="23">
        <f>IFERROR(__xludf.DUMMYFUNCTION("""COMPUTED_VALUE"""),67.12)</f>
        <v>67.12</v>
      </c>
      <c r="C807" s="22">
        <f>IFERROR(__xludf.DUMMYFUNCTION("""COMPUTED_VALUE"""),44385.66666666667)</f>
        <v>44385.66667</v>
      </c>
      <c r="D807" s="23">
        <f>IFERROR(__xludf.DUMMYFUNCTION("""COMPUTED_VALUE"""),123.92)</f>
        <v>123.92</v>
      </c>
      <c r="E807" s="22">
        <f>IFERROR(__xludf.DUMMYFUNCTION("""COMPUTED_VALUE"""),43312.66666666667)</f>
        <v>43312.66667</v>
      </c>
      <c r="F807" s="23">
        <f>IFERROR(__xludf.DUMMYFUNCTION("""COMPUTED_VALUE"""),16.79)</f>
        <v>16.79</v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>
      <c r="A808" s="22">
        <f>IFERROR(__xludf.DUMMYFUNCTION("""COMPUTED_VALUE"""),43131.66666666667)</f>
        <v>43131.66667</v>
      </c>
      <c r="B808" s="23">
        <f>IFERROR(__xludf.DUMMYFUNCTION("""COMPUTED_VALUE"""),67.09)</f>
        <v>67.09</v>
      </c>
      <c r="C808" s="22">
        <f>IFERROR(__xludf.DUMMYFUNCTION("""COMPUTED_VALUE"""),44386.66666666667)</f>
        <v>44386.66667</v>
      </c>
      <c r="D808" s="23">
        <f>IFERROR(__xludf.DUMMYFUNCTION("""COMPUTED_VALUE"""),122.36)</f>
        <v>122.36</v>
      </c>
      <c r="E808" s="22">
        <f>IFERROR(__xludf.DUMMYFUNCTION("""COMPUTED_VALUE"""),43313.66666666667)</f>
        <v>43313.66667</v>
      </c>
      <c r="F808" s="23">
        <f>IFERROR(__xludf.DUMMYFUNCTION("""COMPUTED_VALUE"""),16.95)</f>
        <v>16.95</v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>
      <c r="A809" s="22">
        <f>IFERROR(__xludf.DUMMYFUNCTION("""COMPUTED_VALUE"""),43132.66666666667)</f>
        <v>43132.66667</v>
      </c>
      <c r="B809" s="23">
        <f>IFERROR(__xludf.DUMMYFUNCTION("""COMPUTED_VALUE"""),67.38)</f>
        <v>67.38</v>
      </c>
      <c r="C809" s="22">
        <f>IFERROR(__xludf.DUMMYFUNCTION("""COMPUTED_VALUE"""),44389.66666666667)</f>
        <v>44389.66667</v>
      </c>
      <c r="D809" s="23">
        <f>IFERROR(__xludf.DUMMYFUNCTION("""COMPUTED_VALUE"""),123.81)</f>
        <v>123.81</v>
      </c>
      <c r="E809" s="22">
        <f>IFERROR(__xludf.DUMMYFUNCTION("""COMPUTED_VALUE"""),43314.66666666667)</f>
        <v>43314.66667</v>
      </c>
      <c r="F809" s="23">
        <f>IFERROR(__xludf.DUMMYFUNCTION("""COMPUTED_VALUE"""),16.99)</f>
        <v>16.99</v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>
      <c r="A810" s="22">
        <f>IFERROR(__xludf.DUMMYFUNCTION("""COMPUTED_VALUE"""),43133.66666666667)</f>
        <v>43133.66667</v>
      </c>
      <c r="B810" s="23">
        <f>IFERROR(__xludf.DUMMYFUNCTION("""COMPUTED_VALUE"""),67.42)</f>
        <v>67.42</v>
      </c>
      <c r="C810" s="22">
        <f>IFERROR(__xludf.DUMMYFUNCTION("""COMPUTED_VALUE"""),44390.66666666667)</f>
        <v>44390.66667</v>
      </c>
      <c r="D810" s="23">
        <f>IFERROR(__xludf.DUMMYFUNCTION("""COMPUTED_VALUE"""),123.73)</f>
        <v>123.73</v>
      </c>
      <c r="E810" s="22">
        <f>IFERROR(__xludf.DUMMYFUNCTION("""COMPUTED_VALUE"""),43315.66666666667)</f>
        <v>43315.66667</v>
      </c>
      <c r="F810" s="23">
        <f>IFERROR(__xludf.DUMMYFUNCTION("""COMPUTED_VALUE"""),17.33)</f>
        <v>17.33</v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>
      <c r="A811" s="22">
        <f>IFERROR(__xludf.DUMMYFUNCTION("""COMPUTED_VALUE"""),43136.66666666667)</f>
        <v>43136.66667</v>
      </c>
      <c r="B811" s="23">
        <f>IFERROR(__xludf.DUMMYFUNCTION("""COMPUTED_VALUE"""),66.3)</f>
        <v>66.3</v>
      </c>
      <c r="C811" s="22">
        <f>IFERROR(__xludf.DUMMYFUNCTION("""COMPUTED_VALUE"""),44391.66666666667)</f>
        <v>44391.66667</v>
      </c>
      <c r="D811" s="23">
        <f>IFERROR(__xludf.DUMMYFUNCTION("""COMPUTED_VALUE"""),124.24)</f>
        <v>124.24</v>
      </c>
      <c r="E811" s="22">
        <f>IFERROR(__xludf.DUMMYFUNCTION("""COMPUTED_VALUE"""),43318.66666666667)</f>
        <v>43318.66667</v>
      </c>
      <c r="F811" s="23">
        <f>IFERROR(__xludf.DUMMYFUNCTION("""COMPUTED_VALUE"""),17.33)</f>
        <v>17.33</v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>
      <c r="A812" s="22">
        <f>IFERROR(__xludf.DUMMYFUNCTION("""COMPUTED_VALUE"""),43137.66666666667)</f>
        <v>43137.66667</v>
      </c>
      <c r="B812" s="23">
        <f>IFERROR(__xludf.DUMMYFUNCTION("""COMPUTED_VALUE"""),62.65)</f>
        <v>62.65</v>
      </c>
      <c r="C812" s="22">
        <f>IFERROR(__xludf.DUMMYFUNCTION("""COMPUTED_VALUE"""),44392.66666666667)</f>
        <v>44392.66667</v>
      </c>
      <c r="D812" s="23">
        <f>IFERROR(__xludf.DUMMYFUNCTION("""COMPUTED_VALUE"""),123.63)</f>
        <v>123.63</v>
      </c>
      <c r="E812" s="22">
        <f>IFERROR(__xludf.DUMMYFUNCTION("""COMPUTED_VALUE"""),43319.66666666667)</f>
        <v>43319.66667</v>
      </c>
      <c r="F812" s="23">
        <f>IFERROR(__xludf.DUMMYFUNCTION("""COMPUTED_VALUE"""),17.41)</f>
        <v>17.41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>
      <c r="A813" s="22">
        <f>IFERROR(__xludf.DUMMYFUNCTION("""COMPUTED_VALUE"""),43138.66666666667)</f>
        <v>43138.66667</v>
      </c>
      <c r="B813" s="23">
        <f>IFERROR(__xludf.DUMMYFUNCTION("""COMPUTED_VALUE"""),65.1)</f>
        <v>65.1</v>
      </c>
      <c r="C813" s="22">
        <f>IFERROR(__xludf.DUMMYFUNCTION("""COMPUTED_VALUE"""),44393.66666666667)</f>
        <v>44393.66667</v>
      </c>
      <c r="D813" s="23">
        <f>IFERROR(__xludf.DUMMYFUNCTION("""COMPUTED_VALUE"""),124.0)</f>
        <v>124</v>
      </c>
      <c r="E813" s="22">
        <f>IFERROR(__xludf.DUMMYFUNCTION("""COMPUTED_VALUE"""),43320.66666666667)</f>
        <v>43320.66667</v>
      </c>
      <c r="F813" s="23">
        <f>IFERROR(__xludf.DUMMYFUNCTION("""COMPUTED_VALUE"""),17.4)</f>
        <v>17.4</v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>
      <c r="A814" s="22">
        <f>IFERROR(__xludf.DUMMYFUNCTION("""COMPUTED_VALUE"""),43139.66666666667)</f>
        <v>43139.66667</v>
      </c>
      <c r="B814" s="23">
        <f>IFERROR(__xludf.DUMMYFUNCTION("""COMPUTED_VALUE"""),65.36)</f>
        <v>65.36</v>
      </c>
      <c r="C814" s="22">
        <f>IFERROR(__xludf.DUMMYFUNCTION("""COMPUTED_VALUE"""),44396.66666666667)</f>
        <v>44396.66667</v>
      </c>
      <c r="D814" s="23">
        <f>IFERROR(__xludf.DUMMYFUNCTION("""COMPUTED_VALUE"""),122.98)</f>
        <v>122.98</v>
      </c>
      <c r="E814" s="22">
        <f>IFERROR(__xludf.DUMMYFUNCTION("""COMPUTED_VALUE"""),43321.66666666667)</f>
        <v>43321.66667</v>
      </c>
      <c r="F814" s="23">
        <f>IFERROR(__xludf.DUMMYFUNCTION("""COMPUTED_VALUE"""),17.37)</f>
        <v>17.37</v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>
      <c r="A815" s="22">
        <f>IFERROR(__xludf.DUMMYFUNCTION("""COMPUTED_VALUE"""),43140.66666666667)</f>
        <v>43140.66667</v>
      </c>
      <c r="B815" s="23">
        <f>IFERROR(__xludf.DUMMYFUNCTION("""COMPUTED_VALUE"""),64.35)</f>
        <v>64.35</v>
      </c>
      <c r="C815" s="22">
        <f>IFERROR(__xludf.DUMMYFUNCTION("""COMPUTED_VALUE"""),44397.66666666667)</f>
        <v>44397.66667</v>
      </c>
      <c r="D815" s="23">
        <f>IFERROR(__xludf.DUMMYFUNCTION("""COMPUTED_VALUE"""),122.45)</f>
        <v>122.45</v>
      </c>
      <c r="E815" s="22">
        <f>IFERROR(__xludf.DUMMYFUNCTION("""COMPUTED_VALUE"""),43322.66666666667)</f>
        <v>43322.66667</v>
      </c>
      <c r="F815" s="23">
        <f>IFERROR(__xludf.DUMMYFUNCTION("""COMPUTED_VALUE"""),17.56)</f>
        <v>17.56</v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>
      <c r="A816" s="22">
        <f>IFERROR(__xludf.DUMMYFUNCTION("""COMPUTED_VALUE"""),43143.66666666667)</f>
        <v>43143.66667</v>
      </c>
      <c r="B816" s="23">
        <f>IFERROR(__xludf.DUMMYFUNCTION("""COMPUTED_VALUE"""),64.38)</f>
        <v>64.38</v>
      </c>
      <c r="C816" s="22">
        <f>IFERROR(__xludf.DUMMYFUNCTION("""COMPUTED_VALUE"""),44398.66666666667)</f>
        <v>44398.66667</v>
      </c>
      <c r="D816" s="23">
        <f>IFERROR(__xludf.DUMMYFUNCTION("""COMPUTED_VALUE"""),123.47)</f>
        <v>123.47</v>
      </c>
      <c r="E816" s="22">
        <f>IFERROR(__xludf.DUMMYFUNCTION("""COMPUTED_VALUE"""),43325.66666666667)</f>
        <v>43325.66667</v>
      </c>
      <c r="F816" s="23">
        <f>IFERROR(__xludf.DUMMYFUNCTION("""COMPUTED_VALUE"""),17.56)</f>
        <v>17.56</v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>
      <c r="A817" s="22">
        <f>IFERROR(__xludf.DUMMYFUNCTION("""COMPUTED_VALUE"""),43144.66666666667)</f>
        <v>43144.66667</v>
      </c>
      <c r="B817" s="23">
        <f>IFERROR(__xludf.DUMMYFUNCTION("""COMPUTED_VALUE"""),64.49)</f>
        <v>64.49</v>
      </c>
      <c r="C817" s="22">
        <f>IFERROR(__xludf.DUMMYFUNCTION("""COMPUTED_VALUE"""),44399.66666666667)</f>
        <v>44399.66667</v>
      </c>
      <c r="D817" s="23">
        <f>IFERROR(__xludf.DUMMYFUNCTION("""COMPUTED_VALUE"""),124.61)</f>
        <v>124.61</v>
      </c>
      <c r="E817" s="22">
        <f>IFERROR(__xludf.DUMMYFUNCTION("""COMPUTED_VALUE"""),43326.66666666667)</f>
        <v>43326.66667</v>
      </c>
      <c r="F817" s="23">
        <f>IFERROR(__xludf.DUMMYFUNCTION("""COMPUTED_VALUE"""),17.71)</f>
        <v>17.71</v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>
      <c r="A818" s="22">
        <f>IFERROR(__xludf.DUMMYFUNCTION("""COMPUTED_VALUE"""),43145.66666666667)</f>
        <v>43145.66667</v>
      </c>
      <c r="B818" s="23">
        <f>IFERROR(__xludf.DUMMYFUNCTION("""COMPUTED_VALUE"""),64.63)</f>
        <v>64.63</v>
      </c>
      <c r="C818" s="22">
        <f>IFERROR(__xludf.DUMMYFUNCTION("""COMPUTED_VALUE"""),44400.66666666667)</f>
        <v>44400.66667</v>
      </c>
      <c r="D818" s="23">
        <f>IFERROR(__xludf.DUMMYFUNCTION("""COMPUTED_VALUE"""),124.73)</f>
        <v>124.73</v>
      </c>
      <c r="E818" s="22">
        <f>IFERROR(__xludf.DUMMYFUNCTION("""COMPUTED_VALUE"""),43327.66666666667)</f>
        <v>43327.66667</v>
      </c>
      <c r="F818" s="23">
        <f>IFERROR(__xludf.DUMMYFUNCTION("""COMPUTED_VALUE"""),17.86)</f>
        <v>17.86</v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>
      <c r="A819" s="22">
        <f>IFERROR(__xludf.DUMMYFUNCTION("""COMPUTED_VALUE"""),43146.66666666667)</f>
        <v>43146.66667</v>
      </c>
      <c r="B819" s="23">
        <f>IFERROR(__xludf.DUMMYFUNCTION("""COMPUTED_VALUE"""),65.32)</f>
        <v>65.32</v>
      </c>
      <c r="C819" s="22">
        <f>IFERROR(__xludf.DUMMYFUNCTION("""COMPUTED_VALUE"""),44403.66666666667)</f>
        <v>44403.66667</v>
      </c>
      <c r="D819" s="23">
        <f>IFERROR(__xludf.DUMMYFUNCTION("""COMPUTED_VALUE"""),124.88)</f>
        <v>124.88</v>
      </c>
      <c r="E819" s="22">
        <f>IFERROR(__xludf.DUMMYFUNCTION("""COMPUTED_VALUE"""),43328.66666666667)</f>
        <v>43328.66667</v>
      </c>
      <c r="F819" s="23">
        <f>IFERROR(__xludf.DUMMYFUNCTION("""COMPUTED_VALUE"""),17.64)</f>
        <v>17.64</v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>
      <c r="A820" s="22">
        <f>IFERROR(__xludf.DUMMYFUNCTION("""COMPUTED_VALUE"""),43147.66666666667)</f>
        <v>43147.66667</v>
      </c>
      <c r="B820" s="23">
        <f>IFERROR(__xludf.DUMMYFUNCTION("""COMPUTED_VALUE"""),65.71)</f>
        <v>65.71</v>
      </c>
      <c r="C820" s="22">
        <f>IFERROR(__xludf.DUMMYFUNCTION("""COMPUTED_VALUE"""),44404.66666666667)</f>
        <v>44404.66667</v>
      </c>
      <c r="D820" s="23">
        <f>IFERROR(__xludf.DUMMYFUNCTION("""COMPUTED_VALUE"""),125.48)</f>
        <v>125.48</v>
      </c>
      <c r="E820" s="22">
        <f>IFERROR(__xludf.DUMMYFUNCTION("""COMPUTED_VALUE"""),43329.66666666667)</f>
        <v>43329.66667</v>
      </c>
      <c r="F820" s="23">
        <f>IFERROR(__xludf.DUMMYFUNCTION("""COMPUTED_VALUE"""),17.56)</f>
        <v>17.56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>
      <c r="A821" s="22">
        <f>IFERROR(__xludf.DUMMYFUNCTION("""COMPUTED_VALUE"""),43150.66666666667)</f>
        <v>43150.66667</v>
      </c>
      <c r="B821" s="23">
        <f>IFERROR(__xludf.DUMMYFUNCTION("""COMPUTED_VALUE"""),66.26)</f>
        <v>66.26</v>
      </c>
      <c r="C821" s="22">
        <f>IFERROR(__xludf.DUMMYFUNCTION("""COMPUTED_VALUE"""),44405.66666666667)</f>
        <v>44405.66667</v>
      </c>
      <c r="D821" s="23">
        <f>IFERROR(__xludf.DUMMYFUNCTION("""COMPUTED_VALUE"""),124.54)</f>
        <v>124.54</v>
      </c>
      <c r="E821" s="22">
        <f>IFERROR(__xludf.DUMMYFUNCTION("""COMPUTED_VALUE"""),43332.66666666667)</f>
        <v>43332.66667</v>
      </c>
      <c r="F821" s="23">
        <f>IFERROR(__xludf.DUMMYFUNCTION("""COMPUTED_VALUE"""),17.52)</f>
        <v>17.52</v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>
      <c r="A822" s="22">
        <f>IFERROR(__xludf.DUMMYFUNCTION("""COMPUTED_VALUE"""),43151.66666666667)</f>
        <v>43151.66667</v>
      </c>
      <c r="B822" s="23">
        <f>IFERROR(__xludf.DUMMYFUNCTION("""COMPUTED_VALUE"""),65.75)</f>
        <v>65.75</v>
      </c>
      <c r="C822" s="22">
        <f>IFERROR(__xludf.DUMMYFUNCTION("""COMPUTED_VALUE"""),44406.66666666667)</f>
        <v>44406.66667</v>
      </c>
      <c r="D822" s="23">
        <f>IFERROR(__xludf.DUMMYFUNCTION("""COMPUTED_VALUE"""),125.21)</f>
        <v>125.21</v>
      </c>
      <c r="E822" s="22">
        <f>IFERROR(__xludf.DUMMYFUNCTION("""COMPUTED_VALUE"""),43333.66666666667)</f>
        <v>43333.66667</v>
      </c>
      <c r="F822" s="23">
        <f>IFERROR(__xludf.DUMMYFUNCTION("""COMPUTED_VALUE"""),17.38)</f>
        <v>17.38</v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>
      <c r="A823" s="22">
        <f>IFERROR(__xludf.DUMMYFUNCTION("""COMPUTED_VALUE"""),43152.66666666667)</f>
        <v>43152.66667</v>
      </c>
      <c r="B823" s="23">
        <f>IFERROR(__xludf.DUMMYFUNCTION("""COMPUTED_VALUE"""),65.81)</f>
        <v>65.81</v>
      </c>
      <c r="C823" s="22">
        <f>IFERROR(__xludf.DUMMYFUNCTION("""COMPUTED_VALUE"""),44407.66666666667)</f>
        <v>44407.66667</v>
      </c>
      <c r="D823" s="23">
        <f>IFERROR(__xludf.DUMMYFUNCTION("""COMPUTED_VALUE"""),124.92)</f>
        <v>124.92</v>
      </c>
      <c r="E823" s="22">
        <f>IFERROR(__xludf.DUMMYFUNCTION("""COMPUTED_VALUE"""),43334.66666666667)</f>
        <v>43334.66667</v>
      </c>
      <c r="F823" s="23">
        <f>IFERROR(__xludf.DUMMYFUNCTION("""COMPUTED_VALUE"""),17.36)</f>
        <v>17.36</v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>
      <c r="A824" s="22">
        <f>IFERROR(__xludf.DUMMYFUNCTION("""COMPUTED_VALUE"""),43153.66666666667)</f>
        <v>43153.66667</v>
      </c>
      <c r="B824" s="23">
        <f>IFERROR(__xludf.DUMMYFUNCTION("""COMPUTED_VALUE"""),65.8)</f>
        <v>65.8</v>
      </c>
      <c r="C824" s="22">
        <f>IFERROR(__xludf.DUMMYFUNCTION("""COMPUTED_VALUE"""),44410.66666666667)</f>
        <v>44410.66667</v>
      </c>
      <c r="D824" s="23">
        <f>IFERROR(__xludf.DUMMYFUNCTION("""COMPUTED_VALUE"""),126.5)</f>
        <v>126.5</v>
      </c>
      <c r="E824" s="22">
        <f>IFERROR(__xludf.DUMMYFUNCTION("""COMPUTED_VALUE"""),43335.66666666667)</f>
        <v>43335.66667</v>
      </c>
      <c r="F824" s="23">
        <f>IFERROR(__xludf.DUMMYFUNCTION("""COMPUTED_VALUE"""),17.62)</f>
        <v>17.62</v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>
      <c r="A825" s="22">
        <f>IFERROR(__xludf.DUMMYFUNCTION("""COMPUTED_VALUE"""),43154.66666666667)</f>
        <v>43154.66667</v>
      </c>
      <c r="B825" s="23">
        <f>IFERROR(__xludf.DUMMYFUNCTION("""COMPUTED_VALUE"""),66.37)</f>
        <v>66.37</v>
      </c>
      <c r="C825" s="22">
        <f>IFERROR(__xludf.DUMMYFUNCTION("""COMPUTED_VALUE"""),44411.66666666667)</f>
        <v>44411.66667</v>
      </c>
      <c r="D825" s="23">
        <f>IFERROR(__xludf.DUMMYFUNCTION("""COMPUTED_VALUE"""),126.15)</f>
        <v>126.15</v>
      </c>
      <c r="E825" s="22">
        <f>IFERROR(__xludf.DUMMYFUNCTION("""COMPUTED_VALUE"""),43336.66666666667)</f>
        <v>43336.66667</v>
      </c>
      <c r="F825" s="23">
        <f>IFERROR(__xludf.DUMMYFUNCTION("""COMPUTED_VALUE"""),17.68)</f>
        <v>17.68</v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>
      <c r="A826" s="22">
        <f>IFERROR(__xludf.DUMMYFUNCTION("""COMPUTED_VALUE"""),43157.66666666667)</f>
        <v>43157.66667</v>
      </c>
      <c r="B826" s="23">
        <f>IFERROR(__xludf.DUMMYFUNCTION("""COMPUTED_VALUE"""),66.78)</f>
        <v>66.78</v>
      </c>
      <c r="C826" s="22">
        <f>IFERROR(__xludf.DUMMYFUNCTION("""COMPUTED_VALUE"""),44412.66666666667)</f>
        <v>44412.66667</v>
      </c>
      <c r="D826" s="23">
        <f>IFERROR(__xludf.DUMMYFUNCTION("""COMPUTED_VALUE"""),126.64)</f>
        <v>126.64</v>
      </c>
      <c r="E826" s="22">
        <f>IFERROR(__xludf.DUMMYFUNCTION("""COMPUTED_VALUE"""),43339.66666666667)</f>
        <v>43339.66667</v>
      </c>
      <c r="F826" s="23">
        <f>IFERROR(__xludf.DUMMYFUNCTION("""COMPUTED_VALUE"""),17.77)</f>
        <v>17.77</v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>
      <c r="A827" s="22">
        <f>IFERROR(__xludf.DUMMYFUNCTION("""COMPUTED_VALUE"""),43158.66666666667)</f>
        <v>43158.66667</v>
      </c>
      <c r="B827" s="23">
        <f>IFERROR(__xludf.DUMMYFUNCTION("""COMPUTED_VALUE"""),67.46)</f>
        <v>67.46</v>
      </c>
      <c r="C827" s="22">
        <f>IFERROR(__xludf.DUMMYFUNCTION("""COMPUTED_VALUE"""),44413.66666666667)</f>
        <v>44413.66667</v>
      </c>
      <c r="D827" s="23">
        <f>IFERROR(__xludf.DUMMYFUNCTION("""COMPUTED_VALUE"""),126.9)</f>
        <v>126.9</v>
      </c>
      <c r="E827" s="22">
        <f>IFERROR(__xludf.DUMMYFUNCTION("""COMPUTED_VALUE"""),43340.66666666667)</f>
        <v>43340.66667</v>
      </c>
      <c r="F827" s="23">
        <f>IFERROR(__xludf.DUMMYFUNCTION("""COMPUTED_VALUE"""),17.9)</f>
        <v>17.9</v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>
      <c r="A828" s="22">
        <f>IFERROR(__xludf.DUMMYFUNCTION("""COMPUTED_VALUE"""),43159.66666666667)</f>
        <v>43159.66667</v>
      </c>
      <c r="B828" s="23">
        <f>IFERROR(__xludf.DUMMYFUNCTION("""COMPUTED_VALUE"""),67.01)</f>
        <v>67.01</v>
      </c>
      <c r="C828" s="22">
        <f>IFERROR(__xludf.DUMMYFUNCTION("""COMPUTED_VALUE"""),44414.66666666667)</f>
        <v>44414.66667</v>
      </c>
      <c r="D828" s="23">
        <f>IFERROR(__xludf.DUMMYFUNCTION("""COMPUTED_VALUE"""),127.09)</f>
        <v>127.09</v>
      </c>
      <c r="E828" s="22">
        <f>IFERROR(__xludf.DUMMYFUNCTION("""COMPUTED_VALUE"""),43341.66666666667)</f>
        <v>43341.66667</v>
      </c>
      <c r="F828" s="23">
        <f>IFERROR(__xludf.DUMMYFUNCTION("""COMPUTED_VALUE"""),17.99)</f>
        <v>17.99</v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>
      <c r="A829" s="22">
        <f>IFERROR(__xludf.DUMMYFUNCTION("""COMPUTED_VALUE"""),43160.66666666667)</f>
        <v>43160.66667</v>
      </c>
      <c r="B829" s="23">
        <f>IFERROR(__xludf.DUMMYFUNCTION("""COMPUTED_VALUE"""),66.66)</f>
        <v>66.66</v>
      </c>
      <c r="C829" s="22">
        <f>IFERROR(__xludf.DUMMYFUNCTION("""COMPUTED_VALUE"""),44417.66666666667)</f>
        <v>44417.66667</v>
      </c>
      <c r="D829" s="23">
        <f>IFERROR(__xludf.DUMMYFUNCTION("""COMPUTED_VALUE"""),127.3)</f>
        <v>127.3</v>
      </c>
      <c r="E829" s="22">
        <f>IFERROR(__xludf.DUMMYFUNCTION("""COMPUTED_VALUE"""),43342.66666666667)</f>
        <v>43342.66667</v>
      </c>
      <c r="F829" s="23">
        <f>IFERROR(__xludf.DUMMYFUNCTION("""COMPUTED_VALUE"""),18.21)</f>
        <v>18.21</v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>
      <c r="A830" s="22">
        <f>IFERROR(__xludf.DUMMYFUNCTION("""COMPUTED_VALUE"""),43161.66666666667)</f>
        <v>43161.66667</v>
      </c>
      <c r="B830" s="23">
        <f>IFERROR(__xludf.DUMMYFUNCTION("""COMPUTED_VALUE"""),65.72)</f>
        <v>65.72</v>
      </c>
      <c r="C830" s="22">
        <f>IFERROR(__xludf.DUMMYFUNCTION("""COMPUTED_VALUE"""),44418.66666666667)</f>
        <v>44418.66667</v>
      </c>
      <c r="D830" s="23">
        <f>IFERROR(__xludf.DUMMYFUNCTION("""COMPUTED_VALUE"""),127.69)</f>
        <v>127.69</v>
      </c>
      <c r="E830" s="22">
        <f>IFERROR(__xludf.DUMMYFUNCTION("""COMPUTED_VALUE"""),43343.66666666667)</f>
        <v>43343.66667</v>
      </c>
      <c r="F830" s="23">
        <f>IFERROR(__xludf.DUMMYFUNCTION("""COMPUTED_VALUE"""),18.27)</f>
        <v>18.27</v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>
      <c r="A831" s="22">
        <f>IFERROR(__xludf.DUMMYFUNCTION("""COMPUTED_VALUE"""),43164.66666666667)</f>
        <v>43164.66667</v>
      </c>
      <c r="B831" s="23">
        <f>IFERROR(__xludf.DUMMYFUNCTION("""COMPUTED_VALUE"""),65.56)</f>
        <v>65.56</v>
      </c>
      <c r="C831" s="22">
        <f>IFERROR(__xludf.DUMMYFUNCTION("""COMPUTED_VALUE"""),44419.66666666667)</f>
        <v>44419.66667</v>
      </c>
      <c r="D831" s="23">
        <f>IFERROR(__xludf.DUMMYFUNCTION("""COMPUTED_VALUE"""),128.0)</f>
        <v>128</v>
      </c>
      <c r="E831" s="22">
        <f>IFERROR(__xludf.DUMMYFUNCTION("""COMPUTED_VALUE"""),43346.66666666667)</f>
        <v>43346.66667</v>
      </c>
      <c r="F831" s="23">
        <f>IFERROR(__xludf.DUMMYFUNCTION("""COMPUTED_VALUE"""),18.45)</f>
        <v>18.45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>
      <c r="A832" s="22">
        <f>IFERROR(__xludf.DUMMYFUNCTION("""COMPUTED_VALUE"""),43165.66666666667)</f>
        <v>43165.66667</v>
      </c>
      <c r="B832" s="23">
        <f>IFERROR(__xludf.DUMMYFUNCTION("""COMPUTED_VALUE"""),66.37)</f>
        <v>66.37</v>
      </c>
      <c r="C832" s="22">
        <f>IFERROR(__xludf.DUMMYFUNCTION("""COMPUTED_VALUE"""),44420.66666666667)</f>
        <v>44420.66667</v>
      </c>
      <c r="D832" s="23">
        <f>IFERROR(__xludf.DUMMYFUNCTION("""COMPUTED_VALUE"""),128.21)</f>
        <v>128.21</v>
      </c>
      <c r="E832" s="22">
        <f>IFERROR(__xludf.DUMMYFUNCTION("""COMPUTED_VALUE"""),43347.66666666667)</f>
        <v>43347.66667</v>
      </c>
      <c r="F832" s="23">
        <f>IFERROR(__xludf.DUMMYFUNCTION("""COMPUTED_VALUE"""),18.42)</f>
        <v>18.42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>
      <c r="A833" s="22">
        <f>IFERROR(__xludf.DUMMYFUNCTION("""COMPUTED_VALUE"""),43166.66666666667)</f>
        <v>43166.66667</v>
      </c>
      <c r="B833" s="23">
        <f>IFERROR(__xludf.DUMMYFUNCTION("""COMPUTED_VALUE"""),65.72)</f>
        <v>65.72</v>
      </c>
      <c r="C833" s="22">
        <f>IFERROR(__xludf.DUMMYFUNCTION("""COMPUTED_VALUE"""),44421.66666666667)</f>
        <v>44421.66667</v>
      </c>
      <c r="D833" s="23">
        <f>IFERROR(__xludf.DUMMYFUNCTION("""COMPUTED_VALUE"""),129.09)</f>
        <v>129.09</v>
      </c>
      <c r="E833" s="22">
        <f>IFERROR(__xludf.DUMMYFUNCTION("""COMPUTED_VALUE"""),43348.66666666667)</f>
        <v>43348.66667</v>
      </c>
      <c r="F833" s="23">
        <f>IFERROR(__xludf.DUMMYFUNCTION("""COMPUTED_VALUE"""),18.37)</f>
        <v>18.37</v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>
      <c r="A834" s="22">
        <f>IFERROR(__xludf.DUMMYFUNCTION("""COMPUTED_VALUE"""),43167.66666666667)</f>
        <v>43167.66667</v>
      </c>
      <c r="B834" s="23">
        <f>IFERROR(__xludf.DUMMYFUNCTION("""COMPUTED_VALUE"""),66.14)</f>
        <v>66.14</v>
      </c>
      <c r="C834" s="22">
        <f>IFERROR(__xludf.DUMMYFUNCTION("""COMPUTED_VALUE"""),44424.66666666667)</f>
        <v>44424.66667</v>
      </c>
      <c r="D834" s="23">
        <f>IFERROR(__xludf.DUMMYFUNCTION("""COMPUTED_VALUE"""),128.25)</f>
        <v>128.25</v>
      </c>
      <c r="E834" s="22">
        <f>IFERROR(__xludf.DUMMYFUNCTION("""COMPUTED_VALUE"""),43349.66666666667)</f>
        <v>43349.66667</v>
      </c>
      <c r="F834" s="23">
        <f>IFERROR(__xludf.DUMMYFUNCTION("""COMPUTED_VALUE"""),18.16)</f>
        <v>18.16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>
      <c r="A835" s="22">
        <f>IFERROR(__xludf.DUMMYFUNCTION("""COMPUTED_VALUE"""),43168.66666666667)</f>
        <v>43168.66667</v>
      </c>
      <c r="B835" s="23">
        <f>IFERROR(__xludf.DUMMYFUNCTION("""COMPUTED_VALUE"""),66.71)</f>
        <v>66.71</v>
      </c>
      <c r="C835" s="22">
        <f>IFERROR(__xludf.DUMMYFUNCTION("""COMPUTED_VALUE"""),44425.66666666667)</f>
        <v>44425.66667</v>
      </c>
      <c r="D835" s="23">
        <f>IFERROR(__xludf.DUMMYFUNCTION("""COMPUTED_VALUE"""),127.15)</f>
        <v>127.15</v>
      </c>
      <c r="E835" s="22">
        <f>IFERROR(__xludf.DUMMYFUNCTION("""COMPUTED_VALUE"""),43350.66666666667)</f>
        <v>43350.66667</v>
      </c>
      <c r="F835" s="23">
        <f>IFERROR(__xludf.DUMMYFUNCTION("""COMPUTED_VALUE"""),18.02)</f>
        <v>18.02</v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>
      <c r="A836" s="22">
        <f>IFERROR(__xludf.DUMMYFUNCTION("""COMPUTED_VALUE"""),43171.66666666667)</f>
        <v>43171.66667</v>
      </c>
      <c r="B836" s="23">
        <f>IFERROR(__xludf.DUMMYFUNCTION("""COMPUTED_VALUE"""),67.15)</f>
        <v>67.15</v>
      </c>
      <c r="C836" s="22">
        <f>IFERROR(__xludf.DUMMYFUNCTION("""COMPUTED_VALUE"""),44426.66666666667)</f>
        <v>44426.66667</v>
      </c>
      <c r="D836" s="23">
        <f>IFERROR(__xludf.DUMMYFUNCTION("""COMPUTED_VALUE"""),127.11)</f>
        <v>127.11</v>
      </c>
      <c r="E836" s="22">
        <f>IFERROR(__xludf.DUMMYFUNCTION("""COMPUTED_VALUE"""),43353.66666666667)</f>
        <v>43353.66667</v>
      </c>
      <c r="F836" s="23">
        <f>IFERROR(__xludf.DUMMYFUNCTION("""COMPUTED_VALUE"""),18.15)</f>
        <v>18.15</v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>
      <c r="A837" s="22">
        <f>IFERROR(__xludf.DUMMYFUNCTION("""COMPUTED_VALUE"""),43172.66666666667)</f>
        <v>43172.66667</v>
      </c>
      <c r="B837" s="23">
        <f>IFERROR(__xludf.DUMMYFUNCTION("""COMPUTED_VALUE"""),66.97)</f>
        <v>66.97</v>
      </c>
      <c r="C837" s="22">
        <f>IFERROR(__xludf.DUMMYFUNCTION("""COMPUTED_VALUE"""),44427.66666666667)</f>
        <v>44427.66667</v>
      </c>
      <c r="D837" s="23">
        <f>IFERROR(__xludf.DUMMYFUNCTION("""COMPUTED_VALUE"""),126.49)</f>
        <v>126.49</v>
      </c>
      <c r="E837" s="22">
        <f>IFERROR(__xludf.DUMMYFUNCTION("""COMPUTED_VALUE"""),43354.66666666667)</f>
        <v>43354.66667</v>
      </c>
      <c r="F837" s="23">
        <f>IFERROR(__xludf.DUMMYFUNCTION("""COMPUTED_VALUE"""),18.17)</f>
        <v>18.17</v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>
      <c r="A838" s="22">
        <f>IFERROR(__xludf.DUMMYFUNCTION("""COMPUTED_VALUE"""),43173.66666666667)</f>
        <v>43173.66667</v>
      </c>
      <c r="B838" s="23">
        <f>IFERROR(__xludf.DUMMYFUNCTION("""COMPUTED_VALUE"""),66.51)</f>
        <v>66.51</v>
      </c>
      <c r="C838" s="22">
        <f>IFERROR(__xludf.DUMMYFUNCTION("""COMPUTED_VALUE"""),44428.66666666667)</f>
        <v>44428.66667</v>
      </c>
      <c r="D838" s="23">
        <f>IFERROR(__xludf.DUMMYFUNCTION("""COMPUTED_VALUE"""),126.4)</f>
        <v>126.4</v>
      </c>
      <c r="E838" s="22">
        <f>IFERROR(__xludf.DUMMYFUNCTION("""COMPUTED_VALUE"""),43355.66666666667)</f>
        <v>43355.66667</v>
      </c>
      <c r="F838" s="23">
        <f>IFERROR(__xludf.DUMMYFUNCTION("""COMPUTED_VALUE"""),18.32)</f>
        <v>18.32</v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>
      <c r="A839" s="22">
        <f>IFERROR(__xludf.DUMMYFUNCTION("""COMPUTED_VALUE"""),43174.66666666667)</f>
        <v>43174.66667</v>
      </c>
      <c r="B839" s="23">
        <f>IFERROR(__xludf.DUMMYFUNCTION("""COMPUTED_VALUE"""),66.48)</f>
        <v>66.48</v>
      </c>
      <c r="C839" s="22">
        <f>IFERROR(__xludf.DUMMYFUNCTION("""COMPUTED_VALUE"""),44431.66666666667)</f>
        <v>44431.66667</v>
      </c>
      <c r="D839" s="23">
        <f>IFERROR(__xludf.DUMMYFUNCTION("""COMPUTED_VALUE"""),126.87)</f>
        <v>126.87</v>
      </c>
      <c r="E839" s="22">
        <f>IFERROR(__xludf.DUMMYFUNCTION("""COMPUTED_VALUE"""),43356.66666666667)</f>
        <v>43356.66667</v>
      </c>
      <c r="F839" s="23">
        <f>IFERROR(__xludf.DUMMYFUNCTION("""COMPUTED_VALUE"""),18.03)</f>
        <v>18.03</v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>
      <c r="A840" s="22">
        <f>IFERROR(__xludf.DUMMYFUNCTION("""COMPUTED_VALUE"""),43175.66666666667)</f>
        <v>43175.66667</v>
      </c>
      <c r="B840" s="23">
        <f>IFERROR(__xludf.DUMMYFUNCTION("""COMPUTED_VALUE"""),66.98)</f>
        <v>66.98</v>
      </c>
      <c r="C840" s="22">
        <f>IFERROR(__xludf.DUMMYFUNCTION("""COMPUTED_VALUE"""),44432.66666666667)</f>
        <v>44432.66667</v>
      </c>
      <c r="D840" s="23">
        <f>IFERROR(__xludf.DUMMYFUNCTION("""COMPUTED_VALUE"""),127.2)</f>
        <v>127.2</v>
      </c>
      <c r="E840" s="22">
        <f>IFERROR(__xludf.DUMMYFUNCTION("""COMPUTED_VALUE"""),43357.66666666667)</f>
        <v>43357.66667</v>
      </c>
      <c r="F840" s="23">
        <f>IFERROR(__xludf.DUMMYFUNCTION("""COMPUTED_VALUE"""),18.25)</f>
        <v>18.25</v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>
      <c r="A841" s="22">
        <f>IFERROR(__xludf.DUMMYFUNCTION("""COMPUTED_VALUE"""),43178.66666666667)</f>
        <v>43178.66667</v>
      </c>
      <c r="B841" s="23">
        <f>IFERROR(__xludf.DUMMYFUNCTION("""COMPUTED_VALUE"""),67.67)</f>
        <v>67.67</v>
      </c>
      <c r="C841" s="22">
        <f>IFERROR(__xludf.DUMMYFUNCTION("""COMPUTED_VALUE"""),44433.66666666667)</f>
        <v>44433.66667</v>
      </c>
      <c r="D841" s="23">
        <f>IFERROR(__xludf.DUMMYFUNCTION("""COMPUTED_VALUE"""),127.66)</f>
        <v>127.66</v>
      </c>
      <c r="E841" s="22">
        <f>IFERROR(__xludf.DUMMYFUNCTION("""COMPUTED_VALUE"""),43360.66666666667)</f>
        <v>43360.66667</v>
      </c>
      <c r="F841" s="23">
        <f>IFERROR(__xludf.DUMMYFUNCTION("""COMPUTED_VALUE"""),18.21)</f>
        <v>18.21</v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>
      <c r="A842" s="22">
        <f>IFERROR(__xludf.DUMMYFUNCTION("""COMPUTED_VALUE"""),43179.66666666667)</f>
        <v>43179.66667</v>
      </c>
      <c r="B842" s="23">
        <f>IFERROR(__xludf.DUMMYFUNCTION("""COMPUTED_VALUE"""),67.17)</f>
        <v>67.17</v>
      </c>
      <c r="C842" s="22">
        <f>IFERROR(__xludf.DUMMYFUNCTION("""COMPUTED_VALUE"""),44434.66666666667)</f>
        <v>44434.66667</v>
      </c>
      <c r="D842" s="23">
        <f>IFERROR(__xludf.DUMMYFUNCTION("""COMPUTED_VALUE"""),126.95)</f>
        <v>126.95</v>
      </c>
      <c r="E842" s="22">
        <f>IFERROR(__xludf.DUMMYFUNCTION("""COMPUTED_VALUE"""),43361.66666666667)</f>
        <v>43361.66667</v>
      </c>
      <c r="F842" s="23">
        <f>IFERROR(__xludf.DUMMYFUNCTION("""COMPUTED_VALUE"""),17.84)</f>
        <v>17.84</v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>
      <c r="A843" s="22">
        <f>IFERROR(__xludf.DUMMYFUNCTION("""COMPUTED_VALUE"""),43180.66666666667)</f>
        <v>43180.66667</v>
      </c>
      <c r="B843" s="23">
        <f>IFERROR(__xludf.DUMMYFUNCTION("""COMPUTED_VALUE"""),67.31)</f>
        <v>67.31</v>
      </c>
      <c r="C843" s="22">
        <f>IFERROR(__xludf.DUMMYFUNCTION("""COMPUTED_VALUE"""),44435.66666666667)</f>
        <v>44435.66667</v>
      </c>
      <c r="D843" s="23">
        <f>IFERROR(__xludf.DUMMYFUNCTION("""COMPUTED_VALUE"""),126.92)</f>
        <v>126.92</v>
      </c>
      <c r="E843" s="22">
        <f>IFERROR(__xludf.DUMMYFUNCTION("""COMPUTED_VALUE"""),43362.66666666667)</f>
        <v>43362.66667</v>
      </c>
      <c r="F843" s="23">
        <f>IFERROR(__xludf.DUMMYFUNCTION("""COMPUTED_VALUE"""),17.92)</f>
        <v>17.92</v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>
      <c r="A844" s="22">
        <f>IFERROR(__xludf.DUMMYFUNCTION("""COMPUTED_VALUE"""),43181.66666666667)</f>
        <v>43181.66667</v>
      </c>
      <c r="B844" s="23">
        <f>IFERROR(__xludf.DUMMYFUNCTION("""COMPUTED_VALUE"""),66.88)</f>
        <v>66.88</v>
      </c>
      <c r="C844" s="22">
        <f>IFERROR(__xludf.DUMMYFUNCTION("""COMPUTED_VALUE"""),44438.66666666667)</f>
        <v>44438.66667</v>
      </c>
      <c r="D844" s="23">
        <f>IFERROR(__xludf.DUMMYFUNCTION("""COMPUTED_VALUE"""),127.51)</f>
        <v>127.51</v>
      </c>
      <c r="E844" s="22">
        <f>IFERROR(__xludf.DUMMYFUNCTION("""COMPUTED_VALUE"""),43363.66666666667)</f>
        <v>43363.66667</v>
      </c>
      <c r="F844" s="23">
        <f>IFERROR(__xludf.DUMMYFUNCTION("""COMPUTED_VALUE"""),17.85)</f>
        <v>17.85</v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>
      <c r="A845" s="22">
        <f>IFERROR(__xludf.DUMMYFUNCTION("""COMPUTED_VALUE"""),43182.66666666667)</f>
        <v>43182.66667</v>
      </c>
      <c r="B845" s="23">
        <f>IFERROR(__xludf.DUMMYFUNCTION("""COMPUTED_VALUE"""),65.15)</f>
        <v>65.15</v>
      </c>
      <c r="C845" s="22">
        <f>IFERROR(__xludf.DUMMYFUNCTION("""COMPUTED_VALUE"""),44439.66666666667)</f>
        <v>44439.66667</v>
      </c>
      <c r="D845" s="23">
        <f>IFERROR(__xludf.DUMMYFUNCTION("""COMPUTED_VALUE"""),127.88)</f>
        <v>127.88</v>
      </c>
      <c r="E845" s="22">
        <f>IFERROR(__xludf.DUMMYFUNCTION("""COMPUTED_VALUE"""),43364.66666666667)</f>
        <v>43364.66667</v>
      </c>
      <c r="F845" s="23">
        <f>IFERROR(__xludf.DUMMYFUNCTION("""COMPUTED_VALUE"""),18.04)</f>
        <v>18.04</v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>
      <c r="A846" s="22">
        <f>IFERROR(__xludf.DUMMYFUNCTION("""COMPUTED_VALUE"""),43185.66666666667)</f>
        <v>43185.66667</v>
      </c>
      <c r="B846" s="23">
        <f>IFERROR(__xludf.DUMMYFUNCTION("""COMPUTED_VALUE"""),64.81)</f>
        <v>64.81</v>
      </c>
      <c r="C846" s="22">
        <f>IFERROR(__xludf.DUMMYFUNCTION("""COMPUTED_VALUE"""),44440.66666666667)</f>
        <v>44440.66667</v>
      </c>
      <c r="D846" s="23">
        <f>IFERROR(__xludf.DUMMYFUNCTION("""COMPUTED_VALUE"""),127.77)</f>
        <v>127.77</v>
      </c>
      <c r="E846" s="22">
        <f>IFERROR(__xludf.DUMMYFUNCTION("""COMPUTED_VALUE"""),43367.66666666667)</f>
        <v>43367.66667</v>
      </c>
      <c r="F846" s="23">
        <f>IFERROR(__xludf.DUMMYFUNCTION("""COMPUTED_VALUE"""),17.86)</f>
        <v>17.86</v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>
      <c r="A847" s="22">
        <f>IFERROR(__xludf.DUMMYFUNCTION("""COMPUTED_VALUE"""),43186.66666666667)</f>
        <v>43186.66667</v>
      </c>
      <c r="B847" s="23">
        <f>IFERROR(__xludf.DUMMYFUNCTION("""COMPUTED_VALUE"""),65.93)</f>
        <v>65.93</v>
      </c>
      <c r="C847" s="22">
        <f>IFERROR(__xludf.DUMMYFUNCTION("""COMPUTED_VALUE"""),44441.66666666667)</f>
        <v>44441.66667</v>
      </c>
      <c r="D847" s="23">
        <f>IFERROR(__xludf.DUMMYFUNCTION("""COMPUTED_VALUE"""),127.64)</f>
        <v>127.64</v>
      </c>
      <c r="E847" s="22">
        <f>IFERROR(__xludf.DUMMYFUNCTION("""COMPUTED_VALUE"""),43368.66666666667)</f>
        <v>43368.66667</v>
      </c>
      <c r="F847" s="23">
        <f>IFERROR(__xludf.DUMMYFUNCTION("""COMPUTED_VALUE"""),18.05)</f>
        <v>18.05</v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>
      <c r="A848" s="22">
        <f>IFERROR(__xludf.DUMMYFUNCTION("""COMPUTED_VALUE"""),43187.66666666667)</f>
        <v>43187.66667</v>
      </c>
      <c r="B848" s="23">
        <f>IFERROR(__xludf.DUMMYFUNCTION("""COMPUTED_VALUE"""),65.23)</f>
        <v>65.23</v>
      </c>
      <c r="C848" s="22">
        <f>IFERROR(__xludf.DUMMYFUNCTION("""COMPUTED_VALUE"""),44442.66666666667)</f>
        <v>44442.66667</v>
      </c>
      <c r="D848" s="23">
        <f>IFERROR(__xludf.DUMMYFUNCTION("""COMPUTED_VALUE"""),128.3)</f>
        <v>128.3</v>
      </c>
      <c r="E848" s="22">
        <f>IFERROR(__xludf.DUMMYFUNCTION("""COMPUTED_VALUE"""),43369.66666666667)</f>
        <v>43369.66667</v>
      </c>
      <c r="F848" s="23">
        <f>IFERROR(__xludf.DUMMYFUNCTION("""COMPUTED_VALUE"""),18.11)</f>
        <v>18.11</v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>
      <c r="A849" s="22">
        <f>IFERROR(__xludf.DUMMYFUNCTION("""COMPUTED_VALUE"""),43188.66666666667)</f>
        <v>43188.66667</v>
      </c>
      <c r="B849" s="23">
        <f>IFERROR(__xludf.DUMMYFUNCTION("""COMPUTED_VALUE"""),65.4)</f>
        <v>65.4</v>
      </c>
      <c r="C849" s="22">
        <f>IFERROR(__xludf.DUMMYFUNCTION("""COMPUTED_VALUE"""),44445.66666666667)</f>
        <v>44445.66667</v>
      </c>
      <c r="D849" s="23">
        <f>IFERROR(__xludf.DUMMYFUNCTION("""COMPUTED_VALUE"""),128.64)</f>
        <v>128.64</v>
      </c>
      <c r="E849" s="22">
        <f>IFERROR(__xludf.DUMMYFUNCTION("""COMPUTED_VALUE"""),43370.66666666667)</f>
        <v>43370.66667</v>
      </c>
      <c r="F849" s="23">
        <f>IFERROR(__xludf.DUMMYFUNCTION("""COMPUTED_VALUE"""),18.14)</f>
        <v>18.14</v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>
      <c r="A850" s="22">
        <f>IFERROR(__xludf.DUMMYFUNCTION("""COMPUTED_VALUE"""),43193.66666666667)</f>
        <v>43193.66667</v>
      </c>
      <c r="B850" s="23">
        <f>IFERROR(__xludf.DUMMYFUNCTION("""COMPUTED_VALUE"""),64.63)</f>
        <v>64.63</v>
      </c>
      <c r="C850" s="22">
        <f>IFERROR(__xludf.DUMMYFUNCTION("""COMPUTED_VALUE"""),44446.66666666667)</f>
        <v>44446.66667</v>
      </c>
      <c r="D850" s="23">
        <f>IFERROR(__xludf.DUMMYFUNCTION("""COMPUTED_VALUE"""),128.7)</f>
        <v>128.7</v>
      </c>
      <c r="E850" s="22">
        <f>IFERROR(__xludf.DUMMYFUNCTION("""COMPUTED_VALUE"""),43371.66666666667)</f>
        <v>43371.66667</v>
      </c>
      <c r="F850" s="23">
        <f>IFERROR(__xludf.DUMMYFUNCTION("""COMPUTED_VALUE"""),18.32)</f>
        <v>18.32</v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>
      <c r="A851" s="22">
        <f>IFERROR(__xludf.DUMMYFUNCTION("""COMPUTED_VALUE"""),43194.66666666667)</f>
        <v>43194.66667</v>
      </c>
      <c r="B851" s="23">
        <f>IFERROR(__xludf.DUMMYFUNCTION("""COMPUTED_VALUE"""),64.96)</f>
        <v>64.96</v>
      </c>
      <c r="C851" s="22">
        <f>IFERROR(__xludf.DUMMYFUNCTION("""COMPUTED_VALUE"""),44447.66666666667)</f>
        <v>44447.66667</v>
      </c>
      <c r="D851" s="23">
        <f>IFERROR(__xludf.DUMMYFUNCTION("""COMPUTED_VALUE"""),128.49)</f>
        <v>128.49</v>
      </c>
      <c r="E851" s="22">
        <f>IFERROR(__xludf.DUMMYFUNCTION("""COMPUTED_VALUE"""),43374.66666666667)</f>
        <v>43374.66667</v>
      </c>
      <c r="F851" s="23">
        <f>IFERROR(__xludf.DUMMYFUNCTION("""COMPUTED_VALUE"""),18.46)</f>
        <v>18.46</v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>
      <c r="A852" s="22">
        <f>IFERROR(__xludf.DUMMYFUNCTION("""COMPUTED_VALUE"""),43195.66666666667)</f>
        <v>43195.66667</v>
      </c>
      <c r="B852" s="23">
        <f>IFERROR(__xludf.DUMMYFUNCTION("""COMPUTED_VALUE"""),65.96)</f>
        <v>65.96</v>
      </c>
      <c r="C852" s="22">
        <f>IFERROR(__xludf.DUMMYFUNCTION("""COMPUTED_VALUE"""),44448.66666666667)</f>
        <v>44448.66667</v>
      </c>
      <c r="D852" s="23">
        <f>IFERROR(__xludf.DUMMYFUNCTION("""COMPUTED_VALUE"""),126.06)</f>
        <v>126.06</v>
      </c>
      <c r="E852" s="22">
        <f>IFERROR(__xludf.DUMMYFUNCTION("""COMPUTED_VALUE"""),43375.66666666667)</f>
        <v>43375.66667</v>
      </c>
      <c r="F852" s="23">
        <f>IFERROR(__xludf.DUMMYFUNCTION("""COMPUTED_VALUE"""),18.38)</f>
        <v>18.38</v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>
      <c r="A853" s="22">
        <f>IFERROR(__xludf.DUMMYFUNCTION("""COMPUTED_VALUE"""),43196.66666666667)</f>
        <v>43196.66667</v>
      </c>
      <c r="B853" s="23">
        <f>IFERROR(__xludf.DUMMYFUNCTION("""COMPUTED_VALUE"""),65.64)</f>
        <v>65.64</v>
      </c>
      <c r="C853" s="22">
        <f>IFERROR(__xludf.DUMMYFUNCTION("""COMPUTED_VALUE"""),44449.66666666667)</f>
        <v>44449.66667</v>
      </c>
      <c r="D853" s="23">
        <f>IFERROR(__xludf.DUMMYFUNCTION("""COMPUTED_VALUE"""),126.58)</f>
        <v>126.58</v>
      </c>
      <c r="E853" s="22">
        <f>IFERROR(__xludf.DUMMYFUNCTION("""COMPUTED_VALUE"""),43376.66666666667)</f>
        <v>43376.66667</v>
      </c>
      <c r="F853" s="23">
        <f>IFERROR(__xludf.DUMMYFUNCTION("""COMPUTED_VALUE"""),18.42)</f>
        <v>18.42</v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>
      <c r="A854" s="22">
        <f>IFERROR(__xludf.DUMMYFUNCTION("""COMPUTED_VALUE"""),43199.66666666667)</f>
        <v>43199.66667</v>
      </c>
      <c r="B854" s="23">
        <f>IFERROR(__xludf.DUMMYFUNCTION("""COMPUTED_VALUE"""),65.56)</f>
        <v>65.56</v>
      </c>
      <c r="C854" s="22">
        <f>IFERROR(__xludf.DUMMYFUNCTION("""COMPUTED_VALUE"""),44452.66666666667)</f>
        <v>44452.66667</v>
      </c>
      <c r="D854" s="23">
        <f>IFERROR(__xludf.DUMMYFUNCTION("""COMPUTED_VALUE"""),127.06)</f>
        <v>127.06</v>
      </c>
      <c r="E854" s="22">
        <f>IFERROR(__xludf.DUMMYFUNCTION("""COMPUTED_VALUE"""),43377.66666666667)</f>
        <v>43377.66667</v>
      </c>
      <c r="F854" s="23">
        <f>IFERROR(__xludf.DUMMYFUNCTION("""COMPUTED_VALUE"""),18.57)</f>
        <v>18.57</v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>
      <c r="A855" s="22">
        <f>IFERROR(__xludf.DUMMYFUNCTION("""COMPUTED_VALUE"""),43200.66666666667)</f>
        <v>43200.66667</v>
      </c>
      <c r="B855" s="23">
        <f>IFERROR(__xludf.DUMMYFUNCTION("""COMPUTED_VALUE"""),65.93)</f>
        <v>65.93</v>
      </c>
      <c r="C855" s="22">
        <f>IFERROR(__xludf.DUMMYFUNCTION("""COMPUTED_VALUE"""),44453.66666666667)</f>
        <v>44453.66667</v>
      </c>
      <c r="D855" s="23">
        <f>IFERROR(__xludf.DUMMYFUNCTION("""COMPUTED_VALUE"""),127.24)</f>
        <v>127.24</v>
      </c>
      <c r="E855" s="22">
        <f>IFERROR(__xludf.DUMMYFUNCTION("""COMPUTED_VALUE"""),43378.66666666667)</f>
        <v>43378.66667</v>
      </c>
      <c r="F855" s="23">
        <f>IFERROR(__xludf.DUMMYFUNCTION("""COMPUTED_VALUE"""),18.38)</f>
        <v>18.38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>
      <c r="A856" s="22">
        <f>IFERROR(__xludf.DUMMYFUNCTION("""COMPUTED_VALUE"""),43201.66666666667)</f>
        <v>43201.66667</v>
      </c>
      <c r="B856" s="23">
        <f>IFERROR(__xludf.DUMMYFUNCTION("""COMPUTED_VALUE"""),65.65)</f>
        <v>65.65</v>
      </c>
      <c r="C856" s="22">
        <f>IFERROR(__xludf.DUMMYFUNCTION("""COMPUTED_VALUE"""),44454.66666666667)</f>
        <v>44454.66667</v>
      </c>
      <c r="D856" s="23">
        <f>IFERROR(__xludf.DUMMYFUNCTION("""COMPUTED_VALUE"""),126.91)</f>
        <v>126.91</v>
      </c>
      <c r="E856" s="22">
        <f>IFERROR(__xludf.DUMMYFUNCTION("""COMPUTED_VALUE"""),43381.66666666667)</f>
        <v>43381.66667</v>
      </c>
      <c r="F856" s="23">
        <f>IFERROR(__xludf.DUMMYFUNCTION("""COMPUTED_VALUE"""),18.18)</f>
        <v>18.18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>
      <c r="A857" s="22">
        <f>IFERROR(__xludf.DUMMYFUNCTION("""COMPUTED_VALUE"""),43202.66666666667)</f>
        <v>43202.66667</v>
      </c>
      <c r="B857" s="23">
        <f>IFERROR(__xludf.DUMMYFUNCTION("""COMPUTED_VALUE"""),65.62)</f>
        <v>65.62</v>
      </c>
      <c r="C857" s="22">
        <f>IFERROR(__xludf.DUMMYFUNCTION("""COMPUTED_VALUE"""),44455.66666666667)</f>
        <v>44455.66667</v>
      </c>
      <c r="D857" s="23">
        <f>IFERROR(__xludf.DUMMYFUNCTION("""COMPUTED_VALUE"""),127.6)</f>
        <v>127.6</v>
      </c>
      <c r="E857" s="22">
        <f>IFERROR(__xludf.DUMMYFUNCTION("""COMPUTED_VALUE"""),43382.66666666667)</f>
        <v>43382.66667</v>
      </c>
      <c r="F857" s="23">
        <f>IFERROR(__xludf.DUMMYFUNCTION("""COMPUTED_VALUE"""),18.01)</f>
        <v>18.01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>
      <c r="A858" s="22">
        <f>IFERROR(__xludf.DUMMYFUNCTION("""COMPUTED_VALUE"""),43203.66666666667)</f>
        <v>43203.66667</v>
      </c>
      <c r="B858" s="23">
        <f>IFERROR(__xludf.DUMMYFUNCTION("""COMPUTED_VALUE"""),65.7)</f>
        <v>65.7</v>
      </c>
      <c r="C858" s="22">
        <f>IFERROR(__xludf.DUMMYFUNCTION("""COMPUTED_VALUE"""),44456.66666666667)</f>
        <v>44456.66667</v>
      </c>
      <c r="D858" s="23">
        <f>IFERROR(__xludf.DUMMYFUNCTION("""COMPUTED_VALUE"""),126.56)</f>
        <v>126.56</v>
      </c>
      <c r="E858" s="22">
        <f>IFERROR(__xludf.DUMMYFUNCTION("""COMPUTED_VALUE"""),43383.66666666667)</f>
        <v>43383.66667</v>
      </c>
      <c r="F858" s="23">
        <f>IFERROR(__xludf.DUMMYFUNCTION("""COMPUTED_VALUE"""),17.95)</f>
        <v>17.95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>
      <c r="A859" s="22">
        <f>IFERROR(__xludf.DUMMYFUNCTION("""COMPUTED_VALUE"""),43206.66666666667)</f>
        <v>43206.66667</v>
      </c>
      <c r="B859" s="23">
        <f>IFERROR(__xludf.DUMMYFUNCTION("""COMPUTED_VALUE"""),66.18)</f>
        <v>66.18</v>
      </c>
      <c r="C859" s="22">
        <f>IFERROR(__xludf.DUMMYFUNCTION("""COMPUTED_VALUE"""),44459.66666666667)</f>
        <v>44459.66667</v>
      </c>
      <c r="D859" s="23">
        <f>IFERROR(__xludf.DUMMYFUNCTION("""COMPUTED_VALUE"""),124.95)</f>
        <v>124.95</v>
      </c>
      <c r="E859" s="22">
        <f>IFERROR(__xludf.DUMMYFUNCTION("""COMPUTED_VALUE"""),43384.66666666667)</f>
        <v>43384.66667</v>
      </c>
      <c r="F859" s="23">
        <f>IFERROR(__xludf.DUMMYFUNCTION("""COMPUTED_VALUE"""),17.0)</f>
        <v>17</v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>
      <c r="A860" s="22">
        <f>IFERROR(__xludf.DUMMYFUNCTION("""COMPUTED_VALUE"""),43207.66666666667)</f>
        <v>43207.66667</v>
      </c>
      <c r="B860" s="23">
        <f>IFERROR(__xludf.DUMMYFUNCTION("""COMPUTED_VALUE"""),66.44)</f>
        <v>66.44</v>
      </c>
      <c r="C860" s="22">
        <f>IFERROR(__xludf.DUMMYFUNCTION("""COMPUTED_VALUE"""),44460.66666666667)</f>
        <v>44460.66667</v>
      </c>
      <c r="D860" s="23">
        <f>IFERROR(__xludf.DUMMYFUNCTION("""COMPUTED_VALUE"""),124.4)</f>
        <v>124.4</v>
      </c>
      <c r="E860" s="22">
        <f>IFERROR(__xludf.DUMMYFUNCTION("""COMPUTED_VALUE"""),43385.66666666667)</f>
        <v>43385.66667</v>
      </c>
      <c r="F860" s="23">
        <f>IFERROR(__xludf.DUMMYFUNCTION("""COMPUTED_VALUE"""),17.26)</f>
        <v>17.26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>
      <c r="A861" s="22">
        <f>IFERROR(__xludf.DUMMYFUNCTION("""COMPUTED_VALUE"""),43208.66666666667)</f>
        <v>43208.66667</v>
      </c>
      <c r="B861" s="23">
        <f>IFERROR(__xludf.DUMMYFUNCTION("""COMPUTED_VALUE"""),66.92)</f>
        <v>66.92</v>
      </c>
      <c r="C861" s="22">
        <f>IFERROR(__xludf.DUMMYFUNCTION("""COMPUTED_VALUE"""),44461.66666666667)</f>
        <v>44461.66667</v>
      </c>
      <c r="D861" s="23">
        <f>IFERROR(__xludf.DUMMYFUNCTION("""COMPUTED_VALUE"""),124.87)</f>
        <v>124.87</v>
      </c>
      <c r="E861" s="22">
        <f>IFERROR(__xludf.DUMMYFUNCTION("""COMPUTED_VALUE"""),43388.66666666667)</f>
        <v>43388.66667</v>
      </c>
      <c r="F861" s="23">
        <f>IFERROR(__xludf.DUMMYFUNCTION("""COMPUTED_VALUE"""),17.35)</f>
        <v>17.35</v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>
      <c r="A862" s="22">
        <f>IFERROR(__xludf.DUMMYFUNCTION("""COMPUTED_VALUE"""),43209.66666666667)</f>
        <v>43209.66667</v>
      </c>
      <c r="B862" s="23">
        <f>IFERROR(__xludf.DUMMYFUNCTION("""COMPUTED_VALUE"""),66.67)</f>
        <v>66.67</v>
      </c>
      <c r="C862" s="22">
        <f>IFERROR(__xludf.DUMMYFUNCTION("""COMPUTED_VALUE"""),44462.66666666667)</f>
        <v>44462.66667</v>
      </c>
      <c r="D862" s="23">
        <f>IFERROR(__xludf.DUMMYFUNCTION("""COMPUTED_VALUE"""),126.18)</f>
        <v>126.18</v>
      </c>
      <c r="E862" s="22">
        <f>IFERROR(__xludf.DUMMYFUNCTION("""COMPUTED_VALUE"""),43389.66666666667)</f>
        <v>43389.66667</v>
      </c>
      <c r="F862" s="23">
        <f>IFERROR(__xludf.DUMMYFUNCTION("""COMPUTED_VALUE"""),17.24)</f>
        <v>17.24</v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>
      <c r="A863" s="22">
        <f>IFERROR(__xludf.DUMMYFUNCTION("""COMPUTED_VALUE"""),43210.66666666667)</f>
        <v>43210.66667</v>
      </c>
      <c r="B863" s="23">
        <f>IFERROR(__xludf.DUMMYFUNCTION("""COMPUTED_VALUE"""),67.05)</f>
        <v>67.05</v>
      </c>
      <c r="C863" s="22">
        <f>IFERROR(__xludf.DUMMYFUNCTION("""COMPUTED_VALUE"""),44463.66666666667)</f>
        <v>44463.66667</v>
      </c>
      <c r="D863" s="23">
        <f>IFERROR(__xludf.DUMMYFUNCTION("""COMPUTED_VALUE"""),125.57)</f>
        <v>125.57</v>
      </c>
      <c r="E863" s="22">
        <f>IFERROR(__xludf.DUMMYFUNCTION("""COMPUTED_VALUE"""),43390.66666666667)</f>
        <v>43390.66667</v>
      </c>
      <c r="F863" s="23">
        <f>IFERROR(__xludf.DUMMYFUNCTION("""COMPUTED_VALUE"""),17.77)</f>
        <v>17.77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>
      <c r="A864" s="22">
        <f>IFERROR(__xludf.DUMMYFUNCTION("""COMPUTED_VALUE"""),43213.66666666667)</f>
        <v>43213.66667</v>
      </c>
      <c r="B864" s="23">
        <f>IFERROR(__xludf.DUMMYFUNCTION("""COMPUTED_VALUE"""),67.13)</f>
        <v>67.13</v>
      </c>
      <c r="C864" s="22">
        <f>IFERROR(__xludf.DUMMYFUNCTION("""COMPUTED_VALUE"""),44466.66666666667)</f>
        <v>44466.66667</v>
      </c>
      <c r="D864" s="23">
        <f>IFERROR(__xludf.DUMMYFUNCTION("""COMPUTED_VALUE"""),126.44)</f>
        <v>126.44</v>
      </c>
      <c r="E864" s="22">
        <f>IFERROR(__xludf.DUMMYFUNCTION("""COMPUTED_VALUE"""),43391.66666666667)</f>
        <v>43391.66667</v>
      </c>
      <c r="F864" s="23">
        <f>IFERROR(__xludf.DUMMYFUNCTION("""COMPUTED_VALUE"""),17.67)</f>
        <v>17.67</v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>
      <c r="A865" s="22">
        <f>IFERROR(__xludf.DUMMYFUNCTION("""COMPUTED_VALUE"""),43214.66666666667)</f>
        <v>43214.66667</v>
      </c>
      <c r="B865" s="23">
        <f>IFERROR(__xludf.DUMMYFUNCTION("""COMPUTED_VALUE"""),67.6)</f>
        <v>67.6</v>
      </c>
      <c r="C865" s="22">
        <f>IFERROR(__xludf.DUMMYFUNCTION("""COMPUTED_VALUE"""),44467.66666666667)</f>
        <v>44467.66667</v>
      </c>
      <c r="D865" s="23">
        <f>IFERROR(__xludf.DUMMYFUNCTION("""COMPUTED_VALUE"""),124.64)</f>
        <v>124.64</v>
      </c>
      <c r="E865" s="22">
        <f>IFERROR(__xludf.DUMMYFUNCTION("""COMPUTED_VALUE"""),43392.66666666667)</f>
        <v>43392.66667</v>
      </c>
      <c r="F865" s="23">
        <f>IFERROR(__xludf.DUMMYFUNCTION("""COMPUTED_VALUE"""),17.45)</f>
        <v>17.45</v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>
      <c r="A866" s="22">
        <f>IFERROR(__xludf.DUMMYFUNCTION("""COMPUTED_VALUE"""),43216.66666666667)</f>
        <v>43216.66667</v>
      </c>
      <c r="B866" s="23">
        <f>IFERROR(__xludf.DUMMYFUNCTION("""COMPUTED_VALUE"""),67.26)</f>
        <v>67.26</v>
      </c>
      <c r="C866" s="22">
        <f>IFERROR(__xludf.DUMMYFUNCTION("""COMPUTED_VALUE"""),44468.66666666667)</f>
        <v>44468.66667</v>
      </c>
      <c r="D866" s="23">
        <f>IFERROR(__xludf.DUMMYFUNCTION("""COMPUTED_VALUE"""),123.29)</f>
        <v>123.29</v>
      </c>
      <c r="E866" s="22">
        <f>IFERROR(__xludf.DUMMYFUNCTION("""COMPUTED_VALUE"""),43395.66666666667)</f>
        <v>43395.66667</v>
      </c>
      <c r="F866" s="23">
        <f>IFERROR(__xludf.DUMMYFUNCTION("""COMPUTED_VALUE"""),17.34)</f>
        <v>17.34</v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>
      <c r="A867" s="22">
        <f>IFERROR(__xludf.DUMMYFUNCTION("""COMPUTED_VALUE"""),43217.66666666667)</f>
        <v>43217.66667</v>
      </c>
      <c r="B867" s="23">
        <f>IFERROR(__xludf.DUMMYFUNCTION("""COMPUTED_VALUE"""),67.99)</f>
        <v>67.99</v>
      </c>
      <c r="C867" s="22">
        <f>IFERROR(__xludf.DUMMYFUNCTION("""COMPUTED_VALUE"""),44469.66666666667)</f>
        <v>44469.66667</v>
      </c>
      <c r="D867" s="23">
        <f>IFERROR(__xludf.DUMMYFUNCTION("""COMPUTED_VALUE"""),125.02)</f>
        <v>125.02</v>
      </c>
      <c r="E867" s="22">
        <f>IFERROR(__xludf.DUMMYFUNCTION("""COMPUTED_VALUE"""),43396.66666666667)</f>
        <v>43396.66667</v>
      </c>
      <c r="F867" s="23">
        <f>IFERROR(__xludf.DUMMYFUNCTION("""COMPUTED_VALUE"""),17.37)</f>
        <v>17.37</v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>
      <c r="A868" s="22">
        <f>IFERROR(__xludf.DUMMYFUNCTION("""COMPUTED_VALUE"""),43220.66666666667)</f>
        <v>43220.66667</v>
      </c>
      <c r="B868" s="23">
        <f>IFERROR(__xludf.DUMMYFUNCTION("""COMPUTED_VALUE"""),68.06)</f>
        <v>68.06</v>
      </c>
      <c r="C868" s="22">
        <f>IFERROR(__xludf.DUMMYFUNCTION("""COMPUTED_VALUE"""),44470.66666666667)</f>
        <v>44470.66667</v>
      </c>
      <c r="D868" s="23">
        <f>IFERROR(__xludf.DUMMYFUNCTION("""COMPUTED_VALUE"""),121.4)</f>
        <v>121.4</v>
      </c>
      <c r="E868" s="22">
        <f>IFERROR(__xludf.DUMMYFUNCTION("""COMPUTED_VALUE"""),43397.66666666667)</f>
        <v>43397.66667</v>
      </c>
      <c r="F868" s="23">
        <f>IFERROR(__xludf.DUMMYFUNCTION("""COMPUTED_VALUE"""),17.38)</f>
        <v>17.38</v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>
      <c r="A869" s="22">
        <f>IFERROR(__xludf.DUMMYFUNCTION("""COMPUTED_VALUE"""),43221.66666666667)</f>
        <v>43221.66667</v>
      </c>
      <c r="B869" s="23">
        <f>IFERROR(__xludf.DUMMYFUNCTION("""COMPUTED_VALUE"""),67.79)</f>
        <v>67.79</v>
      </c>
      <c r="C869" s="22">
        <f>IFERROR(__xludf.DUMMYFUNCTION("""COMPUTED_VALUE"""),44473.66666666667)</f>
        <v>44473.66667</v>
      </c>
      <c r="D869" s="23">
        <f>IFERROR(__xludf.DUMMYFUNCTION("""COMPUTED_VALUE"""),122.8)</f>
        <v>122.8</v>
      </c>
      <c r="E869" s="22">
        <f>IFERROR(__xludf.DUMMYFUNCTION("""COMPUTED_VALUE"""),43398.66666666667)</f>
        <v>43398.66667</v>
      </c>
      <c r="F869" s="23">
        <f>IFERROR(__xludf.DUMMYFUNCTION("""COMPUTED_VALUE"""),16.73)</f>
        <v>16.73</v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>
      <c r="A870" s="22">
        <f>IFERROR(__xludf.DUMMYFUNCTION("""COMPUTED_VALUE"""),43222.66666666667)</f>
        <v>43222.66667</v>
      </c>
      <c r="B870" s="23">
        <f>IFERROR(__xludf.DUMMYFUNCTION("""COMPUTED_VALUE"""),68.0)</f>
        <v>68</v>
      </c>
      <c r="C870" s="22">
        <f>IFERROR(__xludf.DUMMYFUNCTION("""COMPUTED_VALUE"""),44474.66666666667)</f>
        <v>44474.66667</v>
      </c>
      <c r="D870" s="23">
        <f>IFERROR(__xludf.DUMMYFUNCTION("""COMPUTED_VALUE"""),122.28)</f>
        <v>122.28</v>
      </c>
      <c r="E870" s="22">
        <f>IFERROR(__xludf.DUMMYFUNCTION("""COMPUTED_VALUE"""),43399.66666666667)</f>
        <v>43399.66667</v>
      </c>
      <c r="F870" s="23">
        <f>IFERROR(__xludf.DUMMYFUNCTION("""COMPUTED_VALUE"""),16.8)</f>
        <v>16.8</v>
      </c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>
      <c r="A871" s="22">
        <f>IFERROR(__xludf.DUMMYFUNCTION("""COMPUTED_VALUE"""),43223.66666666667)</f>
        <v>43223.66667</v>
      </c>
      <c r="B871" s="23">
        <f>IFERROR(__xludf.DUMMYFUNCTION("""COMPUTED_VALUE"""),67.4)</f>
        <v>67.4</v>
      </c>
      <c r="C871" s="22">
        <f>IFERROR(__xludf.DUMMYFUNCTION("""COMPUTED_VALUE"""),44475.66666666667)</f>
        <v>44475.66667</v>
      </c>
      <c r="D871" s="23">
        <f>IFERROR(__xludf.DUMMYFUNCTION("""COMPUTED_VALUE"""),121.73)</f>
        <v>121.73</v>
      </c>
      <c r="E871" s="22">
        <f>IFERROR(__xludf.DUMMYFUNCTION("""COMPUTED_VALUE"""),43402.66666666667)</f>
        <v>43402.66667</v>
      </c>
      <c r="F871" s="23">
        <f>IFERROR(__xludf.DUMMYFUNCTION("""COMPUTED_VALUE"""),16.84)</f>
        <v>16.84</v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>
      <c r="A872" s="22">
        <f>IFERROR(__xludf.DUMMYFUNCTION("""COMPUTED_VALUE"""),43224.66666666667)</f>
        <v>43224.66667</v>
      </c>
      <c r="B872" s="23">
        <f>IFERROR(__xludf.DUMMYFUNCTION("""COMPUTED_VALUE"""),67.35)</f>
        <v>67.35</v>
      </c>
      <c r="C872" s="22">
        <f>IFERROR(__xludf.DUMMYFUNCTION("""COMPUTED_VALUE"""),44476.66666666667)</f>
        <v>44476.66667</v>
      </c>
      <c r="D872" s="23">
        <f>IFERROR(__xludf.DUMMYFUNCTION("""COMPUTED_VALUE"""),122.6)</f>
        <v>122.6</v>
      </c>
      <c r="E872" s="22">
        <f>IFERROR(__xludf.DUMMYFUNCTION("""COMPUTED_VALUE"""),43403.66666666667)</f>
        <v>43403.66667</v>
      </c>
      <c r="F872" s="23">
        <f>IFERROR(__xludf.DUMMYFUNCTION("""COMPUTED_VALUE"""),16.56)</f>
        <v>16.56</v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>
      <c r="A873" s="22">
        <f>IFERROR(__xludf.DUMMYFUNCTION("""COMPUTED_VALUE"""),43227.66666666667)</f>
        <v>43227.66667</v>
      </c>
      <c r="B873" s="23">
        <f>IFERROR(__xludf.DUMMYFUNCTION("""COMPUTED_VALUE"""),68.26)</f>
        <v>68.26</v>
      </c>
      <c r="C873" s="22">
        <f>IFERROR(__xludf.DUMMYFUNCTION("""COMPUTED_VALUE"""),44477.66666666667)</f>
        <v>44477.66667</v>
      </c>
      <c r="D873" s="23">
        <f>IFERROR(__xludf.DUMMYFUNCTION("""COMPUTED_VALUE"""),123.46)</f>
        <v>123.46</v>
      </c>
      <c r="E873" s="22">
        <f>IFERROR(__xludf.DUMMYFUNCTION("""COMPUTED_VALUE"""),43404.66666666667)</f>
        <v>43404.66667</v>
      </c>
      <c r="F873" s="23">
        <f>IFERROR(__xludf.DUMMYFUNCTION("""COMPUTED_VALUE"""),16.74)</f>
        <v>16.74</v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>
      <c r="A874" s="22">
        <f>IFERROR(__xludf.DUMMYFUNCTION("""COMPUTED_VALUE"""),43228.66666666667)</f>
        <v>43228.66667</v>
      </c>
      <c r="B874" s="23">
        <f>IFERROR(__xludf.DUMMYFUNCTION("""COMPUTED_VALUE"""),68.37)</f>
        <v>68.37</v>
      </c>
      <c r="C874" s="22">
        <f>IFERROR(__xludf.DUMMYFUNCTION("""COMPUTED_VALUE"""),44480.66666666667)</f>
        <v>44480.66667</v>
      </c>
      <c r="D874" s="23">
        <f>IFERROR(__xludf.DUMMYFUNCTION("""COMPUTED_VALUE"""),123.4)</f>
        <v>123.4</v>
      </c>
      <c r="E874" s="22">
        <f>IFERROR(__xludf.DUMMYFUNCTION("""COMPUTED_VALUE"""),43405.66666666667)</f>
        <v>43405.66667</v>
      </c>
      <c r="F874" s="23">
        <f>IFERROR(__xludf.DUMMYFUNCTION("""COMPUTED_VALUE"""),16.96)</f>
        <v>16.96</v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>
      <c r="A875" s="22">
        <f>IFERROR(__xludf.DUMMYFUNCTION("""COMPUTED_VALUE"""),43229.66666666667)</f>
        <v>43229.66667</v>
      </c>
      <c r="B875" s="23">
        <f>IFERROR(__xludf.DUMMYFUNCTION("""COMPUTED_VALUE"""),69.03)</f>
        <v>69.03</v>
      </c>
      <c r="C875" s="22">
        <f>IFERROR(__xludf.DUMMYFUNCTION("""COMPUTED_VALUE"""),44481.66666666667)</f>
        <v>44481.66667</v>
      </c>
      <c r="D875" s="23">
        <f>IFERROR(__xludf.DUMMYFUNCTION("""COMPUTED_VALUE"""),122.87)</f>
        <v>122.87</v>
      </c>
      <c r="E875" s="22">
        <f>IFERROR(__xludf.DUMMYFUNCTION("""COMPUTED_VALUE"""),43406.66666666667)</f>
        <v>43406.66667</v>
      </c>
      <c r="F875" s="23">
        <f>IFERROR(__xludf.DUMMYFUNCTION("""COMPUTED_VALUE"""),16.91)</f>
        <v>16.91</v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>
      <c r="A876" s="22">
        <f>IFERROR(__xludf.DUMMYFUNCTION("""COMPUTED_VALUE"""),43230.66666666667)</f>
        <v>43230.66667</v>
      </c>
      <c r="B876" s="23">
        <f>IFERROR(__xludf.DUMMYFUNCTION("""COMPUTED_VALUE"""),69.43)</f>
        <v>69.43</v>
      </c>
      <c r="C876" s="22">
        <f>IFERROR(__xludf.DUMMYFUNCTION("""COMPUTED_VALUE"""),44482.66666666667)</f>
        <v>44482.66667</v>
      </c>
      <c r="D876" s="23">
        <f>IFERROR(__xludf.DUMMYFUNCTION("""COMPUTED_VALUE"""),123.02)</f>
        <v>123.02</v>
      </c>
      <c r="E876" s="22">
        <f>IFERROR(__xludf.DUMMYFUNCTION("""COMPUTED_VALUE"""),43409.66666666667)</f>
        <v>43409.66667</v>
      </c>
      <c r="F876" s="23">
        <f>IFERROR(__xludf.DUMMYFUNCTION("""COMPUTED_VALUE"""),16.77)</f>
        <v>16.77</v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>
      <c r="A877" s="22">
        <f>IFERROR(__xludf.DUMMYFUNCTION("""COMPUTED_VALUE"""),43231.66666666667)</f>
        <v>43231.66667</v>
      </c>
      <c r="B877" s="23">
        <f>IFERROR(__xludf.DUMMYFUNCTION("""COMPUTED_VALUE"""),69.26)</f>
        <v>69.26</v>
      </c>
      <c r="C877" s="22">
        <f>IFERROR(__xludf.DUMMYFUNCTION("""COMPUTED_VALUE"""),44483.66666666667)</f>
        <v>44483.66667</v>
      </c>
      <c r="D877" s="23">
        <f>IFERROR(__xludf.DUMMYFUNCTION("""COMPUTED_VALUE"""),123.65)</f>
        <v>123.65</v>
      </c>
      <c r="E877" s="22">
        <f>IFERROR(__xludf.DUMMYFUNCTION("""COMPUTED_VALUE"""),43410.66666666667)</f>
        <v>43410.66667</v>
      </c>
      <c r="F877" s="23">
        <f>IFERROR(__xludf.DUMMYFUNCTION("""COMPUTED_VALUE"""),16.67)</f>
        <v>16.67</v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>
      <c r="A878" s="22">
        <f>IFERROR(__xludf.DUMMYFUNCTION("""COMPUTED_VALUE"""),43234.66666666667)</f>
        <v>43234.66667</v>
      </c>
      <c r="B878" s="23">
        <f>IFERROR(__xludf.DUMMYFUNCTION("""COMPUTED_VALUE"""),69.57)</f>
        <v>69.57</v>
      </c>
      <c r="C878" s="22">
        <f>IFERROR(__xludf.DUMMYFUNCTION("""COMPUTED_VALUE"""),44484.66666666667)</f>
        <v>44484.66667</v>
      </c>
      <c r="D878" s="23">
        <f>IFERROR(__xludf.DUMMYFUNCTION("""COMPUTED_VALUE"""),124.44)</f>
        <v>124.44</v>
      </c>
      <c r="E878" s="22">
        <f>IFERROR(__xludf.DUMMYFUNCTION("""COMPUTED_VALUE"""),43411.66666666667)</f>
        <v>43411.66667</v>
      </c>
      <c r="F878" s="23">
        <f>IFERROR(__xludf.DUMMYFUNCTION("""COMPUTED_VALUE"""),16.8)</f>
        <v>16.8</v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>
      <c r="A879" s="22">
        <f>IFERROR(__xludf.DUMMYFUNCTION("""COMPUTED_VALUE"""),43235.66666666667)</f>
        <v>43235.66667</v>
      </c>
      <c r="B879" s="23">
        <f>IFERROR(__xludf.DUMMYFUNCTION("""COMPUTED_VALUE"""),69.48)</f>
        <v>69.48</v>
      </c>
      <c r="C879" s="22">
        <f>IFERROR(__xludf.DUMMYFUNCTION("""COMPUTED_VALUE"""),44487.66666666667)</f>
        <v>44487.66667</v>
      </c>
      <c r="D879" s="23">
        <f>IFERROR(__xludf.DUMMYFUNCTION("""COMPUTED_VALUE"""),124.75)</f>
        <v>124.75</v>
      </c>
      <c r="E879" s="22">
        <f>IFERROR(__xludf.DUMMYFUNCTION("""COMPUTED_VALUE"""),43412.66666666667)</f>
        <v>43412.66667</v>
      </c>
      <c r="F879" s="23">
        <f>IFERROR(__xludf.DUMMYFUNCTION("""COMPUTED_VALUE"""),17.14)</f>
        <v>17.14</v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>
      <c r="A880" s="22">
        <f>IFERROR(__xludf.DUMMYFUNCTION("""COMPUTED_VALUE"""),43236.66666666667)</f>
        <v>43236.66667</v>
      </c>
      <c r="B880" s="23">
        <f>IFERROR(__xludf.DUMMYFUNCTION("""COMPUTED_VALUE"""),69.43)</f>
        <v>69.43</v>
      </c>
      <c r="C880" s="22">
        <f>IFERROR(__xludf.DUMMYFUNCTION("""COMPUTED_VALUE"""),44488.66666666667)</f>
        <v>44488.66667</v>
      </c>
      <c r="D880" s="23">
        <f>IFERROR(__xludf.DUMMYFUNCTION("""COMPUTED_VALUE"""),124.62)</f>
        <v>124.62</v>
      </c>
      <c r="E880" s="22">
        <f>IFERROR(__xludf.DUMMYFUNCTION("""COMPUTED_VALUE"""),43413.66666666667)</f>
        <v>43413.66667</v>
      </c>
      <c r="F880" s="23">
        <f>IFERROR(__xludf.DUMMYFUNCTION("""COMPUTED_VALUE"""),17.11)</f>
        <v>17.11</v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>
      <c r="A881" s="22">
        <f>IFERROR(__xludf.DUMMYFUNCTION("""COMPUTED_VALUE"""),43237.66666666667)</f>
        <v>43237.66667</v>
      </c>
      <c r="B881" s="23">
        <f>IFERROR(__xludf.DUMMYFUNCTION("""COMPUTED_VALUE"""),69.1)</f>
        <v>69.1</v>
      </c>
      <c r="C881" s="22">
        <f>IFERROR(__xludf.DUMMYFUNCTION("""COMPUTED_VALUE"""),44489.66666666667)</f>
        <v>44489.66667</v>
      </c>
      <c r="D881" s="23">
        <f>IFERROR(__xludf.DUMMYFUNCTION("""COMPUTED_VALUE"""),125.45)</f>
        <v>125.45</v>
      </c>
      <c r="E881" s="22">
        <f>IFERROR(__xludf.DUMMYFUNCTION("""COMPUTED_VALUE"""),43416.66666666667)</f>
        <v>43416.66667</v>
      </c>
      <c r="F881" s="23">
        <f>IFERROR(__xludf.DUMMYFUNCTION("""COMPUTED_VALUE"""),16.98)</f>
        <v>16.98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>
      <c r="A882" s="22">
        <f>IFERROR(__xludf.DUMMYFUNCTION("""COMPUTED_VALUE"""),43238.66666666667)</f>
        <v>43238.66667</v>
      </c>
      <c r="B882" s="23">
        <f>IFERROR(__xludf.DUMMYFUNCTION("""COMPUTED_VALUE"""),69.48)</f>
        <v>69.48</v>
      </c>
      <c r="C882" s="22">
        <f>IFERROR(__xludf.DUMMYFUNCTION("""COMPUTED_VALUE"""),44490.66666666667)</f>
        <v>44490.66667</v>
      </c>
      <c r="D882" s="23">
        <f>IFERROR(__xludf.DUMMYFUNCTION("""COMPUTED_VALUE"""),125.36)</f>
        <v>125.36</v>
      </c>
      <c r="E882" s="22">
        <f>IFERROR(__xludf.DUMMYFUNCTION("""COMPUTED_VALUE"""),43417.66666666667)</f>
        <v>43417.66667</v>
      </c>
      <c r="F882" s="23">
        <f>IFERROR(__xludf.DUMMYFUNCTION("""COMPUTED_VALUE"""),16.46)</f>
        <v>16.46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>
      <c r="A883" s="22">
        <f>IFERROR(__xludf.DUMMYFUNCTION("""COMPUTED_VALUE"""),43241.66666666667)</f>
        <v>43241.66667</v>
      </c>
      <c r="B883" s="23">
        <f>IFERROR(__xludf.DUMMYFUNCTION("""COMPUTED_VALUE"""),69.44)</f>
        <v>69.44</v>
      </c>
      <c r="C883" s="22">
        <f>IFERROR(__xludf.DUMMYFUNCTION("""COMPUTED_VALUE"""),44491.66666666667)</f>
        <v>44491.66667</v>
      </c>
      <c r="D883" s="23">
        <f>IFERROR(__xludf.DUMMYFUNCTION("""COMPUTED_VALUE"""),125.3)</f>
        <v>125.3</v>
      </c>
      <c r="E883" s="22">
        <f>IFERROR(__xludf.DUMMYFUNCTION("""COMPUTED_VALUE"""),43418.66666666667)</f>
        <v>43418.66667</v>
      </c>
      <c r="F883" s="23">
        <f>IFERROR(__xludf.DUMMYFUNCTION("""COMPUTED_VALUE"""),16.42)</f>
        <v>16.42</v>
      </c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>
      <c r="A884" s="22">
        <f>IFERROR(__xludf.DUMMYFUNCTION("""COMPUTED_VALUE"""),43242.66666666667)</f>
        <v>43242.66667</v>
      </c>
      <c r="B884" s="23">
        <f>IFERROR(__xludf.DUMMYFUNCTION("""COMPUTED_VALUE"""),69.01)</f>
        <v>69.01</v>
      </c>
      <c r="C884" s="22">
        <f>IFERROR(__xludf.DUMMYFUNCTION("""COMPUTED_VALUE"""),44494.66666666667)</f>
        <v>44494.66667</v>
      </c>
      <c r="D884" s="23">
        <f>IFERROR(__xludf.DUMMYFUNCTION("""COMPUTED_VALUE"""),125.75)</f>
        <v>125.75</v>
      </c>
      <c r="E884" s="22">
        <f>IFERROR(__xludf.DUMMYFUNCTION("""COMPUTED_VALUE"""),43419.66666666667)</f>
        <v>43419.66667</v>
      </c>
      <c r="F884" s="23">
        <f>IFERROR(__xludf.DUMMYFUNCTION("""COMPUTED_VALUE"""),16.09)</f>
        <v>16.09</v>
      </c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>
      <c r="A885" s="22">
        <f>IFERROR(__xludf.DUMMYFUNCTION("""COMPUTED_VALUE"""),43243.66666666667)</f>
        <v>43243.66667</v>
      </c>
      <c r="B885" s="23">
        <f>IFERROR(__xludf.DUMMYFUNCTION("""COMPUTED_VALUE"""),69.13)</f>
        <v>69.13</v>
      </c>
      <c r="C885" s="22">
        <f>IFERROR(__xludf.DUMMYFUNCTION("""COMPUTED_VALUE"""),44495.66666666667)</f>
        <v>44495.66667</v>
      </c>
      <c r="D885" s="23">
        <f>IFERROR(__xludf.DUMMYFUNCTION("""COMPUTED_VALUE"""),125.81)</f>
        <v>125.81</v>
      </c>
      <c r="E885" s="22">
        <f>IFERROR(__xludf.DUMMYFUNCTION("""COMPUTED_VALUE"""),43420.66666666667)</f>
        <v>43420.66667</v>
      </c>
      <c r="F885" s="23">
        <f>IFERROR(__xludf.DUMMYFUNCTION("""COMPUTED_VALUE"""),16.37)</f>
        <v>16.37</v>
      </c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>
      <c r="A886" s="22">
        <f>IFERROR(__xludf.DUMMYFUNCTION("""COMPUTED_VALUE"""),43244.66666666667)</f>
        <v>43244.66667</v>
      </c>
      <c r="B886" s="23">
        <f>IFERROR(__xludf.DUMMYFUNCTION("""COMPUTED_VALUE"""),68.76)</f>
        <v>68.76</v>
      </c>
      <c r="C886" s="22">
        <f>IFERROR(__xludf.DUMMYFUNCTION("""COMPUTED_VALUE"""),44496.66666666667)</f>
        <v>44496.66667</v>
      </c>
      <c r="D886" s="23">
        <f>IFERROR(__xludf.DUMMYFUNCTION("""COMPUTED_VALUE"""),125.89)</f>
        <v>125.89</v>
      </c>
      <c r="E886" s="22">
        <f>IFERROR(__xludf.DUMMYFUNCTION("""COMPUTED_VALUE"""),43423.66666666667)</f>
        <v>43423.66667</v>
      </c>
      <c r="F886" s="23">
        <f>IFERROR(__xludf.DUMMYFUNCTION("""COMPUTED_VALUE"""),16.26)</f>
        <v>16.26</v>
      </c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>
      <c r="A887" s="22">
        <f>IFERROR(__xludf.DUMMYFUNCTION("""COMPUTED_VALUE"""),43245.66666666667)</f>
        <v>43245.66667</v>
      </c>
      <c r="B887" s="23">
        <f>IFERROR(__xludf.DUMMYFUNCTION("""COMPUTED_VALUE"""),68.87)</f>
        <v>68.87</v>
      </c>
      <c r="C887" s="22">
        <f>IFERROR(__xludf.DUMMYFUNCTION("""COMPUTED_VALUE"""),44497.66666666667)</f>
        <v>44497.66667</v>
      </c>
      <c r="D887" s="23">
        <f>IFERROR(__xludf.DUMMYFUNCTION("""COMPUTED_VALUE"""),125.58)</f>
        <v>125.58</v>
      </c>
      <c r="E887" s="22">
        <f>IFERROR(__xludf.DUMMYFUNCTION("""COMPUTED_VALUE"""),43424.66666666667)</f>
        <v>43424.66667</v>
      </c>
      <c r="F887" s="23">
        <f>IFERROR(__xludf.DUMMYFUNCTION("""COMPUTED_VALUE"""),15.8)</f>
        <v>15.8</v>
      </c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>
      <c r="A888" s="22">
        <f>IFERROR(__xludf.DUMMYFUNCTION("""COMPUTED_VALUE"""),43248.66666666667)</f>
        <v>43248.66667</v>
      </c>
      <c r="B888" s="23">
        <f>IFERROR(__xludf.DUMMYFUNCTION("""COMPUTED_VALUE"""),68.57)</f>
        <v>68.57</v>
      </c>
      <c r="C888" s="22">
        <f>IFERROR(__xludf.DUMMYFUNCTION("""COMPUTED_VALUE"""),44498.66666666667)</f>
        <v>44498.66667</v>
      </c>
      <c r="D888" s="23">
        <f>IFERROR(__xludf.DUMMYFUNCTION("""COMPUTED_VALUE"""),123.63)</f>
        <v>123.63</v>
      </c>
      <c r="E888" s="22">
        <f>IFERROR(__xludf.DUMMYFUNCTION("""COMPUTED_VALUE"""),43425.66666666667)</f>
        <v>43425.66667</v>
      </c>
      <c r="F888" s="23">
        <f>IFERROR(__xludf.DUMMYFUNCTION("""COMPUTED_VALUE"""),15.72)</f>
        <v>15.72</v>
      </c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>
      <c r="A889" s="22">
        <f>IFERROR(__xludf.DUMMYFUNCTION("""COMPUTED_VALUE"""),43249.66666666667)</f>
        <v>43249.66667</v>
      </c>
      <c r="B889" s="23">
        <f>IFERROR(__xludf.DUMMYFUNCTION("""COMPUTED_VALUE"""),68.56)</f>
        <v>68.56</v>
      </c>
      <c r="C889" s="22">
        <f>IFERROR(__xludf.DUMMYFUNCTION("""COMPUTED_VALUE"""),44501.66666666667)</f>
        <v>44501.66667</v>
      </c>
      <c r="D889" s="23">
        <f>IFERROR(__xludf.DUMMYFUNCTION("""COMPUTED_VALUE"""),124.87)</f>
        <v>124.87</v>
      </c>
      <c r="E889" s="22">
        <f>IFERROR(__xludf.DUMMYFUNCTION("""COMPUTED_VALUE"""),43426.66666666667)</f>
        <v>43426.66667</v>
      </c>
      <c r="F889" s="23">
        <f>IFERROR(__xludf.DUMMYFUNCTION("""COMPUTED_VALUE"""),15.71)</f>
        <v>15.71</v>
      </c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>
      <c r="A890" s="22">
        <f>IFERROR(__xludf.DUMMYFUNCTION("""COMPUTED_VALUE"""),43250.66666666667)</f>
        <v>43250.66667</v>
      </c>
      <c r="B890" s="23">
        <f>IFERROR(__xludf.DUMMYFUNCTION("""COMPUTED_VALUE"""),68.09)</f>
        <v>68.09</v>
      </c>
      <c r="C890" s="22">
        <f>IFERROR(__xludf.DUMMYFUNCTION("""COMPUTED_VALUE"""),44502.66666666667)</f>
        <v>44502.66667</v>
      </c>
      <c r="D890" s="23">
        <f>IFERROR(__xludf.DUMMYFUNCTION("""COMPUTED_VALUE"""),123.82)</f>
        <v>123.82</v>
      </c>
      <c r="E890" s="22">
        <f>IFERROR(__xludf.DUMMYFUNCTION("""COMPUTED_VALUE"""),43427.66666666667)</f>
        <v>43427.66667</v>
      </c>
      <c r="F890" s="23">
        <f>IFERROR(__xludf.DUMMYFUNCTION("""COMPUTED_VALUE"""),15.61)</f>
        <v>15.61</v>
      </c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>
      <c r="A891" s="22">
        <f>IFERROR(__xludf.DUMMYFUNCTION("""COMPUTED_VALUE"""),43251.66666666667)</f>
        <v>43251.66667</v>
      </c>
      <c r="B891" s="23">
        <f>IFERROR(__xludf.DUMMYFUNCTION("""COMPUTED_VALUE"""),68.4)</f>
        <v>68.4</v>
      </c>
      <c r="C891" s="22">
        <f>IFERROR(__xludf.DUMMYFUNCTION("""COMPUTED_VALUE"""),44503.66666666667)</f>
        <v>44503.66667</v>
      </c>
      <c r="D891" s="23">
        <f>IFERROR(__xludf.DUMMYFUNCTION("""COMPUTED_VALUE"""),125.01)</f>
        <v>125.01</v>
      </c>
      <c r="E891" s="22">
        <f>IFERROR(__xludf.DUMMYFUNCTION("""COMPUTED_VALUE"""),43430.66666666667)</f>
        <v>43430.66667</v>
      </c>
      <c r="F891" s="23">
        <f>IFERROR(__xludf.DUMMYFUNCTION("""COMPUTED_VALUE"""),15.72)</f>
        <v>15.72</v>
      </c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>
      <c r="A892" s="22">
        <f>IFERROR(__xludf.DUMMYFUNCTION("""COMPUTED_VALUE"""),43252.66666666667)</f>
        <v>43252.66667</v>
      </c>
      <c r="B892" s="23">
        <f>IFERROR(__xludf.DUMMYFUNCTION("""COMPUTED_VALUE"""),68.21)</f>
        <v>68.21</v>
      </c>
      <c r="C892" s="22">
        <f>IFERROR(__xludf.DUMMYFUNCTION("""COMPUTED_VALUE"""),44504.66666666667)</f>
        <v>44504.66667</v>
      </c>
      <c r="D892" s="23">
        <f>IFERROR(__xludf.DUMMYFUNCTION("""COMPUTED_VALUE"""),125.59)</f>
        <v>125.59</v>
      </c>
      <c r="E892" s="22">
        <f>IFERROR(__xludf.DUMMYFUNCTION("""COMPUTED_VALUE"""),43431.66666666667)</f>
        <v>43431.66667</v>
      </c>
      <c r="F892" s="23">
        <f>IFERROR(__xludf.DUMMYFUNCTION("""COMPUTED_VALUE"""),15.96)</f>
        <v>15.96</v>
      </c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>
      <c r="A893" s="22">
        <f>IFERROR(__xludf.DUMMYFUNCTION("""COMPUTED_VALUE"""),43255.66666666667)</f>
        <v>43255.66667</v>
      </c>
      <c r="B893" s="23">
        <f>IFERROR(__xludf.DUMMYFUNCTION("""COMPUTED_VALUE"""),68.26)</f>
        <v>68.26</v>
      </c>
      <c r="C893" s="22">
        <f>IFERROR(__xludf.DUMMYFUNCTION("""COMPUTED_VALUE"""),44505.66666666667)</f>
        <v>44505.66667</v>
      </c>
      <c r="D893" s="23">
        <f>IFERROR(__xludf.DUMMYFUNCTION("""COMPUTED_VALUE"""),126.32)</f>
        <v>126.32</v>
      </c>
      <c r="E893" s="22">
        <f>IFERROR(__xludf.DUMMYFUNCTION("""COMPUTED_VALUE"""),43432.66666666667)</f>
        <v>43432.66667</v>
      </c>
      <c r="F893" s="23">
        <f>IFERROR(__xludf.DUMMYFUNCTION("""COMPUTED_VALUE"""),16.11)</f>
        <v>16.11</v>
      </c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>
      <c r="A894" s="22">
        <f>IFERROR(__xludf.DUMMYFUNCTION("""COMPUTED_VALUE"""),43256.66666666667)</f>
        <v>43256.66667</v>
      </c>
      <c r="B894" s="23">
        <f>IFERROR(__xludf.DUMMYFUNCTION("""COMPUTED_VALUE"""),68.24)</f>
        <v>68.24</v>
      </c>
      <c r="C894" s="22">
        <f>IFERROR(__xludf.DUMMYFUNCTION("""COMPUTED_VALUE"""),44508.66666666667)</f>
        <v>44508.66667</v>
      </c>
      <c r="D894" s="23">
        <f>IFERROR(__xludf.DUMMYFUNCTION("""COMPUTED_VALUE"""),126.33)</f>
        <v>126.33</v>
      </c>
      <c r="E894" s="22">
        <f>IFERROR(__xludf.DUMMYFUNCTION("""COMPUTED_VALUE"""),43433.66666666667)</f>
        <v>43433.66667</v>
      </c>
      <c r="F894" s="23">
        <f>IFERROR(__xludf.DUMMYFUNCTION("""COMPUTED_VALUE"""),16.36)</f>
        <v>16.36</v>
      </c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>
      <c r="A895" s="22">
        <f>IFERROR(__xludf.DUMMYFUNCTION("""COMPUTED_VALUE"""),43257.66666666667)</f>
        <v>43257.66667</v>
      </c>
      <c r="B895" s="23">
        <f>IFERROR(__xludf.DUMMYFUNCTION("""COMPUTED_VALUE"""),68.28)</f>
        <v>68.28</v>
      </c>
      <c r="C895" s="22">
        <f>IFERROR(__xludf.DUMMYFUNCTION("""COMPUTED_VALUE"""),44509.66666666667)</f>
        <v>44509.66667</v>
      </c>
      <c r="D895" s="23">
        <f>IFERROR(__xludf.DUMMYFUNCTION("""COMPUTED_VALUE"""),126.11)</f>
        <v>126.11</v>
      </c>
      <c r="E895" s="22">
        <f>IFERROR(__xludf.DUMMYFUNCTION("""COMPUTED_VALUE"""),43434.66666666667)</f>
        <v>43434.66667</v>
      </c>
      <c r="F895" s="23">
        <f>IFERROR(__xludf.DUMMYFUNCTION("""COMPUTED_VALUE"""),16.37)</f>
        <v>16.37</v>
      </c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>
      <c r="A896" s="22">
        <f>IFERROR(__xludf.DUMMYFUNCTION("""COMPUTED_VALUE"""),43258.66666666667)</f>
        <v>43258.66667</v>
      </c>
      <c r="B896" s="23">
        <f>IFERROR(__xludf.DUMMYFUNCTION("""COMPUTED_VALUE"""),68.76)</f>
        <v>68.76</v>
      </c>
      <c r="C896" s="22">
        <f>IFERROR(__xludf.DUMMYFUNCTION("""COMPUTED_VALUE"""),44510.66666666667)</f>
        <v>44510.66667</v>
      </c>
      <c r="D896" s="23">
        <f>IFERROR(__xludf.DUMMYFUNCTION("""COMPUTED_VALUE"""),125.83)</f>
        <v>125.83</v>
      </c>
      <c r="E896" s="22">
        <f>IFERROR(__xludf.DUMMYFUNCTION("""COMPUTED_VALUE"""),43437.66666666667)</f>
        <v>43437.66667</v>
      </c>
      <c r="F896" s="23">
        <f>IFERROR(__xludf.DUMMYFUNCTION("""COMPUTED_VALUE"""),16.71)</f>
        <v>16.71</v>
      </c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>
      <c r="A897" s="22">
        <f>IFERROR(__xludf.DUMMYFUNCTION("""COMPUTED_VALUE"""),43259.66666666667)</f>
        <v>43259.66667</v>
      </c>
      <c r="B897" s="23">
        <f>IFERROR(__xludf.DUMMYFUNCTION("""COMPUTED_VALUE"""),68.78)</f>
        <v>68.78</v>
      </c>
      <c r="C897" s="22">
        <f>IFERROR(__xludf.DUMMYFUNCTION("""COMPUTED_VALUE"""),44511.66666666667)</f>
        <v>44511.66667</v>
      </c>
      <c r="D897" s="23">
        <f>IFERROR(__xludf.DUMMYFUNCTION("""COMPUTED_VALUE"""),125.05)</f>
        <v>125.05</v>
      </c>
      <c r="E897" s="22">
        <f>IFERROR(__xludf.DUMMYFUNCTION("""COMPUTED_VALUE"""),43438.66666666667)</f>
        <v>43438.66667</v>
      </c>
      <c r="F897" s="23">
        <f>IFERROR(__xludf.DUMMYFUNCTION("""COMPUTED_VALUE"""),16.48)</f>
        <v>16.48</v>
      </c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>
      <c r="A898" s="22">
        <f>IFERROR(__xludf.DUMMYFUNCTION("""COMPUTED_VALUE"""),43263.66666666667)</f>
        <v>43263.66667</v>
      </c>
      <c r="B898" s="23">
        <f>IFERROR(__xludf.DUMMYFUNCTION("""COMPUTED_VALUE"""),69.25)</f>
        <v>69.25</v>
      </c>
      <c r="C898" s="22">
        <f>IFERROR(__xludf.DUMMYFUNCTION("""COMPUTED_VALUE"""),44512.66666666667)</f>
        <v>44512.66667</v>
      </c>
      <c r="D898" s="23">
        <f>IFERROR(__xludf.DUMMYFUNCTION("""COMPUTED_VALUE"""),126.22)</f>
        <v>126.22</v>
      </c>
      <c r="E898" s="22">
        <f>IFERROR(__xludf.DUMMYFUNCTION("""COMPUTED_VALUE"""),43439.66666666667)</f>
        <v>43439.66667</v>
      </c>
      <c r="F898" s="23">
        <f>IFERROR(__xludf.DUMMYFUNCTION("""COMPUTED_VALUE"""),16.26)</f>
        <v>16.26</v>
      </c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>
      <c r="A899" s="22">
        <f>IFERROR(__xludf.DUMMYFUNCTION("""COMPUTED_VALUE"""),43264.66666666667)</f>
        <v>43264.66667</v>
      </c>
      <c r="B899" s="23">
        <f>IFERROR(__xludf.DUMMYFUNCTION("""COMPUTED_VALUE"""),69.69)</f>
        <v>69.69</v>
      </c>
      <c r="C899" s="22">
        <f>IFERROR(__xludf.DUMMYFUNCTION("""COMPUTED_VALUE"""),44515.66666666667)</f>
        <v>44515.66667</v>
      </c>
      <c r="D899" s="23">
        <f>IFERROR(__xludf.DUMMYFUNCTION("""COMPUTED_VALUE"""),126.85)</f>
        <v>126.85</v>
      </c>
      <c r="E899" s="22">
        <f>IFERROR(__xludf.DUMMYFUNCTION("""COMPUTED_VALUE"""),43440.66666666667)</f>
        <v>43440.66667</v>
      </c>
      <c r="F899" s="23">
        <f>IFERROR(__xludf.DUMMYFUNCTION("""COMPUTED_VALUE"""),16.07)</f>
        <v>16.07</v>
      </c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>
      <c r="A900" s="22">
        <f>IFERROR(__xludf.DUMMYFUNCTION("""COMPUTED_VALUE"""),43265.66666666667)</f>
        <v>43265.66667</v>
      </c>
      <c r="B900" s="23">
        <f>IFERROR(__xludf.DUMMYFUNCTION("""COMPUTED_VALUE"""),69.42)</f>
        <v>69.42</v>
      </c>
      <c r="C900" s="22">
        <f>IFERROR(__xludf.DUMMYFUNCTION("""COMPUTED_VALUE"""),44516.66666666667)</f>
        <v>44516.66667</v>
      </c>
      <c r="D900" s="23">
        <f>IFERROR(__xludf.DUMMYFUNCTION("""COMPUTED_VALUE"""),126.0)</f>
        <v>126</v>
      </c>
      <c r="E900" s="22">
        <f>IFERROR(__xludf.DUMMYFUNCTION("""COMPUTED_VALUE"""),43441.66666666667)</f>
        <v>43441.66667</v>
      </c>
      <c r="F900" s="23">
        <f>IFERROR(__xludf.DUMMYFUNCTION("""COMPUTED_VALUE"""),16.37)</f>
        <v>16.37</v>
      </c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>
      <c r="A901" s="22">
        <f>IFERROR(__xludf.DUMMYFUNCTION("""COMPUTED_VALUE"""),43266.66666666667)</f>
        <v>43266.66667</v>
      </c>
      <c r="B901" s="23">
        <f>IFERROR(__xludf.DUMMYFUNCTION("""COMPUTED_VALUE"""),70.54)</f>
        <v>70.54</v>
      </c>
      <c r="C901" s="22">
        <f>IFERROR(__xludf.DUMMYFUNCTION("""COMPUTED_VALUE"""),44517.66666666667)</f>
        <v>44517.66667</v>
      </c>
      <c r="D901" s="23">
        <f>IFERROR(__xludf.DUMMYFUNCTION("""COMPUTED_VALUE"""),125.17)</f>
        <v>125.17</v>
      </c>
      <c r="E901" s="22">
        <f>IFERROR(__xludf.DUMMYFUNCTION("""COMPUTED_VALUE"""),43444.66666666667)</f>
        <v>43444.66667</v>
      </c>
      <c r="F901" s="23">
        <f>IFERROR(__xludf.DUMMYFUNCTION("""COMPUTED_VALUE"""),15.8)</f>
        <v>15.8</v>
      </c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>
      <c r="A902" s="22">
        <f>IFERROR(__xludf.DUMMYFUNCTION("""COMPUTED_VALUE"""),43269.66666666667)</f>
        <v>43269.66667</v>
      </c>
      <c r="B902" s="23">
        <f>IFERROR(__xludf.DUMMYFUNCTION("""COMPUTED_VALUE"""),70.18)</f>
        <v>70.18</v>
      </c>
      <c r="C902" s="22">
        <f>IFERROR(__xludf.DUMMYFUNCTION("""COMPUTED_VALUE"""),44518.66666666667)</f>
        <v>44518.66667</v>
      </c>
      <c r="D902" s="23">
        <f>IFERROR(__xludf.DUMMYFUNCTION("""COMPUTED_VALUE"""),125.26)</f>
        <v>125.26</v>
      </c>
      <c r="E902" s="22">
        <f>IFERROR(__xludf.DUMMYFUNCTION("""COMPUTED_VALUE"""),43445.66666666667)</f>
        <v>43445.66667</v>
      </c>
      <c r="F902" s="23">
        <f>IFERROR(__xludf.DUMMYFUNCTION("""COMPUTED_VALUE"""),16.07)</f>
        <v>16.07</v>
      </c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>
      <c r="A903" s="22">
        <f>IFERROR(__xludf.DUMMYFUNCTION("""COMPUTED_VALUE"""),43270.66666666667)</f>
        <v>43270.66667</v>
      </c>
      <c r="B903" s="23">
        <f>IFERROR(__xludf.DUMMYFUNCTION("""COMPUTED_VALUE"""),70.16)</f>
        <v>70.16</v>
      </c>
      <c r="C903" s="22">
        <f>IFERROR(__xludf.DUMMYFUNCTION("""COMPUTED_VALUE"""),44519.66666666667)</f>
        <v>44519.66667</v>
      </c>
      <c r="D903" s="23">
        <f>IFERROR(__xludf.DUMMYFUNCTION("""COMPUTED_VALUE"""),125.43)</f>
        <v>125.43</v>
      </c>
      <c r="E903" s="22">
        <f>IFERROR(__xludf.DUMMYFUNCTION("""COMPUTED_VALUE"""),43446.66666666667)</f>
        <v>43446.66667</v>
      </c>
      <c r="F903" s="23">
        <f>IFERROR(__xludf.DUMMYFUNCTION("""COMPUTED_VALUE"""),16.25)</f>
        <v>16.25</v>
      </c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>
      <c r="A904" s="22">
        <f>IFERROR(__xludf.DUMMYFUNCTION("""COMPUTED_VALUE"""),43271.66666666667)</f>
        <v>43271.66667</v>
      </c>
      <c r="B904" s="23">
        <f>IFERROR(__xludf.DUMMYFUNCTION("""COMPUTED_VALUE"""),70.41)</f>
        <v>70.41</v>
      </c>
      <c r="C904" s="22">
        <f>IFERROR(__xludf.DUMMYFUNCTION("""COMPUTED_VALUE"""),44522.66666666667)</f>
        <v>44522.66667</v>
      </c>
      <c r="D904" s="23">
        <f>IFERROR(__xludf.DUMMYFUNCTION("""COMPUTED_VALUE"""),124.79)</f>
        <v>124.79</v>
      </c>
      <c r="E904" s="22">
        <f>IFERROR(__xludf.DUMMYFUNCTION("""COMPUTED_VALUE"""),43447.66666666667)</f>
        <v>43447.66667</v>
      </c>
      <c r="F904" s="23">
        <f>IFERROR(__xludf.DUMMYFUNCTION("""COMPUTED_VALUE"""),16.34)</f>
        <v>16.34</v>
      </c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>
      <c r="A905" s="22">
        <f>IFERROR(__xludf.DUMMYFUNCTION("""COMPUTED_VALUE"""),43272.66666666667)</f>
        <v>43272.66667</v>
      </c>
      <c r="B905" s="23">
        <f>IFERROR(__xludf.DUMMYFUNCTION("""COMPUTED_VALUE"""),70.96)</f>
        <v>70.96</v>
      </c>
      <c r="C905" s="22">
        <f>IFERROR(__xludf.DUMMYFUNCTION("""COMPUTED_VALUE"""),44523.66666666667)</f>
        <v>44523.66667</v>
      </c>
      <c r="D905" s="23">
        <f>IFERROR(__xludf.DUMMYFUNCTION("""COMPUTED_VALUE"""),125.78)</f>
        <v>125.78</v>
      </c>
      <c r="E905" s="22">
        <f>IFERROR(__xludf.DUMMYFUNCTION("""COMPUTED_VALUE"""),43448.66666666667)</f>
        <v>43448.66667</v>
      </c>
      <c r="F905" s="23">
        <f>IFERROR(__xludf.DUMMYFUNCTION("""COMPUTED_VALUE"""),16.12)</f>
        <v>16.12</v>
      </c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>
      <c r="A906" s="22">
        <f>IFERROR(__xludf.DUMMYFUNCTION("""COMPUTED_VALUE"""),43273.66666666667)</f>
        <v>43273.66667</v>
      </c>
      <c r="B906" s="23">
        <f>IFERROR(__xludf.DUMMYFUNCTION("""COMPUTED_VALUE"""),70.1)</f>
        <v>70.1</v>
      </c>
      <c r="C906" s="22">
        <f>IFERROR(__xludf.DUMMYFUNCTION("""COMPUTED_VALUE"""),44524.66666666667)</f>
        <v>44524.66667</v>
      </c>
      <c r="D906" s="23">
        <f>IFERROR(__xludf.DUMMYFUNCTION("""COMPUTED_VALUE"""),125.65)</f>
        <v>125.65</v>
      </c>
      <c r="E906" s="22">
        <f>IFERROR(__xludf.DUMMYFUNCTION("""COMPUTED_VALUE"""),43451.66666666667)</f>
        <v>43451.66667</v>
      </c>
      <c r="F906" s="23">
        <f>IFERROR(__xludf.DUMMYFUNCTION("""COMPUTED_VALUE"""),16.03)</f>
        <v>16.03</v>
      </c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>
      <c r="A907" s="22">
        <f>IFERROR(__xludf.DUMMYFUNCTION("""COMPUTED_VALUE"""),43276.66666666667)</f>
        <v>43276.66667</v>
      </c>
      <c r="B907" s="23">
        <f>IFERROR(__xludf.DUMMYFUNCTION("""COMPUTED_VALUE"""),69.78)</f>
        <v>69.78</v>
      </c>
      <c r="C907" s="22">
        <f>IFERROR(__xludf.DUMMYFUNCTION("""COMPUTED_VALUE"""),44525.66666666667)</f>
        <v>44525.66667</v>
      </c>
      <c r="D907" s="23">
        <f>IFERROR(__xludf.DUMMYFUNCTION("""COMPUTED_VALUE"""),125.75)</f>
        <v>125.75</v>
      </c>
      <c r="E907" s="22">
        <f>IFERROR(__xludf.DUMMYFUNCTION("""COMPUTED_VALUE"""),43452.66666666667)</f>
        <v>43452.66667</v>
      </c>
      <c r="F907" s="23">
        <f>IFERROR(__xludf.DUMMYFUNCTION("""COMPUTED_VALUE"""),15.61)</f>
        <v>15.61</v>
      </c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>
      <c r="A908" s="22">
        <f>IFERROR(__xludf.DUMMYFUNCTION("""COMPUTED_VALUE"""),43277.66666666667)</f>
        <v>43277.66667</v>
      </c>
      <c r="B908" s="23">
        <f>IFERROR(__xludf.DUMMYFUNCTION("""COMPUTED_VALUE"""),69.34)</f>
        <v>69.34</v>
      </c>
      <c r="C908" s="22">
        <f>IFERROR(__xludf.DUMMYFUNCTION("""COMPUTED_VALUE"""),44526.66666666667)</f>
        <v>44526.66667</v>
      </c>
      <c r="D908" s="23">
        <f>IFERROR(__xludf.DUMMYFUNCTION("""COMPUTED_VALUE"""),123.62)</f>
        <v>123.62</v>
      </c>
      <c r="E908" s="22">
        <f>IFERROR(__xludf.DUMMYFUNCTION("""COMPUTED_VALUE"""),43453.66666666667)</f>
        <v>43453.66667</v>
      </c>
      <c r="F908" s="23">
        <f>IFERROR(__xludf.DUMMYFUNCTION("""COMPUTED_VALUE"""),15.67)</f>
        <v>15.67</v>
      </c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>
      <c r="A909" s="22">
        <f>IFERROR(__xludf.DUMMYFUNCTION("""COMPUTED_VALUE"""),43278.66666666667)</f>
        <v>43278.66667</v>
      </c>
      <c r="B909" s="23">
        <f>IFERROR(__xludf.DUMMYFUNCTION("""COMPUTED_VALUE"""),69.55)</f>
        <v>69.55</v>
      </c>
      <c r="C909" s="22">
        <f>IFERROR(__xludf.DUMMYFUNCTION("""COMPUTED_VALUE"""),44529.66666666667)</f>
        <v>44529.66667</v>
      </c>
      <c r="D909" s="23">
        <f>IFERROR(__xludf.DUMMYFUNCTION("""COMPUTED_VALUE"""),122.94)</f>
        <v>122.94</v>
      </c>
      <c r="E909" s="22">
        <f>IFERROR(__xludf.DUMMYFUNCTION("""COMPUTED_VALUE"""),43454.66666666667)</f>
        <v>43454.66667</v>
      </c>
      <c r="F909" s="23">
        <f>IFERROR(__xludf.DUMMYFUNCTION("""COMPUTED_VALUE"""),15.35)</f>
        <v>15.35</v>
      </c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>
      <c r="A910" s="22">
        <f>IFERROR(__xludf.DUMMYFUNCTION("""COMPUTED_VALUE"""),43279.66666666667)</f>
        <v>43279.66667</v>
      </c>
      <c r="B910" s="23">
        <f>IFERROR(__xludf.DUMMYFUNCTION("""COMPUTED_VALUE"""),69.46)</f>
        <v>69.46</v>
      </c>
      <c r="C910" s="22">
        <f>IFERROR(__xludf.DUMMYFUNCTION("""COMPUTED_VALUE"""),44530.66666666667)</f>
        <v>44530.66667</v>
      </c>
      <c r="D910" s="23">
        <f>IFERROR(__xludf.DUMMYFUNCTION("""COMPUTED_VALUE"""),123.25)</f>
        <v>123.25</v>
      </c>
      <c r="E910" s="22">
        <f>IFERROR(__xludf.DUMMYFUNCTION("""COMPUTED_VALUE"""),43455.66666666667)</f>
        <v>43455.66667</v>
      </c>
      <c r="F910" s="23">
        <f>IFERROR(__xludf.DUMMYFUNCTION("""COMPUTED_VALUE"""),15.32)</f>
        <v>15.32</v>
      </c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>
      <c r="A911" s="22">
        <f>IFERROR(__xludf.DUMMYFUNCTION("""COMPUTED_VALUE"""),43280.66666666667)</f>
        <v>43280.66667</v>
      </c>
      <c r="B911" s="23">
        <f>IFERROR(__xludf.DUMMYFUNCTION("""COMPUTED_VALUE"""),69.5)</f>
        <v>69.5</v>
      </c>
      <c r="C911" s="22">
        <f>IFERROR(__xludf.DUMMYFUNCTION("""COMPUTED_VALUE"""),44531.66666666667)</f>
        <v>44531.66667</v>
      </c>
      <c r="D911" s="23">
        <f>IFERROR(__xludf.DUMMYFUNCTION("""COMPUTED_VALUE"""),122.94)</f>
        <v>122.94</v>
      </c>
      <c r="E911" s="22">
        <f>IFERROR(__xludf.DUMMYFUNCTION("""COMPUTED_VALUE"""),43458.59027777778)</f>
        <v>43458.59028</v>
      </c>
      <c r="F911" s="23">
        <f>IFERROR(__xludf.DUMMYFUNCTION("""COMPUTED_VALUE"""),14.89)</f>
        <v>14.89</v>
      </c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>
      <c r="A912" s="22">
        <f>IFERROR(__xludf.DUMMYFUNCTION("""COMPUTED_VALUE"""),43283.66666666667)</f>
        <v>43283.66667</v>
      </c>
      <c r="B912" s="23">
        <f>IFERROR(__xludf.DUMMYFUNCTION("""COMPUTED_VALUE"""),68.14)</f>
        <v>68.14</v>
      </c>
      <c r="C912" s="22">
        <f>IFERROR(__xludf.DUMMYFUNCTION("""COMPUTED_VALUE"""),44532.66666666667)</f>
        <v>44532.66667</v>
      </c>
      <c r="D912" s="23">
        <f>IFERROR(__xludf.DUMMYFUNCTION("""COMPUTED_VALUE"""),122.68)</f>
        <v>122.68</v>
      </c>
      <c r="E912" s="22">
        <f>IFERROR(__xludf.DUMMYFUNCTION("""COMPUTED_VALUE"""),43461.66666666667)</f>
        <v>43461.66667</v>
      </c>
      <c r="F912" s="23">
        <f>IFERROR(__xludf.DUMMYFUNCTION("""COMPUTED_VALUE"""),15.34)</f>
        <v>15.34</v>
      </c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>
      <c r="A913" s="22">
        <f>IFERROR(__xludf.DUMMYFUNCTION("""COMPUTED_VALUE"""),43284.66666666667)</f>
        <v>43284.66667</v>
      </c>
      <c r="B913" s="23">
        <f>IFERROR(__xludf.DUMMYFUNCTION("""COMPUTED_VALUE"""),68.76)</f>
        <v>68.76</v>
      </c>
      <c r="C913" s="22">
        <f>IFERROR(__xludf.DUMMYFUNCTION("""COMPUTED_VALUE"""),44533.66666666667)</f>
        <v>44533.66667</v>
      </c>
      <c r="D913" s="23">
        <f>IFERROR(__xludf.DUMMYFUNCTION("""COMPUTED_VALUE"""),123.0)</f>
        <v>123</v>
      </c>
      <c r="E913" s="22">
        <f>IFERROR(__xludf.DUMMYFUNCTION("""COMPUTED_VALUE"""),43462.66666666667)</f>
        <v>43462.66667</v>
      </c>
      <c r="F913" s="23">
        <f>IFERROR(__xludf.DUMMYFUNCTION("""COMPUTED_VALUE"""),15.52)</f>
        <v>15.52</v>
      </c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>
      <c r="A914" s="22">
        <f>IFERROR(__xludf.DUMMYFUNCTION("""COMPUTED_VALUE"""),43285.66666666667)</f>
        <v>43285.66667</v>
      </c>
      <c r="B914" s="23">
        <f>IFERROR(__xludf.DUMMYFUNCTION("""COMPUTED_VALUE"""),68.38)</f>
        <v>68.38</v>
      </c>
      <c r="C914" s="22">
        <f>IFERROR(__xludf.DUMMYFUNCTION("""COMPUTED_VALUE"""),44536.66666666667)</f>
        <v>44536.66667</v>
      </c>
      <c r="D914" s="23">
        <f>IFERROR(__xludf.DUMMYFUNCTION("""COMPUTED_VALUE"""),123.14)</f>
        <v>123.14</v>
      </c>
      <c r="E914" s="22">
        <f>IFERROR(__xludf.DUMMYFUNCTION("""COMPUTED_VALUE"""),43465.59027777778)</f>
        <v>43465.59028</v>
      </c>
      <c r="F914" s="23">
        <f>IFERROR(__xludf.DUMMYFUNCTION("""COMPUTED_VALUE"""),15.55)</f>
        <v>15.55</v>
      </c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>
      <c r="A915" s="22">
        <f>IFERROR(__xludf.DUMMYFUNCTION("""COMPUTED_VALUE"""),43286.66666666667)</f>
        <v>43286.66667</v>
      </c>
      <c r="B915" s="23">
        <f>IFERROR(__xludf.DUMMYFUNCTION("""COMPUTED_VALUE"""),68.6)</f>
        <v>68.6</v>
      </c>
      <c r="C915" s="22">
        <f>IFERROR(__xludf.DUMMYFUNCTION("""COMPUTED_VALUE"""),44537.66666666667)</f>
        <v>44537.66667</v>
      </c>
      <c r="D915" s="23">
        <f>IFERROR(__xludf.DUMMYFUNCTION("""COMPUTED_VALUE"""),124.21)</f>
        <v>124.21</v>
      </c>
      <c r="E915" s="22">
        <f>IFERROR(__xludf.DUMMYFUNCTION("""COMPUTED_VALUE"""),43467.66666666667)</f>
        <v>43467.66667</v>
      </c>
      <c r="F915" s="23">
        <f>IFERROR(__xludf.DUMMYFUNCTION("""COMPUTED_VALUE"""),15.46)</f>
        <v>15.46</v>
      </c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>
      <c r="A916" s="22">
        <f>IFERROR(__xludf.DUMMYFUNCTION("""COMPUTED_VALUE"""),43287.66666666667)</f>
        <v>43287.66667</v>
      </c>
      <c r="B916" s="23">
        <f>IFERROR(__xludf.DUMMYFUNCTION("""COMPUTED_VALUE"""),68.88)</f>
        <v>68.88</v>
      </c>
      <c r="C916" s="22">
        <f>IFERROR(__xludf.DUMMYFUNCTION("""COMPUTED_VALUE"""),44538.66666666667)</f>
        <v>44538.66667</v>
      </c>
      <c r="D916" s="23">
        <f>IFERROR(__xludf.DUMMYFUNCTION("""COMPUTED_VALUE"""),125.86)</f>
        <v>125.86</v>
      </c>
      <c r="E916" s="22">
        <f>IFERROR(__xludf.DUMMYFUNCTION("""COMPUTED_VALUE"""),43468.66666666667)</f>
        <v>43468.66667</v>
      </c>
      <c r="F916" s="23">
        <f>IFERROR(__xludf.DUMMYFUNCTION("""COMPUTED_VALUE"""),15.49)</f>
        <v>15.49</v>
      </c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>
      <c r="A917" s="22">
        <f>IFERROR(__xludf.DUMMYFUNCTION("""COMPUTED_VALUE"""),43290.66666666667)</f>
        <v>43290.66667</v>
      </c>
      <c r="B917" s="23">
        <f>IFERROR(__xludf.DUMMYFUNCTION("""COMPUTED_VALUE"""),69.06)</f>
        <v>69.06</v>
      </c>
      <c r="C917" s="22">
        <f>IFERROR(__xludf.DUMMYFUNCTION("""COMPUTED_VALUE"""),44539.66666666667)</f>
        <v>44539.66667</v>
      </c>
      <c r="D917" s="23">
        <f>IFERROR(__xludf.DUMMYFUNCTION("""COMPUTED_VALUE"""),125.42)</f>
        <v>125.42</v>
      </c>
      <c r="E917" s="22">
        <f>IFERROR(__xludf.DUMMYFUNCTION("""COMPUTED_VALUE"""),43469.66666666667)</f>
        <v>43469.66667</v>
      </c>
      <c r="F917" s="23">
        <f>IFERROR(__xludf.DUMMYFUNCTION("""COMPUTED_VALUE"""),15.26)</f>
        <v>15.26</v>
      </c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>
      <c r="A918" s="22">
        <f>IFERROR(__xludf.DUMMYFUNCTION("""COMPUTED_VALUE"""),43291.66666666667)</f>
        <v>43291.66667</v>
      </c>
      <c r="B918" s="23">
        <f>IFERROR(__xludf.DUMMYFUNCTION("""COMPUTED_VALUE"""),69.38)</f>
        <v>69.38</v>
      </c>
      <c r="C918" s="22">
        <f>IFERROR(__xludf.DUMMYFUNCTION("""COMPUTED_VALUE"""),44540.66666666667)</f>
        <v>44540.66667</v>
      </c>
      <c r="D918" s="23">
        <f>IFERROR(__xludf.DUMMYFUNCTION("""COMPUTED_VALUE"""),124.84)</f>
        <v>124.84</v>
      </c>
      <c r="E918" s="22">
        <f>IFERROR(__xludf.DUMMYFUNCTION("""COMPUTED_VALUE"""),43472.66666666667)</f>
        <v>43472.66667</v>
      </c>
      <c r="F918" s="23">
        <f>IFERROR(__xludf.DUMMYFUNCTION("""COMPUTED_VALUE"""),15.63)</f>
        <v>15.63</v>
      </c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>
      <c r="A919" s="22">
        <f>IFERROR(__xludf.DUMMYFUNCTION("""COMPUTED_VALUE"""),43292.66666666667)</f>
        <v>43292.66667</v>
      </c>
      <c r="B919" s="23">
        <f>IFERROR(__xludf.DUMMYFUNCTION("""COMPUTED_VALUE"""),69.42)</f>
        <v>69.42</v>
      </c>
      <c r="C919" s="22">
        <f>IFERROR(__xludf.DUMMYFUNCTION("""COMPUTED_VALUE"""),44543.66666666667)</f>
        <v>44543.66667</v>
      </c>
      <c r="D919" s="23">
        <f>IFERROR(__xludf.DUMMYFUNCTION("""COMPUTED_VALUE"""),125.4)</f>
        <v>125.4</v>
      </c>
      <c r="E919" s="22">
        <f>IFERROR(__xludf.DUMMYFUNCTION("""COMPUTED_VALUE"""),43473.66666666667)</f>
        <v>43473.66667</v>
      </c>
      <c r="F919" s="23">
        <f>IFERROR(__xludf.DUMMYFUNCTION("""COMPUTED_VALUE"""),15.82)</f>
        <v>15.82</v>
      </c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>
      <c r="A920" s="22">
        <f>IFERROR(__xludf.DUMMYFUNCTION("""COMPUTED_VALUE"""),43293.66666666667)</f>
        <v>43293.66667</v>
      </c>
      <c r="B920" s="23">
        <f>IFERROR(__xludf.DUMMYFUNCTION("""COMPUTED_VALUE"""),69.7)</f>
        <v>69.7</v>
      </c>
      <c r="C920" s="22">
        <f>IFERROR(__xludf.DUMMYFUNCTION("""COMPUTED_VALUE"""),44544.66666666667)</f>
        <v>44544.66667</v>
      </c>
      <c r="D920" s="23">
        <f>IFERROR(__xludf.DUMMYFUNCTION("""COMPUTED_VALUE"""),125.44)</f>
        <v>125.44</v>
      </c>
      <c r="E920" s="22">
        <f>IFERROR(__xludf.DUMMYFUNCTION("""COMPUTED_VALUE"""),43474.66666666667)</f>
        <v>43474.66667</v>
      </c>
      <c r="F920" s="23">
        <f>IFERROR(__xludf.DUMMYFUNCTION("""COMPUTED_VALUE"""),15.93)</f>
        <v>15.93</v>
      </c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>
      <c r="A921" s="22">
        <f>IFERROR(__xludf.DUMMYFUNCTION("""COMPUTED_VALUE"""),43294.66666666667)</f>
        <v>43294.66667</v>
      </c>
      <c r="B921" s="23">
        <f>IFERROR(__xludf.DUMMYFUNCTION("""COMPUTED_VALUE"""),69.94)</f>
        <v>69.94</v>
      </c>
      <c r="C921" s="22">
        <f>IFERROR(__xludf.DUMMYFUNCTION("""COMPUTED_VALUE"""),44545.66666666667)</f>
        <v>44545.66667</v>
      </c>
      <c r="D921" s="23">
        <f>IFERROR(__xludf.DUMMYFUNCTION("""COMPUTED_VALUE"""),124.24)</f>
        <v>124.24</v>
      </c>
      <c r="E921" s="22">
        <f>IFERROR(__xludf.DUMMYFUNCTION("""COMPUTED_VALUE"""),43475.66666666667)</f>
        <v>43475.66667</v>
      </c>
      <c r="F921" s="23">
        <f>IFERROR(__xludf.DUMMYFUNCTION("""COMPUTED_VALUE"""),15.83)</f>
        <v>15.83</v>
      </c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>
      <c r="A922" s="22">
        <f>IFERROR(__xludf.DUMMYFUNCTION("""COMPUTED_VALUE"""),43297.66666666667)</f>
        <v>43297.66667</v>
      </c>
      <c r="B922" s="23">
        <f>IFERROR(__xludf.DUMMYFUNCTION("""COMPUTED_VALUE"""),69.78)</f>
        <v>69.78</v>
      </c>
      <c r="C922" s="22">
        <f>IFERROR(__xludf.DUMMYFUNCTION("""COMPUTED_VALUE"""),44546.66666666667)</f>
        <v>44546.66667</v>
      </c>
      <c r="D922" s="23">
        <f>IFERROR(__xludf.DUMMYFUNCTION("""COMPUTED_VALUE"""),124.0)</f>
        <v>124</v>
      </c>
      <c r="E922" s="22">
        <f>IFERROR(__xludf.DUMMYFUNCTION("""COMPUTED_VALUE"""),43476.66666666667)</f>
        <v>43476.66667</v>
      </c>
      <c r="F922" s="23">
        <f>IFERROR(__xludf.DUMMYFUNCTION("""COMPUTED_VALUE"""),15.85)</f>
        <v>15.85</v>
      </c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>
      <c r="A923" s="22">
        <f>IFERROR(__xludf.DUMMYFUNCTION("""COMPUTED_VALUE"""),43298.66666666667)</f>
        <v>43298.66667</v>
      </c>
      <c r="B923" s="23">
        <f>IFERROR(__xludf.DUMMYFUNCTION("""COMPUTED_VALUE"""),69.65)</f>
        <v>69.65</v>
      </c>
      <c r="C923" s="22">
        <f>IFERROR(__xludf.DUMMYFUNCTION("""COMPUTED_VALUE"""),44547.66666666667)</f>
        <v>44547.66667</v>
      </c>
      <c r="D923" s="23">
        <f>IFERROR(__xludf.DUMMYFUNCTION("""COMPUTED_VALUE"""),124.05)</f>
        <v>124.05</v>
      </c>
      <c r="E923" s="22">
        <f>IFERROR(__xludf.DUMMYFUNCTION("""COMPUTED_VALUE"""),43479.66666666667)</f>
        <v>43479.66667</v>
      </c>
      <c r="F923" s="23">
        <f>IFERROR(__xludf.DUMMYFUNCTION("""COMPUTED_VALUE"""),15.75)</f>
        <v>15.75</v>
      </c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>
      <c r="A924" s="22">
        <f>IFERROR(__xludf.DUMMYFUNCTION("""COMPUTED_VALUE"""),43299.66666666667)</f>
        <v>43299.66667</v>
      </c>
      <c r="B924" s="23">
        <f>IFERROR(__xludf.DUMMYFUNCTION("""COMPUTED_VALUE"""),70.54)</f>
        <v>70.54</v>
      </c>
      <c r="C924" s="22">
        <f>IFERROR(__xludf.DUMMYFUNCTION("""COMPUTED_VALUE"""),44550.66666666667)</f>
        <v>44550.66667</v>
      </c>
      <c r="D924" s="23">
        <f>IFERROR(__xludf.DUMMYFUNCTION("""COMPUTED_VALUE"""),123.92)</f>
        <v>123.92</v>
      </c>
      <c r="E924" s="22">
        <f>IFERROR(__xludf.DUMMYFUNCTION("""COMPUTED_VALUE"""),43480.66666666667)</f>
        <v>43480.66667</v>
      </c>
      <c r="F924" s="23">
        <f>IFERROR(__xludf.DUMMYFUNCTION("""COMPUTED_VALUE"""),15.8)</f>
        <v>15.8</v>
      </c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>
      <c r="A925" s="22">
        <f>IFERROR(__xludf.DUMMYFUNCTION("""COMPUTED_VALUE"""),43300.66666666667)</f>
        <v>43300.66667</v>
      </c>
      <c r="B925" s="23">
        <f>IFERROR(__xludf.DUMMYFUNCTION("""COMPUTED_VALUE"""),70.18)</f>
        <v>70.18</v>
      </c>
      <c r="C925" s="22">
        <f>IFERROR(__xludf.DUMMYFUNCTION("""COMPUTED_VALUE"""),44551.66666666667)</f>
        <v>44551.66667</v>
      </c>
      <c r="D925" s="23">
        <f>IFERROR(__xludf.DUMMYFUNCTION("""COMPUTED_VALUE"""),125.0)</f>
        <v>125</v>
      </c>
      <c r="E925" s="22">
        <f>IFERROR(__xludf.DUMMYFUNCTION("""COMPUTED_VALUE"""),43481.66666666667)</f>
        <v>43481.66667</v>
      </c>
      <c r="F925" s="23">
        <f>IFERROR(__xludf.DUMMYFUNCTION("""COMPUTED_VALUE"""),16.07)</f>
        <v>16.07</v>
      </c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>
      <c r="A926" s="22">
        <f>IFERROR(__xludf.DUMMYFUNCTION("""COMPUTED_VALUE"""),43301.66666666667)</f>
        <v>43301.66667</v>
      </c>
      <c r="B926" s="23">
        <f>IFERROR(__xludf.DUMMYFUNCTION("""COMPUTED_VALUE"""),70.37)</f>
        <v>70.37</v>
      </c>
      <c r="C926" s="22">
        <f>IFERROR(__xludf.DUMMYFUNCTION("""COMPUTED_VALUE"""),44552.66666666667)</f>
        <v>44552.66667</v>
      </c>
      <c r="D926" s="23">
        <f>IFERROR(__xludf.DUMMYFUNCTION("""COMPUTED_VALUE"""),125.05)</f>
        <v>125.05</v>
      </c>
      <c r="E926" s="22">
        <f>IFERROR(__xludf.DUMMYFUNCTION("""COMPUTED_VALUE"""),43482.66666666667)</f>
        <v>43482.66667</v>
      </c>
      <c r="F926" s="23">
        <f>IFERROR(__xludf.DUMMYFUNCTION("""COMPUTED_VALUE"""),16.08)</f>
        <v>16.08</v>
      </c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>
      <c r="A927" s="22">
        <f>IFERROR(__xludf.DUMMYFUNCTION("""COMPUTED_VALUE"""),43304.66666666667)</f>
        <v>43304.66667</v>
      </c>
      <c r="B927" s="23">
        <f>IFERROR(__xludf.DUMMYFUNCTION("""COMPUTED_VALUE"""),69.81)</f>
        <v>69.81</v>
      </c>
      <c r="C927" s="22">
        <f>IFERROR(__xludf.DUMMYFUNCTION("""COMPUTED_VALUE"""),44553.66666666667)</f>
        <v>44553.66667</v>
      </c>
      <c r="D927" s="23">
        <f>IFERROR(__xludf.DUMMYFUNCTION("""COMPUTED_VALUE"""),125.41)</f>
        <v>125.41</v>
      </c>
      <c r="E927" s="22">
        <f>IFERROR(__xludf.DUMMYFUNCTION("""COMPUTED_VALUE"""),43483.66666666667)</f>
        <v>43483.66667</v>
      </c>
      <c r="F927" s="23">
        <f>IFERROR(__xludf.DUMMYFUNCTION("""COMPUTED_VALUE"""),16.17)</f>
        <v>16.17</v>
      </c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>
      <c r="A928" s="22">
        <f>IFERROR(__xludf.DUMMYFUNCTION("""COMPUTED_VALUE"""),43305.66666666667)</f>
        <v>43305.66667</v>
      </c>
      <c r="B928" s="23">
        <f>IFERROR(__xludf.DUMMYFUNCTION("""COMPUTED_VALUE"""),70.63)</f>
        <v>70.63</v>
      </c>
      <c r="C928" s="22">
        <f>IFERROR(__xludf.DUMMYFUNCTION("""COMPUTED_VALUE"""),44554.59027777778)</f>
        <v>44554.59028</v>
      </c>
      <c r="D928" s="23">
        <f>IFERROR(__xludf.DUMMYFUNCTION("""COMPUTED_VALUE"""),126.11)</f>
        <v>126.11</v>
      </c>
      <c r="E928" s="22">
        <f>IFERROR(__xludf.DUMMYFUNCTION("""COMPUTED_VALUE"""),43486.66666666667)</f>
        <v>43486.66667</v>
      </c>
      <c r="F928" s="23">
        <f>IFERROR(__xludf.DUMMYFUNCTION("""COMPUTED_VALUE"""),16.33)</f>
        <v>16.33</v>
      </c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>
      <c r="A929" s="22">
        <f>IFERROR(__xludf.DUMMYFUNCTION("""COMPUTED_VALUE"""),43306.66666666667)</f>
        <v>43306.66667</v>
      </c>
      <c r="B929" s="23">
        <f>IFERROR(__xludf.DUMMYFUNCTION("""COMPUTED_VALUE"""),70.47)</f>
        <v>70.47</v>
      </c>
      <c r="C929" s="22">
        <f>IFERROR(__xludf.DUMMYFUNCTION("""COMPUTED_VALUE"""),44559.66666666667)</f>
        <v>44559.66667</v>
      </c>
      <c r="D929" s="23">
        <f>IFERROR(__xludf.DUMMYFUNCTION("""COMPUTED_VALUE"""),127.59)</f>
        <v>127.59</v>
      </c>
      <c r="E929" s="22">
        <f>IFERROR(__xludf.DUMMYFUNCTION("""COMPUTED_VALUE"""),43487.66666666667)</f>
        <v>43487.66667</v>
      </c>
      <c r="F929" s="23">
        <f>IFERROR(__xludf.DUMMYFUNCTION("""COMPUTED_VALUE"""),16.29)</f>
        <v>16.29</v>
      </c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>
      <c r="A930" s="22">
        <f>IFERROR(__xludf.DUMMYFUNCTION("""COMPUTED_VALUE"""),43307.66666666667)</f>
        <v>43307.66667</v>
      </c>
      <c r="B930" s="23">
        <f>IFERROR(__xludf.DUMMYFUNCTION("""COMPUTED_VALUE"""),70.6)</f>
        <v>70.6</v>
      </c>
      <c r="C930" s="22">
        <f>IFERROR(__xludf.DUMMYFUNCTION("""COMPUTED_VALUE"""),44560.66666666667)</f>
        <v>44560.66667</v>
      </c>
      <c r="D930" s="23">
        <f>IFERROR(__xludf.DUMMYFUNCTION("""COMPUTED_VALUE"""),127.87)</f>
        <v>127.87</v>
      </c>
      <c r="E930" s="22">
        <f>IFERROR(__xludf.DUMMYFUNCTION("""COMPUTED_VALUE"""),43488.66666666667)</f>
        <v>43488.66667</v>
      </c>
      <c r="F930" s="23">
        <f>IFERROR(__xludf.DUMMYFUNCTION("""COMPUTED_VALUE"""),16.16)</f>
        <v>16.16</v>
      </c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>
      <c r="A931" s="22">
        <f>IFERROR(__xludf.DUMMYFUNCTION("""COMPUTED_VALUE"""),43308.66666666667)</f>
        <v>43308.66667</v>
      </c>
      <c r="B931" s="23">
        <f>IFERROR(__xludf.DUMMYFUNCTION("""COMPUTED_VALUE"""),71.37)</f>
        <v>71.37</v>
      </c>
      <c r="C931" s="22">
        <f>IFERROR(__xludf.DUMMYFUNCTION("""COMPUTED_VALUE"""),44561.59027777778)</f>
        <v>44561.59028</v>
      </c>
      <c r="D931" s="23">
        <f>IFERROR(__xludf.DUMMYFUNCTION("""COMPUTED_VALUE"""),126.65)</f>
        <v>126.65</v>
      </c>
      <c r="E931" s="22">
        <f>IFERROR(__xludf.DUMMYFUNCTION("""COMPUTED_VALUE"""),43489.66666666667)</f>
        <v>43489.66667</v>
      </c>
      <c r="F931" s="23">
        <f>IFERROR(__xludf.DUMMYFUNCTION("""COMPUTED_VALUE"""),16.21)</f>
        <v>16.21</v>
      </c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>
      <c r="A932" s="22">
        <f>IFERROR(__xludf.DUMMYFUNCTION("""COMPUTED_VALUE"""),43311.66666666667)</f>
        <v>43311.66667</v>
      </c>
      <c r="B932" s="23">
        <f>IFERROR(__xludf.DUMMYFUNCTION("""COMPUTED_VALUE"""),70.44)</f>
        <v>70.44</v>
      </c>
      <c r="C932" s="22">
        <f>IFERROR(__xludf.DUMMYFUNCTION("""COMPUTED_VALUE"""),44565.66666666667)</f>
        <v>44565.66667</v>
      </c>
      <c r="D932" s="23">
        <f>IFERROR(__xludf.DUMMYFUNCTION("""COMPUTED_VALUE"""),128.37)</f>
        <v>128.37</v>
      </c>
      <c r="E932" s="22">
        <f>IFERROR(__xludf.DUMMYFUNCTION("""COMPUTED_VALUE"""),43490.66666666667)</f>
        <v>43490.66667</v>
      </c>
      <c r="F932" s="23">
        <f>IFERROR(__xludf.DUMMYFUNCTION("""COMPUTED_VALUE"""),16.4)</f>
        <v>16.4</v>
      </c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>
      <c r="A933" s="22">
        <f>IFERROR(__xludf.DUMMYFUNCTION("""COMPUTED_VALUE"""),43312.66666666667)</f>
        <v>43312.66667</v>
      </c>
      <c r="B933" s="23">
        <f>IFERROR(__xludf.DUMMYFUNCTION("""COMPUTED_VALUE"""),70.15)</f>
        <v>70.15</v>
      </c>
      <c r="C933" s="22">
        <f>IFERROR(__xludf.DUMMYFUNCTION("""COMPUTED_VALUE"""),44566.66666666667)</f>
        <v>44566.66667</v>
      </c>
      <c r="D933" s="23">
        <f>IFERROR(__xludf.DUMMYFUNCTION("""COMPUTED_VALUE"""),127.86)</f>
        <v>127.86</v>
      </c>
      <c r="E933" s="22">
        <f>IFERROR(__xludf.DUMMYFUNCTION("""COMPUTED_VALUE"""),43494.66666666667)</f>
        <v>43494.66667</v>
      </c>
      <c r="F933" s="23">
        <f>IFERROR(__xludf.DUMMYFUNCTION("""COMPUTED_VALUE"""),16.11)</f>
        <v>16.11</v>
      </c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>
      <c r="A934" s="22">
        <f>IFERROR(__xludf.DUMMYFUNCTION("""COMPUTED_VALUE"""),43313.66666666667)</f>
        <v>43313.66667</v>
      </c>
      <c r="B934" s="23">
        <f>IFERROR(__xludf.DUMMYFUNCTION("""COMPUTED_VALUE"""),70.66)</f>
        <v>70.66</v>
      </c>
      <c r="C934" s="22">
        <f>IFERROR(__xludf.DUMMYFUNCTION("""COMPUTED_VALUE"""),44567.66666666667)</f>
        <v>44567.66667</v>
      </c>
      <c r="D934" s="23">
        <f>IFERROR(__xludf.DUMMYFUNCTION("""COMPUTED_VALUE"""),124.44)</f>
        <v>124.44</v>
      </c>
      <c r="E934" s="22">
        <f>IFERROR(__xludf.DUMMYFUNCTION("""COMPUTED_VALUE"""),43495.66666666667)</f>
        <v>43495.66667</v>
      </c>
      <c r="F934" s="23">
        <f>IFERROR(__xludf.DUMMYFUNCTION("""COMPUTED_VALUE"""),16.07)</f>
        <v>16.07</v>
      </c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>
      <c r="A935" s="22">
        <f>IFERROR(__xludf.DUMMYFUNCTION("""COMPUTED_VALUE"""),43314.66666666667)</f>
        <v>43314.66667</v>
      </c>
      <c r="B935" s="23">
        <f>IFERROR(__xludf.DUMMYFUNCTION("""COMPUTED_VALUE"""),70.39)</f>
        <v>70.39</v>
      </c>
      <c r="C935" s="22">
        <f>IFERROR(__xludf.DUMMYFUNCTION("""COMPUTED_VALUE"""),44568.66666666667)</f>
        <v>44568.66667</v>
      </c>
      <c r="D935" s="23">
        <f>IFERROR(__xludf.DUMMYFUNCTION("""COMPUTED_VALUE"""),126.03)</f>
        <v>126.03</v>
      </c>
      <c r="E935" s="22">
        <f>IFERROR(__xludf.DUMMYFUNCTION("""COMPUTED_VALUE"""),43496.66666666667)</f>
        <v>43496.66667</v>
      </c>
      <c r="F935" s="23">
        <f>IFERROR(__xludf.DUMMYFUNCTION("""COMPUTED_VALUE"""),16.34)</f>
        <v>16.34</v>
      </c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>
      <c r="A936" s="22">
        <f>IFERROR(__xludf.DUMMYFUNCTION("""COMPUTED_VALUE"""),43315.66666666667)</f>
        <v>43315.66667</v>
      </c>
      <c r="B936" s="23">
        <f>IFERROR(__xludf.DUMMYFUNCTION("""COMPUTED_VALUE"""),70.9)</f>
        <v>70.9</v>
      </c>
      <c r="C936" s="22">
        <f>IFERROR(__xludf.DUMMYFUNCTION("""COMPUTED_VALUE"""),44571.66666666667)</f>
        <v>44571.66667</v>
      </c>
      <c r="D936" s="23">
        <f>IFERROR(__xludf.DUMMYFUNCTION("""COMPUTED_VALUE"""),125.87)</f>
        <v>125.87</v>
      </c>
      <c r="E936" s="22">
        <f>IFERROR(__xludf.DUMMYFUNCTION("""COMPUTED_VALUE"""),43497.66666666667)</f>
        <v>43497.66667</v>
      </c>
      <c r="F936" s="23">
        <f>IFERROR(__xludf.DUMMYFUNCTION("""COMPUTED_VALUE"""),16.44)</f>
        <v>16.44</v>
      </c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>
      <c r="A937" s="22">
        <f>IFERROR(__xludf.DUMMYFUNCTION("""COMPUTED_VALUE"""),43318.66666666667)</f>
        <v>43318.66667</v>
      </c>
      <c r="B937" s="23">
        <f>IFERROR(__xludf.DUMMYFUNCTION("""COMPUTED_VALUE"""),70.88)</f>
        <v>70.88</v>
      </c>
      <c r="C937" s="22">
        <f>IFERROR(__xludf.DUMMYFUNCTION("""COMPUTED_VALUE"""),44572.66666666667)</f>
        <v>44572.66667</v>
      </c>
      <c r="D937" s="23">
        <f>IFERROR(__xludf.DUMMYFUNCTION("""COMPUTED_VALUE"""),124.97)</f>
        <v>124.97</v>
      </c>
      <c r="E937" s="22">
        <f>IFERROR(__xludf.DUMMYFUNCTION("""COMPUTED_VALUE"""),43500.66666666667)</f>
        <v>43500.66667</v>
      </c>
      <c r="F937" s="23">
        <f>IFERROR(__xludf.DUMMYFUNCTION("""COMPUTED_VALUE"""),16.48)</f>
        <v>16.48</v>
      </c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>
      <c r="A938" s="22">
        <f>IFERROR(__xludf.DUMMYFUNCTION("""COMPUTED_VALUE"""),43319.66666666667)</f>
        <v>43319.66667</v>
      </c>
      <c r="B938" s="23">
        <f>IFERROR(__xludf.DUMMYFUNCTION("""COMPUTED_VALUE"""),70.96)</f>
        <v>70.96</v>
      </c>
      <c r="C938" s="22">
        <f>IFERROR(__xludf.DUMMYFUNCTION("""COMPUTED_VALUE"""),44573.66666666667)</f>
        <v>44573.66667</v>
      </c>
      <c r="D938" s="23">
        <f>IFERROR(__xludf.DUMMYFUNCTION("""COMPUTED_VALUE"""),125.74)</f>
        <v>125.74</v>
      </c>
      <c r="E938" s="22">
        <f>IFERROR(__xludf.DUMMYFUNCTION("""COMPUTED_VALUE"""),43501.66666666667)</f>
        <v>43501.66667</v>
      </c>
      <c r="F938" s="23">
        <f>IFERROR(__xludf.DUMMYFUNCTION("""COMPUTED_VALUE"""),16.53)</f>
        <v>16.53</v>
      </c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>
      <c r="A939" s="22">
        <f>IFERROR(__xludf.DUMMYFUNCTION("""COMPUTED_VALUE"""),43320.66666666667)</f>
        <v>43320.66667</v>
      </c>
      <c r="B939" s="23">
        <f>IFERROR(__xludf.DUMMYFUNCTION("""COMPUTED_VALUE"""),70.94)</f>
        <v>70.94</v>
      </c>
      <c r="C939" s="22">
        <f>IFERROR(__xludf.DUMMYFUNCTION("""COMPUTED_VALUE"""),44574.66666666667)</f>
        <v>44574.66667</v>
      </c>
      <c r="D939" s="23">
        <f>IFERROR(__xludf.DUMMYFUNCTION("""COMPUTED_VALUE"""),126.34)</f>
        <v>126.34</v>
      </c>
      <c r="E939" s="22">
        <f>IFERROR(__xludf.DUMMYFUNCTION("""COMPUTED_VALUE"""),43502.66666666667)</f>
        <v>43502.66667</v>
      </c>
      <c r="F939" s="23">
        <f>IFERROR(__xludf.DUMMYFUNCTION("""COMPUTED_VALUE"""),16.97)</f>
        <v>16.97</v>
      </c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>
      <c r="A940" s="22">
        <f>IFERROR(__xludf.DUMMYFUNCTION("""COMPUTED_VALUE"""),43321.66666666667)</f>
        <v>43321.66667</v>
      </c>
      <c r="B940" s="23">
        <f>IFERROR(__xludf.DUMMYFUNCTION("""COMPUTED_VALUE"""),70.71)</f>
        <v>70.71</v>
      </c>
      <c r="C940" s="22">
        <f>IFERROR(__xludf.DUMMYFUNCTION("""COMPUTED_VALUE"""),44575.66666666667)</f>
        <v>44575.66667</v>
      </c>
      <c r="D940" s="23">
        <f>IFERROR(__xludf.DUMMYFUNCTION("""COMPUTED_VALUE"""),125.11)</f>
        <v>125.11</v>
      </c>
      <c r="E940" s="22">
        <f>IFERROR(__xludf.DUMMYFUNCTION("""COMPUTED_VALUE"""),43503.66666666667)</f>
        <v>43503.66667</v>
      </c>
      <c r="F940" s="23">
        <f>IFERROR(__xludf.DUMMYFUNCTION("""COMPUTED_VALUE"""),17.0)</f>
        <v>17</v>
      </c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>
      <c r="A941" s="22">
        <f>IFERROR(__xludf.DUMMYFUNCTION("""COMPUTED_VALUE"""),43322.66666666667)</f>
        <v>43322.66667</v>
      </c>
      <c r="B941" s="23">
        <f>IFERROR(__xludf.DUMMYFUNCTION("""COMPUTED_VALUE"""),71.28)</f>
        <v>71.28</v>
      </c>
      <c r="C941" s="22">
        <f>IFERROR(__xludf.DUMMYFUNCTION("""COMPUTED_VALUE"""),44578.66666666667)</f>
        <v>44578.66667</v>
      </c>
      <c r="D941" s="23">
        <f>IFERROR(__xludf.DUMMYFUNCTION("""COMPUTED_VALUE"""),125.48)</f>
        <v>125.48</v>
      </c>
      <c r="E941" s="22">
        <f>IFERROR(__xludf.DUMMYFUNCTION("""COMPUTED_VALUE"""),43504.66666666667)</f>
        <v>43504.66667</v>
      </c>
      <c r="F941" s="23">
        <f>IFERROR(__xludf.DUMMYFUNCTION("""COMPUTED_VALUE"""),16.79)</f>
        <v>16.79</v>
      </c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>
      <c r="A942" s="22">
        <f>IFERROR(__xludf.DUMMYFUNCTION("""COMPUTED_VALUE"""),43325.66666666667)</f>
        <v>43325.66667</v>
      </c>
      <c r="B942" s="23">
        <f>IFERROR(__xludf.DUMMYFUNCTION("""COMPUTED_VALUE"""),71.01)</f>
        <v>71.01</v>
      </c>
      <c r="C942" s="22">
        <f>IFERROR(__xludf.DUMMYFUNCTION("""COMPUTED_VALUE"""),44579.66666666667)</f>
        <v>44579.66667</v>
      </c>
      <c r="D942" s="23">
        <f>IFERROR(__xludf.DUMMYFUNCTION("""COMPUTED_VALUE"""),125.25)</f>
        <v>125.25</v>
      </c>
      <c r="E942" s="22">
        <f>IFERROR(__xludf.DUMMYFUNCTION("""COMPUTED_VALUE"""),43507.66666666667)</f>
        <v>43507.66667</v>
      </c>
      <c r="F942" s="23">
        <f>IFERROR(__xludf.DUMMYFUNCTION("""COMPUTED_VALUE"""),16.83)</f>
        <v>16.83</v>
      </c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>
      <c r="A943" s="22">
        <f>IFERROR(__xludf.DUMMYFUNCTION("""COMPUTED_VALUE"""),43326.66666666667)</f>
        <v>43326.66667</v>
      </c>
      <c r="B943" s="23">
        <f>IFERROR(__xludf.DUMMYFUNCTION("""COMPUTED_VALUE"""),71.47)</f>
        <v>71.47</v>
      </c>
      <c r="C943" s="22">
        <f>IFERROR(__xludf.DUMMYFUNCTION("""COMPUTED_VALUE"""),44580.66666666667)</f>
        <v>44580.66667</v>
      </c>
      <c r="D943" s="23">
        <f>IFERROR(__xludf.DUMMYFUNCTION("""COMPUTED_VALUE"""),123.95)</f>
        <v>123.95</v>
      </c>
      <c r="E943" s="22">
        <f>IFERROR(__xludf.DUMMYFUNCTION("""COMPUTED_VALUE"""),43508.66666666667)</f>
        <v>43508.66667</v>
      </c>
      <c r="F943" s="23">
        <f>IFERROR(__xludf.DUMMYFUNCTION("""COMPUTED_VALUE"""),17.0)</f>
        <v>17</v>
      </c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>
      <c r="A944" s="22">
        <f>IFERROR(__xludf.DUMMYFUNCTION("""COMPUTED_VALUE"""),43327.66666666667)</f>
        <v>43327.66667</v>
      </c>
      <c r="B944" s="23">
        <f>IFERROR(__xludf.DUMMYFUNCTION("""COMPUTED_VALUE"""),71.82)</f>
        <v>71.82</v>
      </c>
      <c r="C944" s="22">
        <f>IFERROR(__xludf.DUMMYFUNCTION("""COMPUTED_VALUE"""),44581.66666666667)</f>
        <v>44581.66667</v>
      </c>
      <c r="D944" s="23">
        <f>IFERROR(__xludf.DUMMYFUNCTION("""COMPUTED_VALUE"""),124.23)</f>
        <v>124.23</v>
      </c>
      <c r="E944" s="22">
        <f>IFERROR(__xludf.DUMMYFUNCTION("""COMPUTED_VALUE"""),43509.66666666667)</f>
        <v>43509.66667</v>
      </c>
      <c r="F944" s="23">
        <f>IFERROR(__xludf.DUMMYFUNCTION("""COMPUTED_VALUE"""),17.11)</f>
        <v>17.11</v>
      </c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>
      <c r="A945" s="22">
        <f>IFERROR(__xludf.DUMMYFUNCTION("""COMPUTED_VALUE"""),43328.66666666667)</f>
        <v>43328.66667</v>
      </c>
      <c r="B945" s="23">
        <f>IFERROR(__xludf.DUMMYFUNCTION("""COMPUTED_VALUE"""),71.15)</f>
        <v>71.15</v>
      </c>
      <c r="C945" s="22">
        <f>IFERROR(__xludf.DUMMYFUNCTION("""COMPUTED_VALUE"""),44582.66666666667)</f>
        <v>44582.66667</v>
      </c>
      <c r="D945" s="23">
        <f>IFERROR(__xludf.DUMMYFUNCTION("""COMPUTED_VALUE"""),121.45)</f>
        <v>121.45</v>
      </c>
      <c r="E945" s="22">
        <f>IFERROR(__xludf.DUMMYFUNCTION("""COMPUTED_VALUE"""),43510.66666666667)</f>
        <v>43510.66667</v>
      </c>
      <c r="F945" s="23">
        <f>IFERROR(__xludf.DUMMYFUNCTION("""COMPUTED_VALUE"""),17.08)</f>
        <v>17.08</v>
      </c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>
      <c r="A946" s="22">
        <f>IFERROR(__xludf.DUMMYFUNCTION("""COMPUTED_VALUE"""),43329.66666666667)</f>
        <v>43329.66667</v>
      </c>
      <c r="B946" s="23">
        <f>IFERROR(__xludf.DUMMYFUNCTION("""COMPUTED_VALUE"""),71.31)</f>
        <v>71.31</v>
      </c>
      <c r="C946" s="22">
        <f>IFERROR(__xludf.DUMMYFUNCTION("""COMPUTED_VALUE"""),44585.66666666667)</f>
        <v>44585.66667</v>
      </c>
      <c r="D946" s="23">
        <f>IFERROR(__xludf.DUMMYFUNCTION("""COMPUTED_VALUE"""),120.78)</f>
        <v>120.78</v>
      </c>
      <c r="E946" s="22">
        <f>IFERROR(__xludf.DUMMYFUNCTION("""COMPUTED_VALUE"""),43511.66666666667)</f>
        <v>43511.66667</v>
      </c>
      <c r="F946" s="23">
        <f>IFERROR(__xludf.DUMMYFUNCTION("""COMPUTED_VALUE"""),17.06)</f>
        <v>17.06</v>
      </c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>
      <c r="A947" s="22">
        <f>IFERROR(__xludf.DUMMYFUNCTION("""COMPUTED_VALUE"""),43332.66666666667)</f>
        <v>43332.66667</v>
      </c>
      <c r="B947" s="23">
        <f>IFERROR(__xludf.DUMMYFUNCTION("""COMPUTED_VALUE"""),71.15)</f>
        <v>71.15</v>
      </c>
      <c r="C947" s="22">
        <f>IFERROR(__xludf.DUMMYFUNCTION("""COMPUTED_VALUE"""),44586.66666666667)</f>
        <v>44586.66667</v>
      </c>
      <c r="D947" s="23">
        <f>IFERROR(__xludf.DUMMYFUNCTION("""COMPUTED_VALUE"""),117.86)</f>
        <v>117.86</v>
      </c>
      <c r="E947" s="22">
        <f>IFERROR(__xludf.DUMMYFUNCTION("""COMPUTED_VALUE"""),43514.66666666667)</f>
        <v>43514.66667</v>
      </c>
      <c r="F947" s="23">
        <f>IFERROR(__xludf.DUMMYFUNCTION("""COMPUTED_VALUE"""),17.11)</f>
        <v>17.11</v>
      </c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>
      <c r="A948" s="22">
        <f>IFERROR(__xludf.DUMMYFUNCTION("""COMPUTED_VALUE"""),43333.66666666667)</f>
        <v>43333.66667</v>
      </c>
      <c r="B948" s="23">
        <f>IFERROR(__xludf.DUMMYFUNCTION("""COMPUTED_VALUE"""),71.08)</f>
        <v>71.08</v>
      </c>
      <c r="C948" s="22">
        <f>IFERROR(__xludf.DUMMYFUNCTION("""COMPUTED_VALUE"""),44588.66666666667)</f>
        <v>44588.66667</v>
      </c>
      <c r="D948" s="23">
        <f>IFERROR(__xludf.DUMMYFUNCTION("""COMPUTED_VALUE"""),115.89)</f>
        <v>115.89</v>
      </c>
      <c r="E948" s="22">
        <f>IFERROR(__xludf.DUMMYFUNCTION("""COMPUTED_VALUE"""),43515.66666666667)</f>
        <v>43515.66667</v>
      </c>
      <c r="F948" s="23">
        <f>IFERROR(__xludf.DUMMYFUNCTION("""COMPUTED_VALUE"""),17.21)</f>
        <v>17.21</v>
      </c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>
      <c r="A949" s="22">
        <f>IFERROR(__xludf.DUMMYFUNCTION("""COMPUTED_VALUE"""),43334.66666666667)</f>
        <v>43334.66667</v>
      </c>
      <c r="B949" s="23">
        <f>IFERROR(__xludf.DUMMYFUNCTION("""COMPUTED_VALUE"""),71.1)</f>
        <v>71.1</v>
      </c>
      <c r="C949" s="22">
        <f>IFERROR(__xludf.DUMMYFUNCTION("""COMPUTED_VALUE"""),44589.66666666667)</f>
        <v>44589.66667</v>
      </c>
      <c r="D949" s="23">
        <f>IFERROR(__xludf.DUMMYFUNCTION("""COMPUTED_VALUE"""),118.32)</f>
        <v>118.32</v>
      </c>
      <c r="E949" s="22">
        <f>IFERROR(__xludf.DUMMYFUNCTION("""COMPUTED_VALUE"""),43516.66666666667)</f>
        <v>43516.66667</v>
      </c>
      <c r="F949" s="23">
        <f>IFERROR(__xludf.DUMMYFUNCTION("""COMPUTED_VALUE"""),17.06)</f>
        <v>17.06</v>
      </c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>
      <c r="A950" s="22">
        <f>IFERROR(__xludf.DUMMYFUNCTION("""COMPUTED_VALUE"""),43335.66666666667)</f>
        <v>43335.66667</v>
      </c>
      <c r="B950" s="23">
        <f>IFERROR(__xludf.DUMMYFUNCTION("""COMPUTED_VALUE"""),71.78)</f>
        <v>71.78</v>
      </c>
      <c r="C950" s="22">
        <f>IFERROR(__xludf.DUMMYFUNCTION("""COMPUTED_VALUE"""),44592.66666666667)</f>
        <v>44592.66667</v>
      </c>
      <c r="D950" s="23">
        <f>IFERROR(__xludf.DUMMYFUNCTION("""COMPUTED_VALUE"""),118.02)</f>
        <v>118.02</v>
      </c>
      <c r="E950" s="22">
        <f>IFERROR(__xludf.DUMMYFUNCTION("""COMPUTED_VALUE"""),43517.66666666667)</f>
        <v>43517.66667</v>
      </c>
      <c r="F950" s="23">
        <f>IFERROR(__xludf.DUMMYFUNCTION("""COMPUTED_VALUE"""),17.16)</f>
        <v>17.16</v>
      </c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>
      <c r="A951" s="22">
        <f>IFERROR(__xludf.DUMMYFUNCTION("""COMPUTED_VALUE"""),43336.66666666667)</f>
        <v>43336.66667</v>
      </c>
      <c r="B951" s="23">
        <f>IFERROR(__xludf.DUMMYFUNCTION("""COMPUTED_VALUE"""),71.96)</f>
        <v>71.96</v>
      </c>
      <c r="C951" s="22">
        <f>IFERROR(__xludf.DUMMYFUNCTION("""COMPUTED_VALUE"""),44593.66666666667)</f>
        <v>44593.66667</v>
      </c>
      <c r="D951" s="23">
        <f>IFERROR(__xludf.DUMMYFUNCTION("""COMPUTED_VALUE"""),118.57)</f>
        <v>118.57</v>
      </c>
      <c r="E951" s="22">
        <f>IFERROR(__xludf.DUMMYFUNCTION("""COMPUTED_VALUE"""),43518.66666666667)</f>
        <v>43518.66667</v>
      </c>
      <c r="F951" s="23">
        <f>IFERROR(__xludf.DUMMYFUNCTION("""COMPUTED_VALUE"""),17.14)</f>
        <v>17.14</v>
      </c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>
      <c r="A952" s="22">
        <f>IFERROR(__xludf.DUMMYFUNCTION("""COMPUTED_VALUE"""),43339.66666666667)</f>
        <v>43339.66667</v>
      </c>
      <c r="B952" s="23">
        <f>IFERROR(__xludf.DUMMYFUNCTION("""COMPUTED_VALUE"""),72.49)</f>
        <v>72.49</v>
      </c>
      <c r="C952" s="22">
        <f>IFERROR(__xludf.DUMMYFUNCTION("""COMPUTED_VALUE"""),44594.66666666667)</f>
        <v>44594.66667</v>
      </c>
      <c r="D952" s="23">
        <f>IFERROR(__xludf.DUMMYFUNCTION("""COMPUTED_VALUE"""),119.9)</f>
        <v>119.9</v>
      </c>
      <c r="E952" s="22">
        <f>IFERROR(__xludf.DUMMYFUNCTION("""COMPUTED_VALUE"""),43521.66666666667)</f>
        <v>43521.66667</v>
      </c>
      <c r="F952" s="23">
        <f>IFERROR(__xludf.DUMMYFUNCTION("""COMPUTED_VALUE"""),17.24)</f>
        <v>17.24</v>
      </c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>
      <c r="A953" s="22">
        <f>IFERROR(__xludf.DUMMYFUNCTION("""COMPUTED_VALUE"""),43340.66666666667)</f>
        <v>43340.66667</v>
      </c>
      <c r="B953" s="23">
        <f>IFERROR(__xludf.DUMMYFUNCTION("""COMPUTED_VALUE"""),72.47)</f>
        <v>72.47</v>
      </c>
      <c r="C953" s="22">
        <f>IFERROR(__xludf.DUMMYFUNCTION("""COMPUTED_VALUE"""),44595.66666666667)</f>
        <v>44595.66667</v>
      </c>
      <c r="D953" s="23">
        <f>IFERROR(__xludf.DUMMYFUNCTION("""COMPUTED_VALUE"""),119.8)</f>
        <v>119.8</v>
      </c>
      <c r="E953" s="22">
        <f>IFERROR(__xludf.DUMMYFUNCTION("""COMPUTED_VALUE"""),43522.66666666667)</f>
        <v>43522.66667</v>
      </c>
      <c r="F953" s="23">
        <f>IFERROR(__xludf.DUMMYFUNCTION("""COMPUTED_VALUE"""),17.15)</f>
        <v>17.15</v>
      </c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>
      <c r="A954" s="22">
        <f>IFERROR(__xludf.DUMMYFUNCTION("""COMPUTED_VALUE"""),43341.66666666667)</f>
        <v>43341.66667</v>
      </c>
      <c r="B954" s="23">
        <f>IFERROR(__xludf.DUMMYFUNCTION("""COMPUTED_VALUE"""),72.82)</f>
        <v>72.82</v>
      </c>
      <c r="C954" s="22">
        <f>IFERROR(__xludf.DUMMYFUNCTION("""COMPUTED_VALUE"""),44596.66666666667)</f>
        <v>44596.66667</v>
      </c>
      <c r="D954" s="23">
        <f>IFERROR(__xludf.DUMMYFUNCTION("""COMPUTED_VALUE"""),120.2)</f>
        <v>120.2</v>
      </c>
      <c r="E954" s="22">
        <f>IFERROR(__xludf.DUMMYFUNCTION("""COMPUTED_VALUE"""),43523.66666666667)</f>
        <v>43523.66667</v>
      </c>
      <c r="F954" s="23">
        <f>IFERROR(__xludf.DUMMYFUNCTION("""COMPUTED_VALUE"""),17.15)</f>
        <v>17.15</v>
      </c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>
      <c r="A955" s="22">
        <f>IFERROR(__xludf.DUMMYFUNCTION("""COMPUTED_VALUE"""),43342.66666666667)</f>
        <v>43342.66667</v>
      </c>
      <c r="B955" s="23">
        <f>IFERROR(__xludf.DUMMYFUNCTION("""COMPUTED_VALUE"""),73.23)</f>
        <v>73.23</v>
      </c>
      <c r="C955" s="22">
        <f>IFERROR(__xludf.DUMMYFUNCTION("""COMPUTED_VALUE"""),44599.66666666667)</f>
        <v>44599.66667</v>
      </c>
      <c r="D955" s="23">
        <f>IFERROR(__xludf.DUMMYFUNCTION("""COMPUTED_VALUE"""),120.45)</f>
        <v>120.45</v>
      </c>
      <c r="E955" s="22">
        <f>IFERROR(__xludf.DUMMYFUNCTION("""COMPUTED_VALUE"""),43524.66666666667)</f>
        <v>43524.66667</v>
      </c>
      <c r="F955" s="23">
        <f>IFERROR(__xludf.DUMMYFUNCTION("""COMPUTED_VALUE"""),17.23)</f>
        <v>17.23</v>
      </c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>
      <c r="A956" s="22">
        <f>IFERROR(__xludf.DUMMYFUNCTION("""COMPUTED_VALUE"""),43343.66666666667)</f>
        <v>43343.66667</v>
      </c>
      <c r="B956" s="23">
        <f>IFERROR(__xludf.DUMMYFUNCTION("""COMPUTED_VALUE"""),73.21)</f>
        <v>73.21</v>
      </c>
      <c r="C956" s="22">
        <f>IFERROR(__xludf.DUMMYFUNCTION("""COMPUTED_VALUE"""),44600.66666666667)</f>
        <v>44600.66667</v>
      </c>
      <c r="D956" s="23">
        <f>IFERROR(__xludf.DUMMYFUNCTION("""COMPUTED_VALUE"""),121.77)</f>
        <v>121.77</v>
      </c>
      <c r="E956" s="22">
        <f>IFERROR(__xludf.DUMMYFUNCTION("""COMPUTED_VALUE"""),43525.66666666667)</f>
        <v>43525.66667</v>
      </c>
      <c r="F956" s="23">
        <f>IFERROR(__xludf.DUMMYFUNCTION("""COMPUTED_VALUE"""),17.42)</f>
        <v>17.42</v>
      </c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>
      <c r="A957" s="22">
        <f>IFERROR(__xludf.DUMMYFUNCTION("""COMPUTED_VALUE"""),43346.66666666667)</f>
        <v>43346.66667</v>
      </c>
      <c r="B957" s="23">
        <f>IFERROR(__xludf.DUMMYFUNCTION("""COMPUTED_VALUE"""),73.51)</f>
        <v>73.51</v>
      </c>
      <c r="C957" s="22">
        <f>IFERROR(__xludf.DUMMYFUNCTION("""COMPUTED_VALUE"""),44601.66666666667)</f>
        <v>44601.66667</v>
      </c>
      <c r="D957" s="23">
        <f>IFERROR(__xludf.DUMMYFUNCTION("""COMPUTED_VALUE"""),123.2)</f>
        <v>123.2</v>
      </c>
      <c r="E957" s="22">
        <f>IFERROR(__xludf.DUMMYFUNCTION("""COMPUTED_VALUE"""),43528.66666666667)</f>
        <v>43528.66667</v>
      </c>
      <c r="F957" s="23">
        <f>IFERROR(__xludf.DUMMYFUNCTION("""COMPUTED_VALUE"""),17.59)</f>
        <v>17.59</v>
      </c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>
      <c r="A958" s="22">
        <f>IFERROR(__xludf.DUMMYFUNCTION("""COMPUTED_VALUE"""),43347.66666666667)</f>
        <v>43347.66667</v>
      </c>
      <c r="B958" s="23">
        <f>IFERROR(__xludf.DUMMYFUNCTION("""COMPUTED_VALUE"""),73.28)</f>
        <v>73.28</v>
      </c>
      <c r="C958" s="22">
        <f>IFERROR(__xludf.DUMMYFUNCTION("""COMPUTED_VALUE"""),44602.66666666667)</f>
        <v>44602.66667</v>
      </c>
      <c r="D958" s="23">
        <f>IFERROR(__xludf.DUMMYFUNCTION("""COMPUTED_VALUE"""),123.43)</f>
        <v>123.43</v>
      </c>
      <c r="E958" s="22">
        <f>IFERROR(__xludf.DUMMYFUNCTION("""COMPUTED_VALUE"""),43529.66666666667)</f>
        <v>43529.66667</v>
      </c>
      <c r="F958" s="23">
        <f>IFERROR(__xludf.DUMMYFUNCTION("""COMPUTED_VALUE"""),17.48)</f>
        <v>17.48</v>
      </c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>
      <c r="A959" s="22">
        <f>IFERROR(__xludf.DUMMYFUNCTION("""COMPUTED_VALUE"""),43348.66666666667)</f>
        <v>43348.66667</v>
      </c>
      <c r="B959" s="23">
        <f>IFERROR(__xludf.DUMMYFUNCTION("""COMPUTED_VALUE"""),73.3)</f>
        <v>73.3</v>
      </c>
      <c r="C959" s="22">
        <f>IFERROR(__xludf.DUMMYFUNCTION("""COMPUTED_VALUE"""),44603.66666666667)</f>
        <v>44603.66667</v>
      </c>
      <c r="D959" s="23">
        <f>IFERROR(__xludf.DUMMYFUNCTION("""COMPUTED_VALUE"""),122.18)</f>
        <v>122.18</v>
      </c>
      <c r="E959" s="22">
        <f>IFERROR(__xludf.DUMMYFUNCTION("""COMPUTED_VALUE"""),43530.66666666667)</f>
        <v>43530.66667</v>
      </c>
      <c r="F959" s="23">
        <f>IFERROR(__xludf.DUMMYFUNCTION("""COMPUTED_VALUE"""),17.6)</f>
        <v>17.6</v>
      </c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>
      <c r="A960" s="22">
        <f>IFERROR(__xludf.DUMMYFUNCTION("""COMPUTED_VALUE"""),43349.66666666667)</f>
        <v>43349.66667</v>
      </c>
      <c r="B960" s="23">
        <f>IFERROR(__xludf.DUMMYFUNCTION("""COMPUTED_VALUE"""),73.0)</f>
        <v>73</v>
      </c>
      <c r="C960" s="22">
        <f>IFERROR(__xludf.DUMMYFUNCTION("""COMPUTED_VALUE"""),44606.66666666667)</f>
        <v>44606.66667</v>
      </c>
      <c r="D960" s="23">
        <f>IFERROR(__xludf.DUMMYFUNCTION("""COMPUTED_VALUE"""),122.65)</f>
        <v>122.65</v>
      </c>
      <c r="E960" s="22">
        <f>IFERROR(__xludf.DUMMYFUNCTION("""COMPUTED_VALUE"""),43531.66666666667)</f>
        <v>43531.66667</v>
      </c>
      <c r="F960" s="23">
        <f>IFERROR(__xludf.DUMMYFUNCTION("""COMPUTED_VALUE"""),17.45)</f>
        <v>17.45</v>
      </c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>
      <c r="A961" s="22">
        <f>IFERROR(__xludf.DUMMYFUNCTION("""COMPUTED_VALUE"""),43350.66666666667)</f>
        <v>43350.66667</v>
      </c>
      <c r="B961" s="23">
        <f>IFERROR(__xludf.DUMMYFUNCTION("""COMPUTED_VALUE"""),72.92)</f>
        <v>72.92</v>
      </c>
      <c r="C961" s="22">
        <f>IFERROR(__xludf.DUMMYFUNCTION("""COMPUTED_VALUE"""),44607.66666666667)</f>
        <v>44607.66667</v>
      </c>
      <c r="D961" s="23">
        <f>IFERROR(__xludf.DUMMYFUNCTION("""COMPUTED_VALUE"""),122.2)</f>
        <v>122.2</v>
      </c>
      <c r="E961" s="22">
        <f>IFERROR(__xludf.DUMMYFUNCTION("""COMPUTED_VALUE"""),43532.66666666667)</f>
        <v>43532.66667</v>
      </c>
      <c r="F961" s="23">
        <f>IFERROR(__xludf.DUMMYFUNCTION("""COMPUTED_VALUE"""),17.32)</f>
        <v>17.32</v>
      </c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>
      <c r="A962" s="22">
        <f>IFERROR(__xludf.DUMMYFUNCTION("""COMPUTED_VALUE"""),43353.66666666667)</f>
        <v>43353.66667</v>
      </c>
      <c r="B962" s="23">
        <f>IFERROR(__xludf.DUMMYFUNCTION("""COMPUTED_VALUE"""),73.27)</f>
        <v>73.27</v>
      </c>
      <c r="C962" s="22">
        <f>IFERROR(__xludf.DUMMYFUNCTION("""COMPUTED_VALUE"""),44608.66666666667)</f>
        <v>44608.66667</v>
      </c>
      <c r="D962" s="23">
        <f>IFERROR(__xludf.DUMMYFUNCTION("""COMPUTED_VALUE"""),123.69)</f>
        <v>123.69</v>
      </c>
      <c r="E962" s="22">
        <f>IFERROR(__xludf.DUMMYFUNCTION("""COMPUTED_VALUE"""),43535.66666666667)</f>
        <v>43535.66667</v>
      </c>
      <c r="F962" s="23">
        <f>IFERROR(__xludf.DUMMYFUNCTION("""COMPUTED_VALUE"""),17.3)</f>
        <v>17.3</v>
      </c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>
      <c r="A963" s="22">
        <f>IFERROR(__xludf.DUMMYFUNCTION("""COMPUTED_VALUE"""),43354.66666666667)</f>
        <v>43354.66667</v>
      </c>
      <c r="B963" s="23">
        <f>IFERROR(__xludf.DUMMYFUNCTION("""COMPUTED_VALUE"""),73.61)</f>
        <v>73.61</v>
      </c>
      <c r="C963" s="22">
        <f>IFERROR(__xludf.DUMMYFUNCTION("""COMPUTED_VALUE"""),44609.66666666667)</f>
        <v>44609.66667</v>
      </c>
      <c r="D963" s="23">
        <f>IFERROR(__xludf.DUMMYFUNCTION("""COMPUTED_VALUE"""),123.71)</f>
        <v>123.71</v>
      </c>
      <c r="E963" s="22">
        <f>IFERROR(__xludf.DUMMYFUNCTION("""COMPUTED_VALUE"""),43536.66666666667)</f>
        <v>43536.66667</v>
      </c>
      <c r="F963" s="23">
        <f>IFERROR(__xludf.DUMMYFUNCTION("""COMPUTED_VALUE"""),17.63)</f>
        <v>17.63</v>
      </c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>
      <c r="A964" s="22">
        <f>IFERROR(__xludf.DUMMYFUNCTION("""COMPUTED_VALUE"""),43355.66666666667)</f>
        <v>43355.66667</v>
      </c>
      <c r="B964" s="23">
        <f>IFERROR(__xludf.DUMMYFUNCTION("""COMPUTED_VALUE"""),73.73)</f>
        <v>73.73</v>
      </c>
      <c r="C964" s="22">
        <f>IFERROR(__xludf.DUMMYFUNCTION("""COMPUTED_VALUE"""),44610.66666666667)</f>
        <v>44610.66667</v>
      </c>
      <c r="D964" s="23">
        <f>IFERROR(__xludf.DUMMYFUNCTION("""COMPUTED_VALUE"""),122.66)</f>
        <v>122.66</v>
      </c>
      <c r="E964" s="22">
        <f>IFERROR(__xludf.DUMMYFUNCTION("""COMPUTED_VALUE"""),43537.66666666667)</f>
        <v>43537.66667</v>
      </c>
      <c r="F964" s="23">
        <f>IFERROR(__xludf.DUMMYFUNCTION("""COMPUTED_VALUE"""),17.67)</f>
        <v>17.67</v>
      </c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>
      <c r="A965" s="22">
        <f>IFERROR(__xludf.DUMMYFUNCTION("""COMPUTED_VALUE"""),43356.66666666667)</f>
        <v>43356.66667</v>
      </c>
      <c r="B965" s="23">
        <f>IFERROR(__xludf.DUMMYFUNCTION("""COMPUTED_VALUE"""),73.06)</f>
        <v>73.06</v>
      </c>
      <c r="C965" s="22">
        <f>IFERROR(__xludf.DUMMYFUNCTION("""COMPUTED_VALUE"""),44613.66666666667)</f>
        <v>44613.66667</v>
      </c>
      <c r="D965" s="23">
        <f>IFERROR(__xludf.DUMMYFUNCTION("""COMPUTED_VALUE"""),122.93)</f>
        <v>122.93</v>
      </c>
      <c r="E965" s="22">
        <f>IFERROR(__xludf.DUMMYFUNCTION("""COMPUTED_VALUE"""),43538.66666666667)</f>
        <v>43538.66667</v>
      </c>
      <c r="F965" s="23">
        <f>IFERROR(__xludf.DUMMYFUNCTION("""COMPUTED_VALUE"""),17.78)</f>
        <v>17.78</v>
      </c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>
      <c r="A966" s="22">
        <f>IFERROR(__xludf.DUMMYFUNCTION("""COMPUTED_VALUE"""),43357.66666666667)</f>
        <v>43357.66667</v>
      </c>
      <c r="B966" s="23">
        <f>IFERROR(__xludf.DUMMYFUNCTION("""COMPUTED_VALUE"""),73.5)</f>
        <v>73.5</v>
      </c>
      <c r="C966" s="22">
        <f>IFERROR(__xludf.DUMMYFUNCTION("""COMPUTED_VALUE"""),44614.66666666667)</f>
        <v>44614.66667</v>
      </c>
      <c r="D966" s="23">
        <f>IFERROR(__xludf.DUMMYFUNCTION("""COMPUTED_VALUE"""),121.47)</f>
        <v>121.47</v>
      </c>
      <c r="E966" s="22">
        <f>IFERROR(__xludf.DUMMYFUNCTION("""COMPUTED_VALUE"""),43539.66666666667)</f>
        <v>43539.66667</v>
      </c>
      <c r="F966" s="23">
        <f>IFERROR(__xludf.DUMMYFUNCTION("""COMPUTED_VALUE"""),17.78)</f>
        <v>17.78</v>
      </c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>
      <c r="A967" s="22">
        <f>IFERROR(__xludf.DUMMYFUNCTION("""COMPUTED_VALUE"""),43360.66666666667)</f>
        <v>43360.66667</v>
      </c>
      <c r="B967" s="23">
        <f>IFERROR(__xludf.DUMMYFUNCTION("""COMPUTED_VALUE"""),73.65)</f>
        <v>73.65</v>
      </c>
      <c r="C967" s="22">
        <f>IFERROR(__xludf.DUMMYFUNCTION("""COMPUTED_VALUE"""),44615.66666666667)</f>
        <v>44615.66667</v>
      </c>
      <c r="D967" s="23">
        <f>IFERROR(__xludf.DUMMYFUNCTION("""COMPUTED_VALUE"""),122.2)</f>
        <v>122.2</v>
      </c>
      <c r="E967" s="22">
        <f>IFERROR(__xludf.DUMMYFUNCTION("""COMPUTED_VALUE"""),43542.66666666667)</f>
        <v>43542.66667</v>
      </c>
      <c r="F967" s="23">
        <f>IFERROR(__xludf.DUMMYFUNCTION("""COMPUTED_VALUE"""),17.82)</f>
        <v>17.82</v>
      </c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>
      <c r="A968" s="22">
        <f>IFERROR(__xludf.DUMMYFUNCTION("""COMPUTED_VALUE"""),43361.66666666667)</f>
        <v>43361.66667</v>
      </c>
      <c r="B968" s="23">
        <f>IFERROR(__xludf.DUMMYFUNCTION("""COMPUTED_VALUE"""),73.14)</f>
        <v>73.14</v>
      </c>
      <c r="C968" s="22">
        <f>IFERROR(__xludf.DUMMYFUNCTION("""COMPUTED_VALUE"""),44616.66666666667)</f>
        <v>44616.66667</v>
      </c>
      <c r="D968" s="23">
        <f>IFERROR(__xludf.DUMMYFUNCTION("""COMPUTED_VALUE"""),119.63)</f>
        <v>119.63</v>
      </c>
      <c r="E968" s="22">
        <f>IFERROR(__xludf.DUMMYFUNCTION("""COMPUTED_VALUE"""),43543.66666666667)</f>
        <v>43543.66667</v>
      </c>
      <c r="F968" s="23">
        <f>IFERROR(__xludf.DUMMYFUNCTION("""COMPUTED_VALUE"""),17.9)</f>
        <v>17.9</v>
      </c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>
      <c r="A969" s="22">
        <f>IFERROR(__xludf.DUMMYFUNCTION("""COMPUTED_VALUE"""),43362.66666666667)</f>
        <v>43362.66667</v>
      </c>
      <c r="B969" s="23">
        <f>IFERROR(__xludf.DUMMYFUNCTION("""COMPUTED_VALUE"""),73.29)</f>
        <v>73.29</v>
      </c>
      <c r="C969" s="22">
        <f>IFERROR(__xludf.DUMMYFUNCTION("""COMPUTED_VALUE"""),44617.66666666667)</f>
        <v>44617.66667</v>
      </c>
      <c r="D969" s="23">
        <f>IFERROR(__xludf.DUMMYFUNCTION("""COMPUTED_VALUE"""),119.58)</f>
        <v>119.58</v>
      </c>
      <c r="E969" s="22">
        <f>IFERROR(__xludf.DUMMYFUNCTION("""COMPUTED_VALUE"""),43544.66666666667)</f>
        <v>43544.66667</v>
      </c>
      <c r="F969" s="23">
        <f>IFERROR(__xludf.DUMMYFUNCTION("""COMPUTED_VALUE"""),17.97)</f>
        <v>17.97</v>
      </c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>
      <c r="A970" s="22">
        <f>IFERROR(__xludf.DUMMYFUNCTION("""COMPUTED_VALUE"""),43363.66666666667)</f>
        <v>43363.66667</v>
      </c>
      <c r="B970" s="23">
        <f>IFERROR(__xludf.DUMMYFUNCTION("""COMPUTED_VALUE"""),73.13)</f>
        <v>73.13</v>
      </c>
      <c r="C970" s="22">
        <f>IFERROR(__xludf.DUMMYFUNCTION("""COMPUTED_VALUE"""),44620.66666666667)</f>
        <v>44620.66667</v>
      </c>
      <c r="D970" s="23">
        <f>IFERROR(__xludf.DUMMYFUNCTION("""COMPUTED_VALUE"""),120.52)</f>
        <v>120.52</v>
      </c>
      <c r="E970" s="22">
        <f>IFERROR(__xludf.DUMMYFUNCTION("""COMPUTED_VALUE"""),43545.66666666667)</f>
        <v>43545.66667</v>
      </c>
      <c r="F970" s="23">
        <f>IFERROR(__xludf.DUMMYFUNCTION("""COMPUTED_VALUE"""),17.95)</f>
        <v>17.95</v>
      </c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>
      <c r="A971" s="22">
        <f>IFERROR(__xludf.DUMMYFUNCTION("""COMPUTED_VALUE"""),43364.66666666667)</f>
        <v>43364.66667</v>
      </c>
      <c r="B971" s="23">
        <f>IFERROR(__xludf.DUMMYFUNCTION("""COMPUTED_VALUE"""),73.59)</f>
        <v>73.59</v>
      </c>
      <c r="C971" s="22">
        <f>IFERROR(__xludf.DUMMYFUNCTION("""COMPUTED_VALUE"""),44621.66666666667)</f>
        <v>44621.66667</v>
      </c>
      <c r="D971" s="23">
        <f>IFERROR(__xludf.DUMMYFUNCTION("""COMPUTED_VALUE"""),121.31)</f>
        <v>121.31</v>
      </c>
      <c r="E971" s="22">
        <f>IFERROR(__xludf.DUMMYFUNCTION("""COMPUTED_VALUE"""),43546.66666666667)</f>
        <v>43546.66667</v>
      </c>
      <c r="F971" s="23">
        <f>IFERROR(__xludf.DUMMYFUNCTION("""COMPUTED_VALUE"""),18.26)</f>
        <v>18.26</v>
      </c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>
      <c r="A972" s="22">
        <f>IFERROR(__xludf.DUMMYFUNCTION("""COMPUTED_VALUE"""),43367.66666666667)</f>
        <v>43367.66667</v>
      </c>
      <c r="B972" s="23">
        <f>IFERROR(__xludf.DUMMYFUNCTION("""COMPUTED_VALUE"""),73.58)</f>
        <v>73.58</v>
      </c>
      <c r="C972" s="22">
        <f>IFERROR(__xludf.DUMMYFUNCTION("""COMPUTED_VALUE"""),44622.66666666667)</f>
        <v>44622.66667</v>
      </c>
      <c r="D972" s="23">
        <f>IFERROR(__xludf.DUMMYFUNCTION("""COMPUTED_VALUE"""),121.57)</f>
        <v>121.57</v>
      </c>
      <c r="E972" s="22">
        <f>IFERROR(__xludf.DUMMYFUNCTION("""COMPUTED_VALUE"""),43549.66666666667)</f>
        <v>43549.66667</v>
      </c>
      <c r="F972" s="23">
        <f>IFERROR(__xludf.DUMMYFUNCTION("""COMPUTED_VALUE"""),17.82)</f>
        <v>17.82</v>
      </c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>
      <c r="A973" s="22">
        <f>IFERROR(__xludf.DUMMYFUNCTION("""COMPUTED_VALUE"""),43368.66666666667)</f>
        <v>43368.66667</v>
      </c>
      <c r="B973" s="23">
        <f>IFERROR(__xludf.DUMMYFUNCTION("""COMPUTED_VALUE"""),73.8)</f>
        <v>73.8</v>
      </c>
      <c r="C973" s="22">
        <f>IFERROR(__xludf.DUMMYFUNCTION("""COMPUTED_VALUE"""),44623.66666666667)</f>
        <v>44623.66667</v>
      </c>
      <c r="D973" s="23">
        <f>IFERROR(__xludf.DUMMYFUNCTION("""COMPUTED_VALUE"""),122.61)</f>
        <v>122.61</v>
      </c>
      <c r="E973" s="22">
        <f>IFERROR(__xludf.DUMMYFUNCTION("""COMPUTED_VALUE"""),43550.66666666667)</f>
        <v>43550.66667</v>
      </c>
      <c r="F973" s="23">
        <f>IFERROR(__xludf.DUMMYFUNCTION("""COMPUTED_VALUE"""),17.87)</f>
        <v>17.87</v>
      </c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>
      <c r="A974" s="22">
        <f>IFERROR(__xludf.DUMMYFUNCTION("""COMPUTED_VALUE"""),43369.66666666667)</f>
        <v>43369.66667</v>
      </c>
      <c r="B974" s="23">
        <f>IFERROR(__xludf.DUMMYFUNCTION("""COMPUTED_VALUE"""),73.8)</f>
        <v>73.8</v>
      </c>
      <c r="C974" s="22">
        <f>IFERROR(__xludf.DUMMYFUNCTION("""COMPUTED_VALUE"""),44624.66666666667)</f>
        <v>44624.66667</v>
      </c>
      <c r="D974" s="23">
        <f>IFERROR(__xludf.DUMMYFUNCTION("""COMPUTED_VALUE"""),121.73)</f>
        <v>121.73</v>
      </c>
      <c r="E974" s="22">
        <f>IFERROR(__xludf.DUMMYFUNCTION("""COMPUTED_VALUE"""),43551.66666666667)</f>
        <v>43551.66667</v>
      </c>
      <c r="F974" s="23">
        <f>IFERROR(__xludf.DUMMYFUNCTION("""COMPUTED_VALUE"""),17.96)</f>
        <v>17.96</v>
      </c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>
      <c r="A975" s="22">
        <f>IFERROR(__xludf.DUMMYFUNCTION("""COMPUTED_VALUE"""),43370.66666666667)</f>
        <v>43370.66667</v>
      </c>
      <c r="B975" s="23">
        <f>IFERROR(__xludf.DUMMYFUNCTION("""COMPUTED_VALUE"""),73.63)</f>
        <v>73.63</v>
      </c>
      <c r="C975" s="22">
        <f>IFERROR(__xludf.DUMMYFUNCTION("""COMPUTED_VALUE"""),44627.66666666667)</f>
        <v>44627.66667</v>
      </c>
      <c r="D975" s="23">
        <f>IFERROR(__xludf.DUMMYFUNCTION("""COMPUTED_VALUE"""),120.97)</f>
        <v>120.97</v>
      </c>
      <c r="E975" s="22">
        <f>IFERROR(__xludf.DUMMYFUNCTION("""COMPUTED_VALUE"""),43552.66666666667)</f>
        <v>43552.66667</v>
      </c>
      <c r="F975" s="23">
        <f>IFERROR(__xludf.DUMMYFUNCTION("""COMPUTED_VALUE"""),17.79)</f>
        <v>17.79</v>
      </c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>
      <c r="A976" s="22">
        <f>IFERROR(__xludf.DUMMYFUNCTION("""COMPUTED_VALUE"""),43371.66666666667)</f>
        <v>43371.66667</v>
      </c>
      <c r="B976" s="23">
        <f>IFERROR(__xludf.DUMMYFUNCTION("""COMPUTED_VALUE"""),74.16)</f>
        <v>74.16</v>
      </c>
      <c r="C976" s="22">
        <f>IFERROR(__xludf.DUMMYFUNCTION("""COMPUTED_VALUE"""),44628.66666666667)</f>
        <v>44628.66667</v>
      </c>
      <c r="D976" s="23">
        <f>IFERROR(__xludf.DUMMYFUNCTION("""COMPUTED_VALUE"""),119.9)</f>
        <v>119.9</v>
      </c>
      <c r="E976" s="22">
        <f>IFERROR(__xludf.DUMMYFUNCTION("""COMPUTED_VALUE"""),43553.66666666667)</f>
        <v>43553.66667</v>
      </c>
      <c r="F976" s="23">
        <f>IFERROR(__xludf.DUMMYFUNCTION("""COMPUTED_VALUE"""),17.96)</f>
        <v>17.96</v>
      </c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>
      <c r="A977" s="22">
        <f>IFERROR(__xludf.DUMMYFUNCTION("""COMPUTED_VALUE"""),43374.66666666667)</f>
        <v>43374.66667</v>
      </c>
      <c r="B977" s="23">
        <f>IFERROR(__xludf.DUMMYFUNCTION("""COMPUTED_VALUE"""),73.94)</f>
        <v>73.94</v>
      </c>
      <c r="C977" s="22">
        <f>IFERROR(__xludf.DUMMYFUNCTION("""COMPUTED_VALUE"""),44629.66666666667)</f>
        <v>44629.66667</v>
      </c>
      <c r="D977" s="23">
        <f>IFERROR(__xludf.DUMMYFUNCTION("""COMPUTED_VALUE"""),121.16)</f>
        <v>121.16</v>
      </c>
      <c r="E977" s="22">
        <f>IFERROR(__xludf.DUMMYFUNCTION("""COMPUTED_VALUE"""),43556.66666666667)</f>
        <v>43556.66667</v>
      </c>
      <c r="F977" s="23">
        <f>IFERROR(__xludf.DUMMYFUNCTION("""COMPUTED_VALUE"""),18.13)</f>
        <v>18.13</v>
      </c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>
      <c r="A978" s="22">
        <f>IFERROR(__xludf.DUMMYFUNCTION("""COMPUTED_VALUE"""),43375.66666666667)</f>
        <v>43375.66667</v>
      </c>
      <c r="B978" s="23">
        <f>IFERROR(__xludf.DUMMYFUNCTION("""COMPUTED_VALUE"""),73.66)</f>
        <v>73.66</v>
      </c>
      <c r="C978" s="22">
        <f>IFERROR(__xludf.DUMMYFUNCTION("""COMPUTED_VALUE"""),44630.66666666667)</f>
        <v>44630.66667</v>
      </c>
      <c r="D978" s="23">
        <f>IFERROR(__xludf.DUMMYFUNCTION("""COMPUTED_VALUE"""),122.49)</f>
        <v>122.49</v>
      </c>
      <c r="E978" s="22">
        <f>IFERROR(__xludf.DUMMYFUNCTION("""COMPUTED_VALUE"""),43557.66666666667)</f>
        <v>43557.66667</v>
      </c>
      <c r="F978" s="23">
        <f>IFERROR(__xludf.DUMMYFUNCTION("""COMPUTED_VALUE"""),18.26)</f>
        <v>18.26</v>
      </c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>
      <c r="A979" s="22">
        <f>IFERROR(__xludf.DUMMYFUNCTION("""COMPUTED_VALUE"""),43376.66666666667)</f>
        <v>43376.66667</v>
      </c>
      <c r="B979" s="23">
        <f>IFERROR(__xludf.DUMMYFUNCTION("""COMPUTED_VALUE"""),74.05)</f>
        <v>74.05</v>
      </c>
      <c r="C979" s="22">
        <f>IFERROR(__xludf.DUMMYFUNCTION("""COMPUTED_VALUE"""),44631.66666666667)</f>
        <v>44631.66667</v>
      </c>
      <c r="D979" s="23">
        <f>IFERROR(__xludf.DUMMYFUNCTION("""COMPUTED_VALUE"""),121.44)</f>
        <v>121.44</v>
      </c>
      <c r="E979" s="22">
        <f>IFERROR(__xludf.DUMMYFUNCTION("""COMPUTED_VALUE"""),43558.66666666667)</f>
        <v>43558.66667</v>
      </c>
      <c r="F979" s="23">
        <f>IFERROR(__xludf.DUMMYFUNCTION("""COMPUTED_VALUE"""),18.39)</f>
        <v>18.39</v>
      </c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>
      <c r="A980" s="22">
        <f>IFERROR(__xludf.DUMMYFUNCTION("""COMPUTED_VALUE"""),43377.66666666667)</f>
        <v>43377.66667</v>
      </c>
      <c r="B980" s="23">
        <f>IFERROR(__xludf.DUMMYFUNCTION("""COMPUTED_VALUE"""),74.6)</f>
        <v>74.6</v>
      </c>
      <c r="C980" s="22">
        <f>IFERROR(__xludf.DUMMYFUNCTION("""COMPUTED_VALUE"""),44634.66666666667)</f>
        <v>44634.66667</v>
      </c>
      <c r="D980" s="23">
        <f>IFERROR(__xludf.DUMMYFUNCTION("""COMPUTED_VALUE"""),122.81)</f>
        <v>122.81</v>
      </c>
      <c r="E980" s="22">
        <f>IFERROR(__xludf.DUMMYFUNCTION("""COMPUTED_VALUE"""),43559.66666666667)</f>
        <v>43559.66667</v>
      </c>
      <c r="F980" s="23">
        <f>IFERROR(__xludf.DUMMYFUNCTION("""COMPUTED_VALUE"""),18.4)</f>
        <v>18.4</v>
      </c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>
      <c r="A981" s="22">
        <f>IFERROR(__xludf.DUMMYFUNCTION("""COMPUTED_VALUE"""),43378.66666666667)</f>
        <v>43378.66667</v>
      </c>
      <c r="B981" s="23">
        <f>IFERROR(__xludf.DUMMYFUNCTION("""COMPUTED_VALUE"""),74.48)</f>
        <v>74.48</v>
      </c>
      <c r="C981" s="22">
        <f>IFERROR(__xludf.DUMMYFUNCTION("""COMPUTED_VALUE"""),44635.66666666667)</f>
        <v>44635.66667</v>
      </c>
      <c r="D981" s="23">
        <f>IFERROR(__xludf.DUMMYFUNCTION("""COMPUTED_VALUE"""),122.15)</f>
        <v>122.15</v>
      </c>
      <c r="E981" s="22">
        <f>IFERROR(__xludf.DUMMYFUNCTION("""COMPUTED_VALUE"""),43560.66666666667)</f>
        <v>43560.66667</v>
      </c>
      <c r="F981" s="23">
        <f>IFERROR(__xludf.DUMMYFUNCTION("""COMPUTED_VALUE"""),18.36)</f>
        <v>18.36</v>
      </c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>
      <c r="A982" s="22">
        <f>IFERROR(__xludf.DUMMYFUNCTION("""COMPUTED_VALUE"""),43381.66666666667)</f>
        <v>43381.66667</v>
      </c>
      <c r="B982" s="23">
        <f>IFERROR(__xludf.DUMMYFUNCTION("""COMPUTED_VALUE"""),74.15)</f>
        <v>74.15</v>
      </c>
      <c r="C982" s="22">
        <f>IFERROR(__xludf.DUMMYFUNCTION("""COMPUTED_VALUE"""),44636.66666666667)</f>
        <v>44636.66667</v>
      </c>
      <c r="D982" s="23">
        <f>IFERROR(__xludf.DUMMYFUNCTION("""COMPUTED_VALUE"""),123.5)</f>
        <v>123.5</v>
      </c>
      <c r="E982" s="22">
        <f>IFERROR(__xludf.DUMMYFUNCTION("""COMPUTED_VALUE"""),43563.66666666667)</f>
        <v>43563.66667</v>
      </c>
      <c r="F982" s="23">
        <f>IFERROR(__xludf.DUMMYFUNCTION("""COMPUTED_VALUE"""),18.48)</f>
        <v>18.48</v>
      </c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>
      <c r="A983" s="22">
        <f>IFERROR(__xludf.DUMMYFUNCTION("""COMPUTED_VALUE"""),43382.66666666667)</f>
        <v>43382.66667</v>
      </c>
      <c r="B983" s="23">
        <f>IFERROR(__xludf.DUMMYFUNCTION("""COMPUTED_VALUE"""),73.59)</f>
        <v>73.59</v>
      </c>
      <c r="C983" s="22">
        <f>IFERROR(__xludf.DUMMYFUNCTION("""COMPUTED_VALUE"""),44637.66666666667)</f>
        <v>44637.66667</v>
      </c>
      <c r="D983" s="23">
        <f>IFERROR(__xludf.DUMMYFUNCTION("""COMPUTED_VALUE"""),124.78)</f>
        <v>124.78</v>
      </c>
      <c r="E983" s="22">
        <f>IFERROR(__xludf.DUMMYFUNCTION("""COMPUTED_VALUE"""),43564.66666666667)</f>
        <v>43564.66667</v>
      </c>
      <c r="F983" s="23">
        <f>IFERROR(__xludf.DUMMYFUNCTION("""COMPUTED_VALUE"""),18.42)</f>
        <v>18.42</v>
      </c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>
      <c r="A984" s="22">
        <f>IFERROR(__xludf.DUMMYFUNCTION("""COMPUTED_VALUE"""),43383.66666666667)</f>
        <v>43383.66667</v>
      </c>
      <c r="B984" s="23">
        <f>IFERROR(__xludf.DUMMYFUNCTION("""COMPUTED_VALUE"""),73.14)</f>
        <v>73.14</v>
      </c>
      <c r="C984" s="22">
        <f>IFERROR(__xludf.DUMMYFUNCTION("""COMPUTED_VALUE"""),44638.66666666667)</f>
        <v>44638.66667</v>
      </c>
      <c r="D984" s="23">
        <f>IFERROR(__xludf.DUMMYFUNCTION("""COMPUTED_VALUE"""),124.7)</f>
        <v>124.7</v>
      </c>
      <c r="E984" s="22">
        <f>IFERROR(__xludf.DUMMYFUNCTION("""COMPUTED_VALUE"""),43565.66666666667)</f>
        <v>43565.66667</v>
      </c>
      <c r="F984" s="23">
        <f>IFERROR(__xludf.DUMMYFUNCTION("""COMPUTED_VALUE"""),18.38)</f>
        <v>18.38</v>
      </c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>
      <c r="A985" s="22">
        <f>IFERROR(__xludf.DUMMYFUNCTION("""COMPUTED_VALUE"""),43384.66666666667)</f>
        <v>43384.66667</v>
      </c>
      <c r="B985" s="23">
        <f>IFERROR(__xludf.DUMMYFUNCTION("""COMPUTED_VALUE"""),70.82)</f>
        <v>70.82</v>
      </c>
      <c r="C985" s="22">
        <f>IFERROR(__xludf.DUMMYFUNCTION("""COMPUTED_VALUE"""),44641.66666666667)</f>
        <v>44641.66667</v>
      </c>
      <c r="D985" s="23">
        <f>IFERROR(__xludf.DUMMYFUNCTION("""COMPUTED_VALUE"""),125.14)</f>
        <v>125.14</v>
      </c>
      <c r="E985" s="22">
        <f>IFERROR(__xludf.DUMMYFUNCTION("""COMPUTED_VALUE"""),43566.66666666667)</f>
        <v>43566.66667</v>
      </c>
      <c r="F985" s="23">
        <f>IFERROR(__xludf.DUMMYFUNCTION("""COMPUTED_VALUE"""),18.43)</f>
        <v>18.43</v>
      </c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>
      <c r="A986" s="22">
        <f>IFERROR(__xludf.DUMMYFUNCTION("""COMPUTED_VALUE"""),43385.66666666667)</f>
        <v>43385.66667</v>
      </c>
      <c r="B986" s="23">
        <f>IFERROR(__xludf.DUMMYFUNCTION("""COMPUTED_VALUE"""),70.58)</f>
        <v>70.58</v>
      </c>
      <c r="C986" s="22">
        <f>IFERROR(__xludf.DUMMYFUNCTION("""COMPUTED_VALUE"""),44642.66666666667)</f>
        <v>44642.66667</v>
      </c>
      <c r="D986" s="23">
        <f>IFERROR(__xludf.DUMMYFUNCTION("""COMPUTED_VALUE"""),126.15)</f>
        <v>126.15</v>
      </c>
      <c r="E986" s="22">
        <f>IFERROR(__xludf.DUMMYFUNCTION("""COMPUTED_VALUE"""),43567.66666666667)</f>
        <v>43567.66667</v>
      </c>
      <c r="F986" s="23">
        <f>IFERROR(__xludf.DUMMYFUNCTION("""COMPUTED_VALUE"""),18.47)</f>
        <v>18.47</v>
      </c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>
      <c r="A987" s="22">
        <f>IFERROR(__xludf.DUMMYFUNCTION("""COMPUTED_VALUE"""),43388.66666666667)</f>
        <v>43388.66667</v>
      </c>
      <c r="B987" s="23">
        <f>IFERROR(__xludf.DUMMYFUNCTION("""COMPUTED_VALUE"""),70.37)</f>
        <v>70.37</v>
      </c>
      <c r="C987" s="22">
        <f>IFERROR(__xludf.DUMMYFUNCTION("""COMPUTED_VALUE"""),44643.66666666667)</f>
        <v>44643.66667</v>
      </c>
      <c r="D987" s="23">
        <f>IFERROR(__xludf.DUMMYFUNCTION("""COMPUTED_VALUE"""),126.75)</f>
        <v>126.75</v>
      </c>
      <c r="E987" s="22">
        <f>IFERROR(__xludf.DUMMYFUNCTION("""COMPUTED_VALUE"""),43570.66666666667)</f>
        <v>43570.66667</v>
      </c>
      <c r="F987" s="23">
        <f>IFERROR(__xludf.DUMMYFUNCTION("""COMPUTED_VALUE"""),18.43)</f>
        <v>18.43</v>
      </c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>
      <c r="A988" s="22">
        <f>IFERROR(__xludf.DUMMYFUNCTION("""COMPUTED_VALUE"""),43389.66666666667)</f>
        <v>43389.66667</v>
      </c>
      <c r="B988" s="23">
        <f>IFERROR(__xludf.DUMMYFUNCTION("""COMPUTED_VALUE"""),70.28)</f>
        <v>70.28</v>
      </c>
      <c r="C988" s="22">
        <f>IFERROR(__xludf.DUMMYFUNCTION("""COMPUTED_VALUE"""),44644.66666666667)</f>
        <v>44644.66667</v>
      </c>
      <c r="D988" s="23">
        <f>IFERROR(__xludf.DUMMYFUNCTION("""COMPUTED_VALUE"""),126.96)</f>
        <v>126.96</v>
      </c>
      <c r="E988" s="22">
        <f>IFERROR(__xludf.DUMMYFUNCTION("""COMPUTED_VALUE"""),43571.66666666667)</f>
        <v>43571.66667</v>
      </c>
      <c r="F988" s="23">
        <f>IFERROR(__xludf.DUMMYFUNCTION("""COMPUTED_VALUE"""),18.54)</f>
        <v>18.54</v>
      </c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>
      <c r="A989" s="22">
        <f>IFERROR(__xludf.DUMMYFUNCTION("""COMPUTED_VALUE"""),43390.66666666667)</f>
        <v>43390.66667</v>
      </c>
      <c r="B989" s="23">
        <f>IFERROR(__xludf.DUMMYFUNCTION("""COMPUTED_VALUE"""),71.41)</f>
        <v>71.41</v>
      </c>
      <c r="C989" s="22">
        <f>IFERROR(__xludf.DUMMYFUNCTION("""COMPUTED_VALUE"""),44645.66666666667)</f>
        <v>44645.66667</v>
      </c>
      <c r="D989" s="23">
        <f>IFERROR(__xludf.DUMMYFUNCTION("""COMPUTED_VALUE"""),127.25)</f>
        <v>127.25</v>
      </c>
      <c r="E989" s="22">
        <f>IFERROR(__xludf.DUMMYFUNCTION("""COMPUTED_VALUE"""),43572.66666666667)</f>
        <v>43572.66667</v>
      </c>
      <c r="F989" s="23">
        <f>IFERROR(__xludf.DUMMYFUNCTION("""COMPUTED_VALUE"""),18.47)</f>
        <v>18.47</v>
      </c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>
      <c r="A990" s="22">
        <f>IFERROR(__xludf.DUMMYFUNCTION("""COMPUTED_VALUE"""),43391.66666666667)</f>
        <v>43391.66667</v>
      </c>
      <c r="B990" s="23">
        <f>IFERROR(__xludf.DUMMYFUNCTION("""COMPUTED_VALUE"""),71.17)</f>
        <v>71.17</v>
      </c>
      <c r="C990" s="22">
        <f>IFERROR(__xludf.DUMMYFUNCTION("""COMPUTED_VALUE"""),44648.66666666667)</f>
        <v>44648.66667</v>
      </c>
      <c r="D990" s="23">
        <f>IFERROR(__xludf.DUMMYFUNCTION("""COMPUTED_VALUE"""),127.44)</f>
        <v>127.44</v>
      </c>
      <c r="E990" s="22">
        <f>IFERROR(__xludf.DUMMYFUNCTION("""COMPUTED_VALUE"""),43573.66666666667)</f>
        <v>43573.66667</v>
      </c>
      <c r="F990" s="23">
        <f>IFERROR(__xludf.DUMMYFUNCTION("""COMPUTED_VALUE"""),18.44)</f>
        <v>18.44</v>
      </c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>
      <c r="A991" s="22">
        <f>IFERROR(__xludf.DUMMYFUNCTION("""COMPUTED_VALUE"""),43392.66666666667)</f>
        <v>43392.66667</v>
      </c>
      <c r="B991" s="23">
        <f>IFERROR(__xludf.DUMMYFUNCTION("""COMPUTED_VALUE"""),70.7)</f>
        <v>70.7</v>
      </c>
      <c r="C991" s="22">
        <f>IFERROR(__xludf.DUMMYFUNCTION("""COMPUTED_VALUE"""),44649.66666666667)</f>
        <v>44649.66667</v>
      </c>
      <c r="D991" s="23">
        <f>IFERROR(__xludf.DUMMYFUNCTION("""COMPUTED_VALUE"""),128.34)</f>
        <v>128.34</v>
      </c>
      <c r="E991" s="22">
        <f>IFERROR(__xludf.DUMMYFUNCTION("""COMPUTED_VALUE"""),43578.66666666667)</f>
        <v>43578.66667</v>
      </c>
      <c r="F991" s="23">
        <f>IFERROR(__xludf.DUMMYFUNCTION("""COMPUTED_VALUE"""),18.81)</f>
        <v>18.81</v>
      </c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>
      <c r="A992" s="22">
        <f>IFERROR(__xludf.DUMMYFUNCTION("""COMPUTED_VALUE"""),43395.66666666667)</f>
        <v>43395.66667</v>
      </c>
      <c r="B992" s="23">
        <f>IFERROR(__xludf.DUMMYFUNCTION("""COMPUTED_VALUE"""),70.65)</f>
        <v>70.65</v>
      </c>
      <c r="C992" s="22">
        <f>IFERROR(__xludf.DUMMYFUNCTION("""COMPUTED_VALUE"""),44650.66666666667)</f>
        <v>44650.66667</v>
      </c>
      <c r="D992" s="23">
        <f>IFERROR(__xludf.DUMMYFUNCTION("""COMPUTED_VALUE"""),129.04)</f>
        <v>129.04</v>
      </c>
      <c r="E992" s="22">
        <f>IFERROR(__xludf.DUMMYFUNCTION("""COMPUTED_VALUE"""),43579.66666666667)</f>
        <v>43579.66667</v>
      </c>
      <c r="F992" s="23">
        <f>IFERROR(__xludf.DUMMYFUNCTION("""COMPUTED_VALUE"""),19.21)</f>
        <v>19.21</v>
      </c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>
      <c r="A993" s="22">
        <f>IFERROR(__xludf.DUMMYFUNCTION("""COMPUTED_VALUE"""),43396.66666666667)</f>
        <v>43396.66667</v>
      </c>
      <c r="B993" s="23">
        <f>IFERROR(__xludf.DUMMYFUNCTION("""COMPUTED_VALUE"""),70.05)</f>
        <v>70.05</v>
      </c>
      <c r="C993" s="22">
        <f>IFERROR(__xludf.DUMMYFUNCTION("""COMPUTED_VALUE"""),44651.66666666667)</f>
        <v>44651.66667</v>
      </c>
      <c r="D993" s="23">
        <f>IFERROR(__xludf.DUMMYFUNCTION("""COMPUTED_VALUE"""),129.16)</f>
        <v>129.16</v>
      </c>
      <c r="E993" s="22">
        <f>IFERROR(__xludf.DUMMYFUNCTION("""COMPUTED_VALUE"""),43581.66666666667)</f>
        <v>43581.66667</v>
      </c>
      <c r="F993" s="23">
        <f>IFERROR(__xludf.DUMMYFUNCTION("""COMPUTED_VALUE"""),19.22)</f>
        <v>19.22</v>
      </c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>
      <c r="A994" s="22">
        <f>IFERROR(__xludf.DUMMYFUNCTION("""COMPUTED_VALUE"""),43397.66666666667)</f>
        <v>43397.66667</v>
      </c>
      <c r="B994" s="23">
        <f>IFERROR(__xludf.DUMMYFUNCTION("""COMPUTED_VALUE"""),70.03)</f>
        <v>70.03</v>
      </c>
      <c r="C994" s="22">
        <f>IFERROR(__xludf.DUMMYFUNCTION("""COMPUTED_VALUE"""),44652.66666666667)</f>
        <v>44652.66667</v>
      </c>
      <c r="D994" s="23">
        <f>IFERROR(__xludf.DUMMYFUNCTION("""COMPUTED_VALUE"""),127.48)</f>
        <v>127.48</v>
      </c>
      <c r="E994" s="22">
        <f>IFERROR(__xludf.DUMMYFUNCTION("""COMPUTED_VALUE"""),43584.66666666667)</f>
        <v>43584.66667</v>
      </c>
      <c r="F994" s="23">
        <f>IFERROR(__xludf.DUMMYFUNCTION("""COMPUTED_VALUE"""),19.22)</f>
        <v>19.22</v>
      </c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>
      <c r="A995" s="22">
        <f>IFERROR(__xludf.DUMMYFUNCTION("""COMPUTED_VALUE"""),43398.66666666667)</f>
        <v>43398.66667</v>
      </c>
      <c r="B995" s="23">
        <f>IFERROR(__xludf.DUMMYFUNCTION("""COMPUTED_VALUE"""),68.2)</f>
        <v>68.2</v>
      </c>
      <c r="C995" s="22">
        <f>IFERROR(__xludf.DUMMYFUNCTION("""COMPUTED_VALUE"""),44655.66666666667)</f>
        <v>44655.66667</v>
      </c>
      <c r="D995" s="23">
        <f>IFERROR(__xludf.DUMMYFUNCTION("""COMPUTED_VALUE"""),127.85)</f>
        <v>127.85</v>
      </c>
      <c r="E995" s="22">
        <f>IFERROR(__xludf.DUMMYFUNCTION("""COMPUTED_VALUE"""),43585.66666666667)</f>
        <v>43585.66667</v>
      </c>
      <c r="F995" s="23">
        <f>IFERROR(__xludf.DUMMYFUNCTION("""COMPUTED_VALUE"""),19.15)</f>
        <v>19.15</v>
      </c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>
      <c r="A996" s="22">
        <f>IFERROR(__xludf.DUMMYFUNCTION("""COMPUTED_VALUE"""),43399.66666666667)</f>
        <v>43399.66667</v>
      </c>
      <c r="B996" s="23">
        <f>IFERROR(__xludf.DUMMYFUNCTION("""COMPUTED_VALUE"""),68.57)</f>
        <v>68.57</v>
      </c>
      <c r="C996" s="22">
        <f>IFERROR(__xludf.DUMMYFUNCTION("""COMPUTED_VALUE"""),44656.66666666667)</f>
        <v>44656.66667</v>
      </c>
      <c r="D996" s="23">
        <f>IFERROR(__xludf.DUMMYFUNCTION("""COMPUTED_VALUE"""),128.1)</f>
        <v>128.1</v>
      </c>
      <c r="E996" s="22">
        <f>IFERROR(__xludf.DUMMYFUNCTION("""COMPUTED_VALUE"""),43586.66666666667)</f>
        <v>43586.66667</v>
      </c>
      <c r="F996" s="23">
        <f>IFERROR(__xludf.DUMMYFUNCTION("""COMPUTED_VALUE"""),19.26)</f>
        <v>19.26</v>
      </c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>
      <c r="A997" s="22">
        <f>IFERROR(__xludf.DUMMYFUNCTION("""COMPUTED_VALUE"""),43402.66666666667)</f>
        <v>43402.66667</v>
      </c>
      <c r="B997" s="23">
        <f>IFERROR(__xludf.DUMMYFUNCTION("""COMPUTED_VALUE"""),68.11)</f>
        <v>68.11</v>
      </c>
      <c r="C997" s="22">
        <f>IFERROR(__xludf.DUMMYFUNCTION("""COMPUTED_VALUE"""),44657.66666666667)</f>
        <v>44657.66667</v>
      </c>
      <c r="D997" s="23">
        <f>IFERROR(__xludf.DUMMYFUNCTION("""COMPUTED_VALUE"""),127.4)</f>
        <v>127.4</v>
      </c>
      <c r="E997" s="22">
        <f>IFERROR(__xludf.DUMMYFUNCTION("""COMPUTED_VALUE"""),43587.66666666667)</f>
        <v>43587.66667</v>
      </c>
      <c r="F997" s="23">
        <f>IFERROR(__xludf.DUMMYFUNCTION("""COMPUTED_VALUE"""),19.11)</f>
        <v>19.11</v>
      </c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>
      <c r="A998" s="22">
        <f>IFERROR(__xludf.DUMMYFUNCTION("""COMPUTED_VALUE"""),43403.66666666667)</f>
        <v>43403.66667</v>
      </c>
      <c r="B998" s="23">
        <f>IFERROR(__xludf.DUMMYFUNCTION("""COMPUTED_VALUE"""),68.25)</f>
        <v>68.25</v>
      </c>
      <c r="C998" s="22">
        <f>IFERROR(__xludf.DUMMYFUNCTION("""COMPUTED_VALUE"""),44658.66666666667)</f>
        <v>44658.66667</v>
      </c>
      <c r="D998" s="23">
        <f>IFERROR(__xludf.DUMMYFUNCTION("""COMPUTED_VALUE"""),126.69)</f>
        <v>126.69</v>
      </c>
      <c r="E998" s="22">
        <f>IFERROR(__xludf.DUMMYFUNCTION("""COMPUTED_VALUE"""),43588.66666666667)</f>
        <v>43588.66667</v>
      </c>
      <c r="F998" s="23">
        <f>IFERROR(__xludf.DUMMYFUNCTION("""COMPUTED_VALUE"""),19.2)</f>
        <v>19.2</v>
      </c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>
      <c r="A999" s="22">
        <f>IFERROR(__xludf.DUMMYFUNCTION("""COMPUTED_VALUE"""),43404.66666666667)</f>
        <v>43404.66667</v>
      </c>
      <c r="B999" s="23">
        <f>IFERROR(__xludf.DUMMYFUNCTION("""COMPUTED_VALUE"""),68.8)</f>
        <v>68.8</v>
      </c>
      <c r="C999" s="22">
        <f>IFERROR(__xludf.DUMMYFUNCTION("""COMPUTED_VALUE"""),44659.66666666667)</f>
        <v>44659.66667</v>
      </c>
      <c r="D999" s="23">
        <f>IFERROR(__xludf.DUMMYFUNCTION("""COMPUTED_VALUE"""),127.34)</f>
        <v>127.34</v>
      </c>
      <c r="E999" s="22">
        <f>IFERROR(__xludf.DUMMYFUNCTION("""COMPUTED_VALUE"""),43591.66666666667)</f>
        <v>43591.66667</v>
      </c>
      <c r="F999" s="23">
        <f>IFERROR(__xludf.DUMMYFUNCTION("""COMPUTED_VALUE"""),19.09)</f>
        <v>19.09</v>
      </c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>
      <c r="A1000" s="22">
        <f>IFERROR(__xludf.DUMMYFUNCTION("""COMPUTED_VALUE"""),43405.66666666667)</f>
        <v>43405.66667</v>
      </c>
      <c r="B1000" s="23">
        <f>IFERROR(__xludf.DUMMYFUNCTION("""COMPUTED_VALUE"""),69.09)</f>
        <v>69.09</v>
      </c>
      <c r="C1000" s="22">
        <f>IFERROR(__xludf.DUMMYFUNCTION("""COMPUTED_VALUE"""),44662.66666666667)</f>
        <v>44662.66667</v>
      </c>
      <c r="D1000" s="23">
        <f>IFERROR(__xludf.DUMMYFUNCTION("""COMPUTED_VALUE"""),127.48)</f>
        <v>127.48</v>
      </c>
      <c r="E1000" s="22">
        <f>IFERROR(__xludf.DUMMYFUNCTION("""COMPUTED_VALUE"""),43592.66666666667)</f>
        <v>43592.66667</v>
      </c>
      <c r="F1000" s="23">
        <f>IFERROR(__xludf.DUMMYFUNCTION("""COMPUTED_VALUE"""),19.06)</f>
        <v>19.06</v>
      </c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  <row r="1001">
      <c r="A1001" s="22">
        <f>IFERROR(__xludf.DUMMYFUNCTION("""COMPUTED_VALUE"""),43406.66666666667)</f>
        <v>43406.66667</v>
      </c>
      <c r="B1001" s="23">
        <f>IFERROR(__xludf.DUMMYFUNCTION("""COMPUTED_VALUE"""),69.09)</f>
        <v>69.09</v>
      </c>
      <c r="C1001" s="22">
        <f>IFERROR(__xludf.DUMMYFUNCTION("""COMPUTED_VALUE"""),44663.66666666667)</f>
        <v>44663.66667</v>
      </c>
      <c r="D1001" s="23">
        <f>IFERROR(__xludf.DUMMYFUNCTION("""COMPUTED_VALUE"""),126.8)</f>
        <v>126.8</v>
      </c>
      <c r="E1001" s="22">
        <f>IFERROR(__xludf.DUMMYFUNCTION("""COMPUTED_VALUE"""),43593.66666666667)</f>
        <v>43593.66667</v>
      </c>
      <c r="F1001" s="23">
        <f>IFERROR(__xludf.DUMMYFUNCTION("""COMPUTED_VALUE"""),18.91)</f>
        <v>18.91</v>
      </c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</row>
    <row r="1002">
      <c r="A1002" s="22">
        <f>IFERROR(__xludf.DUMMYFUNCTION("""COMPUTED_VALUE"""),43409.66666666667)</f>
        <v>43409.66667</v>
      </c>
      <c r="B1002" s="23">
        <f>IFERROR(__xludf.DUMMYFUNCTION("""COMPUTED_VALUE"""),68.72)</f>
        <v>68.72</v>
      </c>
      <c r="C1002" s="22">
        <f>IFERROR(__xludf.DUMMYFUNCTION("""COMPUTED_VALUE"""),44664.66666666667)</f>
        <v>44664.66667</v>
      </c>
      <c r="D1002" s="23">
        <f>IFERROR(__xludf.DUMMYFUNCTION("""COMPUTED_VALUE"""),127.45)</f>
        <v>127.45</v>
      </c>
      <c r="E1002" s="22">
        <f>IFERROR(__xludf.DUMMYFUNCTION("""COMPUTED_VALUE"""),43594.66666666667)</f>
        <v>43594.66667</v>
      </c>
      <c r="F1002" s="23">
        <f>IFERROR(__xludf.DUMMYFUNCTION("""COMPUTED_VALUE"""),18.85)</f>
        <v>18.85</v>
      </c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</row>
    <row r="1003">
      <c r="A1003" s="22">
        <f>IFERROR(__xludf.DUMMYFUNCTION("""COMPUTED_VALUE"""),43410.66666666667)</f>
        <v>43410.66667</v>
      </c>
      <c r="B1003" s="23">
        <f>IFERROR(__xludf.DUMMYFUNCTION("""COMPUTED_VALUE"""),68.91)</f>
        <v>68.91</v>
      </c>
      <c r="C1003" s="22">
        <f>IFERROR(__xludf.DUMMYFUNCTION("""COMPUTED_VALUE"""),44665.66666666667)</f>
        <v>44665.66667</v>
      </c>
      <c r="D1003" s="23">
        <f>IFERROR(__xludf.DUMMYFUNCTION("""COMPUTED_VALUE"""),128.08)</f>
        <v>128.08</v>
      </c>
      <c r="E1003" s="22">
        <f>IFERROR(__xludf.DUMMYFUNCTION("""COMPUTED_VALUE"""),43595.66666666667)</f>
        <v>43595.66667</v>
      </c>
      <c r="F1003" s="23">
        <f>IFERROR(__xludf.DUMMYFUNCTION("""COMPUTED_VALUE"""),18.73)</f>
        <v>18.73</v>
      </c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</row>
    <row r="1004">
      <c r="A1004" s="22">
        <f>IFERROR(__xludf.DUMMYFUNCTION("""COMPUTED_VALUE"""),43411.66666666667)</f>
        <v>43411.66667</v>
      </c>
      <c r="B1004" s="23">
        <f>IFERROR(__xludf.DUMMYFUNCTION("""COMPUTED_VALUE"""),69.01)</f>
        <v>69.01</v>
      </c>
      <c r="C1004" s="22">
        <f>IFERROR(__xludf.DUMMYFUNCTION("""COMPUTED_VALUE"""),44670.66666666667)</f>
        <v>44670.66667</v>
      </c>
      <c r="D1004" s="23">
        <f>IFERROR(__xludf.DUMMYFUNCTION("""COMPUTED_VALUE"""),128.74)</f>
        <v>128.74</v>
      </c>
      <c r="E1004" s="22">
        <f>IFERROR(__xludf.DUMMYFUNCTION("""COMPUTED_VALUE"""),43598.66666666667)</f>
        <v>43598.66667</v>
      </c>
      <c r="F1004" s="23">
        <f>IFERROR(__xludf.DUMMYFUNCTION("""COMPUTED_VALUE"""),18.65)</f>
        <v>18.65</v>
      </c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</row>
    <row r="1005">
      <c r="A1005" s="22">
        <f>IFERROR(__xludf.DUMMYFUNCTION("""COMPUTED_VALUE"""),43412.66666666667)</f>
        <v>43412.66667</v>
      </c>
      <c r="B1005" s="23">
        <f>IFERROR(__xludf.DUMMYFUNCTION("""COMPUTED_VALUE"""),69.96)</f>
        <v>69.96</v>
      </c>
      <c r="C1005" s="22">
        <f>IFERROR(__xludf.DUMMYFUNCTION("""COMPUTED_VALUE"""),44671.66666666667)</f>
        <v>44671.66667</v>
      </c>
      <c r="D1005" s="23">
        <f>IFERROR(__xludf.DUMMYFUNCTION("""COMPUTED_VALUE"""),128.92)</f>
        <v>128.92</v>
      </c>
      <c r="E1005" s="22">
        <f>IFERROR(__xludf.DUMMYFUNCTION("""COMPUTED_VALUE"""),43599.66666666667)</f>
        <v>43599.66667</v>
      </c>
      <c r="F1005" s="23">
        <f>IFERROR(__xludf.DUMMYFUNCTION("""COMPUTED_VALUE"""),18.32)</f>
        <v>18.32</v>
      </c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</row>
    <row r="1006">
      <c r="A1006" s="22">
        <f>IFERROR(__xludf.DUMMYFUNCTION("""COMPUTED_VALUE"""),43413.66666666667)</f>
        <v>43413.66667</v>
      </c>
      <c r="B1006" s="23">
        <f>IFERROR(__xludf.DUMMYFUNCTION("""COMPUTED_VALUE"""),69.73)</f>
        <v>69.73</v>
      </c>
      <c r="C1006" s="22">
        <f>IFERROR(__xludf.DUMMYFUNCTION("""COMPUTED_VALUE"""),44672.66666666667)</f>
        <v>44672.66667</v>
      </c>
      <c r="D1006" s="23">
        <f>IFERROR(__xludf.DUMMYFUNCTION("""COMPUTED_VALUE"""),129.45)</f>
        <v>129.45</v>
      </c>
      <c r="E1006" s="22">
        <f>IFERROR(__xludf.DUMMYFUNCTION("""COMPUTED_VALUE"""),43600.66666666667)</f>
        <v>43600.66667</v>
      </c>
      <c r="F1006" s="23">
        <f>IFERROR(__xludf.DUMMYFUNCTION("""COMPUTED_VALUE"""),18.61)</f>
        <v>18.61</v>
      </c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</row>
    <row r="1007">
      <c r="A1007" s="22">
        <f>IFERROR(__xludf.DUMMYFUNCTION("""COMPUTED_VALUE"""),43416.66666666667)</f>
        <v>43416.66667</v>
      </c>
      <c r="B1007" s="23">
        <f>IFERROR(__xludf.DUMMYFUNCTION("""COMPUTED_VALUE"""),69.58)</f>
        <v>69.58</v>
      </c>
      <c r="C1007" s="22">
        <f>IFERROR(__xludf.DUMMYFUNCTION("""COMPUTED_VALUE"""),44673.66666666667)</f>
        <v>44673.66667</v>
      </c>
      <c r="D1007" s="23">
        <f>IFERROR(__xludf.DUMMYFUNCTION("""COMPUTED_VALUE"""),127.33)</f>
        <v>127.33</v>
      </c>
      <c r="E1007" s="22">
        <f>IFERROR(__xludf.DUMMYFUNCTION("""COMPUTED_VALUE"""),43601.66666666667)</f>
        <v>43601.66667</v>
      </c>
      <c r="F1007" s="23">
        <f>IFERROR(__xludf.DUMMYFUNCTION("""COMPUTED_VALUE"""),18.75)</f>
        <v>18.75</v>
      </c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</row>
    <row r="1008">
      <c r="A1008" s="22">
        <f>IFERROR(__xludf.DUMMYFUNCTION("""COMPUTED_VALUE"""),43417.66666666667)</f>
        <v>43417.66667</v>
      </c>
      <c r="B1008" s="23">
        <f>IFERROR(__xludf.DUMMYFUNCTION("""COMPUTED_VALUE"""),68.5)</f>
        <v>68.5</v>
      </c>
      <c r="C1008" s="22">
        <f>IFERROR(__xludf.DUMMYFUNCTION("""COMPUTED_VALUE"""),44677.66666666667)</f>
        <v>44677.66667</v>
      </c>
      <c r="D1008" s="23">
        <f>IFERROR(__xludf.DUMMYFUNCTION("""COMPUTED_VALUE"""),124.73)</f>
        <v>124.73</v>
      </c>
      <c r="E1008" s="22">
        <f>IFERROR(__xludf.DUMMYFUNCTION("""COMPUTED_VALUE"""),43602.66666666667)</f>
        <v>43602.66667</v>
      </c>
      <c r="F1008" s="23">
        <f>IFERROR(__xludf.DUMMYFUNCTION("""COMPUTED_VALUE"""),19.03)</f>
        <v>19.03</v>
      </c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</row>
    <row r="1009">
      <c r="A1009" s="22">
        <f>IFERROR(__xludf.DUMMYFUNCTION("""COMPUTED_VALUE"""),43418.66666666667)</f>
        <v>43418.66667</v>
      </c>
      <c r="B1009" s="23">
        <f>IFERROR(__xludf.DUMMYFUNCTION("""COMPUTED_VALUE"""),68.4)</f>
        <v>68.4</v>
      </c>
      <c r="C1009" s="22">
        <f>IFERROR(__xludf.DUMMYFUNCTION("""COMPUTED_VALUE"""),44678.66666666667)</f>
        <v>44678.66667</v>
      </c>
      <c r="D1009" s="23">
        <f>IFERROR(__xludf.DUMMYFUNCTION("""COMPUTED_VALUE"""),123.7)</f>
        <v>123.7</v>
      </c>
      <c r="E1009" s="22">
        <f>IFERROR(__xludf.DUMMYFUNCTION("""COMPUTED_VALUE"""),43605.66666666667)</f>
        <v>43605.66667</v>
      </c>
      <c r="F1009" s="23">
        <f>IFERROR(__xludf.DUMMYFUNCTION("""COMPUTED_VALUE"""),18.85)</f>
        <v>18.85</v>
      </c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</row>
    <row r="1010">
      <c r="A1010" s="22">
        <f>IFERROR(__xludf.DUMMYFUNCTION("""COMPUTED_VALUE"""),43419.66666666667)</f>
        <v>43419.66667</v>
      </c>
      <c r="B1010" s="23">
        <f>IFERROR(__xludf.DUMMYFUNCTION("""COMPUTED_VALUE"""),67.26)</f>
        <v>67.26</v>
      </c>
      <c r="C1010" s="22">
        <f>IFERROR(__xludf.DUMMYFUNCTION("""COMPUTED_VALUE"""),44679.66666666667)</f>
        <v>44679.66667</v>
      </c>
      <c r="D1010" s="23">
        <f>IFERROR(__xludf.DUMMYFUNCTION("""COMPUTED_VALUE"""),125.45)</f>
        <v>125.45</v>
      </c>
      <c r="E1010" s="22">
        <f>IFERROR(__xludf.DUMMYFUNCTION("""COMPUTED_VALUE"""),43606.66666666667)</f>
        <v>43606.66667</v>
      </c>
      <c r="F1010" s="23">
        <f>IFERROR(__xludf.DUMMYFUNCTION("""COMPUTED_VALUE"""),18.72)</f>
        <v>18.72</v>
      </c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</row>
    <row r="1011">
      <c r="A1011" s="22">
        <f>IFERROR(__xludf.DUMMYFUNCTION("""COMPUTED_VALUE"""),43420.66666666667)</f>
        <v>43420.66667</v>
      </c>
      <c r="B1011" s="23">
        <f>IFERROR(__xludf.DUMMYFUNCTION("""COMPUTED_VALUE"""),67.95)</f>
        <v>67.95</v>
      </c>
      <c r="C1011" s="22">
        <f>IFERROR(__xludf.DUMMYFUNCTION("""COMPUTED_VALUE"""),44680.66666666667)</f>
        <v>44680.66667</v>
      </c>
      <c r="D1011" s="23">
        <f>IFERROR(__xludf.DUMMYFUNCTION("""COMPUTED_VALUE"""),126.55)</f>
        <v>126.55</v>
      </c>
      <c r="E1011" s="22">
        <f>IFERROR(__xludf.DUMMYFUNCTION("""COMPUTED_VALUE"""),43607.66666666667)</f>
        <v>43607.66667</v>
      </c>
      <c r="F1011" s="23">
        <f>IFERROR(__xludf.DUMMYFUNCTION("""COMPUTED_VALUE"""),18.75)</f>
        <v>18.75</v>
      </c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</row>
    <row r="1012">
      <c r="A1012" s="22">
        <f>IFERROR(__xludf.DUMMYFUNCTION("""COMPUTED_VALUE"""),43423.66666666667)</f>
        <v>43423.66667</v>
      </c>
      <c r="B1012" s="23">
        <f>IFERROR(__xludf.DUMMYFUNCTION("""COMPUTED_VALUE"""),67.68)</f>
        <v>67.68</v>
      </c>
      <c r="C1012" s="22">
        <f>IFERROR(__xludf.DUMMYFUNCTION("""COMPUTED_VALUE"""),44683.66666666667)</f>
        <v>44683.66667</v>
      </c>
      <c r="D1012" s="23">
        <f>IFERROR(__xludf.DUMMYFUNCTION("""COMPUTED_VALUE"""),125.18)</f>
        <v>125.18</v>
      </c>
      <c r="E1012" s="22">
        <f>IFERROR(__xludf.DUMMYFUNCTION("""COMPUTED_VALUE"""),43608.66666666667)</f>
        <v>43608.66667</v>
      </c>
      <c r="F1012" s="23">
        <f>IFERROR(__xludf.DUMMYFUNCTION("""COMPUTED_VALUE"""),18.57)</f>
        <v>18.57</v>
      </c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</row>
    <row r="1013">
      <c r="A1013" s="22">
        <f>IFERROR(__xludf.DUMMYFUNCTION("""COMPUTED_VALUE"""),43424.66666666667)</f>
        <v>43424.66667</v>
      </c>
      <c r="B1013" s="23">
        <f>IFERROR(__xludf.DUMMYFUNCTION("""COMPUTED_VALUE"""),67.08)</f>
        <v>67.08</v>
      </c>
      <c r="C1013" s="22">
        <f>IFERROR(__xludf.DUMMYFUNCTION("""COMPUTED_VALUE"""),44684.66666666667)</f>
        <v>44684.66667</v>
      </c>
      <c r="D1013" s="23">
        <f>IFERROR(__xludf.DUMMYFUNCTION("""COMPUTED_VALUE"""),124.85)</f>
        <v>124.85</v>
      </c>
      <c r="E1013" s="22">
        <f>IFERROR(__xludf.DUMMYFUNCTION("""COMPUTED_VALUE"""),43609.66666666667)</f>
        <v>43609.66667</v>
      </c>
      <c r="F1013" s="23">
        <f>IFERROR(__xludf.DUMMYFUNCTION("""COMPUTED_VALUE"""),18.46)</f>
        <v>18.46</v>
      </c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</row>
    <row r="1014">
      <c r="A1014" s="22">
        <f>IFERROR(__xludf.DUMMYFUNCTION("""COMPUTED_VALUE"""),43425.66666666667)</f>
        <v>43425.66667</v>
      </c>
      <c r="B1014" s="23">
        <f>IFERROR(__xludf.DUMMYFUNCTION("""COMPUTED_VALUE"""),66.72)</f>
        <v>66.72</v>
      </c>
      <c r="C1014" s="22">
        <f>IFERROR(__xludf.DUMMYFUNCTION("""COMPUTED_VALUE"""),44685.66666666667)</f>
        <v>44685.66667</v>
      </c>
      <c r="D1014" s="23">
        <f>IFERROR(__xludf.DUMMYFUNCTION("""COMPUTED_VALUE"""),124.62)</f>
        <v>124.62</v>
      </c>
      <c r="E1014" s="22">
        <f>IFERROR(__xludf.DUMMYFUNCTION("""COMPUTED_VALUE"""),43612.66666666667)</f>
        <v>43612.66667</v>
      </c>
      <c r="F1014" s="23">
        <f>IFERROR(__xludf.DUMMYFUNCTION("""COMPUTED_VALUE"""),18.27)</f>
        <v>18.27</v>
      </c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</row>
    <row r="1015">
      <c r="A1015" s="22">
        <f>IFERROR(__xludf.DUMMYFUNCTION("""COMPUTED_VALUE"""),43426.66666666667)</f>
        <v>43426.66667</v>
      </c>
      <c r="B1015" s="23">
        <f>IFERROR(__xludf.DUMMYFUNCTION("""COMPUTED_VALUE"""),66.85)</f>
        <v>66.85</v>
      </c>
      <c r="C1015" s="22">
        <f>IFERROR(__xludf.DUMMYFUNCTION("""COMPUTED_VALUE"""),44686.66666666667)</f>
        <v>44686.66667</v>
      </c>
      <c r="D1015" s="23">
        <f>IFERROR(__xludf.DUMMYFUNCTION("""COMPUTED_VALUE"""),125.6)</f>
        <v>125.6</v>
      </c>
      <c r="E1015" s="22">
        <f>IFERROR(__xludf.DUMMYFUNCTION("""COMPUTED_VALUE"""),43613.66666666667)</f>
        <v>43613.66667</v>
      </c>
      <c r="F1015" s="23">
        <f>IFERROR(__xludf.DUMMYFUNCTION("""COMPUTED_VALUE"""),18.38)</f>
        <v>18.38</v>
      </c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</row>
    <row r="1016">
      <c r="A1016" s="22">
        <f>IFERROR(__xludf.DUMMYFUNCTION("""COMPUTED_VALUE"""),43427.66666666667)</f>
        <v>43427.66667</v>
      </c>
      <c r="B1016" s="23">
        <f>IFERROR(__xludf.DUMMYFUNCTION("""COMPUTED_VALUE"""),66.57)</f>
        <v>66.57</v>
      </c>
      <c r="C1016" s="22">
        <f>IFERROR(__xludf.DUMMYFUNCTION("""COMPUTED_VALUE"""),44687.66666666667)</f>
        <v>44687.66667</v>
      </c>
      <c r="D1016" s="23">
        <f>IFERROR(__xludf.DUMMYFUNCTION("""COMPUTED_VALUE"""),122.79)</f>
        <v>122.79</v>
      </c>
      <c r="E1016" s="22">
        <f>IFERROR(__xludf.DUMMYFUNCTION("""COMPUTED_VALUE"""),43614.66666666667)</f>
        <v>43614.66667</v>
      </c>
      <c r="F1016" s="23">
        <f>IFERROR(__xludf.DUMMYFUNCTION("""COMPUTED_VALUE"""),18.14)</f>
        <v>18.14</v>
      </c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</row>
    <row r="1017">
      <c r="A1017" s="22">
        <f>IFERROR(__xludf.DUMMYFUNCTION("""COMPUTED_VALUE"""),43430.66666666667)</f>
        <v>43430.66667</v>
      </c>
      <c r="B1017" s="23">
        <f>IFERROR(__xludf.DUMMYFUNCTION("""COMPUTED_VALUE"""),66.53)</f>
        <v>66.53</v>
      </c>
      <c r="C1017" s="22">
        <f>IFERROR(__xludf.DUMMYFUNCTION("""COMPUTED_VALUE"""),44690.66666666667)</f>
        <v>44690.66667</v>
      </c>
      <c r="D1017" s="23">
        <f>IFERROR(__xludf.DUMMYFUNCTION("""COMPUTED_VALUE"""),121.56)</f>
        <v>121.56</v>
      </c>
      <c r="E1017" s="22">
        <f>IFERROR(__xludf.DUMMYFUNCTION("""COMPUTED_VALUE"""),43615.66666666667)</f>
        <v>43615.66667</v>
      </c>
      <c r="F1017" s="23">
        <f>IFERROR(__xludf.DUMMYFUNCTION("""COMPUTED_VALUE"""),18.08)</f>
        <v>18.08</v>
      </c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</row>
    <row r="1018">
      <c r="A1018" s="22">
        <f>IFERROR(__xludf.DUMMYFUNCTION("""COMPUTED_VALUE"""),43431.66666666667)</f>
        <v>43431.66667</v>
      </c>
      <c r="B1018" s="23">
        <f>IFERROR(__xludf.DUMMYFUNCTION("""COMPUTED_VALUE"""),67.34)</f>
        <v>67.34</v>
      </c>
      <c r="C1018" s="22">
        <f>IFERROR(__xludf.DUMMYFUNCTION("""COMPUTED_VALUE"""),44691.66666666667)</f>
        <v>44691.66667</v>
      </c>
      <c r="D1018" s="23">
        <f>IFERROR(__xludf.DUMMYFUNCTION("""COMPUTED_VALUE"""),120.35)</f>
        <v>120.35</v>
      </c>
      <c r="E1018" s="22">
        <f>IFERROR(__xludf.DUMMYFUNCTION("""COMPUTED_VALUE"""),43616.66666666667)</f>
        <v>43616.66667</v>
      </c>
      <c r="F1018" s="23">
        <f>IFERROR(__xludf.DUMMYFUNCTION("""COMPUTED_VALUE"""),18.03)</f>
        <v>18.03</v>
      </c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</row>
    <row r="1019">
      <c r="A1019" s="22">
        <f>IFERROR(__xludf.DUMMYFUNCTION("""COMPUTED_VALUE"""),43432.66666666667)</f>
        <v>43432.66667</v>
      </c>
      <c r="B1019" s="23">
        <f>IFERROR(__xludf.DUMMYFUNCTION("""COMPUTED_VALUE"""),67.43)</f>
        <v>67.43</v>
      </c>
      <c r="C1019" s="22">
        <f>IFERROR(__xludf.DUMMYFUNCTION("""COMPUTED_VALUE"""),44692.66666666667)</f>
        <v>44692.66667</v>
      </c>
      <c r="D1019" s="23">
        <f>IFERROR(__xludf.DUMMYFUNCTION("""COMPUTED_VALUE"""),120.61)</f>
        <v>120.61</v>
      </c>
      <c r="E1019" s="22">
        <f>IFERROR(__xludf.DUMMYFUNCTION("""COMPUTED_VALUE"""),43619.66666666667)</f>
        <v>43619.66667</v>
      </c>
      <c r="F1019" s="23">
        <f>IFERROR(__xludf.DUMMYFUNCTION("""COMPUTED_VALUE"""),17.68)</f>
        <v>17.68</v>
      </c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</row>
    <row r="1020">
      <c r="A1020" s="22">
        <f>IFERROR(__xludf.DUMMYFUNCTION("""COMPUTED_VALUE"""),43433.66666666667)</f>
        <v>43433.66667</v>
      </c>
      <c r="B1020" s="23">
        <f>IFERROR(__xludf.DUMMYFUNCTION("""COMPUTED_VALUE"""),67.86)</f>
        <v>67.86</v>
      </c>
      <c r="C1020" s="22">
        <f>IFERROR(__xludf.DUMMYFUNCTION("""COMPUTED_VALUE"""),44693.66666666667)</f>
        <v>44693.66667</v>
      </c>
      <c r="D1020" s="23">
        <f>IFERROR(__xludf.DUMMYFUNCTION("""COMPUTED_VALUE"""),118.84)</f>
        <v>118.84</v>
      </c>
      <c r="E1020" s="22">
        <f>IFERROR(__xludf.DUMMYFUNCTION("""COMPUTED_VALUE"""),43620.66666666667)</f>
        <v>43620.66667</v>
      </c>
      <c r="F1020" s="23">
        <f>IFERROR(__xludf.DUMMYFUNCTION("""COMPUTED_VALUE"""),17.38)</f>
        <v>17.38</v>
      </c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</row>
    <row r="1021">
      <c r="A1021" s="22">
        <f>IFERROR(__xludf.DUMMYFUNCTION("""COMPUTED_VALUE"""),43434.66666666667)</f>
        <v>43434.66667</v>
      </c>
      <c r="B1021" s="23">
        <f>IFERROR(__xludf.DUMMYFUNCTION("""COMPUTED_VALUE"""),67.92)</f>
        <v>67.92</v>
      </c>
      <c r="C1021" s="22">
        <f>IFERROR(__xludf.DUMMYFUNCTION("""COMPUTED_VALUE"""),44694.66666666667)</f>
        <v>44694.66667</v>
      </c>
      <c r="D1021" s="23">
        <f>IFERROR(__xludf.DUMMYFUNCTION("""COMPUTED_VALUE"""),121.0)</f>
        <v>121</v>
      </c>
      <c r="E1021" s="22">
        <f>IFERROR(__xludf.DUMMYFUNCTION("""COMPUTED_VALUE"""),43621.66666666667)</f>
        <v>43621.66667</v>
      </c>
      <c r="F1021" s="23">
        <f>IFERROR(__xludf.DUMMYFUNCTION("""COMPUTED_VALUE"""),17.81)</f>
        <v>17.81</v>
      </c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</row>
    <row r="1022">
      <c r="A1022" s="22">
        <f>IFERROR(__xludf.DUMMYFUNCTION("""COMPUTED_VALUE"""),43437.66666666667)</f>
        <v>43437.66667</v>
      </c>
      <c r="B1022" s="23">
        <f>IFERROR(__xludf.DUMMYFUNCTION("""COMPUTED_VALUE"""),68.58)</f>
        <v>68.58</v>
      </c>
      <c r="C1022" s="22">
        <f>IFERROR(__xludf.DUMMYFUNCTION("""COMPUTED_VALUE"""),44697.66666666667)</f>
        <v>44697.66667</v>
      </c>
      <c r="D1022" s="23">
        <f>IFERROR(__xludf.DUMMYFUNCTION("""COMPUTED_VALUE"""),121.46)</f>
        <v>121.46</v>
      </c>
      <c r="E1022" s="22">
        <f>IFERROR(__xludf.DUMMYFUNCTION("""COMPUTED_VALUE"""),43622.66666666667)</f>
        <v>43622.66667</v>
      </c>
      <c r="F1022" s="23">
        <f>IFERROR(__xludf.DUMMYFUNCTION("""COMPUTED_VALUE"""),17.95)</f>
        <v>17.95</v>
      </c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</row>
    <row r="1023">
      <c r="A1023" s="22">
        <f>IFERROR(__xludf.DUMMYFUNCTION("""COMPUTED_VALUE"""),43438.66666666667)</f>
        <v>43438.66667</v>
      </c>
      <c r="B1023" s="23">
        <f>IFERROR(__xludf.DUMMYFUNCTION("""COMPUTED_VALUE"""),67.95)</f>
        <v>67.95</v>
      </c>
      <c r="C1023" s="22">
        <f>IFERROR(__xludf.DUMMYFUNCTION("""COMPUTED_VALUE"""),44698.66666666667)</f>
        <v>44698.66667</v>
      </c>
      <c r="D1023" s="23">
        <f>IFERROR(__xludf.DUMMYFUNCTION("""COMPUTED_VALUE"""),121.79)</f>
        <v>121.79</v>
      </c>
      <c r="E1023" s="22">
        <f>IFERROR(__xludf.DUMMYFUNCTION("""COMPUTED_VALUE"""),43623.66666666667)</f>
        <v>43623.66667</v>
      </c>
      <c r="F1023" s="23">
        <f>IFERROR(__xludf.DUMMYFUNCTION("""COMPUTED_VALUE"""),18.11)</f>
        <v>18.11</v>
      </c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</row>
    <row r="1024">
      <c r="A1024" s="22">
        <f>IFERROR(__xludf.DUMMYFUNCTION("""COMPUTED_VALUE"""),43439.66666666667)</f>
        <v>43439.66667</v>
      </c>
      <c r="B1024" s="23">
        <f>IFERROR(__xludf.DUMMYFUNCTION("""COMPUTED_VALUE"""),67.27)</f>
        <v>67.27</v>
      </c>
      <c r="C1024" s="22">
        <f>IFERROR(__xludf.DUMMYFUNCTION("""COMPUTED_VALUE"""),44699.66666666667)</f>
        <v>44699.66667</v>
      </c>
      <c r="D1024" s="23">
        <f>IFERROR(__xludf.DUMMYFUNCTION("""COMPUTED_VALUE"""),122.79)</f>
        <v>122.79</v>
      </c>
      <c r="E1024" s="22">
        <f>IFERROR(__xludf.DUMMYFUNCTION("""COMPUTED_VALUE"""),43627.66666666667)</f>
        <v>43627.66667</v>
      </c>
      <c r="F1024" s="23">
        <f>IFERROR(__xludf.DUMMYFUNCTION("""COMPUTED_VALUE"""),18.81)</f>
        <v>18.81</v>
      </c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</row>
    <row r="1025">
      <c r="A1025" s="22">
        <f>IFERROR(__xludf.DUMMYFUNCTION("""COMPUTED_VALUE"""),43440.66666666667)</f>
        <v>43440.66667</v>
      </c>
      <c r="B1025" s="23">
        <f>IFERROR(__xludf.DUMMYFUNCTION("""COMPUTED_VALUE"""),66.86)</f>
        <v>66.86</v>
      </c>
      <c r="C1025" s="22">
        <f>IFERROR(__xludf.DUMMYFUNCTION("""COMPUTED_VALUE"""),44700.66666666667)</f>
        <v>44700.66667</v>
      </c>
      <c r="D1025" s="23">
        <f>IFERROR(__xludf.DUMMYFUNCTION("""COMPUTED_VALUE"""),121.09)</f>
        <v>121.09</v>
      </c>
      <c r="E1025" s="22">
        <f>IFERROR(__xludf.DUMMYFUNCTION("""COMPUTED_VALUE"""),43628.66666666667)</f>
        <v>43628.66667</v>
      </c>
      <c r="F1025" s="23">
        <f>IFERROR(__xludf.DUMMYFUNCTION("""COMPUTED_VALUE"""),18.68)</f>
        <v>18.68</v>
      </c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</row>
    <row r="1026">
      <c r="A1026" s="22">
        <f>IFERROR(__xludf.DUMMYFUNCTION("""COMPUTED_VALUE"""),43441.66666666667)</f>
        <v>43441.66667</v>
      </c>
      <c r="B1026" s="23">
        <f>IFERROR(__xludf.DUMMYFUNCTION("""COMPUTED_VALUE"""),67.16)</f>
        <v>67.16</v>
      </c>
      <c r="C1026" s="22">
        <f>IFERROR(__xludf.DUMMYFUNCTION("""COMPUTED_VALUE"""),44701.66666666667)</f>
        <v>44701.66667</v>
      </c>
      <c r="D1026" s="23">
        <f>IFERROR(__xludf.DUMMYFUNCTION("""COMPUTED_VALUE"""),122.43)</f>
        <v>122.43</v>
      </c>
      <c r="E1026" s="22">
        <f>IFERROR(__xludf.DUMMYFUNCTION("""COMPUTED_VALUE"""),43629.66666666667)</f>
        <v>43629.66667</v>
      </c>
      <c r="F1026" s="23">
        <f>IFERROR(__xludf.DUMMYFUNCTION("""COMPUTED_VALUE"""),18.71)</f>
        <v>18.71</v>
      </c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</row>
    <row r="1027">
      <c r="A1027" s="22">
        <f>IFERROR(__xludf.DUMMYFUNCTION("""COMPUTED_VALUE"""),43444.66666666667)</f>
        <v>43444.66667</v>
      </c>
      <c r="B1027" s="23">
        <f>IFERROR(__xludf.DUMMYFUNCTION("""COMPUTED_VALUE"""),65.8)</f>
        <v>65.8</v>
      </c>
      <c r="C1027" s="22">
        <f>IFERROR(__xludf.DUMMYFUNCTION("""COMPUTED_VALUE"""),44704.66666666667)</f>
        <v>44704.66667</v>
      </c>
      <c r="D1027" s="23">
        <f>IFERROR(__xludf.DUMMYFUNCTION("""COMPUTED_VALUE"""),122.48)</f>
        <v>122.48</v>
      </c>
      <c r="E1027" s="22">
        <f>IFERROR(__xludf.DUMMYFUNCTION("""COMPUTED_VALUE"""),43630.66666666667)</f>
        <v>43630.66667</v>
      </c>
      <c r="F1027" s="23">
        <f>IFERROR(__xludf.DUMMYFUNCTION("""COMPUTED_VALUE"""),18.87)</f>
        <v>18.87</v>
      </c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</row>
    <row r="1028">
      <c r="A1028" s="22">
        <f>IFERROR(__xludf.DUMMYFUNCTION("""COMPUTED_VALUE"""),43445.66666666667)</f>
        <v>43445.66667</v>
      </c>
      <c r="B1028" s="23">
        <f>IFERROR(__xludf.DUMMYFUNCTION("""COMPUTED_VALUE"""),66.07)</f>
        <v>66.07</v>
      </c>
      <c r="C1028" s="22">
        <f>IFERROR(__xludf.DUMMYFUNCTION("""COMPUTED_VALUE"""),44705.66666666667)</f>
        <v>44705.66667</v>
      </c>
      <c r="D1028" s="23">
        <f>IFERROR(__xludf.DUMMYFUNCTION("""COMPUTED_VALUE"""),122.12)</f>
        <v>122.12</v>
      </c>
      <c r="E1028" s="22">
        <f>IFERROR(__xludf.DUMMYFUNCTION("""COMPUTED_VALUE"""),43633.66666666667)</f>
        <v>43633.66667</v>
      </c>
      <c r="F1028" s="23">
        <f>IFERROR(__xludf.DUMMYFUNCTION("""COMPUTED_VALUE"""),18.92)</f>
        <v>18.92</v>
      </c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</row>
    <row r="1029">
      <c r="A1029" s="22">
        <f>IFERROR(__xludf.DUMMYFUNCTION("""COMPUTED_VALUE"""),43446.66666666667)</f>
        <v>43446.66667</v>
      </c>
      <c r="B1029" s="23">
        <f>IFERROR(__xludf.DUMMYFUNCTION("""COMPUTED_VALUE"""),66.5)</f>
        <v>66.5</v>
      </c>
      <c r="C1029" s="22">
        <f>IFERROR(__xludf.DUMMYFUNCTION("""COMPUTED_VALUE"""),44706.66666666667)</f>
        <v>44706.66667</v>
      </c>
      <c r="D1029" s="23">
        <f>IFERROR(__xludf.DUMMYFUNCTION("""COMPUTED_VALUE"""),122.8)</f>
        <v>122.8</v>
      </c>
      <c r="E1029" s="22">
        <f>IFERROR(__xludf.DUMMYFUNCTION("""COMPUTED_VALUE"""),43634.66666666667)</f>
        <v>43634.66667</v>
      </c>
      <c r="F1029" s="23">
        <f>IFERROR(__xludf.DUMMYFUNCTION("""COMPUTED_VALUE"""),19.11)</f>
        <v>19.11</v>
      </c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</row>
    <row r="1030">
      <c r="A1030" s="22">
        <f>IFERROR(__xludf.DUMMYFUNCTION("""COMPUTED_VALUE"""),43447.66666666667)</f>
        <v>43447.66667</v>
      </c>
      <c r="B1030" s="23">
        <f>IFERROR(__xludf.DUMMYFUNCTION("""COMPUTED_VALUE"""),66.86)</f>
        <v>66.86</v>
      </c>
      <c r="C1030" s="22">
        <f>IFERROR(__xludf.DUMMYFUNCTION("""COMPUTED_VALUE"""),44707.66666666667)</f>
        <v>44707.66667</v>
      </c>
      <c r="D1030" s="23">
        <f>IFERROR(__xludf.DUMMYFUNCTION("""COMPUTED_VALUE"""),121.74)</f>
        <v>121.74</v>
      </c>
      <c r="E1030" s="22">
        <f>IFERROR(__xludf.DUMMYFUNCTION("""COMPUTED_VALUE"""),43635.66666666667)</f>
        <v>43635.66667</v>
      </c>
      <c r="F1030" s="23">
        <f>IFERROR(__xludf.DUMMYFUNCTION("""COMPUTED_VALUE"""),19.29)</f>
        <v>19.29</v>
      </c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</row>
    <row r="1031">
      <c r="A1031" s="22">
        <f>IFERROR(__xludf.DUMMYFUNCTION("""COMPUTED_VALUE"""),43448.66666666667)</f>
        <v>43448.66667</v>
      </c>
      <c r="B1031" s="23">
        <f>IFERROR(__xludf.DUMMYFUNCTION("""COMPUTED_VALUE"""),66.32)</f>
        <v>66.32</v>
      </c>
      <c r="C1031" s="22">
        <f>IFERROR(__xludf.DUMMYFUNCTION("""COMPUTED_VALUE"""),44708.66666666667)</f>
        <v>44708.66667</v>
      </c>
      <c r="D1031" s="23">
        <f>IFERROR(__xludf.DUMMYFUNCTION("""COMPUTED_VALUE"""),123.0)</f>
        <v>123</v>
      </c>
      <c r="E1031" s="22">
        <f>IFERROR(__xludf.DUMMYFUNCTION("""COMPUTED_VALUE"""),43636.66666666667)</f>
        <v>43636.66667</v>
      </c>
      <c r="F1031" s="23">
        <f>IFERROR(__xludf.DUMMYFUNCTION("""COMPUTED_VALUE"""),19.43)</f>
        <v>19.43</v>
      </c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</row>
    <row r="1032">
      <c r="A1032" s="22">
        <f>IFERROR(__xludf.DUMMYFUNCTION("""COMPUTED_VALUE"""),43451.66666666667)</f>
        <v>43451.66667</v>
      </c>
      <c r="B1032" s="23">
        <f>IFERROR(__xludf.DUMMYFUNCTION("""COMPUTED_VALUE"""),66.21)</f>
        <v>66.21</v>
      </c>
      <c r="C1032" s="22">
        <f>IFERROR(__xludf.DUMMYFUNCTION("""COMPUTED_VALUE"""),44711.66666666667)</f>
        <v>44711.66667</v>
      </c>
      <c r="D1032" s="23">
        <f>IFERROR(__xludf.DUMMYFUNCTION("""COMPUTED_VALUE"""),124.75)</f>
        <v>124.75</v>
      </c>
      <c r="E1032" s="22">
        <f>IFERROR(__xludf.DUMMYFUNCTION("""COMPUTED_VALUE"""),43637.66666666667)</f>
        <v>43637.66667</v>
      </c>
      <c r="F1032" s="23">
        <f>IFERROR(__xludf.DUMMYFUNCTION("""COMPUTED_VALUE"""),19.29)</f>
        <v>19.29</v>
      </c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</row>
    <row r="1033">
      <c r="A1033" s="22">
        <f>IFERROR(__xludf.DUMMYFUNCTION("""COMPUTED_VALUE"""),43452.66666666667)</f>
        <v>43452.66667</v>
      </c>
      <c r="B1033" s="23">
        <f>IFERROR(__xludf.DUMMYFUNCTION("""COMPUTED_VALUE"""),64.8)</f>
        <v>64.8</v>
      </c>
      <c r="C1033" s="22">
        <f>IFERROR(__xludf.DUMMYFUNCTION("""COMPUTED_VALUE"""),44712.66666666667)</f>
        <v>44712.66667</v>
      </c>
      <c r="D1033" s="23">
        <f>IFERROR(__xludf.DUMMYFUNCTION("""COMPUTED_VALUE"""),123.46)</f>
        <v>123.46</v>
      </c>
      <c r="E1033" s="22">
        <f>IFERROR(__xludf.DUMMYFUNCTION("""COMPUTED_VALUE"""),43640.66666666667)</f>
        <v>43640.66667</v>
      </c>
      <c r="F1033" s="23">
        <f>IFERROR(__xludf.DUMMYFUNCTION("""COMPUTED_VALUE"""),19.31)</f>
        <v>19.31</v>
      </c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</row>
    <row r="1034">
      <c r="A1034" s="22">
        <f>IFERROR(__xludf.DUMMYFUNCTION("""COMPUTED_VALUE"""),43453.66666666667)</f>
        <v>43453.66667</v>
      </c>
      <c r="B1034" s="23">
        <f>IFERROR(__xludf.DUMMYFUNCTION("""COMPUTED_VALUE"""),64.76)</f>
        <v>64.76</v>
      </c>
      <c r="C1034" s="22">
        <f>IFERROR(__xludf.DUMMYFUNCTION("""COMPUTED_VALUE"""),44713.66666666667)</f>
        <v>44713.66667</v>
      </c>
      <c r="D1034" s="23">
        <f>IFERROR(__xludf.DUMMYFUNCTION("""COMPUTED_VALUE"""),123.86)</f>
        <v>123.86</v>
      </c>
      <c r="E1034" s="22">
        <f>IFERROR(__xludf.DUMMYFUNCTION("""COMPUTED_VALUE"""),43641.66666666667)</f>
        <v>43641.66667</v>
      </c>
      <c r="F1034" s="23">
        <f>IFERROR(__xludf.DUMMYFUNCTION("""COMPUTED_VALUE"""),19.18)</f>
        <v>19.18</v>
      </c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</row>
    <row r="1035">
      <c r="A1035" s="22">
        <f>IFERROR(__xludf.DUMMYFUNCTION("""COMPUTED_VALUE"""),43454.66666666667)</f>
        <v>43454.66667</v>
      </c>
      <c r="B1035" s="23">
        <f>IFERROR(__xludf.DUMMYFUNCTION("""COMPUTED_VALUE"""),64.16)</f>
        <v>64.16</v>
      </c>
      <c r="C1035" s="22">
        <f>IFERROR(__xludf.DUMMYFUNCTION("""COMPUTED_VALUE"""),44714.66666666667)</f>
        <v>44714.66667</v>
      </c>
      <c r="D1035" s="23">
        <f>IFERROR(__xludf.DUMMYFUNCTION("""COMPUTED_VALUE"""),122.85)</f>
        <v>122.85</v>
      </c>
      <c r="E1035" s="22">
        <f>IFERROR(__xludf.DUMMYFUNCTION("""COMPUTED_VALUE"""),43642.66666666667)</f>
        <v>43642.66667</v>
      </c>
      <c r="F1035" s="23">
        <f>IFERROR(__xludf.DUMMYFUNCTION("""COMPUTED_VALUE"""),18.9)</f>
        <v>18.9</v>
      </c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</row>
    <row r="1036">
      <c r="A1036" s="22">
        <f>IFERROR(__xludf.DUMMYFUNCTION("""COMPUTED_VALUE"""),43455.66666666667)</f>
        <v>43455.66667</v>
      </c>
      <c r="B1036" s="23">
        <f>IFERROR(__xludf.DUMMYFUNCTION("""COMPUTED_VALUE"""),63.88)</f>
        <v>63.88</v>
      </c>
      <c r="C1036" s="22">
        <f>IFERROR(__xludf.DUMMYFUNCTION("""COMPUTED_VALUE"""),44715.66666666667)</f>
        <v>44715.66667</v>
      </c>
      <c r="D1036" s="23">
        <f>IFERROR(__xludf.DUMMYFUNCTION("""COMPUTED_VALUE"""),123.96)</f>
        <v>123.96</v>
      </c>
      <c r="E1036" s="22">
        <f>IFERROR(__xludf.DUMMYFUNCTION("""COMPUTED_VALUE"""),43643.66666666667)</f>
        <v>43643.66667</v>
      </c>
      <c r="F1036" s="23">
        <f>IFERROR(__xludf.DUMMYFUNCTION("""COMPUTED_VALUE"""),18.99)</f>
        <v>18.99</v>
      </c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</row>
    <row r="1037">
      <c r="A1037" s="22">
        <f>IFERROR(__xludf.DUMMYFUNCTION("""COMPUTED_VALUE"""),43458.59027777778)</f>
        <v>43458.59028</v>
      </c>
      <c r="B1037" s="23">
        <f>IFERROR(__xludf.DUMMYFUNCTION("""COMPUTED_VALUE"""),63.2)</f>
        <v>63.2</v>
      </c>
      <c r="C1037" s="22">
        <f>IFERROR(__xludf.DUMMYFUNCTION("""COMPUTED_VALUE"""),44718.66666666667)</f>
        <v>44718.66667</v>
      </c>
      <c r="D1037" s="23">
        <f>IFERROR(__xludf.DUMMYFUNCTION("""COMPUTED_VALUE"""),123.46)</f>
        <v>123.46</v>
      </c>
      <c r="E1037" s="22">
        <f>IFERROR(__xludf.DUMMYFUNCTION("""COMPUTED_VALUE"""),43644.66666666667)</f>
        <v>43644.66667</v>
      </c>
      <c r="F1037" s="23">
        <f>IFERROR(__xludf.DUMMYFUNCTION("""COMPUTED_VALUE"""),18.92)</f>
        <v>18.92</v>
      </c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</row>
    <row r="1038">
      <c r="A1038" s="22">
        <f>IFERROR(__xludf.DUMMYFUNCTION("""COMPUTED_VALUE"""),43461.66666666667)</f>
        <v>43461.66667</v>
      </c>
      <c r="B1038" s="23">
        <f>IFERROR(__xludf.DUMMYFUNCTION("""COMPUTED_VALUE"""),64.22)</f>
        <v>64.22</v>
      </c>
      <c r="C1038" s="22">
        <f>IFERROR(__xludf.DUMMYFUNCTION("""COMPUTED_VALUE"""),44719.66666666667)</f>
        <v>44719.66667</v>
      </c>
      <c r="D1038" s="23">
        <f>IFERROR(__xludf.DUMMYFUNCTION("""COMPUTED_VALUE"""),121.62)</f>
        <v>121.62</v>
      </c>
      <c r="E1038" s="22">
        <f>IFERROR(__xludf.DUMMYFUNCTION("""COMPUTED_VALUE"""),43647.66666666667)</f>
        <v>43647.66667</v>
      </c>
      <c r="F1038" s="23">
        <f>IFERROR(__xludf.DUMMYFUNCTION("""COMPUTED_VALUE"""),18.9)</f>
        <v>18.9</v>
      </c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</row>
    <row r="1039">
      <c r="A1039" s="22">
        <f>IFERROR(__xludf.DUMMYFUNCTION("""COMPUTED_VALUE"""),43462.66666666667)</f>
        <v>43462.66667</v>
      </c>
      <c r="B1039" s="23">
        <f>IFERROR(__xludf.DUMMYFUNCTION("""COMPUTED_VALUE"""),64.76)</f>
        <v>64.76</v>
      </c>
      <c r="C1039" s="22">
        <f>IFERROR(__xludf.DUMMYFUNCTION("""COMPUTED_VALUE"""),44720.66666666667)</f>
        <v>44720.66667</v>
      </c>
      <c r="D1039" s="23">
        <f>IFERROR(__xludf.DUMMYFUNCTION("""COMPUTED_VALUE"""),121.98)</f>
        <v>121.98</v>
      </c>
      <c r="E1039" s="22">
        <f>IFERROR(__xludf.DUMMYFUNCTION("""COMPUTED_VALUE"""),43648.66666666667)</f>
        <v>43648.66667</v>
      </c>
      <c r="F1039" s="23">
        <f>IFERROR(__xludf.DUMMYFUNCTION("""COMPUTED_VALUE"""),18.86)</f>
        <v>18.86</v>
      </c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</row>
    <row r="1040">
      <c r="A1040" s="22">
        <f>IFERROR(__xludf.DUMMYFUNCTION("""COMPUTED_VALUE"""),43465.59027777778)</f>
        <v>43465.59028</v>
      </c>
      <c r="B1040" s="23">
        <f>IFERROR(__xludf.DUMMYFUNCTION("""COMPUTED_VALUE"""),64.85)</f>
        <v>64.85</v>
      </c>
      <c r="C1040" s="22">
        <f>IFERROR(__xludf.DUMMYFUNCTION("""COMPUTED_VALUE"""),44721.66666666667)</f>
        <v>44721.66667</v>
      </c>
      <c r="D1040" s="23">
        <f>IFERROR(__xludf.DUMMYFUNCTION("""COMPUTED_VALUE"""),120.27)</f>
        <v>120.27</v>
      </c>
      <c r="E1040" s="22">
        <f>IFERROR(__xludf.DUMMYFUNCTION("""COMPUTED_VALUE"""),43649.66666666667)</f>
        <v>43649.66667</v>
      </c>
      <c r="F1040" s="23">
        <f>IFERROR(__xludf.DUMMYFUNCTION("""COMPUTED_VALUE"""),18.92)</f>
        <v>18.92</v>
      </c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</row>
    <row r="1041">
      <c r="A1041" s="22">
        <f>IFERROR(__xludf.DUMMYFUNCTION("""COMPUTED_VALUE"""),43467.66666666667)</f>
        <v>43467.66667</v>
      </c>
      <c r="B1041" s="23">
        <f>IFERROR(__xludf.DUMMYFUNCTION("""COMPUTED_VALUE"""),64.39)</f>
        <v>64.39</v>
      </c>
      <c r="C1041" s="22">
        <f>IFERROR(__xludf.DUMMYFUNCTION("""COMPUTED_VALUE"""),44722.66666666667)</f>
        <v>44722.66667</v>
      </c>
      <c r="D1041" s="23">
        <f>IFERROR(__xludf.DUMMYFUNCTION("""COMPUTED_VALUE"""),118.77)</f>
        <v>118.77</v>
      </c>
      <c r="E1041" s="22">
        <f>IFERROR(__xludf.DUMMYFUNCTION("""COMPUTED_VALUE"""),43650.66666666667)</f>
        <v>43650.66667</v>
      </c>
      <c r="F1041" s="23">
        <f>IFERROR(__xludf.DUMMYFUNCTION("""COMPUTED_VALUE"""),18.95)</f>
        <v>18.95</v>
      </c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</row>
    <row r="1042">
      <c r="A1042" s="22">
        <f>IFERROR(__xludf.DUMMYFUNCTION("""COMPUTED_VALUE"""),43468.66666666667)</f>
        <v>43468.66667</v>
      </c>
      <c r="B1042" s="23">
        <f>IFERROR(__xludf.DUMMYFUNCTION("""COMPUTED_VALUE"""),64.95)</f>
        <v>64.95</v>
      </c>
      <c r="C1042" s="22">
        <f>IFERROR(__xludf.DUMMYFUNCTION("""COMPUTED_VALUE"""),44726.66666666667)</f>
        <v>44726.66667</v>
      </c>
      <c r="D1042" s="23">
        <f>IFERROR(__xludf.DUMMYFUNCTION("""COMPUTED_VALUE"""),114.51)</f>
        <v>114.51</v>
      </c>
      <c r="E1042" s="22">
        <f>IFERROR(__xludf.DUMMYFUNCTION("""COMPUTED_VALUE"""),43651.66666666667)</f>
        <v>43651.66667</v>
      </c>
      <c r="F1042" s="23">
        <f>IFERROR(__xludf.DUMMYFUNCTION("""COMPUTED_VALUE"""),19.02)</f>
        <v>19.02</v>
      </c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</row>
    <row r="1043">
      <c r="A1043" s="22">
        <f>IFERROR(__xludf.DUMMYFUNCTION("""COMPUTED_VALUE"""),43469.66666666667)</f>
        <v>43469.66667</v>
      </c>
      <c r="B1043" s="23">
        <f>IFERROR(__xludf.DUMMYFUNCTION("""COMPUTED_VALUE"""),64.09)</f>
        <v>64.09</v>
      </c>
      <c r="C1043" s="22">
        <f>IFERROR(__xludf.DUMMYFUNCTION("""COMPUTED_VALUE"""),44727.66666666667)</f>
        <v>44727.66667</v>
      </c>
      <c r="D1043" s="23">
        <f>IFERROR(__xludf.DUMMYFUNCTION("""COMPUTED_VALUE"""),113.08)</f>
        <v>113.08</v>
      </c>
      <c r="E1043" s="22">
        <f>IFERROR(__xludf.DUMMYFUNCTION("""COMPUTED_VALUE"""),43654.66666666667)</f>
        <v>43654.66667</v>
      </c>
      <c r="F1043" s="23">
        <f>IFERROR(__xludf.DUMMYFUNCTION("""COMPUTED_VALUE"""),18.9)</f>
        <v>18.9</v>
      </c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</row>
    <row r="1044">
      <c r="A1044" s="22">
        <f>IFERROR(__xludf.DUMMYFUNCTION("""COMPUTED_VALUE"""),43472.66666666667)</f>
        <v>43472.66667</v>
      </c>
      <c r="B1044" s="23">
        <f>IFERROR(__xludf.DUMMYFUNCTION("""COMPUTED_VALUE"""),65.03)</f>
        <v>65.03</v>
      </c>
      <c r="C1044" s="22">
        <f>IFERROR(__xludf.DUMMYFUNCTION("""COMPUTED_VALUE"""),44728.66666666667)</f>
        <v>44728.66667</v>
      </c>
      <c r="D1044" s="23">
        <f>IFERROR(__xludf.DUMMYFUNCTION("""COMPUTED_VALUE"""),112.88)</f>
        <v>112.88</v>
      </c>
      <c r="E1044" s="22">
        <f>IFERROR(__xludf.DUMMYFUNCTION("""COMPUTED_VALUE"""),43655.66666666667)</f>
        <v>43655.66667</v>
      </c>
      <c r="F1044" s="23">
        <f>IFERROR(__xludf.DUMMYFUNCTION("""COMPUTED_VALUE"""),18.87)</f>
        <v>18.87</v>
      </c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</row>
    <row r="1045">
      <c r="A1045" s="22">
        <f>IFERROR(__xludf.DUMMYFUNCTION("""COMPUTED_VALUE"""),43473.66666666667)</f>
        <v>43473.66667</v>
      </c>
      <c r="B1045" s="23">
        <f>IFERROR(__xludf.DUMMYFUNCTION("""COMPUTED_VALUE"""),65.55)</f>
        <v>65.55</v>
      </c>
      <c r="C1045" s="22">
        <f>IFERROR(__xludf.DUMMYFUNCTION("""COMPUTED_VALUE"""),44729.66666666667)</f>
        <v>44729.66667</v>
      </c>
      <c r="D1045" s="23">
        <f>IFERROR(__xludf.DUMMYFUNCTION("""COMPUTED_VALUE"""),110.9)</f>
        <v>110.9</v>
      </c>
      <c r="E1045" s="22">
        <f>IFERROR(__xludf.DUMMYFUNCTION("""COMPUTED_VALUE"""),43656.66666666667)</f>
        <v>43656.66667</v>
      </c>
      <c r="F1045" s="23">
        <f>IFERROR(__xludf.DUMMYFUNCTION("""COMPUTED_VALUE"""),19.17)</f>
        <v>19.17</v>
      </c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</row>
    <row r="1046">
      <c r="A1046" s="22">
        <f>IFERROR(__xludf.DUMMYFUNCTION("""COMPUTED_VALUE"""),43474.66666666667)</f>
        <v>43474.66667</v>
      </c>
      <c r="B1046" s="23">
        <f>IFERROR(__xludf.DUMMYFUNCTION("""COMPUTED_VALUE"""),65.9)</f>
        <v>65.9</v>
      </c>
      <c r="C1046" s="22">
        <f>IFERROR(__xludf.DUMMYFUNCTION("""COMPUTED_VALUE"""),44732.66666666667)</f>
        <v>44732.66667</v>
      </c>
      <c r="D1046" s="23">
        <f>IFERROR(__xludf.DUMMYFUNCTION("""COMPUTED_VALUE"""),110.31)</f>
        <v>110.31</v>
      </c>
      <c r="E1046" s="22">
        <f>IFERROR(__xludf.DUMMYFUNCTION("""COMPUTED_VALUE"""),43657.66666666667)</f>
        <v>43657.66667</v>
      </c>
      <c r="F1046" s="23">
        <f>IFERROR(__xludf.DUMMYFUNCTION("""COMPUTED_VALUE"""),19.3)</f>
        <v>19.3</v>
      </c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</row>
    <row r="1047">
      <c r="A1047" s="22">
        <f>IFERROR(__xludf.DUMMYFUNCTION("""COMPUTED_VALUE"""),43475.66666666667)</f>
        <v>43475.66667</v>
      </c>
      <c r="B1047" s="23">
        <f>IFERROR(__xludf.DUMMYFUNCTION("""COMPUTED_VALUE"""),65.53)</f>
        <v>65.53</v>
      </c>
      <c r="C1047" s="22">
        <f>IFERROR(__xludf.DUMMYFUNCTION("""COMPUTED_VALUE"""),44733.66666666667)</f>
        <v>44733.66667</v>
      </c>
      <c r="D1047" s="23">
        <f>IFERROR(__xludf.DUMMYFUNCTION("""COMPUTED_VALUE"""),111.77)</f>
        <v>111.77</v>
      </c>
      <c r="E1047" s="22">
        <f>IFERROR(__xludf.DUMMYFUNCTION("""COMPUTED_VALUE"""),43658.66666666667)</f>
        <v>43658.66667</v>
      </c>
      <c r="F1047" s="23">
        <f>IFERROR(__xludf.DUMMYFUNCTION("""COMPUTED_VALUE"""),19.17)</f>
        <v>19.17</v>
      </c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</row>
    <row r="1048">
      <c r="A1048" s="22">
        <f>IFERROR(__xludf.DUMMYFUNCTION("""COMPUTED_VALUE"""),43476.66666666667)</f>
        <v>43476.66667</v>
      </c>
      <c r="B1048" s="23">
        <f>IFERROR(__xludf.DUMMYFUNCTION("""COMPUTED_VALUE"""),65.68)</f>
        <v>65.68</v>
      </c>
      <c r="C1048" s="22">
        <f>IFERROR(__xludf.DUMMYFUNCTION("""COMPUTED_VALUE"""),44734.66666666667)</f>
        <v>44734.66667</v>
      </c>
      <c r="D1048" s="23">
        <f>IFERROR(__xludf.DUMMYFUNCTION("""COMPUTED_VALUE"""),111.5)</f>
        <v>111.5</v>
      </c>
      <c r="E1048" s="22">
        <f>IFERROR(__xludf.DUMMYFUNCTION("""COMPUTED_VALUE"""),43661.66666666667)</f>
        <v>43661.66667</v>
      </c>
      <c r="F1048" s="23">
        <f>IFERROR(__xludf.DUMMYFUNCTION("""COMPUTED_VALUE"""),19.14)</f>
        <v>19.14</v>
      </c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</row>
    <row r="1049">
      <c r="A1049" s="22">
        <f>IFERROR(__xludf.DUMMYFUNCTION("""COMPUTED_VALUE"""),43479.66666666667)</f>
        <v>43479.66667</v>
      </c>
      <c r="B1049" s="23">
        <f>IFERROR(__xludf.DUMMYFUNCTION("""COMPUTED_VALUE"""),65.45)</f>
        <v>65.45</v>
      </c>
      <c r="C1049" s="22">
        <f>IFERROR(__xludf.DUMMYFUNCTION("""COMPUTED_VALUE"""),44735.66666666667)</f>
        <v>44735.66667</v>
      </c>
      <c r="D1049" s="23">
        <f>IFERROR(__xludf.DUMMYFUNCTION("""COMPUTED_VALUE"""),111.93)</f>
        <v>111.93</v>
      </c>
      <c r="E1049" s="22">
        <f>IFERROR(__xludf.DUMMYFUNCTION("""COMPUTED_VALUE"""),43662.66666666667)</f>
        <v>43662.66667</v>
      </c>
      <c r="F1049" s="23">
        <f>IFERROR(__xludf.DUMMYFUNCTION("""COMPUTED_VALUE"""),19.21)</f>
        <v>19.21</v>
      </c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</row>
    <row r="1050">
      <c r="A1050" s="22">
        <f>IFERROR(__xludf.DUMMYFUNCTION("""COMPUTED_VALUE"""),43480.66666666667)</f>
        <v>43480.66667</v>
      </c>
      <c r="B1050" s="23">
        <f>IFERROR(__xludf.DUMMYFUNCTION("""COMPUTED_VALUE"""),65.77)</f>
        <v>65.77</v>
      </c>
      <c r="C1050" s="22">
        <f>IFERROR(__xludf.DUMMYFUNCTION("""COMPUTED_VALUE"""),44736.66666666667)</f>
        <v>44736.66667</v>
      </c>
      <c r="D1050" s="23">
        <f>IFERROR(__xludf.DUMMYFUNCTION("""COMPUTED_VALUE"""),112.68)</f>
        <v>112.68</v>
      </c>
      <c r="E1050" s="22">
        <f>IFERROR(__xludf.DUMMYFUNCTION("""COMPUTED_VALUE"""),43663.66666666667)</f>
        <v>43663.66667</v>
      </c>
      <c r="F1050" s="23">
        <f>IFERROR(__xludf.DUMMYFUNCTION("""COMPUTED_VALUE"""),19.17)</f>
        <v>19.17</v>
      </c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</row>
    <row r="1051">
      <c r="A1051" s="22">
        <f>IFERROR(__xludf.DUMMYFUNCTION("""COMPUTED_VALUE"""),43481.66666666667)</f>
        <v>43481.66667</v>
      </c>
      <c r="B1051" s="23">
        <f>IFERROR(__xludf.DUMMYFUNCTION("""COMPUTED_VALUE"""),66.04)</f>
        <v>66.04</v>
      </c>
      <c r="C1051" s="22">
        <f>IFERROR(__xludf.DUMMYFUNCTION("""COMPUTED_VALUE"""),44739.66666666667)</f>
        <v>44739.66667</v>
      </c>
      <c r="D1051" s="23">
        <f>IFERROR(__xludf.DUMMYFUNCTION("""COMPUTED_VALUE"""),114.92)</f>
        <v>114.92</v>
      </c>
      <c r="E1051" s="22">
        <f>IFERROR(__xludf.DUMMYFUNCTION("""COMPUTED_VALUE"""),43664.66666666667)</f>
        <v>43664.66667</v>
      </c>
      <c r="F1051" s="23">
        <f>IFERROR(__xludf.DUMMYFUNCTION("""COMPUTED_VALUE"""),18.85)</f>
        <v>18.85</v>
      </c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</row>
    <row r="1052">
      <c r="A1052" s="22">
        <f>IFERROR(__xludf.DUMMYFUNCTION("""COMPUTED_VALUE"""),43482.66666666667)</f>
        <v>43482.66667</v>
      </c>
      <c r="B1052" s="23">
        <f>IFERROR(__xludf.DUMMYFUNCTION("""COMPUTED_VALUE"""),66.33)</f>
        <v>66.33</v>
      </c>
      <c r="C1052" s="22">
        <f>IFERROR(__xludf.DUMMYFUNCTION("""COMPUTED_VALUE"""),44740.66666666667)</f>
        <v>44740.66667</v>
      </c>
      <c r="D1052" s="23">
        <f>IFERROR(__xludf.DUMMYFUNCTION("""COMPUTED_VALUE"""),115.92)</f>
        <v>115.92</v>
      </c>
      <c r="E1052" s="22">
        <f>IFERROR(__xludf.DUMMYFUNCTION("""COMPUTED_VALUE"""),43665.66666666667)</f>
        <v>43665.66667</v>
      </c>
      <c r="F1052" s="23">
        <f>IFERROR(__xludf.DUMMYFUNCTION("""COMPUTED_VALUE"""),19.05)</f>
        <v>19.05</v>
      </c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</row>
    <row r="1053">
      <c r="A1053" s="22">
        <f>IFERROR(__xludf.DUMMYFUNCTION("""COMPUTED_VALUE"""),43483.66666666667)</f>
        <v>43483.66667</v>
      </c>
      <c r="B1053" s="23">
        <f>IFERROR(__xludf.DUMMYFUNCTION("""COMPUTED_VALUE"""),66.79)</f>
        <v>66.79</v>
      </c>
      <c r="C1053" s="22">
        <f>IFERROR(__xludf.DUMMYFUNCTION("""COMPUTED_VALUE"""),44741.66666666667)</f>
        <v>44741.66667</v>
      </c>
      <c r="D1053" s="23">
        <f>IFERROR(__xludf.DUMMYFUNCTION("""COMPUTED_VALUE"""),115.32)</f>
        <v>115.32</v>
      </c>
      <c r="E1053" s="22">
        <f>IFERROR(__xludf.DUMMYFUNCTION("""COMPUTED_VALUE"""),43668.66666666667)</f>
        <v>43668.66667</v>
      </c>
      <c r="F1053" s="23">
        <f>IFERROR(__xludf.DUMMYFUNCTION("""COMPUTED_VALUE"""),18.89)</f>
        <v>18.89</v>
      </c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</row>
    <row r="1054">
      <c r="A1054" s="22">
        <f>IFERROR(__xludf.DUMMYFUNCTION("""COMPUTED_VALUE"""),43486.66666666667)</f>
        <v>43486.66667</v>
      </c>
      <c r="B1054" s="23">
        <f>IFERROR(__xludf.DUMMYFUNCTION("""COMPUTED_VALUE"""),67.55)</f>
        <v>67.55</v>
      </c>
      <c r="C1054" s="22">
        <f>IFERROR(__xludf.DUMMYFUNCTION("""COMPUTED_VALUE"""),44742.66666666667)</f>
        <v>44742.66667</v>
      </c>
      <c r="D1054" s="23">
        <f>IFERROR(__xludf.DUMMYFUNCTION("""COMPUTED_VALUE"""),112.91)</f>
        <v>112.91</v>
      </c>
      <c r="E1054" s="22">
        <f>IFERROR(__xludf.DUMMYFUNCTION("""COMPUTED_VALUE"""),43669.66666666667)</f>
        <v>43669.66667</v>
      </c>
      <c r="F1054" s="23">
        <f>IFERROR(__xludf.DUMMYFUNCTION("""COMPUTED_VALUE"""),19.12)</f>
        <v>19.12</v>
      </c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</row>
    <row r="1055">
      <c r="A1055" s="22">
        <f>IFERROR(__xludf.DUMMYFUNCTION("""COMPUTED_VALUE"""),43487.66666666667)</f>
        <v>43487.66667</v>
      </c>
      <c r="B1055" s="23">
        <f>IFERROR(__xludf.DUMMYFUNCTION("""COMPUTED_VALUE"""),67.57)</f>
        <v>67.57</v>
      </c>
      <c r="C1055" s="22">
        <f>IFERROR(__xludf.DUMMYFUNCTION("""COMPUTED_VALUE"""),44743.66666666667)</f>
        <v>44743.66667</v>
      </c>
      <c r="D1055" s="23">
        <f>IFERROR(__xludf.DUMMYFUNCTION("""COMPUTED_VALUE"""),108.85)</f>
        <v>108.85</v>
      </c>
      <c r="E1055" s="22">
        <f>IFERROR(__xludf.DUMMYFUNCTION("""COMPUTED_VALUE"""),43670.66666666667)</f>
        <v>43670.66667</v>
      </c>
      <c r="F1055" s="23">
        <f>IFERROR(__xludf.DUMMYFUNCTION("""COMPUTED_VALUE"""),19.28)</f>
        <v>19.28</v>
      </c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</row>
    <row r="1056">
      <c r="A1056" s="22">
        <f>IFERROR(__xludf.DUMMYFUNCTION("""COMPUTED_VALUE"""),43488.66666666667)</f>
        <v>43488.66667</v>
      </c>
      <c r="B1056" s="23">
        <f>IFERROR(__xludf.DUMMYFUNCTION("""COMPUTED_VALUE"""),67.24)</f>
        <v>67.24</v>
      </c>
      <c r="C1056" s="22">
        <f>IFERROR(__xludf.DUMMYFUNCTION("""COMPUTED_VALUE"""),44746.66666666667)</f>
        <v>44746.66667</v>
      </c>
      <c r="D1056" s="23">
        <f>IFERROR(__xludf.DUMMYFUNCTION("""COMPUTED_VALUE"""),110.05)</f>
        <v>110.05</v>
      </c>
      <c r="E1056" s="22">
        <f>IFERROR(__xludf.DUMMYFUNCTION("""COMPUTED_VALUE"""),43671.66666666667)</f>
        <v>43671.66667</v>
      </c>
      <c r="F1056" s="23">
        <f>IFERROR(__xludf.DUMMYFUNCTION("""COMPUTED_VALUE"""),19.47)</f>
        <v>19.47</v>
      </c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</row>
    <row r="1057">
      <c r="A1057" s="22">
        <f>IFERROR(__xludf.DUMMYFUNCTION("""COMPUTED_VALUE"""),43489.66666666667)</f>
        <v>43489.66667</v>
      </c>
      <c r="B1057" s="23">
        <f>IFERROR(__xludf.DUMMYFUNCTION("""COMPUTED_VALUE"""),67.57)</f>
        <v>67.57</v>
      </c>
      <c r="C1057" s="22">
        <f>IFERROR(__xludf.DUMMYFUNCTION("""COMPUTED_VALUE"""),44747.66666666667)</f>
        <v>44747.66667</v>
      </c>
      <c r="D1057" s="23">
        <f>IFERROR(__xludf.DUMMYFUNCTION("""COMPUTED_VALUE"""),110.3)</f>
        <v>110.3</v>
      </c>
      <c r="E1057" s="22">
        <f>IFERROR(__xludf.DUMMYFUNCTION("""COMPUTED_VALUE"""),43672.66666666667)</f>
        <v>43672.66667</v>
      </c>
      <c r="F1057" s="23">
        <f>IFERROR(__xludf.DUMMYFUNCTION("""COMPUTED_VALUE"""),19.55)</f>
        <v>19.55</v>
      </c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</row>
    <row r="1058">
      <c r="A1058" s="22">
        <f>IFERROR(__xludf.DUMMYFUNCTION("""COMPUTED_VALUE"""),43490.66666666667)</f>
        <v>43490.66667</v>
      </c>
      <c r="B1058" s="23">
        <f>IFERROR(__xludf.DUMMYFUNCTION("""COMPUTED_VALUE"""),68.0)</f>
        <v>68</v>
      </c>
      <c r="C1058" s="22">
        <f>IFERROR(__xludf.DUMMYFUNCTION("""COMPUTED_VALUE"""),44748.66666666667)</f>
        <v>44748.66667</v>
      </c>
      <c r="D1058" s="23">
        <f>IFERROR(__xludf.DUMMYFUNCTION("""COMPUTED_VALUE"""),109.69)</f>
        <v>109.69</v>
      </c>
      <c r="E1058" s="22">
        <f>IFERROR(__xludf.DUMMYFUNCTION("""COMPUTED_VALUE"""),43675.66666666667)</f>
        <v>43675.66667</v>
      </c>
      <c r="F1058" s="23">
        <f>IFERROR(__xludf.DUMMYFUNCTION("""COMPUTED_VALUE"""),19.62)</f>
        <v>19.62</v>
      </c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</row>
    <row r="1059">
      <c r="A1059" s="22">
        <f>IFERROR(__xludf.DUMMYFUNCTION("""COMPUTED_VALUE"""),43494.66666666667)</f>
        <v>43494.66667</v>
      </c>
      <c r="B1059" s="23">
        <f>IFERROR(__xludf.DUMMYFUNCTION("""COMPUTED_VALUE"""),67.08)</f>
        <v>67.08</v>
      </c>
      <c r="C1059" s="22">
        <f>IFERROR(__xludf.DUMMYFUNCTION("""COMPUTED_VALUE"""),44749.66666666667)</f>
        <v>44749.66667</v>
      </c>
      <c r="D1059" s="23">
        <f>IFERROR(__xludf.DUMMYFUNCTION("""COMPUTED_VALUE"""),110.38)</f>
        <v>110.38</v>
      </c>
      <c r="E1059" s="22">
        <f>IFERROR(__xludf.DUMMYFUNCTION("""COMPUTED_VALUE"""),43676.66666666667)</f>
        <v>43676.66667</v>
      </c>
      <c r="F1059" s="23">
        <f>IFERROR(__xludf.DUMMYFUNCTION("""COMPUTED_VALUE"""),19.65)</f>
        <v>19.65</v>
      </c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</row>
    <row r="1060">
      <c r="A1060" s="22">
        <f>IFERROR(__xludf.DUMMYFUNCTION("""COMPUTED_VALUE"""),43495.66666666667)</f>
        <v>43495.66667</v>
      </c>
      <c r="B1060" s="23">
        <f>IFERROR(__xludf.DUMMYFUNCTION("""COMPUTED_VALUE"""),67.1)</f>
        <v>67.1</v>
      </c>
      <c r="C1060" s="22">
        <f>IFERROR(__xludf.DUMMYFUNCTION("""COMPUTED_VALUE"""),44750.66666666667)</f>
        <v>44750.66667</v>
      </c>
      <c r="D1060" s="23">
        <f>IFERROR(__xludf.DUMMYFUNCTION("""COMPUTED_VALUE"""),111.08)</f>
        <v>111.08</v>
      </c>
      <c r="E1060" s="22">
        <f>IFERROR(__xludf.DUMMYFUNCTION("""COMPUTED_VALUE"""),43677.66666666667)</f>
        <v>43677.66667</v>
      </c>
      <c r="F1060" s="23">
        <f>IFERROR(__xludf.DUMMYFUNCTION("""COMPUTED_VALUE"""),19.62)</f>
        <v>19.62</v>
      </c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</row>
    <row r="1061">
      <c r="A1061" s="22">
        <f>IFERROR(__xludf.DUMMYFUNCTION("""COMPUTED_VALUE"""),43496.66666666667)</f>
        <v>43496.66667</v>
      </c>
      <c r="B1061" s="23">
        <f>IFERROR(__xludf.DUMMYFUNCTION("""COMPUTED_VALUE"""),67.48)</f>
        <v>67.48</v>
      </c>
      <c r="C1061" s="22">
        <f>IFERROR(__xludf.DUMMYFUNCTION("""COMPUTED_VALUE"""),44753.66666666667)</f>
        <v>44753.66667</v>
      </c>
      <c r="D1061" s="23">
        <f>IFERROR(__xludf.DUMMYFUNCTION("""COMPUTED_VALUE"""),109.9)</f>
        <v>109.9</v>
      </c>
      <c r="E1061" s="22">
        <f>IFERROR(__xludf.DUMMYFUNCTION("""COMPUTED_VALUE"""),43678.66666666667)</f>
        <v>43678.66667</v>
      </c>
      <c r="F1061" s="23">
        <f>IFERROR(__xludf.DUMMYFUNCTION("""COMPUTED_VALUE"""),19.43)</f>
        <v>19.43</v>
      </c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</row>
    <row r="1062">
      <c r="A1062" s="22">
        <f>IFERROR(__xludf.DUMMYFUNCTION("""COMPUTED_VALUE"""),43497.66666666667)</f>
        <v>43497.66667</v>
      </c>
      <c r="B1062" s="23">
        <f>IFERROR(__xludf.DUMMYFUNCTION("""COMPUTED_VALUE"""),67.91)</f>
        <v>67.91</v>
      </c>
      <c r="C1062" s="22">
        <f>IFERROR(__xludf.DUMMYFUNCTION("""COMPUTED_VALUE"""),44754.66666666667)</f>
        <v>44754.66667</v>
      </c>
      <c r="D1062" s="23">
        <f>IFERROR(__xludf.DUMMYFUNCTION("""COMPUTED_VALUE"""),109.93)</f>
        <v>109.93</v>
      </c>
      <c r="E1062" s="22">
        <f>IFERROR(__xludf.DUMMYFUNCTION("""COMPUTED_VALUE"""),43679.66666666667)</f>
        <v>43679.66667</v>
      </c>
      <c r="F1062" s="23">
        <f>IFERROR(__xludf.DUMMYFUNCTION("""COMPUTED_VALUE"""),19.35)</f>
        <v>19.35</v>
      </c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</row>
    <row r="1063">
      <c r="A1063" s="22">
        <f>IFERROR(__xludf.DUMMYFUNCTION("""COMPUTED_VALUE"""),43500.66666666667)</f>
        <v>43500.66667</v>
      </c>
      <c r="B1063" s="23">
        <f>IFERROR(__xludf.DUMMYFUNCTION("""COMPUTED_VALUE"""),67.92)</f>
        <v>67.92</v>
      </c>
      <c r="C1063" s="22">
        <f>IFERROR(__xludf.DUMMYFUNCTION("""COMPUTED_VALUE"""),44755.66666666667)</f>
        <v>44755.66667</v>
      </c>
      <c r="D1063" s="23">
        <f>IFERROR(__xludf.DUMMYFUNCTION("""COMPUTED_VALUE"""),110.07)</f>
        <v>110.07</v>
      </c>
      <c r="E1063" s="22">
        <f>IFERROR(__xludf.DUMMYFUNCTION("""COMPUTED_VALUE"""),43682.66666666667)</f>
        <v>43682.66667</v>
      </c>
      <c r="F1063" s="23">
        <f>IFERROR(__xludf.DUMMYFUNCTION("""COMPUTED_VALUE"""),19.01)</f>
        <v>19.01</v>
      </c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</row>
    <row r="1064">
      <c r="A1064" s="22">
        <f>IFERROR(__xludf.DUMMYFUNCTION("""COMPUTED_VALUE"""),43501.66666666667)</f>
        <v>43501.66667</v>
      </c>
      <c r="B1064" s="23">
        <f>IFERROR(__xludf.DUMMYFUNCTION("""COMPUTED_VALUE"""),68.0)</f>
        <v>68</v>
      </c>
      <c r="C1064" s="22">
        <f>IFERROR(__xludf.DUMMYFUNCTION("""COMPUTED_VALUE"""),44756.66666666667)</f>
        <v>44756.66667</v>
      </c>
      <c r="D1064" s="23">
        <f>IFERROR(__xludf.DUMMYFUNCTION("""COMPUTED_VALUE"""),110.6)</f>
        <v>110.6</v>
      </c>
      <c r="E1064" s="22">
        <f>IFERROR(__xludf.DUMMYFUNCTION("""COMPUTED_VALUE"""),43683.66666666667)</f>
        <v>43683.66667</v>
      </c>
      <c r="F1064" s="23">
        <f>IFERROR(__xludf.DUMMYFUNCTION("""COMPUTED_VALUE"""),18.54)</f>
        <v>18.54</v>
      </c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</row>
    <row r="1065">
      <c r="A1065" s="22">
        <f>IFERROR(__xludf.DUMMYFUNCTION("""COMPUTED_VALUE"""),43502.66666666667)</f>
        <v>43502.66667</v>
      </c>
      <c r="B1065" s="23">
        <f>IFERROR(__xludf.DUMMYFUNCTION("""COMPUTED_VALUE"""),69.35)</f>
        <v>69.35</v>
      </c>
      <c r="C1065" s="22">
        <f>IFERROR(__xludf.DUMMYFUNCTION("""COMPUTED_VALUE"""),44757.66666666667)</f>
        <v>44757.66667</v>
      </c>
      <c r="D1065" s="23">
        <f>IFERROR(__xludf.DUMMYFUNCTION("""COMPUTED_VALUE"""),109.72)</f>
        <v>109.72</v>
      </c>
      <c r="E1065" s="22">
        <f>IFERROR(__xludf.DUMMYFUNCTION("""COMPUTED_VALUE"""),43684.66666666667)</f>
        <v>43684.66667</v>
      </c>
      <c r="F1065" s="23">
        <f>IFERROR(__xludf.DUMMYFUNCTION("""COMPUTED_VALUE"""),18.89)</f>
        <v>18.89</v>
      </c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</row>
    <row r="1066">
      <c r="A1066" s="22">
        <f>IFERROR(__xludf.DUMMYFUNCTION("""COMPUTED_VALUE"""),43503.66666666667)</f>
        <v>43503.66667</v>
      </c>
      <c r="B1066" s="23">
        <f>IFERROR(__xludf.DUMMYFUNCTION("""COMPUTED_VALUE"""),69.68)</f>
        <v>69.68</v>
      </c>
      <c r="C1066" s="22">
        <f>IFERROR(__xludf.DUMMYFUNCTION("""COMPUTED_VALUE"""),44760.66666666667)</f>
        <v>44760.66667</v>
      </c>
      <c r="D1066" s="23">
        <f>IFERROR(__xludf.DUMMYFUNCTION("""COMPUTED_VALUE"""),111.18)</f>
        <v>111.18</v>
      </c>
      <c r="E1066" s="22">
        <f>IFERROR(__xludf.DUMMYFUNCTION("""COMPUTED_VALUE"""),43685.66666666667)</f>
        <v>43685.66667</v>
      </c>
      <c r="F1066" s="23">
        <f>IFERROR(__xludf.DUMMYFUNCTION("""COMPUTED_VALUE"""),18.99)</f>
        <v>18.99</v>
      </c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</row>
    <row r="1067">
      <c r="A1067" s="22">
        <f>IFERROR(__xludf.DUMMYFUNCTION("""COMPUTED_VALUE"""),43504.66666666667)</f>
        <v>43504.66667</v>
      </c>
      <c r="B1067" s="23">
        <f>IFERROR(__xludf.DUMMYFUNCTION("""COMPUTED_VALUE"""),69.06)</f>
        <v>69.06</v>
      </c>
      <c r="C1067" s="22">
        <f>IFERROR(__xludf.DUMMYFUNCTION("""COMPUTED_VALUE"""),44761.66666666667)</f>
        <v>44761.66667</v>
      </c>
      <c r="D1067" s="23">
        <f>IFERROR(__xludf.DUMMYFUNCTION("""COMPUTED_VALUE"""),110.46)</f>
        <v>110.46</v>
      </c>
      <c r="E1067" s="22">
        <f>IFERROR(__xludf.DUMMYFUNCTION("""COMPUTED_VALUE"""),43686.66666666667)</f>
        <v>43686.66667</v>
      </c>
      <c r="F1067" s="23">
        <f>IFERROR(__xludf.DUMMYFUNCTION("""COMPUTED_VALUE"""),19.12)</f>
        <v>19.12</v>
      </c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</row>
    <row r="1068">
      <c r="A1068" s="22">
        <f>IFERROR(__xludf.DUMMYFUNCTION("""COMPUTED_VALUE"""),43507.66666666667)</f>
        <v>43507.66667</v>
      </c>
      <c r="B1068" s="23">
        <f>IFERROR(__xludf.DUMMYFUNCTION("""COMPUTED_VALUE"""),69.05)</f>
        <v>69.05</v>
      </c>
      <c r="C1068" s="22">
        <f>IFERROR(__xludf.DUMMYFUNCTION("""COMPUTED_VALUE"""),44762.66666666667)</f>
        <v>44762.66667</v>
      </c>
      <c r="D1068" s="23">
        <f>IFERROR(__xludf.DUMMYFUNCTION("""COMPUTED_VALUE"""),112.43)</f>
        <v>112.43</v>
      </c>
      <c r="E1068" s="22">
        <f>IFERROR(__xludf.DUMMYFUNCTION("""COMPUTED_VALUE"""),43689.66666666667)</f>
        <v>43689.66667</v>
      </c>
      <c r="F1068" s="23">
        <f>IFERROR(__xludf.DUMMYFUNCTION("""COMPUTED_VALUE"""),19.17)</f>
        <v>19.17</v>
      </c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</row>
    <row r="1069">
      <c r="A1069" s="22">
        <f>IFERROR(__xludf.DUMMYFUNCTION("""COMPUTED_VALUE"""),43508.66666666667)</f>
        <v>43508.66667</v>
      </c>
      <c r="B1069" s="23">
        <f>IFERROR(__xludf.DUMMYFUNCTION("""COMPUTED_VALUE"""),69.71)</f>
        <v>69.71</v>
      </c>
      <c r="C1069" s="22">
        <f>IFERROR(__xludf.DUMMYFUNCTION("""COMPUTED_VALUE"""),44763.66666666667)</f>
        <v>44763.66667</v>
      </c>
      <c r="D1069" s="23">
        <f>IFERROR(__xludf.DUMMYFUNCTION("""COMPUTED_VALUE"""),112.91)</f>
        <v>112.91</v>
      </c>
      <c r="E1069" s="22">
        <f>IFERROR(__xludf.DUMMYFUNCTION("""COMPUTED_VALUE"""),43690.66666666667)</f>
        <v>43690.66667</v>
      </c>
      <c r="F1069" s="23">
        <f>IFERROR(__xludf.DUMMYFUNCTION("""COMPUTED_VALUE"""),18.98)</f>
        <v>18.98</v>
      </c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</row>
    <row r="1070">
      <c r="A1070" s="22">
        <f>IFERROR(__xludf.DUMMYFUNCTION("""COMPUTED_VALUE"""),43509.66666666667)</f>
        <v>43509.66667</v>
      </c>
      <c r="B1070" s="23">
        <f>IFERROR(__xludf.DUMMYFUNCTION("""COMPUTED_VALUE"""),69.88)</f>
        <v>69.88</v>
      </c>
      <c r="C1070" s="22">
        <f>IFERROR(__xludf.DUMMYFUNCTION("""COMPUTED_VALUE"""),44764.66666666667)</f>
        <v>44764.66667</v>
      </c>
      <c r="D1070" s="23">
        <f>IFERROR(__xludf.DUMMYFUNCTION("""COMPUTED_VALUE"""),112.9)</f>
        <v>112.9</v>
      </c>
      <c r="E1070" s="22">
        <f>IFERROR(__xludf.DUMMYFUNCTION("""COMPUTED_VALUE"""),43691.66666666667)</f>
        <v>43691.66667</v>
      </c>
      <c r="F1070" s="23">
        <f>IFERROR(__xludf.DUMMYFUNCTION("""COMPUTED_VALUE"""),19.32)</f>
        <v>19.32</v>
      </c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</row>
    <row r="1071">
      <c r="A1071" s="22">
        <f>IFERROR(__xludf.DUMMYFUNCTION("""COMPUTED_VALUE"""),43510.66666666667)</f>
        <v>43510.66667</v>
      </c>
      <c r="B1071" s="23">
        <f>IFERROR(__xludf.DUMMYFUNCTION("""COMPUTED_VALUE"""),69.97)</f>
        <v>69.97</v>
      </c>
      <c r="C1071" s="22">
        <f>IFERROR(__xludf.DUMMYFUNCTION("""COMPUTED_VALUE"""),44767.66666666667)</f>
        <v>44767.66667</v>
      </c>
      <c r="D1071" s="23">
        <f>IFERROR(__xludf.DUMMYFUNCTION("""COMPUTED_VALUE"""),112.87)</f>
        <v>112.87</v>
      </c>
      <c r="E1071" s="22">
        <f>IFERROR(__xludf.DUMMYFUNCTION("""COMPUTED_VALUE"""),43692.66666666667)</f>
        <v>43692.66667</v>
      </c>
      <c r="F1071" s="23">
        <f>IFERROR(__xludf.DUMMYFUNCTION("""COMPUTED_VALUE"""),18.83)</f>
        <v>18.83</v>
      </c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</row>
    <row r="1072">
      <c r="A1072" s="22">
        <f>IFERROR(__xludf.DUMMYFUNCTION("""COMPUTED_VALUE"""),43511.66666666667)</f>
        <v>43511.66667</v>
      </c>
      <c r="B1072" s="23">
        <f>IFERROR(__xludf.DUMMYFUNCTION("""COMPUTED_VALUE"""),69.84)</f>
        <v>69.84</v>
      </c>
      <c r="C1072" s="22">
        <f>IFERROR(__xludf.DUMMYFUNCTION("""COMPUTED_VALUE"""),44768.66666666667)</f>
        <v>44768.66667</v>
      </c>
      <c r="D1072" s="23">
        <f>IFERROR(__xludf.DUMMYFUNCTION("""COMPUTED_VALUE"""),113.17)</f>
        <v>113.17</v>
      </c>
      <c r="E1072" s="22">
        <f>IFERROR(__xludf.DUMMYFUNCTION("""COMPUTED_VALUE"""),43693.66666666667)</f>
        <v>43693.66667</v>
      </c>
      <c r="F1072" s="23">
        <f>IFERROR(__xludf.DUMMYFUNCTION("""COMPUTED_VALUE"""),18.85)</f>
        <v>18.85</v>
      </c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</row>
    <row r="1073">
      <c r="A1073" s="22">
        <f>IFERROR(__xludf.DUMMYFUNCTION("""COMPUTED_VALUE"""),43514.66666666667)</f>
        <v>43514.66667</v>
      </c>
      <c r="B1073" s="23">
        <f>IFERROR(__xludf.DUMMYFUNCTION("""COMPUTED_VALUE"""),70.41)</f>
        <v>70.41</v>
      </c>
      <c r="C1073" s="22">
        <f>IFERROR(__xludf.DUMMYFUNCTION("""COMPUTED_VALUE"""),44769.66666666667)</f>
        <v>44769.66667</v>
      </c>
      <c r="D1073" s="23">
        <f>IFERROR(__xludf.DUMMYFUNCTION("""COMPUTED_VALUE"""),113.52)</f>
        <v>113.52</v>
      </c>
      <c r="E1073" s="22">
        <f>IFERROR(__xludf.DUMMYFUNCTION("""COMPUTED_VALUE"""),43696.66666666667)</f>
        <v>43696.66667</v>
      </c>
      <c r="F1073" s="23">
        <f>IFERROR(__xludf.DUMMYFUNCTION("""COMPUTED_VALUE"""),19.15)</f>
        <v>19.15</v>
      </c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</row>
    <row r="1074">
      <c r="A1074" s="22">
        <f>IFERROR(__xludf.DUMMYFUNCTION("""COMPUTED_VALUE"""),43515.66666666667)</f>
        <v>43515.66667</v>
      </c>
      <c r="B1074" s="23">
        <f>IFERROR(__xludf.DUMMYFUNCTION("""COMPUTED_VALUE"""),70.8)</f>
        <v>70.8</v>
      </c>
      <c r="C1074" s="22">
        <f>IFERROR(__xludf.DUMMYFUNCTION("""COMPUTED_VALUE"""),44770.66666666667)</f>
        <v>44770.66667</v>
      </c>
      <c r="D1074" s="23">
        <f>IFERROR(__xludf.DUMMYFUNCTION("""COMPUTED_VALUE"""),114.47)</f>
        <v>114.47</v>
      </c>
      <c r="E1074" s="22">
        <f>IFERROR(__xludf.DUMMYFUNCTION("""COMPUTED_VALUE"""),43697.66666666667)</f>
        <v>43697.66667</v>
      </c>
      <c r="F1074" s="23">
        <f>IFERROR(__xludf.DUMMYFUNCTION("""COMPUTED_VALUE"""),19.32)</f>
        <v>19.32</v>
      </c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</row>
    <row r="1075">
      <c r="A1075" s="22">
        <f>IFERROR(__xludf.DUMMYFUNCTION("""COMPUTED_VALUE"""),43516.66666666667)</f>
        <v>43516.66667</v>
      </c>
      <c r="B1075" s="23">
        <f>IFERROR(__xludf.DUMMYFUNCTION("""COMPUTED_VALUE"""),70.35)</f>
        <v>70.35</v>
      </c>
      <c r="C1075" s="22">
        <f>IFERROR(__xludf.DUMMYFUNCTION("""COMPUTED_VALUE"""),44771.66666666667)</f>
        <v>44771.66667</v>
      </c>
      <c r="D1075" s="23">
        <f>IFERROR(__xludf.DUMMYFUNCTION("""COMPUTED_VALUE"""),115.5)</f>
        <v>115.5</v>
      </c>
      <c r="E1075" s="22">
        <f>IFERROR(__xludf.DUMMYFUNCTION("""COMPUTED_VALUE"""),43698.66666666667)</f>
        <v>43698.66667</v>
      </c>
      <c r="F1075" s="23">
        <f>IFERROR(__xludf.DUMMYFUNCTION("""COMPUTED_VALUE"""),19.22)</f>
        <v>19.22</v>
      </c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</row>
    <row r="1076">
      <c r="A1076" s="22">
        <f>IFERROR(__xludf.DUMMYFUNCTION("""COMPUTED_VALUE"""),43517.66666666667)</f>
        <v>43517.66667</v>
      </c>
      <c r="B1076" s="23">
        <f>IFERROR(__xludf.DUMMYFUNCTION("""COMPUTED_VALUE"""),70.89)</f>
        <v>70.89</v>
      </c>
      <c r="C1076" s="22">
        <f>IFERROR(__xludf.DUMMYFUNCTION("""COMPUTED_VALUE"""),44774.66666666667)</f>
        <v>44774.66667</v>
      </c>
      <c r="D1076" s="23">
        <f>IFERROR(__xludf.DUMMYFUNCTION("""COMPUTED_VALUE"""),116.21)</f>
        <v>116.21</v>
      </c>
      <c r="E1076" s="22">
        <f>IFERROR(__xludf.DUMMYFUNCTION("""COMPUTED_VALUE"""),43699.66666666667)</f>
        <v>43699.66667</v>
      </c>
      <c r="F1076" s="23">
        <f>IFERROR(__xludf.DUMMYFUNCTION("""COMPUTED_VALUE"""),19.36)</f>
        <v>19.36</v>
      </c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</row>
    <row r="1077">
      <c r="A1077" s="22">
        <f>IFERROR(__xludf.DUMMYFUNCTION("""COMPUTED_VALUE"""),43518.66666666667)</f>
        <v>43518.66667</v>
      </c>
      <c r="B1077" s="23">
        <f>IFERROR(__xludf.DUMMYFUNCTION("""COMPUTED_VALUE"""),70.98)</f>
        <v>70.98</v>
      </c>
      <c r="C1077" s="22">
        <f>IFERROR(__xludf.DUMMYFUNCTION("""COMPUTED_VALUE"""),44775.66666666667)</f>
        <v>44775.66667</v>
      </c>
      <c r="D1077" s="23">
        <f>IFERROR(__xludf.DUMMYFUNCTION("""COMPUTED_VALUE"""),116.2)</f>
        <v>116.2</v>
      </c>
      <c r="E1077" s="22">
        <f>IFERROR(__xludf.DUMMYFUNCTION("""COMPUTED_VALUE"""),43700.66666666667)</f>
        <v>43700.66667</v>
      </c>
      <c r="F1077" s="23">
        <f>IFERROR(__xludf.DUMMYFUNCTION("""COMPUTED_VALUE"""),19.45)</f>
        <v>19.45</v>
      </c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</row>
    <row r="1078">
      <c r="A1078" s="22">
        <f>IFERROR(__xludf.DUMMYFUNCTION("""COMPUTED_VALUE"""),43521.66666666667)</f>
        <v>43521.66667</v>
      </c>
      <c r="B1078" s="23">
        <f>IFERROR(__xludf.DUMMYFUNCTION("""COMPUTED_VALUE"""),71.1)</f>
        <v>71.1</v>
      </c>
      <c r="C1078" s="22">
        <f>IFERROR(__xludf.DUMMYFUNCTION("""COMPUTED_VALUE"""),44776.66666666667)</f>
        <v>44776.66667</v>
      </c>
      <c r="D1078" s="23">
        <f>IFERROR(__xludf.DUMMYFUNCTION("""COMPUTED_VALUE"""),115.78)</f>
        <v>115.78</v>
      </c>
      <c r="E1078" s="22">
        <f>IFERROR(__xludf.DUMMYFUNCTION("""COMPUTED_VALUE"""),43703.66666666667)</f>
        <v>43703.66667</v>
      </c>
      <c r="F1078" s="23">
        <f>IFERROR(__xludf.DUMMYFUNCTION("""COMPUTED_VALUE"""),18.73)</f>
        <v>18.73</v>
      </c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</row>
    <row r="1079">
      <c r="A1079" s="22">
        <f>IFERROR(__xludf.DUMMYFUNCTION("""COMPUTED_VALUE"""),43522.66666666667)</f>
        <v>43522.66667</v>
      </c>
      <c r="B1079" s="23">
        <f>IFERROR(__xludf.DUMMYFUNCTION("""COMPUTED_VALUE"""),70.68)</f>
        <v>70.68</v>
      </c>
      <c r="C1079" s="22">
        <f>IFERROR(__xludf.DUMMYFUNCTION("""COMPUTED_VALUE"""),44777.66666666667)</f>
        <v>44777.66667</v>
      </c>
      <c r="D1079" s="23">
        <f>IFERROR(__xludf.DUMMYFUNCTION("""COMPUTED_VALUE"""),115.91)</f>
        <v>115.91</v>
      </c>
      <c r="E1079" s="22">
        <f>IFERROR(__xludf.DUMMYFUNCTION("""COMPUTED_VALUE"""),43704.66666666667)</f>
        <v>43704.66667</v>
      </c>
      <c r="F1079" s="23">
        <f>IFERROR(__xludf.DUMMYFUNCTION("""COMPUTED_VALUE"""),19.01)</f>
        <v>19.01</v>
      </c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</row>
    <row r="1080">
      <c r="A1080" s="22">
        <f>IFERROR(__xludf.DUMMYFUNCTION("""COMPUTED_VALUE"""),43523.66666666667)</f>
        <v>43523.66667</v>
      </c>
      <c r="B1080" s="23">
        <f>IFERROR(__xludf.DUMMYFUNCTION("""COMPUTED_VALUE"""),70.74)</f>
        <v>70.74</v>
      </c>
      <c r="C1080" s="22">
        <f>IFERROR(__xludf.DUMMYFUNCTION("""COMPUTED_VALUE"""),44778.66666666667)</f>
        <v>44778.66667</v>
      </c>
      <c r="D1080" s="23">
        <f>IFERROR(__xludf.DUMMYFUNCTION("""COMPUTED_VALUE"""),116.5)</f>
        <v>116.5</v>
      </c>
      <c r="E1080" s="22">
        <f>IFERROR(__xludf.DUMMYFUNCTION("""COMPUTED_VALUE"""),43705.66666666667)</f>
        <v>43705.66667</v>
      </c>
      <c r="F1080" s="23">
        <f>IFERROR(__xludf.DUMMYFUNCTION("""COMPUTED_VALUE"""),19.11)</f>
        <v>19.11</v>
      </c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</row>
    <row r="1081">
      <c r="A1081" s="22">
        <f>IFERROR(__xludf.DUMMYFUNCTION("""COMPUTED_VALUE"""),43524.66666666667)</f>
        <v>43524.66667</v>
      </c>
      <c r="B1081" s="23">
        <f>IFERROR(__xludf.DUMMYFUNCTION("""COMPUTED_VALUE"""),71.09)</f>
        <v>71.09</v>
      </c>
      <c r="C1081" s="22">
        <f>IFERROR(__xludf.DUMMYFUNCTION("""COMPUTED_VALUE"""),44781.66666666667)</f>
        <v>44781.66667</v>
      </c>
      <c r="D1081" s="23">
        <f>IFERROR(__xludf.DUMMYFUNCTION("""COMPUTED_VALUE"""),116.55)</f>
        <v>116.55</v>
      </c>
      <c r="E1081" s="22">
        <f>IFERROR(__xludf.DUMMYFUNCTION("""COMPUTED_VALUE"""),43706.66666666667)</f>
        <v>43706.66667</v>
      </c>
      <c r="F1081" s="23">
        <f>IFERROR(__xludf.DUMMYFUNCTION("""COMPUTED_VALUE"""),19.1)</f>
        <v>19.1</v>
      </c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</row>
    <row r="1082">
      <c r="A1082" s="22">
        <f>IFERROR(__xludf.DUMMYFUNCTION("""COMPUTED_VALUE"""),43525.66666666667)</f>
        <v>43525.66667</v>
      </c>
      <c r="B1082" s="23">
        <f>IFERROR(__xludf.DUMMYFUNCTION("""COMPUTED_VALUE"""),71.7)</f>
        <v>71.7</v>
      </c>
      <c r="C1082" s="22">
        <f>IFERROR(__xludf.DUMMYFUNCTION("""COMPUTED_VALUE"""),44782.66666666667)</f>
        <v>44782.66667</v>
      </c>
      <c r="D1082" s="23">
        <f>IFERROR(__xludf.DUMMYFUNCTION("""COMPUTED_VALUE"""),116.6)</f>
        <v>116.6</v>
      </c>
      <c r="E1082" s="22">
        <f>IFERROR(__xludf.DUMMYFUNCTION("""COMPUTED_VALUE"""),43707.66666666667)</f>
        <v>43707.66667</v>
      </c>
      <c r="F1082" s="23">
        <f>IFERROR(__xludf.DUMMYFUNCTION("""COMPUTED_VALUE"""),19.47)</f>
        <v>19.47</v>
      </c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</row>
    <row r="1083">
      <c r="A1083" s="22">
        <f>IFERROR(__xludf.DUMMYFUNCTION("""COMPUTED_VALUE"""),43528.66666666667)</f>
        <v>43528.66667</v>
      </c>
      <c r="B1083" s="23">
        <f>IFERROR(__xludf.DUMMYFUNCTION("""COMPUTED_VALUE"""),72.14)</f>
        <v>72.14</v>
      </c>
      <c r="C1083" s="22">
        <f>IFERROR(__xludf.DUMMYFUNCTION("""COMPUTED_VALUE"""),44783.66666666667)</f>
        <v>44783.66667</v>
      </c>
      <c r="D1083" s="23">
        <f>IFERROR(__xludf.DUMMYFUNCTION("""COMPUTED_VALUE"""),116.04)</f>
        <v>116.04</v>
      </c>
      <c r="E1083" s="22">
        <f>IFERROR(__xludf.DUMMYFUNCTION("""COMPUTED_VALUE"""),43710.66666666667)</f>
        <v>43710.66667</v>
      </c>
      <c r="F1083" s="23">
        <f>IFERROR(__xludf.DUMMYFUNCTION("""COMPUTED_VALUE"""),19.26)</f>
        <v>19.26</v>
      </c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</row>
    <row r="1084">
      <c r="A1084" s="22">
        <f>IFERROR(__xludf.DUMMYFUNCTION("""COMPUTED_VALUE"""),43529.66666666667)</f>
        <v>43529.66667</v>
      </c>
      <c r="B1084" s="23">
        <f>IFERROR(__xludf.DUMMYFUNCTION("""COMPUTED_VALUE"""),71.66)</f>
        <v>71.66</v>
      </c>
      <c r="C1084" s="22">
        <f>IFERROR(__xludf.DUMMYFUNCTION("""COMPUTED_VALUE"""),44784.66666666667)</f>
        <v>44784.66667</v>
      </c>
      <c r="D1084" s="23">
        <f>IFERROR(__xludf.DUMMYFUNCTION("""COMPUTED_VALUE"""),117.17)</f>
        <v>117.17</v>
      </c>
      <c r="E1084" s="22">
        <f>IFERROR(__xludf.DUMMYFUNCTION("""COMPUTED_VALUE"""),43711.66666666667)</f>
        <v>43711.66667</v>
      </c>
      <c r="F1084" s="23">
        <f>IFERROR(__xludf.DUMMYFUNCTION("""COMPUTED_VALUE"""),19.24)</f>
        <v>19.24</v>
      </c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</row>
    <row r="1085">
      <c r="A1085" s="22">
        <f>IFERROR(__xludf.DUMMYFUNCTION("""COMPUTED_VALUE"""),43530.66666666667)</f>
        <v>43530.66667</v>
      </c>
      <c r="B1085" s="23">
        <f>IFERROR(__xludf.DUMMYFUNCTION("""COMPUTED_VALUE"""),71.94)</f>
        <v>71.94</v>
      </c>
      <c r="C1085" s="22">
        <f>IFERROR(__xludf.DUMMYFUNCTION("""COMPUTED_VALUE"""),44785.66666666667)</f>
        <v>44785.66667</v>
      </c>
      <c r="D1085" s="23">
        <f>IFERROR(__xludf.DUMMYFUNCTION("""COMPUTED_VALUE"""),116.75)</f>
        <v>116.75</v>
      </c>
      <c r="E1085" s="22">
        <f>IFERROR(__xludf.DUMMYFUNCTION("""COMPUTED_VALUE"""),43712.66666666667)</f>
        <v>43712.66667</v>
      </c>
      <c r="F1085" s="23">
        <f>IFERROR(__xludf.DUMMYFUNCTION("""COMPUTED_VALUE"""),19.2)</f>
        <v>19.2</v>
      </c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</row>
    <row r="1086">
      <c r="A1086" s="22">
        <f>IFERROR(__xludf.DUMMYFUNCTION("""COMPUTED_VALUE"""),43531.66666666667)</f>
        <v>43531.66667</v>
      </c>
      <c r="B1086" s="23">
        <f>IFERROR(__xludf.DUMMYFUNCTION("""COMPUTED_VALUE"""),71.48)</f>
        <v>71.48</v>
      </c>
      <c r="C1086" s="22">
        <f>IFERROR(__xludf.DUMMYFUNCTION("""COMPUTED_VALUE"""),44788.66666666667)</f>
        <v>44788.66667</v>
      </c>
      <c r="D1086" s="23">
        <f>IFERROR(__xludf.DUMMYFUNCTION("""COMPUTED_VALUE"""),117.4)</f>
        <v>117.4</v>
      </c>
      <c r="E1086" s="22">
        <f>IFERROR(__xludf.DUMMYFUNCTION("""COMPUTED_VALUE"""),43713.66666666667)</f>
        <v>43713.66667</v>
      </c>
      <c r="F1086" s="23">
        <f>IFERROR(__xludf.DUMMYFUNCTION("""COMPUTED_VALUE"""),19.41)</f>
        <v>19.41</v>
      </c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</row>
    <row r="1087">
      <c r="A1087" s="22">
        <f>IFERROR(__xludf.DUMMYFUNCTION("""COMPUTED_VALUE"""),43532.66666666667)</f>
        <v>43532.66667</v>
      </c>
      <c r="B1087" s="23">
        <f>IFERROR(__xludf.DUMMYFUNCTION("""COMPUTED_VALUE"""),71.09)</f>
        <v>71.09</v>
      </c>
      <c r="C1087" s="22">
        <f>IFERROR(__xludf.DUMMYFUNCTION("""COMPUTED_VALUE"""),44789.66666666667)</f>
        <v>44789.66667</v>
      </c>
      <c r="D1087" s="23">
        <f>IFERROR(__xludf.DUMMYFUNCTION("""COMPUTED_VALUE"""),118.04)</f>
        <v>118.04</v>
      </c>
      <c r="E1087" s="22">
        <f>IFERROR(__xludf.DUMMYFUNCTION("""COMPUTED_VALUE"""),43714.66666666667)</f>
        <v>43714.66667</v>
      </c>
      <c r="F1087" s="23">
        <f>IFERROR(__xludf.DUMMYFUNCTION("""COMPUTED_VALUE"""),19.53)</f>
        <v>19.53</v>
      </c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</row>
    <row r="1088">
      <c r="A1088" s="22">
        <f>IFERROR(__xludf.DUMMYFUNCTION("""COMPUTED_VALUE"""),43535.66666666667)</f>
        <v>43535.66667</v>
      </c>
      <c r="B1088" s="23">
        <f>IFERROR(__xludf.DUMMYFUNCTION("""COMPUTED_VALUE"""),71.07)</f>
        <v>71.07</v>
      </c>
      <c r="C1088" s="22">
        <f>IFERROR(__xludf.DUMMYFUNCTION("""COMPUTED_VALUE"""),44790.66666666667)</f>
        <v>44790.66667</v>
      </c>
      <c r="D1088" s="23">
        <f>IFERROR(__xludf.DUMMYFUNCTION("""COMPUTED_VALUE"""),118.69)</f>
        <v>118.69</v>
      </c>
      <c r="E1088" s="22">
        <f>IFERROR(__xludf.DUMMYFUNCTION("""COMPUTED_VALUE"""),43717.66666666667)</f>
        <v>43717.66667</v>
      </c>
      <c r="F1088" s="23">
        <f>IFERROR(__xludf.DUMMYFUNCTION("""COMPUTED_VALUE"""),19.47)</f>
        <v>19.47</v>
      </c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</row>
    <row r="1089">
      <c r="A1089" s="22">
        <f>IFERROR(__xludf.DUMMYFUNCTION("""COMPUTED_VALUE"""),43536.66666666667)</f>
        <v>43536.66667</v>
      </c>
      <c r="B1089" s="23">
        <f>IFERROR(__xludf.DUMMYFUNCTION("""COMPUTED_VALUE"""),71.74)</f>
        <v>71.74</v>
      </c>
      <c r="C1089" s="22">
        <f>IFERROR(__xludf.DUMMYFUNCTION("""COMPUTED_VALUE"""),44791.66666666667)</f>
        <v>44791.66667</v>
      </c>
      <c r="D1089" s="23">
        <f>IFERROR(__xludf.DUMMYFUNCTION("""COMPUTED_VALUE"""),118.43)</f>
        <v>118.43</v>
      </c>
      <c r="E1089" s="22">
        <f>IFERROR(__xludf.DUMMYFUNCTION("""COMPUTED_VALUE"""),43718.66666666667)</f>
        <v>43718.66667</v>
      </c>
      <c r="F1089" s="23">
        <f>IFERROR(__xludf.DUMMYFUNCTION("""COMPUTED_VALUE"""),19.31)</f>
        <v>19.31</v>
      </c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</row>
    <row r="1090">
      <c r="A1090" s="22">
        <f>IFERROR(__xludf.DUMMYFUNCTION("""COMPUTED_VALUE"""),43537.66666666667)</f>
        <v>43537.66667</v>
      </c>
      <c r="B1090" s="23">
        <f>IFERROR(__xludf.DUMMYFUNCTION("""COMPUTED_VALUE"""),71.52)</f>
        <v>71.52</v>
      </c>
      <c r="C1090" s="22">
        <f>IFERROR(__xludf.DUMMYFUNCTION("""COMPUTED_VALUE"""),44792.66666666667)</f>
        <v>44792.66667</v>
      </c>
      <c r="D1090" s="23">
        <f>IFERROR(__xludf.DUMMYFUNCTION("""COMPUTED_VALUE"""),118.48)</f>
        <v>118.48</v>
      </c>
      <c r="E1090" s="22">
        <f>IFERROR(__xludf.DUMMYFUNCTION("""COMPUTED_VALUE"""),43719.66666666667)</f>
        <v>43719.66667</v>
      </c>
      <c r="F1090" s="23">
        <f>IFERROR(__xludf.DUMMYFUNCTION("""COMPUTED_VALUE"""),19.32)</f>
        <v>19.32</v>
      </c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</row>
    <row r="1091">
      <c r="A1091" s="22">
        <f>IFERROR(__xludf.DUMMYFUNCTION("""COMPUTED_VALUE"""),43538.66666666667)</f>
        <v>43538.66667</v>
      </c>
      <c r="B1091" s="23">
        <f>IFERROR(__xludf.DUMMYFUNCTION("""COMPUTED_VALUE"""),72.1)</f>
        <v>72.1</v>
      </c>
      <c r="C1091" s="22">
        <f>IFERROR(__xludf.DUMMYFUNCTION("""COMPUTED_VALUE"""),44795.66666666667)</f>
        <v>44795.66667</v>
      </c>
      <c r="D1091" s="23">
        <f>IFERROR(__xludf.DUMMYFUNCTION("""COMPUTED_VALUE"""),117.34)</f>
        <v>117.34</v>
      </c>
      <c r="E1091" s="22">
        <f>IFERROR(__xludf.DUMMYFUNCTION("""COMPUTED_VALUE"""),43720.66666666667)</f>
        <v>43720.66667</v>
      </c>
      <c r="F1091" s="23">
        <f>IFERROR(__xludf.DUMMYFUNCTION("""COMPUTED_VALUE"""),19.55)</f>
        <v>19.55</v>
      </c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</row>
    <row r="1092">
      <c r="A1092" s="22">
        <f>IFERROR(__xludf.DUMMYFUNCTION("""COMPUTED_VALUE"""),43539.66666666667)</f>
        <v>43539.66667</v>
      </c>
      <c r="B1092" s="23">
        <f>IFERROR(__xludf.DUMMYFUNCTION("""COMPUTED_VALUE"""),72.22)</f>
        <v>72.22</v>
      </c>
      <c r="C1092" s="22">
        <f>IFERROR(__xludf.DUMMYFUNCTION("""COMPUTED_VALUE"""),44796.66666666667)</f>
        <v>44796.66667</v>
      </c>
      <c r="D1092" s="23">
        <f>IFERROR(__xludf.DUMMYFUNCTION("""COMPUTED_VALUE"""),115.95)</f>
        <v>115.95</v>
      </c>
      <c r="E1092" s="22">
        <f>IFERROR(__xludf.DUMMYFUNCTION("""COMPUTED_VALUE"""),43721.66666666667)</f>
        <v>43721.66667</v>
      </c>
      <c r="F1092" s="23">
        <f>IFERROR(__xludf.DUMMYFUNCTION("""COMPUTED_VALUE"""),19.6)</f>
        <v>19.6</v>
      </c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</row>
    <row r="1093">
      <c r="A1093" s="22">
        <f>IFERROR(__xludf.DUMMYFUNCTION("""COMPUTED_VALUE"""),43542.66666666667)</f>
        <v>43542.66667</v>
      </c>
      <c r="B1093" s="23">
        <f>IFERROR(__xludf.DUMMYFUNCTION("""COMPUTED_VALUE"""),72.25)</f>
        <v>72.25</v>
      </c>
      <c r="C1093" s="22">
        <f>IFERROR(__xludf.DUMMYFUNCTION("""COMPUTED_VALUE"""),44797.66666666667)</f>
        <v>44797.66667</v>
      </c>
      <c r="D1093" s="23">
        <f>IFERROR(__xludf.DUMMYFUNCTION("""COMPUTED_VALUE"""),116.64)</f>
        <v>116.64</v>
      </c>
      <c r="E1093" s="22">
        <f>IFERROR(__xludf.DUMMYFUNCTION("""COMPUTED_VALUE"""),43724.66666666667)</f>
        <v>43724.66667</v>
      </c>
      <c r="F1093" s="23">
        <f>IFERROR(__xludf.DUMMYFUNCTION("""COMPUTED_VALUE"""),19.3)</f>
        <v>19.3</v>
      </c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</row>
    <row r="1094">
      <c r="A1094" s="22">
        <f>IFERROR(__xludf.DUMMYFUNCTION("""COMPUTED_VALUE"""),43543.66666666667)</f>
        <v>43543.66667</v>
      </c>
      <c r="B1094" s="23">
        <f>IFERROR(__xludf.DUMMYFUNCTION("""COMPUTED_VALUE"""),72.59)</f>
        <v>72.59</v>
      </c>
      <c r="C1094" s="22">
        <f>IFERROR(__xludf.DUMMYFUNCTION("""COMPUTED_VALUE"""),44798.66666666667)</f>
        <v>44798.66667</v>
      </c>
      <c r="D1094" s="23">
        <f>IFERROR(__xludf.DUMMYFUNCTION("""COMPUTED_VALUE"""),117.43)</f>
        <v>117.43</v>
      </c>
      <c r="E1094" s="22">
        <f>IFERROR(__xludf.DUMMYFUNCTION("""COMPUTED_VALUE"""),43725.66666666667)</f>
        <v>43725.66667</v>
      </c>
      <c r="F1094" s="23">
        <f>IFERROR(__xludf.DUMMYFUNCTION("""COMPUTED_VALUE"""),19.42)</f>
        <v>19.42</v>
      </c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</row>
    <row r="1095">
      <c r="A1095" s="22">
        <f>IFERROR(__xludf.DUMMYFUNCTION("""COMPUTED_VALUE"""),43544.66666666667)</f>
        <v>43544.66667</v>
      </c>
      <c r="B1095" s="23">
        <f>IFERROR(__xludf.DUMMYFUNCTION("""COMPUTED_VALUE"""),72.78)</f>
        <v>72.78</v>
      </c>
      <c r="C1095" s="22">
        <f>IFERROR(__xludf.DUMMYFUNCTION("""COMPUTED_VALUE"""),44799.66666666667)</f>
        <v>44799.66667</v>
      </c>
      <c r="D1095" s="23">
        <f>IFERROR(__xludf.DUMMYFUNCTION("""COMPUTED_VALUE"""),118.43)</f>
        <v>118.43</v>
      </c>
      <c r="E1095" s="22">
        <f>IFERROR(__xludf.DUMMYFUNCTION("""COMPUTED_VALUE"""),43726.66666666667)</f>
        <v>43726.66667</v>
      </c>
      <c r="F1095" s="23">
        <f>IFERROR(__xludf.DUMMYFUNCTION("""COMPUTED_VALUE"""),19.5)</f>
        <v>19.5</v>
      </c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</row>
    <row r="1096">
      <c r="A1096" s="22">
        <f>IFERROR(__xludf.DUMMYFUNCTION("""COMPUTED_VALUE"""),43545.66666666667)</f>
        <v>43545.66667</v>
      </c>
      <c r="B1096" s="23">
        <f>IFERROR(__xludf.DUMMYFUNCTION("""COMPUTED_VALUE"""),72.0)</f>
        <v>72</v>
      </c>
      <c r="C1096" s="22">
        <f>IFERROR(__xludf.DUMMYFUNCTION("""COMPUTED_VALUE"""),44802.66666666667)</f>
        <v>44802.66667</v>
      </c>
      <c r="D1096" s="23">
        <f>IFERROR(__xludf.DUMMYFUNCTION("""COMPUTED_VALUE"""),116.2)</f>
        <v>116.2</v>
      </c>
      <c r="E1096" s="22">
        <f>IFERROR(__xludf.DUMMYFUNCTION("""COMPUTED_VALUE"""),43727.66666666667)</f>
        <v>43727.66667</v>
      </c>
      <c r="F1096" s="23">
        <f>IFERROR(__xludf.DUMMYFUNCTION("""COMPUTED_VALUE"""),19.63)</f>
        <v>19.63</v>
      </c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</row>
    <row r="1097">
      <c r="A1097" s="22">
        <f>IFERROR(__xludf.DUMMYFUNCTION("""COMPUTED_VALUE"""),43546.66666666667)</f>
        <v>43546.66667</v>
      </c>
      <c r="B1097" s="23">
        <f>IFERROR(__xludf.DUMMYFUNCTION("""COMPUTED_VALUE"""),72.8)</f>
        <v>72.8</v>
      </c>
      <c r="C1097" s="22">
        <f>IFERROR(__xludf.DUMMYFUNCTION("""COMPUTED_VALUE"""),44803.66666666667)</f>
        <v>44803.66667</v>
      </c>
      <c r="D1097" s="23">
        <f>IFERROR(__xludf.DUMMYFUNCTION("""COMPUTED_VALUE"""),116.72)</f>
        <v>116.72</v>
      </c>
      <c r="E1097" s="22">
        <f>IFERROR(__xludf.DUMMYFUNCTION("""COMPUTED_VALUE"""),43728.66666666667)</f>
        <v>43728.66667</v>
      </c>
      <c r="F1097" s="23">
        <f>IFERROR(__xludf.DUMMYFUNCTION("""COMPUTED_VALUE"""),19.72)</f>
        <v>19.72</v>
      </c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</row>
    <row r="1098">
      <c r="A1098" s="22">
        <f>IFERROR(__xludf.DUMMYFUNCTION("""COMPUTED_VALUE"""),43549.66666666667)</f>
        <v>43549.66667</v>
      </c>
      <c r="B1098" s="23">
        <f>IFERROR(__xludf.DUMMYFUNCTION("""COMPUTED_VALUE"""),71.65)</f>
        <v>71.65</v>
      </c>
      <c r="C1098" s="22">
        <f>IFERROR(__xludf.DUMMYFUNCTION("""COMPUTED_VALUE"""),44804.66666666667)</f>
        <v>44804.66667</v>
      </c>
      <c r="D1098" s="23">
        <f>IFERROR(__xludf.DUMMYFUNCTION("""COMPUTED_VALUE"""),116.58)</f>
        <v>116.58</v>
      </c>
      <c r="E1098" s="22">
        <f>IFERROR(__xludf.DUMMYFUNCTION("""COMPUTED_VALUE"""),43731.66666666667)</f>
        <v>43731.66667</v>
      </c>
      <c r="F1098" s="23">
        <f>IFERROR(__xludf.DUMMYFUNCTION("""COMPUTED_VALUE"""),19.64)</f>
        <v>19.64</v>
      </c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</row>
    <row r="1099">
      <c r="A1099" s="22">
        <f>IFERROR(__xludf.DUMMYFUNCTION("""COMPUTED_VALUE"""),43550.66666666667)</f>
        <v>43550.66667</v>
      </c>
      <c r="B1099" s="23">
        <f>IFERROR(__xludf.DUMMYFUNCTION("""COMPUTED_VALUE"""),71.75)</f>
        <v>71.75</v>
      </c>
      <c r="C1099" s="22">
        <f>IFERROR(__xludf.DUMMYFUNCTION("""COMPUTED_VALUE"""),44805.66666666667)</f>
        <v>44805.66667</v>
      </c>
      <c r="D1099" s="23">
        <f>IFERROR(__xludf.DUMMYFUNCTION("""COMPUTED_VALUE"""),115.03)</f>
        <v>115.03</v>
      </c>
      <c r="E1099" s="22">
        <f>IFERROR(__xludf.DUMMYFUNCTION("""COMPUTED_VALUE"""),43732.66666666667)</f>
        <v>43732.66667</v>
      </c>
      <c r="F1099" s="23">
        <f>IFERROR(__xludf.DUMMYFUNCTION("""COMPUTED_VALUE"""),19.66)</f>
        <v>19.66</v>
      </c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</row>
    <row r="1100">
      <c r="A1100" s="22">
        <f>IFERROR(__xludf.DUMMYFUNCTION("""COMPUTED_VALUE"""),43551.66666666667)</f>
        <v>43551.66667</v>
      </c>
      <c r="B1100" s="23">
        <f>IFERROR(__xludf.DUMMYFUNCTION("""COMPUTED_VALUE"""),72.08)</f>
        <v>72.08</v>
      </c>
      <c r="C1100" s="22">
        <f>IFERROR(__xludf.DUMMYFUNCTION("""COMPUTED_VALUE"""),44806.66666666667)</f>
        <v>44806.66667</v>
      </c>
      <c r="D1100" s="23">
        <f>IFERROR(__xludf.DUMMYFUNCTION("""COMPUTED_VALUE"""),114.84)</f>
        <v>114.84</v>
      </c>
      <c r="E1100" s="22">
        <f>IFERROR(__xludf.DUMMYFUNCTION("""COMPUTED_VALUE"""),43733.66666666667)</f>
        <v>43733.66667</v>
      </c>
      <c r="F1100" s="23">
        <f>IFERROR(__xludf.DUMMYFUNCTION("""COMPUTED_VALUE"""),19.34)</f>
        <v>19.34</v>
      </c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</row>
    <row r="1101">
      <c r="A1101" s="22">
        <f>IFERROR(__xludf.DUMMYFUNCTION("""COMPUTED_VALUE"""),43552.66666666667)</f>
        <v>43552.66667</v>
      </c>
      <c r="B1101" s="23">
        <f>IFERROR(__xludf.DUMMYFUNCTION("""COMPUTED_VALUE"""),71.67)</f>
        <v>71.67</v>
      </c>
      <c r="C1101" s="22">
        <f>IFERROR(__xludf.DUMMYFUNCTION("""COMPUTED_VALUE"""),44809.66666666667)</f>
        <v>44809.66667</v>
      </c>
      <c r="D1101" s="23">
        <f>IFERROR(__xludf.DUMMYFUNCTION("""COMPUTED_VALUE"""),115.35)</f>
        <v>115.35</v>
      </c>
      <c r="E1101" s="22">
        <f>IFERROR(__xludf.DUMMYFUNCTION("""COMPUTED_VALUE"""),43734.66666666667)</f>
        <v>43734.66667</v>
      </c>
      <c r="F1101" s="23">
        <f>IFERROR(__xludf.DUMMYFUNCTION("""COMPUTED_VALUE"""),19.55)</f>
        <v>19.55</v>
      </c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</row>
    <row r="1102">
      <c r="A1102" s="22">
        <f>IFERROR(__xludf.DUMMYFUNCTION("""COMPUTED_VALUE"""),43553.66666666667)</f>
        <v>43553.66667</v>
      </c>
      <c r="B1102" s="23">
        <f>IFERROR(__xludf.DUMMYFUNCTION("""COMPUTED_VALUE"""),72.13)</f>
        <v>72.13</v>
      </c>
      <c r="C1102" s="22">
        <f>IFERROR(__xludf.DUMMYFUNCTION("""COMPUTED_VALUE"""),44810.66666666667)</f>
        <v>44810.66667</v>
      </c>
      <c r="D1102" s="23">
        <f>IFERROR(__xludf.DUMMYFUNCTION("""COMPUTED_VALUE"""),114.99)</f>
        <v>114.99</v>
      </c>
      <c r="E1102" s="22">
        <f>IFERROR(__xludf.DUMMYFUNCTION("""COMPUTED_VALUE"""),43735.66666666667)</f>
        <v>43735.66667</v>
      </c>
      <c r="F1102" s="23">
        <f>IFERROR(__xludf.DUMMYFUNCTION("""COMPUTED_VALUE"""),19.46)</f>
        <v>19.46</v>
      </c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</row>
    <row r="1103">
      <c r="A1103" s="22">
        <f>IFERROR(__xludf.DUMMYFUNCTION("""COMPUTED_VALUE"""),43556.66666666667)</f>
        <v>43556.66667</v>
      </c>
      <c r="B1103" s="23">
        <f>IFERROR(__xludf.DUMMYFUNCTION("""COMPUTED_VALUE"""),72.03)</f>
        <v>72.03</v>
      </c>
      <c r="C1103" s="22">
        <f>IFERROR(__xludf.DUMMYFUNCTION("""COMPUTED_VALUE"""),44811.66666666667)</f>
        <v>44811.66667</v>
      </c>
      <c r="D1103" s="23">
        <f>IFERROR(__xludf.DUMMYFUNCTION("""COMPUTED_VALUE"""),113.43)</f>
        <v>113.43</v>
      </c>
      <c r="E1103" s="22">
        <f>IFERROR(__xludf.DUMMYFUNCTION("""COMPUTED_VALUE"""),43738.66666666667)</f>
        <v>43738.66667</v>
      </c>
      <c r="F1103" s="23">
        <f>IFERROR(__xludf.DUMMYFUNCTION("""COMPUTED_VALUE"""),19.38)</f>
        <v>19.38</v>
      </c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</row>
    <row r="1104">
      <c r="A1104" s="22">
        <f>IFERROR(__xludf.DUMMYFUNCTION("""COMPUTED_VALUE"""),43557.66666666667)</f>
        <v>43557.66667</v>
      </c>
      <c r="B1104" s="23">
        <f>IFERROR(__xludf.DUMMYFUNCTION("""COMPUTED_VALUE"""),72.72)</f>
        <v>72.72</v>
      </c>
      <c r="C1104" s="22">
        <f>IFERROR(__xludf.DUMMYFUNCTION("""COMPUTED_VALUE"""),44812.66666666667)</f>
        <v>44812.66667</v>
      </c>
      <c r="D1104" s="23">
        <f>IFERROR(__xludf.DUMMYFUNCTION("""COMPUTED_VALUE"""),115.37)</f>
        <v>115.37</v>
      </c>
      <c r="E1104" s="22">
        <f>IFERROR(__xludf.DUMMYFUNCTION("""COMPUTED_VALUE"""),43739.66666666667)</f>
        <v>43739.66667</v>
      </c>
      <c r="F1104" s="23">
        <f>IFERROR(__xludf.DUMMYFUNCTION("""COMPUTED_VALUE"""),19.71)</f>
        <v>19.71</v>
      </c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</row>
    <row r="1105">
      <c r="A1105" s="22">
        <f>IFERROR(__xludf.DUMMYFUNCTION("""COMPUTED_VALUE"""),43558.66666666667)</f>
        <v>43558.66667</v>
      </c>
      <c r="B1105" s="23">
        <f>IFERROR(__xludf.DUMMYFUNCTION("""COMPUTED_VALUE"""),72.98)</f>
        <v>72.98</v>
      </c>
      <c r="C1105" s="22">
        <f>IFERROR(__xludf.DUMMYFUNCTION("""COMPUTED_VALUE"""),44813.66666666667)</f>
        <v>44813.66667</v>
      </c>
      <c r="D1105" s="23">
        <f>IFERROR(__xludf.DUMMYFUNCTION("""COMPUTED_VALUE"""),116.34)</f>
        <v>116.34</v>
      </c>
      <c r="E1105" s="22">
        <f>IFERROR(__xludf.DUMMYFUNCTION("""COMPUTED_VALUE"""),43740.66666666667)</f>
        <v>43740.66667</v>
      </c>
      <c r="F1105" s="23">
        <f>IFERROR(__xludf.DUMMYFUNCTION("""COMPUTED_VALUE"""),19.44)</f>
        <v>19.44</v>
      </c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</row>
    <row r="1106">
      <c r="A1106" s="22">
        <f>IFERROR(__xludf.DUMMYFUNCTION("""COMPUTED_VALUE"""),43559.66666666667)</f>
        <v>43559.66667</v>
      </c>
      <c r="B1106" s="23">
        <f>IFERROR(__xludf.DUMMYFUNCTION("""COMPUTED_VALUE"""),72.9)</f>
        <v>72.9</v>
      </c>
      <c r="C1106" s="22">
        <f>IFERROR(__xludf.DUMMYFUNCTION("""COMPUTED_VALUE"""),44816.66666666667)</f>
        <v>44816.66667</v>
      </c>
      <c r="D1106" s="23">
        <f>IFERROR(__xludf.DUMMYFUNCTION("""COMPUTED_VALUE"""),117.51)</f>
        <v>117.51</v>
      </c>
      <c r="E1106" s="22">
        <f>IFERROR(__xludf.DUMMYFUNCTION("""COMPUTED_VALUE"""),43741.66666666667)</f>
        <v>43741.66667</v>
      </c>
      <c r="F1106" s="23">
        <f>IFERROR(__xludf.DUMMYFUNCTION("""COMPUTED_VALUE"""),19.05)</f>
        <v>19.05</v>
      </c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</row>
    <row r="1107">
      <c r="A1107" s="22">
        <f>IFERROR(__xludf.DUMMYFUNCTION("""COMPUTED_VALUE"""),43560.66666666667)</f>
        <v>43560.66667</v>
      </c>
      <c r="B1107" s="23">
        <f>IFERROR(__xludf.DUMMYFUNCTION("""COMPUTED_VALUE"""),72.96)</f>
        <v>72.96</v>
      </c>
      <c r="C1107" s="22">
        <f>IFERROR(__xludf.DUMMYFUNCTION("""COMPUTED_VALUE"""),44817.66666666667)</f>
        <v>44817.66667</v>
      </c>
      <c r="D1107" s="23">
        <f>IFERROR(__xludf.DUMMYFUNCTION("""COMPUTED_VALUE"""),118.36)</f>
        <v>118.36</v>
      </c>
      <c r="E1107" s="22">
        <f>IFERROR(__xludf.DUMMYFUNCTION("""COMPUTED_VALUE"""),43742.66666666667)</f>
        <v>43742.66667</v>
      </c>
      <c r="F1107" s="23">
        <f>IFERROR(__xludf.DUMMYFUNCTION("""COMPUTED_VALUE"""),19.21)</f>
        <v>19.21</v>
      </c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</row>
    <row r="1108">
      <c r="A1108" s="22">
        <f>IFERROR(__xludf.DUMMYFUNCTION("""COMPUTED_VALUE"""),43563.66666666667)</f>
        <v>43563.66667</v>
      </c>
      <c r="B1108" s="23">
        <f>IFERROR(__xludf.DUMMYFUNCTION("""COMPUTED_VALUE"""),73.35)</f>
        <v>73.35</v>
      </c>
      <c r="C1108" s="22">
        <f>IFERROR(__xludf.DUMMYFUNCTION("""COMPUTED_VALUE"""),44818.66666666667)</f>
        <v>44818.66667</v>
      </c>
      <c r="D1108" s="23">
        <f>IFERROR(__xludf.DUMMYFUNCTION("""COMPUTED_VALUE"""),115.21)</f>
        <v>115.21</v>
      </c>
      <c r="E1108" s="22">
        <f>IFERROR(__xludf.DUMMYFUNCTION("""COMPUTED_VALUE"""),43745.66666666667)</f>
        <v>43745.66667</v>
      </c>
      <c r="F1108" s="23">
        <f>IFERROR(__xludf.DUMMYFUNCTION("""COMPUTED_VALUE"""),19.4)</f>
        <v>19.4</v>
      </c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</row>
    <row r="1109">
      <c r="A1109" s="22">
        <f>IFERROR(__xludf.DUMMYFUNCTION("""COMPUTED_VALUE"""),43564.66666666667)</f>
        <v>43564.66667</v>
      </c>
      <c r="B1109" s="23">
        <f>IFERROR(__xludf.DUMMYFUNCTION("""COMPUTED_VALUE"""),73.04)</f>
        <v>73.04</v>
      </c>
      <c r="C1109" s="22">
        <f>IFERROR(__xludf.DUMMYFUNCTION("""COMPUTED_VALUE"""),44819.66666666667)</f>
        <v>44819.66667</v>
      </c>
      <c r="D1109" s="23">
        <f>IFERROR(__xludf.DUMMYFUNCTION("""COMPUTED_VALUE"""),115.58)</f>
        <v>115.58</v>
      </c>
      <c r="E1109" s="22">
        <f>IFERROR(__xludf.DUMMYFUNCTION("""COMPUTED_VALUE"""),43746.66666666667)</f>
        <v>43746.66667</v>
      </c>
      <c r="F1109" s="23">
        <f>IFERROR(__xludf.DUMMYFUNCTION("""COMPUTED_VALUE"""),19.53)</f>
        <v>19.53</v>
      </c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</row>
    <row r="1110">
      <c r="A1110" s="22">
        <f>IFERROR(__xludf.DUMMYFUNCTION("""COMPUTED_VALUE"""),43565.66666666667)</f>
        <v>43565.66667</v>
      </c>
      <c r="B1110" s="23">
        <f>IFERROR(__xludf.DUMMYFUNCTION("""COMPUTED_VALUE"""),72.74)</f>
        <v>72.74</v>
      </c>
      <c r="C1110" s="22">
        <f>IFERROR(__xludf.DUMMYFUNCTION("""COMPUTED_VALUE"""),44820.66666666667)</f>
        <v>44820.66667</v>
      </c>
      <c r="D1110" s="23">
        <f>IFERROR(__xludf.DUMMYFUNCTION("""COMPUTED_VALUE"""),113.87)</f>
        <v>113.87</v>
      </c>
      <c r="E1110" s="22">
        <f>IFERROR(__xludf.DUMMYFUNCTION("""COMPUTED_VALUE"""),43747.66666666667)</f>
        <v>43747.66667</v>
      </c>
      <c r="F1110" s="23">
        <f>IFERROR(__xludf.DUMMYFUNCTION("""COMPUTED_VALUE"""),19.18)</f>
        <v>19.18</v>
      </c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</row>
    <row r="1111">
      <c r="A1111" s="22">
        <f>IFERROR(__xludf.DUMMYFUNCTION("""COMPUTED_VALUE"""),43566.66666666667)</f>
        <v>43566.66667</v>
      </c>
      <c r="B1111" s="23">
        <f>IFERROR(__xludf.DUMMYFUNCTION("""COMPUTED_VALUE"""),72.73)</f>
        <v>72.73</v>
      </c>
      <c r="C1111" s="22">
        <f>IFERROR(__xludf.DUMMYFUNCTION("""COMPUTED_VALUE"""),44823.66666666667)</f>
        <v>44823.66667</v>
      </c>
      <c r="D1111" s="23">
        <f>IFERROR(__xludf.DUMMYFUNCTION("""COMPUTED_VALUE"""),113.65)</f>
        <v>113.65</v>
      </c>
      <c r="E1111" s="22">
        <f>IFERROR(__xludf.DUMMYFUNCTION("""COMPUTED_VALUE"""),43748.66666666667)</f>
        <v>43748.66667</v>
      </c>
      <c r="F1111" s="23">
        <f>IFERROR(__xludf.DUMMYFUNCTION("""COMPUTED_VALUE"""),19.33)</f>
        <v>19.33</v>
      </c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</row>
    <row r="1112">
      <c r="A1112" s="22">
        <f>IFERROR(__xludf.DUMMYFUNCTION("""COMPUTED_VALUE"""),43567.66666666667)</f>
        <v>43567.66667</v>
      </c>
      <c r="B1112" s="23">
        <f>IFERROR(__xludf.DUMMYFUNCTION("""COMPUTED_VALUE"""),73.05)</f>
        <v>73.05</v>
      </c>
      <c r="C1112" s="22">
        <f>IFERROR(__xludf.DUMMYFUNCTION("""COMPUTED_VALUE"""),44824.66666666667)</f>
        <v>44824.66667</v>
      </c>
      <c r="D1112" s="23">
        <f>IFERROR(__xludf.DUMMYFUNCTION("""COMPUTED_VALUE"""),115.16)</f>
        <v>115.16</v>
      </c>
      <c r="E1112" s="22">
        <f>IFERROR(__xludf.DUMMYFUNCTION("""COMPUTED_VALUE"""),43749.66666666667)</f>
        <v>43749.66667</v>
      </c>
      <c r="F1112" s="23">
        <f>IFERROR(__xludf.DUMMYFUNCTION("""COMPUTED_VALUE"""),19.51)</f>
        <v>19.51</v>
      </c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</row>
    <row r="1113">
      <c r="A1113" s="22">
        <f>IFERROR(__xludf.DUMMYFUNCTION("""COMPUTED_VALUE"""),43570.66666666667)</f>
        <v>43570.66667</v>
      </c>
      <c r="B1113" s="23">
        <f>IFERROR(__xludf.DUMMYFUNCTION("""COMPUTED_VALUE"""),73.12)</f>
        <v>73.12</v>
      </c>
      <c r="C1113" s="22">
        <f>IFERROR(__xludf.DUMMYFUNCTION("""COMPUTED_VALUE"""),44825.66666666667)</f>
        <v>44825.66667</v>
      </c>
      <c r="D1113" s="23">
        <f>IFERROR(__xludf.DUMMYFUNCTION("""COMPUTED_VALUE"""),113.33)</f>
        <v>113.33</v>
      </c>
      <c r="E1113" s="22">
        <f>IFERROR(__xludf.DUMMYFUNCTION("""COMPUTED_VALUE"""),43752.66666666667)</f>
        <v>43752.66667</v>
      </c>
      <c r="F1113" s="23">
        <f>IFERROR(__xludf.DUMMYFUNCTION("""COMPUTED_VALUE"""),19.65)</f>
        <v>19.65</v>
      </c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</row>
    <row r="1114">
      <c r="A1114" s="22">
        <f>IFERROR(__xludf.DUMMYFUNCTION("""COMPUTED_VALUE"""),43571.66666666667)</f>
        <v>43571.66667</v>
      </c>
      <c r="B1114" s="23">
        <f>IFERROR(__xludf.DUMMYFUNCTION("""COMPUTED_VALUE"""),73.37)</f>
        <v>73.37</v>
      </c>
      <c r="C1114" s="22">
        <f>IFERROR(__xludf.DUMMYFUNCTION("""COMPUTED_VALUE"""),44827.66666666667)</f>
        <v>44827.66667</v>
      </c>
      <c r="D1114" s="23">
        <f>IFERROR(__xludf.DUMMYFUNCTION("""COMPUTED_VALUE"""),111.24)</f>
        <v>111.24</v>
      </c>
      <c r="E1114" s="22">
        <f>IFERROR(__xludf.DUMMYFUNCTION("""COMPUTED_VALUE"""),43753.66666666667)</f>
        <v>43753.66667</v>
      </c>
      <c r="F1114" s="23">
        <f>IFERROR(__xludf.DUMMYFUNCTION("""COMPUTED_VALUE"""),19.71)</f>
        <v>19.71</v>
      </c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</row>
    <row r="1115">
      <c r="A1115" s="22">
        <f>IFERROR(__xludf.DUMMYFUNCTION("""COMPUTED_VALUE"""),43572.66666666667)</f>
        <v>43572.66667</v>
      </c>
      <c r="B1115" s="23">
        <f>IFERROR(__xludf.DUMMYFUNCTION("""COMPUTED_VALUE"""),72.94)</f>
        <v>72.94</v>
      </c>
      <c r="C1115" s="22">
        <f>IFERROR(__xludf.DUMMYFUNCTION("""COMPUTED_VALUE"""),44830.66666666667)</f>
        <v>44830.66667</v>
      </c>
      <c r="D1115" s="23">
        <f>IFERROR(__xludf.DUMMYFUNCTION("""COMPUTED_VALUE"""),109.54)</f>
        <v>109.54</v>
      </c>
      <c r="E1115" s="22">
        <f>IFERROR(__xludf.DUMMYFUNCTION("""COMPUTED_VALUE"""),43754.66666666667)</f>
        <v>43754.66667</v>
      </c>
      <c r="F1115" s="23">
        <f>IFERROR(__xludf.DUMMYFUNCTION("""COMPUTED_VALUE"""),19.98)</f>
        <v>19.98</v>
      </c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</row>
    <row r="1116">
      <c r="A1116" s="22">
        <f>IFERROR(__xludf.DUMMYFUNCTION("""COMPUTED_VALUE"""),43573.66666666667)</f>
        <v>43573.66667</v>
      </c>
      <c r="B1116" s="23">
        <f>IFERROR(__xludf.DUMMYFUNCTION("""COMPUTED_VALUE"""),72.62)</f>
        <v>72.62</v>
      </c>
      <c r="C1116" s="22">
        <f>IFERROR(__xludf.DUMMYFUNCTION("""COMPUTED_VALUE"""),44831.66666666667)</f>
        <v>44831.66667</v>
      </c>
      <c r="D1116" s="23">
        <f>IFERROR(__xludf.DUMMYFUNCTION("""COMPUTED_VALUE"""),109.85)</f>
        <v>109.85</v>
      </c>
      <c r="E1116" s="22">
        <f>IFERROR(__xludf.DUMMYFUNCTION("""COMPUTED_VALUE"""),43755.66666666667)</f>
        <v>43755.66667</v>
      </c>
      <c r="F1116" s="23">
        <f>IFERROR(__xludf.DUMMYFUNCTION("""COMPUTED_VALUE"""),19.85)</f>
        <v>19.85</v>
      </c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</row>
    <row r="1117">
      <c r="A1117" s="22">
        <f>IFERROR(__xludf.DUMMYFUNCTION("""COMPUTED_VALUE"""),43578.66666666667)</f>
        <v>43578.66667</v>
      </c>
      <c r="B1117" s="23">
        <f>IFERROR(__xludf.DUMMYFUNCTION("""COMPUTED_VALUE"""),73.7)</f>
        <v>73.7</v>
      </c>
      <c r="C1117" s="22">
        <f>IFERROR(__xludf.DUMMYFUNCTION("""COMPUTED_VALUE"""),44832.66666666667)</f>
        <v>44832.66667</v>
      </c>
      <c r="D1117" s="23">
        <f>IFERROR(__xludf.DUMMYFUNCTION("""COMPUTED_VALUE"""),109.3)</f>
        <v>109.3</v>
      </c>
      <c r="E1117" s="22">
        <f>IFERROR(__xludf.DUMMYFUNCTION("""COMPUTED_VALUE"""),43756.66666666667)</f>
        <v>43756.66667</v>
      </c>
      <c r="F1117" s="23">
        <f>IFERROR(__xludf.DUMMYFUNCTION("""COMPUTED_VALUE"""),19.7)</f>
        <v>19.7</v>
      </c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</row>
    <row r="1118">
      <c r="A1118" s="22">
        <f>IFERROR(__xludf.DUMMYFUNCTION("""COMPUTED_VALUE"""),43579.66666666667)</f>
        <v>43579.66667</v>
      </c>
      <c r="B1118" s="23">
        <f>IFERROR(__xludf.DUMMYFUNCTION("""COMPUTED_VALUE"""),74.79)</f>
        <v>74.79</v>
      </c>
      <c r="C1118" s="22">
        <f>IFERROR(__xludf.DUMMYFUNCTION("""COMPUTED_VALUE"""),44833.66666666667)</f>
        <v>44833.66667</v>
      </c>
      <c r="D1118" s="23">
        <f>IFERROR(__xludf.DUMMYFUNCTION("""COMPUTED_VALUE"""),110.91)</f>
        <v>110.91</v>
      </c>
      <c r="E1118" s="22">
        <f>IFERROR(__xludf.DUMMYFUNCTION("""COMPUTED_VALUE"""),43759.66666666667)</f>
        <v>43759.66667</v>
      </c>
      <c r="F1118" s="23">
        <f>IFERROR(__xludf.DUMMYFUNCTION("""COMPUTED_VALUE"""),19.52)</f>
        <v>19.52</v>
      </c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</row>
    <row r="1119">
      <c r="A1119" s="22">
        <f>IFERROR(__xludf.DUMMYFUNCTION("""COMPUTED_VALUE"""),43581.66666666667)</f>
        <v>43581.66667</v>
      </c>
      <c r="B1119" s="23">
        <f>IFERROR(__xludf.DUMMYFUNCTION("""COMPUTED_VALUE"""),74.71)</f>
        <v>74.71</v>
      </c>
      <c r="C1119" s="22">
        <f>IFERROR(__xludf.DUMMYFUNCTION("""COMPUTED_VALUE"""),44834.66666666667)</f>
        <v>44834.66667</v>
      </c>
      <c r="D1119" s="23">
        <f>IFERROR(__xludf.DUMMYFUNCTION("""COMPUTED_VALUE"""),109.56)</f>
        <v>109.56</v>
      </c>
      <c r="E1119" s="22">
        <f>IFERROR(__xludf.DUMMYFUNCTION("""COMPUTED_VALUE"""),43760.66666666667)</f>
        <v>43760.66667</v>
      </c>
      <c r="F1119" s="23">
        <f>IFERROR(__xludf.DUMMYFUNCTION("""COMPUTED_VALUE"""),19.65)</f>
        <v>19.65</v>
      </c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</row>
    <row r="1120">
      <c r="A1120" s="22">
        <f>IFERROR(__xludf.DUMMYFUNCTION("""COMPUTED_VALUE"""),43584.66666666667)</f>
        <v>43584.66667</v>
      </c>
      <c r="B1120" s="23">
        <f>IFERROR(__xludf.DUMMYFUNCTION("""COMPUTED_VALUE"""),74.76)</f>
        <v>74.76</v>
      </c>
      <c r="C1120" s="22">
        <f>IFERROR(__xludf.DUMMYFUNCTION("""COMPUTED_VALUE"""),44837.66666666667)</f>
        <v>44837.66667</v>
      </c>
      <c r="D1120" s="23">
        <f>IFERROR(__xludf.DUMMYFUNCTION("""COMPUTED_VALUE"""),107.32)</f>
        <v>107.32</v>
      </c>
      <c r="E1120" s="22">
        <f>IFERROR(__xludf.DUMMYFUNCTION("""COMPUTED_VALUE"""),43761.66666666667)</f>
        <v>43761.66667</v>
      </c>
      <c r="F1120" s="23">
        <f>IFERROR(__xludf.DUMMYFUNCTION("""COMPUTED_VALUE"""),19.42)</f>
        <v>19.42</v>
      </c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</row>
    <row r="1121">
      <c r="A1121" s="22">
        <f>IFERROR(__xludf.DUMMYFUNCTION("""COMPUTED_VALUE"""),43585.66666666667)</f>
        <v>43585.66667</v>
      </c>
      <c r="B1121" s="23">
        <f>IFERROR(__xludf.DUMMYFUNCTION("""COMPUTED_VALUE"""),74.96)</f>
        <v>74.96</v>
      </c>
      <c r="C1121" s="22">
        <f>IFERROR(__xludf.DUMMYFUNCTION("""COMPUTED_VALUE"""),44838.66666666667)</f>
        <v>44838.66667</v>
      </c>
      <c r="D1121" s="23">
        <f>IFERROR(__xludf.DUMMYFUNCTION("""COMPUTED_VALUE"""),111.29)</f>
        <v>111.29</v>
      </c>
      <c r="E1121" s="22">
        <f>IFERROR(__xludf.DUMMYFUNCTION("""COMPUTED_VALUE"""),43762.66666666667)</f>
        <v>43762.66667</v>
      </c>
      <c r="F1121" s="23">
        <f>IFERROR(__xludf.DUMMYFUNCTION("""COMPUTED_VALUE"""),19.6)</f>
        <v>19.6</v>
      </c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</row>
    <row r="1122">
      <c r="A1122" s="22">
        <f>IFERROR(__xludf.DUMMYFUNCTION("""COMPUTED_VALUE"""),43586.66666666667)</f>
        <v>43586.66667</v>
      </c>
      <c r="B1122" s="23">
        <f>IFERROR(__xludf.DUMMYFUNCTION("""COMPUTED_VALUE"""),75.31)</f>
        <v>75.31</v>
      </c>
      <c r="C1122" s="22">
        <f>IFERROR(__xludf.DUMMYFUNCTION("""COMPUTED_VALUE"""),44839.66666666667)</f>
        <v>44839.66667</v>
      </c>
      <c r="D1122" s="23">
        <f>IFERROR(__xludf.DUMMYFUNCTION("""COMPUTED_VALUE"""),113.3)</f>
        <v>113.3</v>
      </c>
      <c r="E1122" s="22">
        <f>IFERROR(__xludf.DUMMYFUNCTION("""COMPUTED_VALUE"""),43763.66666666667)</f>
        <v>43763.66667</v>
      </c>
      <c r="F1122" s="23">
        <f>IFERROR(__xludf.DUMMYFUNCTION("""COMPUTED_VALUE"""),19.73)</f>
        <v>19.73</v>
      </c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</row>
    <row r="1123">
      <c r="A1123" s="22">
        <f>IFERROR(__xludf.DUMMYFUNCTION("""COMPUTED_VALUE"""),43587.66666666667)</f>
        <v>43587.66667</v>
      </c>
      <c r="B1123" s="23">
        <f>IFERROR(__xludf.DUMMYFUNCTION("""COMPUTED_VALUE"""),74.87)</f>
        <v>74.87</v>
      </c>
      <c r="C1123" s="22">
        <f>IFERROR(__xludf.DUMMYFUNCTION("""COMPUTED_VALUE"""),44840.66666666667)</f>
        <v>44840.66667</v>
      </c>
      <c r="D1123" s="23">
        <f>IFERROR(__xludf.DUMMYFUNCTION("""COMPUTED_VALUE"""),113.34)</f>
        <v>113.34</v>
      </c>
      <c r="E1123" s="22">
        <f>IFERROR(__xludf.DUMMYFUNCTION("""COMPUTED_VALUE"""),43766.66666666667)</f>
        <v>43766.66667</v>
      </c>
      <c r="F1123" s="23">
        <f>IFERROR(__xludf.DUMMYFUNCTION("""COMPUTED_VALUE"""),20.04)</f>
        <v>20.04</v>
      </c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</row>
    <row r="1124">
      <c r="A1124" s="22">
        <f>IFERROR(__xludf.DUMMYFUNCTION("""COMPUTED_VALUE"""),43588.66666666667)</f>
        <v>43588.66667</v>
      </c>
      <c r="B1124" s="23">
        <f>IFERROR(__xludf.DUMMYFUNCTION("""COMPUTED_VALUE"""),75.12)</f>
        <v>75.12</v>
      </c>
      <c r="C1124" s="22">
        <f>IFERROR(__xludf.DUMMYFUNCTION("""COMPUTED_VALUE"""),44841.66666666667)</f>
        <v>44841.66667</v>
      </c>
      <c r="D1124" s="23">
        <f>IFERROR(__xludf.DUMMYFUNCTION("""COMPUTED_VALUE"""),112.42)</f>
        <v>112.42</v>
      </c>
      <c r="E1124" s="22">
        <f>IFERROR(__xludf.DUMMYFUNCTION("""COMPUTED_VALUE"""),43767.66666666667)</f>
        <v>43767.66667</v>
      </c>
      <c r="F1124" s="23">
        <f>IFERROR(__xludf.DUMMYFUNCTION("""COMPUTED_VALUE"""),20.07)</f>
        <v>20.07</v>
      </c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</row>
    <row r="1125">
      <c r="A1125" s="22">
        <f>IFERROR(__xludf.DUMMYFUNCTION("""COMPUTED_VALUE"""),43591.66666666667)</f>
        <v>43591.66667</v>
      </c>
      <c r="B1125" s="23">
        <f>IFERROR(__xludf.DUMMYFUNCTION("""COMPUTED_VALUE"""),74.49)</f>
        <v>74.49</v>
      </c>
      <c r="C1125" s="22">
        <f>IFERROR(__xludf.DUMMYFUNCTION("""COMPUTED_VALUE"""),44844.66666666667)</f>
        <v>44844.66667</v>
      </c>
      <c r="D1125" s="23">
        <f>IFERROR(__xludf.DUMMYFUNCTION("""COMPUTED_VALUE"""),110.86)</f>
        <v>110.86</v>
      </c>
      <c r="E1125" s="22">
        <f>IFERROR(__xludf.DUMMYFUNCTION("""COMPUTED_VALUE"""),43768.66666666667)</f>
        <v>43768.66667</v>
      </c>
      <c r="F1125" s="23">
        <f>IFERROR(__xludf.DUMMYFUNCTION("""COMPUTED_VALUE"""),19.88)</f>
        <v>19.88</v>
      </c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</row>
    <row r="1126">
      <c r="A1126" s="22">
        <f>IFERROR(__xludf.DUMMYFUNCTION("""COMPUTED_VALUE"""),43592.66666666667)</f>
        <v>43592.66667</v>
      </c>
      <c r="B1126" s="23">
        <f>IFERROR(__xludf.DUMMYFUNCTION("""COMPUTED_VALUE"""),74.32)</f>
        <v>74.32</v>
      </c>
      <c r="C1126" s="22">
        <f>IFERROR(__xludf.DUMMYFUNCTION("""COMPUTED_VALUE"""),44845.66666666667)</f>
        <v>44845.66667</v>
      </c>
      <c r="D1126" s="23">
        <f>IFERROR(__xludf.DUMMYFUNCTION("""COMPUTED_VALUE"""),110.49)</f>
        <v>110.49</v>
      </c>
      <c r="E1126" s="22">
        <f>IFERROR(__xludf.DUMMYFUNCTION("""COMPUTED_VALUE"""),43769.66666666667)</f>
        <v>43769.66667</v>
      </c>
      <c r="F1126" s="23">
        <f>IFERROR(__xludf.DUMMYFUNCTION("""COMPUTED_VALUE"""),19.88)</f>
        <v>19.88</v>
      </c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</row>
    <row r="1127">
      <c r="A1127" s="22">
        <f>IFERROR(__xludf.DUMMYFUNCTION("""COMPUTED_VALUE"""),43593.66666666667)</f>
        <v>43593.66667</v>
      </c>
      <c r="B1127" s="23">
        <f>IFERROR(__xludf.DUMMYFUNCTION("""COMPUTED_VALUE"""),73.79)</f>
        <v>73.79</v>
      </c>
      <c r="C1127" s="22">
        <f>IFERROR(__xludf.DUMMYFUNCTION("""COMPUTED_VALUE"""),44846.66666666667)</f>
        <v>44846.66667</v>
      </c>
      <c r="D1127" s="23">
        <f>IFERROR(__xludf.DUMMYFUNCTION("""COMPUTED_VALUE"""),110.6)</f>
        <v>110.6</v>
      </c>
      <c r="E1127" s="22">
        <f>IFERROR(__xludf.DUMMYFUNCTION("""COMPUTED_VALUE"""),43770.66666666667)</f>
        <v>43770.66667</v>
      </c>
      <c r="F1127" s="23">
        <f>IFERROR(__xludf.DUMMYFUNCTION("""COMPUTED_VALUE"""),19.93)</f>
        <v>19.93</v>
      </c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</row>
    <row r="1128">
      <c r="A1128" s="22">
        <f>IFERROR(__xludf.DUMMYFUNCTION("""COMPUTED_VALUE"""),43594.66666666667)</f>
        <v>43594.66667</v>
      </c>
      <c r="B1128" s="23">
        <f>IFERROR(__xludf.DUMMYFUNCTION("""COMPUTED_VALUE"""),73.92)</f>
        <v>73.92</v>
      </c>
      <c r="C1128" s="22">
        <f>IFERROR(__xludf.DUMMYFUNCTION("""COMPUTED_VALUE"""),44847.66666666667)</f>
        <v>44847.66667</v>
      </c>
      <c r="D1128" s="23">
        <f>IFERROR(__xludf.DUMMYFUNCTION("""COMPUTED_VALUE"""),110.43)</f>
        <v>110.43</v>
      </c>
      <c r="E1128" s="22">
        <f>IFERROR(__xludf.DUMMYFUNCTION("""COMPUTED_VALUE"""),43773.66666666667)</f>
        <v>43773.66667</v>
      </c>
      <c r="F1128" s="23">
        <f>IFERROR(__xludf.DUMMYFUNCTION("""COMPUTED_VALUE"""),20.07)</f>
        <v>20.07</v>
      </c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</row>
    <row r="1129">
      <c r="A1129" s="22">
        <f>IFERROR(__xludf.DUMMYFUNCTION("""COMPUTED_VALUE"""),43595.66666666667)</f>
        <v>43595.66667</v>
      </c>
      <c r="B1129" s="23">
        <f>IFERROR(__xludf.DUMMYFUNCTION("""COMPUTED_VALUE"""),73.59)</f>
        <v>73.59</v>
      </c>
      <c r="C1129" s="22">
        <f>IFERROR(__xludf.DUMMYFUNCTION("""COMPUTED_VALUE"""),44848.66666666667)</f>
        <v>44848.66667</v>
      </c>
      <c r="D1129" s="23">
        <f>IFERROR(__xludf.DUMMYFUNCTION("""COMPUTED_VALUE"""),112.31)</f>
        <v>112.31</v>
      </c>
      <c r="E1129" s="22">
        <f>IFERROR(__xludf.DUMMYFUNCTION("""COMPUTED_VALUE"""),43774.66666666667)</f>
        <v>43774.66667</v>
      </c>
      <c r="F1129" s="23">
        <f>IFERROR(__xludf.DUMMYFUNCTION("""COMPUTED_VALUE"""),20.24)</f>
        <v>20.24</v>
      </c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</row>
    <row r="1130">
      <c r="A1130" s="22">
        <f>IFERROR(__xludf.DUMMYFUNCTION("""COMPUTED_VALUE"""),43598.66666666667)</f>
        <v>43598.66667</v>
      </c>
      <c r="B1130" s="23">
        <f>IFERROR(__xludf.DUMMYFUNCTION("""COMPUTED_VALUE"""),73.54)</f>
        <v>73.54</v>
      </c>
      <c r="C1130" s="22">
        <f>IFERROR(__xludf.DUMMYFUNCTION("""COMPUTED_VALUE"""),44851.66666666667)</f>
        <v>44851.66667</v>
      </c>
      <c r="D1130" s="23">
        <f>IFERROR(__xludf.DUMMYFUNCTION("""COMPUTED_VALUE"""),110.83)</f>
        <v>110.83</v>
      </c>
      <c r="E1130" s="22">
        <f>IFERROR(__xludf.DUMMYFUNCTION("""COMPUTED_VALUE"""),43775.66666666667)</f>
        <v>43775.66667</v>
      </c>
      <c r="F1130" s="23">
        <f>IFERROR(__xludf.DUMMYFUNCTION("""COMPUTED_VALUE"""),20.19)</f>
        <v>20.19</v>
      </c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</row>
    <row r="1131">
      <c r="A1131" s="22">
        <f>IFERROR(__xludf.DUMMYFUNCTION("""COMPUTED_VALUE"""),43599.66666666667)</f>
        <v>43599.66667</v>
      </c>
      <c r="B1131" s="23">
        <f>IFERROR(__xludf.DUMMYFUNCTION("""COMPUTED_VALUE"""),72.95)</f>
        <v>72.95</v>
      </c>
      <c r="C1131" s="22">
        <f>IFERROR(__xludf.DUMMYFUNCTION("""COMPUTED_VALUE"""),44852.66666666667)</f>
        <v>44852.66667</v>
      </c>
      <c r="D1131" s="23">
        <f>IFERROR(__xludf.DUMMYFUNCTION("""COMPUTED_VALUE"""),112.74)</f>
        <v>112.74</v>
      </c>
      <c r="E1131" s="22">
        <f>IFERROR(__xludf.DUMMYFUNCTION("""COMPUTED_VALUE"""),43776.66666666667)</f>
        <v>43776.66667</v>
      </c>
      <c r="F1131" s="23">
        <f>IFERROR(__xludf.DUMMYFUNCTION("""COMPUTED_VALUE"""),20.24)</f>
        <v>20.24</v>
      </c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</row>
    <row r="1132">
      <c r="A1132" s="22">
        <f>IFERROR(__xludf.DUMMYFUNCTION("""COMPUTED_VALUE"""),43600.66666666667)</f>
        <v>43600.66667</v>
      </c>
      <c r="B1132" s="23">
        <f>IFERROR(__xludf.DUMMYFUNCTION("""COMPUTED_VALUE"""),73.84)</f>
        <v>73.84</v>
      </c>
      <c r="C1132" s="22">
        <f>IFERROR(__xludf.DUMMYFUNCTION("""COMPUTED_VALUE"""),44853.66666666667)</f>
        <v>44853.66667</v>
      </c>
      <c r="D1132" s="23">
        <f>IFERROR(__xludf.DUMMYFUNCTION("""COMPUTED_VALUE"""),113.1)</f>
        <v>113.1</v>
      </c>
      <c r="E1132" s="22">
        <f>IFERROR(__xludf.DUMMYFUNCTION("""COMPUTED_VALUE"""),43777.66666666667)</f>
        <v>43777.66667</v>
      </c>
      <c r="F1132" s="23">
        <f>IFERROR(__xludf.DUMMYFUNCTION("""COMPUTED_VALUE"""),20.22)</f>
        <v>20.22</v>
      </c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</row>
    <row r="1133">
      <c r="A1133" s="22">
        <f>IFERROR(__xludf.DUMMYFUNCTION("""COMPUTED_VALUE"""),43601.66666666667)</f>
        <v>43601.66667</v>
      </c>
      <c r="B1133" s="23">
        <f>IFERROR(__xludf.DUMMYFUNCTION("""COMPUTED_VALUE"""),73.96)</f>
        <v>73.96</v>
      </c>
      <c r="C1133" s="22">
        <f>IFERROR(__xludf.DUMMYFUNCTION("""COMPUTED_VALUE"""),44854.66666666667)</f>
        <v>44854.66667</v>
      </c>
      <c r="D1133" s="23">
        <f>IFERROR(__xludf.DUMMYFUNCTION("""COMPUTED_VALUE"""),111.93)</f>
        <v>111.93</v>
      </c>
      <c r="E1133" s="22">
        <f>IFERROR(__xludf.DUMMYFUNCTION("""COMPUTED_VALUE"""),43780.66666666667)</f>
        <v>43780.66667</v>
      </c>
      <c r="F1133" s="23">
        <f>IFERROR(__xludf.DUMMYFUNCTION("""COMPUTED_VALUE"""),20.38)</f>
        <v>20.38</v>
      </c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</row>
    <row r="1134">
      <c r="A1134" s="22">
        <f>IFERROR(__xludf.DUMMYFUNCTION("""COMPUTED_VALUE"""),43602.66666666667)</f>
        <v>43602.66667</v>
      </c>
      <c r="B1134" s="23">
        <f>IFERROR(__xludf.DUMMYFUNCTION("""COMPUTED_VALUE"""),74.94)</f>
        <v>74.94</v>
      </c>
      <c r="C1134" s="22">
        <f>IFERROR(__xludf.DUMMYFUNCTION("""COMPUTED_VALUE"""),44855.66666666667)</f>
        <v>44855.66667</v>
      </c>
      <c r="D1134" s="23">
        <f>IFERROR(__xludf.DUMMYFUNCTION("""COMPUTED_VALUE"""),110.96)</f>
        <v>110.96</v>
      </c>
      <c r="E1134" s="22">
        <f>IFERROR(__xludf.DUMMYFUNCTION("""COMPUTED_VALUE"""),43781.66666666667)</f>
        <v>43781.66667</v>
      </c>
      <c r="F1134" s="23">
        <f>IFERROR(__xludf.DUMMYFUNCTION("""COMPUTED_VALUE"""),20.42)</f>
        <v>20.42</v>
      </c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</row>
    <row r="1135">
      <c r="A1135" s="22">
        <f>IFERROR(__xludf.DUMMYFUNCTION("""COMPUTED_VALUE"""),43605.66666666667)</f>
        <v>43605.66667</v>
      </c>
      <c r="B1135" s="23">
        <f>IFERROR(__xludf.DUMMYFUNCTION("""COMPUTED_VALUE"""),74.5)</f>
        <v>74.5</v>
      </c>
      <c r="C1135" s="22">
        <f>IFERROR(__xludf.DUMMYFUNCTION("""COMPUTED_VALUE"""),44858.66666666667)</f>
        <v>44858.66667</v>
      </c>
      <c r="D1135" s="23">
        <f>IFERROR(__xludf.DUMMYFUNCTION("""COMPUTED_VALUE"""),112.7)</f>
        <v>112.7</v>
      </c>
      <c r="E1135" s="22">
        <f>IFERROR(__xludf.DUMMYFUNCTION("""COMPUTED_VALUE"""),43782.66666666667)</f>
        <v>43782.66667</v>
      </c>
      <c r="F1135" s="23">
        <f>IFERROR(__xludf.DUMMYFUNCTION("""COMPUTED_VALUE"""),20.45)</f>
        <v>20.45</v>
      </c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</row>
    <row r="1136">
      <c r="A1136" s="22">
        <f>IFERROR(__xludf.DUMMYFUNCTION("""COMPUTED_VALUE"""),43606.66666666667)</f>
        <v>43606.66667</v>
      </c>
      <c r="B1136" s="23">
        <f>IFERROR(__xludf.DUMMYFUNCTION("""COMPUTED_VALUE"""),74.59)</f>
        <v>74.59</v>
      </c>
      <c r="C1136" s="22">
        <f>IFERROR(__xludf.DUMMYFUNCTION("""COMPUTED_VALUE"""),44859.66666666667)</f>
        <v>44859.66667</v>
      </c>
      <c r="D1136" s="23">
        <f>IFERROR(__xludf.DUMMYFUNCTION("""COMPUTED_VALUE"""),112.99)</f>
        <v>112.99</v>
      </c>
      <c r="E1136" s="22">
        <f>IFERROR(__xludf.DUMMYFUNCTION("""COMPUTED_VALUE"""),43783.66666666667)</f>
        <v>43783.66667</v>
      </c>
      <c r="F1136" s="23">
        <f>IFERROR(__xludf.DUMMYFUNCTION("""COMPUTED_VALUE"""),20.6)</f>
        <v>20.6</v>
      </c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</row>
    <row r="1137">
      <c r="A1137" s="22">
        <f>IFERROR(__xludf.DUMMYFUNCTION("""COMPUTED_VALUE"""),43607.66666666667)</f>
        <v>43607.66667</v>
      </c>
      <c r="B1137" s="23">
        <f>IFERROR(__xludf.DUMMYFUNCTION("""COMPUTED_VALUE"""),74.72)</f>
        <v>74.72</v>
      </c>
      <c r="C1137" s="22">
        <f>IFERROR(__xludf.DUMMYFUNCTION("""COMPUTED_VALUE"""),44860.66666666667)</f>
        <v>44860.66667</v>
      </c>
      <c r="D1137" s="23">
        <f>IFERROR(__xludf.DUMMYFUNCTION("""COMPUTED_VALUE"""),113.17)</f>
        <v>113.17</v>
      </c>
      <c r="E1137" s="22">
        <f>IFERROR(__xludf.DUMMYFUNCTION("""COMPUTED_VALUE"""),43784.66666666667)</f>
        <v>43784.66667</v>
      </c>
      <c r="F1137" s="23">
        <f>IFERROR(__xludf.DUMMYFUNCTION("""COMPUTED_VALUE"""),20.71)</f>
        <v>20.71</v>
      </c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</row>
    <row r="1138">
      <c r="A1138" s="22">
        <f>IFERROR(__xludf.DUMMYFUNCTION("""COMPUTED_VALUE"""),43608.66666666667)</f>
        <v>43608.66667</v>
      </c>
      <c r="B1138" s="23">
        <f>IFERROR(__xludf.DUMMYFUNCTION("""COMPUTED_VALUE"""),74.25)</f>
        <v>74.25</v>
      </c>
      <c r="C1138" s="22">
        <f>IFERROR(__xludf.DUMMYFUNCTION("""COMPUTED_VALUE"""),44861.66666666667)</f>
        <v>44861.66667</v>
      </c>
      <c r="D1138" s="23">
        <f>IFERROR(__xludf.DUMMYFUNCTION("""COMPUTED_VALUE"""),113.85)</f>
        <v>113.85</v>
      </c>
      <c r="E1138" s="22">
        <f>IFERROR(__xludf.DUMMYFUNCTION("""COMPUTED_VALUE"""),43787.66666666667)</f>
        <v>43787.66667</v>
      </c>
      <c r="F1138" s="23">
        <f>IFERROR(__xludf.DUMMYFUNCTION("""COMPUTED_VALUE"""),20.71)</f>
        <v>20.71</v>
      </c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</row>
    <row r="1139">
      <c r="A1139" s="22">
        <f>IFERROR(__xludf.DUMMYFUNCTION("""COMPUTED_VALUE"""),43609.66666666667)</f>
        <v>43609.66667</v>
      </c>
      <c r="B1139" s="23">
        <f>IFERROR(__xludf.DUMMYFUNCTION("""COMPUTED_VALUE"""),73.91)</f>
        <v>73.91</v>
      </c>
      <c r="C1139" s="22">
        <f>IFERROR(__xludf.DUMMYFUNCTION("""COMPUTED_VALUE"""),44862.66666666667)</f>
        <v>44862.66667</v>
      </c>
      <c r="D1139" s="23">
        <f>IFERROR(__xludf.DUMMYFUNCTION("""COMPUTED_VALUE"""),112.83)</f>
        <v>112.83</v>
      </c>
      <c r="E1139" s="22">
        <f>IFERROR(__xludf.DUMMYFUNCTION("""COMPUTED_VALUE"""),43788.66666666667)</f>
        <v>43788.66667</v>
      </c>
      <c r="F1139" s="23">
        <f>IFERROR(__xludf.DUMMYFUNCTION("""COMPUTED_VALUE"""),20.84)</f>
        <v>20.84</v>
      </c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</row>
    <row r="1140">
      <c r="A1140" s="22">
        <f>IFERROR(__xludf.DUMMYFUNCTION("""COMPUTED_VALUE"""),43612.66666666667)</f>
        <v>43612.66667</v>
      </c>
      <c r="B1140" s="23">
        <f>IFERROR(__xludf.DUMMYFUNCTION("""COMPUTED_VALUE"""),73.62)</f>
        <v>73.62</v>
      </c>
      <c r="C1140" s="22">
        <f>IFERROR(__xludf.DUMMYFUNCTION("""COMPUTED_VALUE"""),44865.66666666667)</f>
        <v>44865.66667</v>
      </c>
      <c r="D1140" s="23">
        <f>IFERROR(__xludf.DUMMYFUNCTION("""COMPUTED_VALUE"""),114.2)</f>
        <v>114.2</v>
      </c>
      <c r="E1140" s="22">
        <f>IFERROR(__xludf.DUMMYFUNCTION("""COMPUTED_VALUE"""),43789.66666666667)</f>
        <v>43789.66667</v>
      </c>
      <c r="F1140" s="23">
        <f>IFERROR(__xludf.DUMMYFUNCTION("""COMPUTED_VALUE"""),20.69)</f>
        <v>20.69</v>
      </c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</row>
    <row r="1141">
      <c r="A1141" s="22">
        <f>IFERROR(__xludf.DUMMYFUNCTION("""COMPUTED_VALUE"""),43613.66666666667)</f>
        <v>43613.66667</v>
      </c>
      <c r="B1141" s="23">
        <f>IFERROR(__xludf.DUMMYFUNCTION("""COMPUTED_VALUE"""),73.83)</f>
        <v>73.83</v>
      </c>
      <c r="C1141" s="22">
        <f>IFERROR(__xludf.DUMMYFUNCTION("""COMPUTED_VALUE"""),44866.66666666667)</f>
        <v>44866.66667</v>
      </c>
      <c r="D1141" s="23">
        <f>IFERROR(__xludf.DUMMYFUNCTION("""COMPUTED_VALUE"""),116.01)</f>
        <v>116.01</v>
      </c>
      <c r="E1141" s="22">
        <f>IFERROR(__xludf.DUMMYFUNCTION("""COMPUTED_VALUE"""),43790.66666666667)</f>
        <v>43790.66667</v>
      </c>
      <c r="F1141" s="23">
        <f>IFERROR(__xludf.DUMMYFUNCTION("""COMPUTED_VALUE"""),20.64)</f>
        <v>20.64</v>
      </c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</row>
    <row r="1142">
      <c r="A1142" s="22">
        <f>IFERROR(__xludf.DUMMYFUNCTION("""COMPUTED_VALUE"""),43614.66666666667)</f>
        <v>43614.66667</v>
      </c>
      <c r="B1142" s="23">
        <f>IFERROR(__xludf.DUMMYFUNCTION("""COMPUTED_VALUE"""),72.89)</f>
        <v>72.89</v>
      </c>
      <c r="C1142" s="22">
        <f>IFERROR(__xludf.DUMMYFUNCTION("""COMPUTED_VALUE"""),44867.66666666667)</f>
        <v>44867.66667</v>
      </c>
      <c r="D1142" s="23">
        <f>IFERROR(__xludf.DUMMYFUNCTION("""COMPUTED_VALUE"""),116.36)</f>
        <v>116.36</v>
      </c>
      <c r="E1142" s="22">
        <f>IFERROR(__xludf.DUMMYFUNCTION("""COMPUTED_VALUE"""),43791.66666666667)</f>
        <v>43791.66667</v>
      </c>
      <c r="F1142" s="23">
        <f>IFERROR(__xludf.DUMMYFUNCTION("""COMPUTED_VALUE"""),20.74)</f>
        <v>20.74</v>
      </c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</row>
    <row r="1143">
      <c r="A1143" s="22">
        <f>IFERROR(__xludf.DUMMYFUNCTION("""COMPUTED_VALUE"""),43615.66666666667)</f>
        <v>43615.66667</v>
      </c>
      <c r="B1143" s="23">
        <f>IFERROR(__xludf.DUMMYFUNCTION("""COMPUTED_VALUE"""),72.51)</f>
        <v>72.51</v>
      </c>
      <c r="C1143" s="22">
        <f>IFERROR(__xludf.DUMMYFUNCTION("""COMPUTED_VALUE"""),44868.66666666667)</f>
        <v>44868.66667</v>
      </c>
      <c r="D1143" s="23">
        <f>IFERROR(__xludf.DUMMYFUNCTION("""COMPUTED_VALUE"""),114.07)</f>
        <v>114.07</v>
      </c>
      <c r="E1143" s="22">
        <f>IFERROR(__xludf.DUMMYFUNCTION("""COMPUTED_VALUE"""),43794.66666666667)</f>
        <v>43794.66667</v>
      </c>
      <c r="F1143" s="23">
        <f>IFERROR(__xludf.DUMMYFUNCTION("""COMPUTED_VALUE"""),20.75)</f>
        <v>20.75</v>
      </c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</row>
    <row r="1144">
      <c r="A1144" s="22">
        <f>IFERROR(__xludf.DUMMYFUNCTION("""COMPUTED_VALUE"""),43616.66666666667)</f>
        <v>43616.66667</v>
      </c>
      <c r="B1144" s="23">
        <f>IFERROR(__xludf.DUMMYFUNCTION("""COMPUTED_VALUE"""),72.17)</f>
        <v>72.17</v>
      </c>
      <c r="C1144" s="22">
        <f>IFERROR(__xludf.DUMMYFUNCTION("""COMPUTED_VALUE"""),44869.66666666667)</f>
        <v>44869.66667</v>
      </c>
      <c r="D1144" s="23">
        <f>IFERROR(__xludf.DUMMYFUNCTION("""COMPUTED_VALUE"""),114.6)</f>
        <v>114.6</v>
      </c>
      <c r="E1144" s="22">
        <f>IFERROR(__xludf.DUMMYFUNCTION("""COMPUTED_VALUE"""),43795.66666666667)</f>
        <v>43795.66667</v>
      </c>
      <c r="F1144" s="23">
        <f>IFERROR(__xludf.DUMMYFUNCTION("""COMPUTED_VALUE"""),20.99)</f>
        <v>20.99</v>
      </c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</row>
    <row r="1145">
      <c r="A1145" s="22">
        <f>IFERROR(__xludf.DUMMYFUNCTION("""COMPUTED_VALUE"""),43619.66666666667)</f>
        <v>43619.66667</v>
      </c>
      <c r="B1145" s="23">
        <f>IFERROR(__xludf.DUMMYFUNCTION("""COMPUTED_VALUE"""),71.27)</f>
        <v>71.27</v>
      </c>
      <c r="C1145" s="22">
        <f>IFERROR(__xludf.DUMMYFUNCTION("""COMPUTED_VALUE"""),44872.66666666667)</f>
        <v>44872.66667</v>
      </c>
      <c r="D1145" s="23">
        <f>IFERROR(__xludf.DUMMYFUNCTION("""COMPUTED_VALUE"""),115.49)</f>
        <v>115.49</v>
      </c>
      <c r="E1145" s="22">
        <f>IFERROR(__xludf.DUMMYFUNCTION("""COMPUTED_VALUE"""),43796.66666666667)</f>
        <v>43796.66667</v>
      </c>
      <c r="F1145" s="23">
        <f>IFERROR(__xludf.DUMMYFUNCTION("""COMPUTED_VALUE"""),21.08)</f>
        <v>21.08</v>
      </c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</row>
    <row r="1146">
      <c r="A1146" s="22">
        <f>IFERROR(__xludf.DUMMYFUNCTION("""COMPUTED_VALUE"""),43620.66666666667)</f>
        <v>43620.66667</v>
      </c>
      <c r="B1146" s="23">
        <f>IFERROR(__xludf.DUMMYFUNCTION("""COMPUTED_VALUE"""),71.45)</f>
        <v>71.45</v>
      </c>
      <c r="C1146" s="22">
        <f>IFERROR(__xludf.DUMMYFUNCTION("""COMPUTED_VALUE"""),44873.66666666667)</f>
        <v>44873.66667</v>
      </c>
      <c r="D1146" s="23">
        <f>IFERROR(__xludf.DUMMYFUNCTION("""COMPUTED_VALUE"""),115.87)</f>
        <v>115.87</v>
      </c>
      <c r="E1146" s="22">
        <f>IFERROR(__xludf.DUMMYFUNCTION("""COMPUTED_VALUE"""),43797.66666666667)</f>
        <v>43797.66667</v>
      </c>
      <c r="F1146" s="23">
        <f>IFERROR(__xludf.DUMMYFUNCTION("""COMPUTED_VALUE"""),21.16)</f>
        <v>21.16</v>
      </c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</row>
    <row r="1147">
      <c r="A1147" s="22">
        <f>IFERROR(__xludf.DUMMYFUNCTION("""COMPUTED_VALUE"""),43621.66666666667)</f>
        <v>43621.66667</v>
      </c>
      <c r="B1147" s="23">
        <f>IFERROR(__xludf.DUMMYFUNCTION("""COMPUTED_VALUE"""),72.5)</f>
        <v>72.5</v>
      </c>
      <c r="C1147" s="22">
        <f>IFERROR(__xludf.DUMMYFUNCTION("""COMPUTED_VALUE"""),44874.66666666667)</f>
        <v>44874.66667</v>
      </c>
      <c r="D1147" s="23">
        <f>IFERROR(__xludf.DUMMYFUNCTION("""COMPUTED_VALUE"""),116.55)</f>
        <v>116.55</v>
      </c>
      <c r="E1147" s="22">
        <f>IFERROR(__xludf.DUMMYFUNCTION("""COMPUTED_VALUE"""),43798.66666666667)</f>
        <v>43798.66667</v>
      </c>
      <c r="F1147" s="23">
        <f>IFERROR(__xludf.DUMMYFUNCTION("""COMPUTED_VALUE"""),21.1)</f>
        <v>21.1</v>
      </c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</row>
    <row r="1148">
      <c r="A1148" s="22">
        <f>IFERROR(__xludf.DUMMYFUNCTION("""COMPUTED_VALUE"""),43622.66666666667)</f>
        <v>43622.66667</v>
      </c>
      <c r="B1148" s="23">
        <f>IFERROR(__xludf.DUMMYFUNCTION("""COMPUTED_VALUE"""),73.0)</f>
        <v>73</v>
      </c>
      <c r="C1148" s="22">
        <f>IFERROR(__xludf.DUMMYFUNCTION("""COMPUTED_VALUE"""),44875.66666666667)</f>
        <v>44875.66667</v>
      </c>
      <c r="D1148" s="23">
        <f>IFERROR(__xludf.DUMMYFUNCTION("""COMPUTED_VALUE"""),115.98)</f>
        <v>115.98</v>
      </c>
      <c r="E1148" s="22">
        <f>IFERROR(__xludf.DUMMYFUNCTION("""COMPUTED_VALUE"""),43801.66666666667)</f>
        <v>43801.66667</v>
      </c>
      <c r="F1148" s="23">
        <f>IFERROR(__xludf.DUMMYFUNCTION("""COMPUTED_VALUE"""),21.17)</f>
        <v>21.17</v>
      </c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</row>
    <row r="1149">
      <c r="A1149" s="22">
        <f>IFERROR(__xludf.DUMMYFUNCTION("""COMPUTED_VALUE"""),43623.66666666667)</f>
        <v>43623.66667</v>
      </c>
      <c r="B1149" s="23">
        <f>IFERROR(__xludf.DUMMYFUNCTION("""COMPUTED_VALUE"""),73.58)</f>
        <v>73.58</v>
      </c>
      <c r="C1149" s="22">
        <f>IFERROR(__xludf.DUMMYFUNCTION("""COMPUTED_VALUE"""),44876.66666666667)</f>
        <v>44876.66667</v>
      </c>
      <c r="D1149" s="23">
        <f>IFERROR(__xludf.DUMMYFUNCTION("""COMPUTED_VALUE"""),119.13)</f>
        <v>119.13</v>
      </c>
      <c r="E1149" s="22">
        <f>IFERROR(__xludf.DUMMYFUNCTION("""COMPUTED_VALUE"""),43802.66666666667)</f>
        <v>43802.66667</v>
      </c>
      <c r="F1149" s="23">
        <f>IFERROR(__xludf.DUMMYFUNCTION("""COMPUTED_VALUE"""),20.67)</f>
        <v>20.67</v>
      </c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</row>
    <row r="1150">
      <c r="A1150" s="22">
        <f>IFERROR(__xludf.DUMMYFUNCTION("""COMPUTED_VALUE"""),43627.66666666667)</f>
        <v>43627.66667</v>
      </c>
      <c r="B1150" s="23">
        <f>IFERROR(__xludf.DUMMYFUNCTION("""COMPUTED_VALUE"""),74.93)</f>
        <v>74.93</v>
      </c>
      <c r="C1150" s="22">
        <f>IFERROR(__xludf.DUMMYFUNCTION("""COMPUTED_VALUE"""),44879.66666666667)</f>
        <v>44879.66667</v>
      </c>
      <c r="D1150" s="23">
        <f>IFERROR(__xludf.DUMMYFUNCTION("""COMPUTED_VALUE"""),119.03)</f>
        <v>119.03</v>
      </c>
      <c r="E1150" s="22">
        <f>IFERROR(__xludf.DUMMYFUNCTION("""COMPUTED_VALUE"""),43803.66666666667)</f>
        <v>43803.66667</v>
      </c>
      <c r="F1150" s="23">
        <f>IFERROR(__xludf.DUMMYFUNCTION("""COMPUTED_VALUE"""),20.55)</f>
        <v>20.55</v>
      </c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</row>
    <row r="1151">
      <c r="A1151" s="22">
        <f>IFERROR(__xludf.DUMMYFUNCTION("""COMPUTED_VALUE"""),43628.66666666667)</f>
        <v>43628.66667</v>
      </c>
      <c r="B1151" s="23">
        <f>IFERROR(__xludf.DUMMYFUNCTION("""COMPUTED_VALUE"""),74.75)</f>
        <v>74.75</v>
      </c>
      <c r="C1151" s="22">
        <f>IFERROR(__xludf.DUMMYFUNCTION("""COMPUTED_VALUE"""),44880.66666666667)</f>
        <v>44880.66667</v>
      </c>
      <c r="D1151" s="23">
        <f>IFERROR(__xludf.DUMMYFUNCTION("""COMPUTED_VALUE"""),118.97)</f>
        <v>118.97</v>
      </c>
      <c r="E1151" s="22">
        <f>IFERROR(__xludf.DUMMYFUNCTION("""COMPUTED_VALUE"""),43804.66666666667)</f>
        <v>43804.66667</v>
      </c>
      <c r="F1151" s="23">
        <f>IFERROR(__xludf.DUMMYFUNCTION("""COMPUTED_VALUE"""),20.59)</f>
        <v>20.59</v>
      </c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</row>
    <row r="1152">
      <c r="A1152" s="22">
        <f>IFERROR(__xludf.DUMMYFUNCTION("""COMPUTED_VALUE"""),43629.66666666667)</f>
        <v>43629.66667</v>
      </c>
      <c r="B1152" s="23">
        <f>IFERROR(__xludf.DUMMYFUNCTION("""COMPUTED_VALUE"""),74.99)</f>
        <v>74.99</v>
      </c>
      <c r="C1152" s="22">
        <f>IFERROR(__xludf.DUMMYFUNCTION("""COMPUTED_VALUE"""),44881.66666666667)</f>
        <v>44881.66667</v>
      </c>
      <c r="D1152" s="23">
        <f>IFERROR(__xludf.DUMMYFUNCTION("""COMPUTED_VALUE"""),118.75)</f>
        <v>118.75</v>
      </c>
      <c r="E1152" s="22">
        <f>IFERROR(__xludf.DUMMYFUNCTION("""COMPUTED_VALUE"""),43805.66666666667)</f>
        <v>43805.66667</v>
      </c>
      <c r="F1152" s="23">
        <f>IFERROR(__xludf.DUMMYFUNCTION("""COMPUTED_VALUE"""),20.66)</f>
        <v>20.66</v>
      </c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</row>
    <row r="1153">
      <c r="A1153" s="22">
        <f>IFERROR(__xludf.DUMMYFUNCTION("""COMPUTED_VALUE"""),43630.66666666667)</f>
        <v>43630.66667</v>
      </c>
      <c r="B1153" s="23">
        <f>IFERROR(__xludf.DUMMYFUNCTION("""COMPUTED_VALUE"""),75.5)</f>
        <v>75.5</v>
      </c>
      <c r="C1153" s="22">
        <f>IFERROR(__xludf.DUMMYFUNCTION("""COMPUTED_VALUE"""),44882.66666666667)</f>
        <v>44882.66667</v>
      </c>
      <c r="D1153" s="23">
        <f>IFERROR(__xludf.DUMMYFUNCTION("""COMPUTED_VALUE"""),119.17)</f>
        <v>119.17</v>
      </c>
      <c r="E1153" s="22">
        <f>IFERROR(__xludf.DUMMYFUNCTION("""COMPUTED_VALUE"""),43808.66666666667)</f>
        <v>43808.66667</v>
      </c>
      <c r="F1153" s="23">
        <f>IFERROR(__xludf.DUMMYFUNCTION("""COMPUTED_VALUE"""),20.85)</f>
        <v>20.85</v>
      </c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</row>
    <row r="1154">
      <c r="A1154" s="22">
        <f>IFERROR(__xludf.DUMMYFUNCTION("""COMPUTED_VALUE"""),43633.66666666667)</f>
        <v>43633.66667</v>
      </c>
      <c r="B1154" s="23">
        <f>IFERROR(__xludf.DUMMYFUNCTION("""COMPUTED_VALUE"""),75.56)</f>
        <v>75.56</v>
      </c>
      <c r="C1154" s="22">
        <f>IFERROR(__xludf.DUMMYFUNCTION("""COMPUTED_VALUE"""),44883.66666666667)</f>
        <v>44883.66667</v>
      </c>
      <c r="D1154" s="23">
        <f>IFERROR(__xludf.DUMMYFUNCTION("""COMPUTED_VALUE"""),119.42)</f>
        <v>119.42</v>
      </c>
      <c r="E1154" s="22">
        <f>IFERROR(__xludf.DUMMYFUNCTION("""COMPUTED_VALUE"""),43809.66666666667)</f>
        <v>43809.66667</v>
      </c>
      <c r="F1154" s="23">
        <f>IFERROR(__xludf.DUMMYFUNCTION("""COMPUTED_VALUE"""),20.81)</f>
        <v>20.81</v>
      </c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</row>
    <row r="1155">
      <c r="A1155" s="22">
        <f>IFERROR(__xludf.DUMMYFUNCTION("""COMPUTED_VALUE"""),43634.66666666667)</f>
        <v>43634.66667</v>
      </c>
      <c r="B1155" s="23">
        <f>IFERROR(__xludf.DUMMYFUNCTION("""COMPUTED_VALUE"""),75.88)</f>
        <v>75.88</v>
      </c>
      <c r="C1155" s="22">
        <f>IFERROR(__xludf.DUMMYFUNCTION("""COMPUTED_VALUE"""),44886.66666666667)</f>
        <v>44886.66667</v>
      </c>
      <c r="D1155" s="23">
        <f>IFERROR(__xludf.DUMMYFUNCTION("""COMPUTED_VALUE"""),119.2)</f>
        <v>119.2</v>
      </c>
      <c r="E1155" s="22">
        <f>IFERROR(__xludf.DUMMYFUNCTION("""COMPUTED_VALUE"""),43810.66666666667)</f>
        <v>43810.66667</v>
      </c>
      <c r="F1155" s="23">
        <f>IFERROR(__xludf.DUMMYFUNCTION("""COMPUTED_VALUE"""),20.83)</f>
        <v>20.83</v>
      </c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</row>
    <row r="1156">
      <c r="A1156" s="22">
        <f>IFERROR(__xludf.DUMMYFUNCTION("""COMPUTED_VALUE"""),43635.66666666667)</f>
        <v>43635.66667</v>
      </c>
      <c r="B1156" s="23">
        <f>IFERROR(__xludf.DUMMYFUNCTION("""COMPUTED_VALUE"""),76.4)</f>
        <v>76.4</v>
      </c>
      <c r="C1156" s="22">
        <f>IFERROR(__xludf.DUMMYFUNCTION("""COMPUTED_VALUE"""),44887.66666666667)</f>
        <v>44887.66667</v>
      </c>
      <c r="D1156" s="23">
        <f>IFERROR(__xludf.DUMMYFUNCTION("""COMPUTED_VALUE"""),119.91)</f>
        <v>119.91</v>
      </c>
      <c r="E1156" s="22">
        <f>IFERROR(__xludf.DUMMYFUNCTION("""COMPUTED_VALUE"""),43811.66666666667)</f>
        <v>43811.66667</v>
      </c>
      <c r="F1156" s="23">
        <f>IFERROR(__xludf.DUMMYFUNCTION("""COMPUTED_VALUE"""),20.76)</f>
        <v>20.76</v>
      </c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</row>
    <row r="1157">
      <c r="A1157" s="22">
        <f>IFERROR(__xludf.DUMMYFUNCTION("""COMPUTED_VALUE"""),43636.66666666667)</f>
        <v>43636.66667</v>
      </c>
      <c r="B1157" s="23">
        <f>IFERROR(__xludf.DUMMYFUNCTION("""COMPUTED_VALUE"""),76.86)</f>
        <v>76.86</v>
      </c>
      <c r="C1157" s="22">
        <f>IFERROR(__xludf.DUMMYFUNCTION("""COMPUTED_VALUE"""),44888.66666666667)</f>
        <v>44888.66667</v>
      </c>
      <c r="D1157" s="23">
        <f>IFERROR(__xludf.DUMMYFUNCTION("""COMPUTED_VALUE"""),120.65)</f>
        <v>120.65</v>
      </c>
      <c r="E1157" s="22">
        <f>IFERROR(__xludf.DUMMYFUNCTION("""COMPUTED_VALUE"""),43812.66666666667)</f>
        <v>43812.66667</v>
      </c>
      <c r="F1157" s="23">
        <f>IFERROR(__xludf.DUMMYFUNCTION("""COMPUTED_VALUE"""),20.85)</f>
        <v>20.85</v>
      </c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</row>
    <row r="1158">
      <c r="A1158" s="22">
        <f>IFERROR(__xludf.DUMMYFUNCTION("""COMPUTED_VALUE"""),43637.66666666667)</f>
        <v>43637.66667</v>
      </c>
      <c r="B1158" s="23">
        <f>IFERROR(__xludf.DUMMYFUNCTION("""COMPUTED_VALUE"""),76.5)</f>
        <v>76.5</v>
      </c>
      <c r="C1158" s="22">
        <f>IFERROR(__xludf.DUMMYFUNCTION("""COMPUTED_VALUE"""),44889.66666666667)</f>
        <v>44889.66667</v>
      </c>
      <c r="D1158" s="23">
        <f>IFERROR(__xludf.DUMMYFUNCTION("""COMPUTED_VALUE"""),120.88)</f>
        <v>120.88</v>
      </c>
      <c r="E1158" s="22">
        <f>IFERROR(__xludf.DUMMYFUNCTION("""COMPUTED_VALUE"""),43815.66666666667)</f>
        <v>43815.66667</v>
      </c>
      <c r="F1158" s="23">
        <f>IFERROR(__xludf.DUMMYFUNCTION("""COMPUTED_VALUE"""),21.05)</f>
        <v>21.05</v>
      </c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</row>
    <row r="1159">
      <c r="A1159" s="22">
        <f>IFERROR(__xludf.DUMMYFUNCTION("""COMPUTED_VALUE"""),43640.66666666667)</f>
        <v>43640.66667</v>
      </c>
      <c r="B1159" s="23">
        <f>IFERROR(__xludf.DUMMYFUNCTION("""COMPUTED_VALUE"""),76.37)</f>
        <v>76.37</v>
      </c>
      <c r="C1159" s="22">
        <f>IFERROR(__xludf.DUMMYFUNCTION("""COMPUTED_VALUE"""),44893.66666666667)</f>
        <v>44893.66667</v>
      </c>
      <c r="D1159" s="23">
        <f>IFERROR(__xludf.DUMMYFUNCTION("""COMPUTED_VALUE"""),120.7)</f>
        <v>120.7</v>
      </c>
      <c r="E1159" s="22">
        <f>IFERROR(__xludf.DUMMYFUNCTION("""COMPUTED_VALUE"""),43816.66666666667)</f>
        <v>43816.66667</v>
      </c>
      <c r="F1159" s="23">
        <f>IFERROR(__xludf.DUMMYFUNCTION("""COMPUTED_VALUE"""),21.21)</f>
        <v>21.21</v>
      </c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</row>
    <row r="1160">
      <c r="A1160" s="22">
        <f>IFERROR(__xludf.DUMMYFUNCTION("""COMPUTED_VALUE"""),43641.66666666667)</f>
        <v>43641.66667</v>
      </c>
      <c r="B1160" s="23">
        <f>IFERROR(__xludf.DUMMYFUNCTION("""COMPUTED_VALUE"""),76.07)</f>
        <v>76.07</v>
      </c>
      <c r="C1160" s="22">
        <f>IFERROR(__xludf.DUMMYFUNCTION("""COMPUTED_VALUE"""),44894.66666666667)</f>
        <v>44894.66667</v>
      </c>
      <c r="D1160" s="23">
        <f>IFERROR(__xludf.DUMMYFUNCTION("""COMPUTED_VALUE"""),121.1)</f>
        <v>121.1</v>
      </c>
      <c r="E1160" s="22">
        <f>IFERROR(__xludf.DUMMYFUNCTION("""COMPUTED_VALUE"""),43817.66666666667)</f>
        <v>43817.66667</v>
      </c>
      <c r="F1160" s="23">
        <f>IFERROR(__xludf.DUMMYFUNCTION("""COMPUTED_VALUE"""),21.26)</f>
        <v>21.26</v>
      </c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</row>
    <row r="1161">
      <c r="A1161" s="22">
        <f>IFERROR(__xludf.DUMMYFUNCTION("""COMPUTED_VALUE"""),43642.66666666667)</f>
        <v>43642.66667</v>
      </c>
      <c r="B1161" s="23">
        <f>IFERROR(__xludf.DUMMYFUNCTION("""COMPUTED_VALUE"""),75.46)</f>
        <v>75.46</v>
      </c>
      <c r="C1161" s="22">
        <f>IFERROR(__xludf.DUMMYFUNCTION("""COMPUTED_VALUE"""),44895.66666666667)</f>
        <v>44895.66667</v>
      </c>
      <c r="D1161" s="23">
        <f>IFERROR(__xludf.DUMMYFUNCTION("""COMPUTED_VALUE"""),121.51)</f>
        <v>121.51</v>
      </c>
      <c r="E1161" s="22">
        <f>IFERROR(__xludf.DUMMYFUNCTION("""COMPUTED_VALUE"""),43818.66666666667)</f>
        <v>43818.66667</v>
      </c>
      <c r="F1161" s="23">
        <f>IFERROR(__xludf.DUMMYFUNCTION("""COMPUTED_VALUE"""),21.19)</f>
        <v>21.19</v>
      </c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</row>
    <row r="1162">
      <c r="A1162" s="22">
        <f>IFERROR(__xludf.DUMMYFUNCTION("""COMPUTED_VALUE"""),43643.66666666667)</f>
        <v>43643.66667</v>
      </c>
      <c r="B1162" s="23">
        <f>IFERROR(__xludf.DUMMYFUNCTION("""COMPUTED_VALUE"""),75.39)</f>
        <v>75.39</v>
      </c>
      <c r="C1162" s="22">
        <f>IFERROR(__xludf.DUMMYFUNCTION("""COMPUTED_VALUE"""),44896.66666666667)</f>
        <v>44896.66667</v>
      </c>
      <c r="D1162" s="23">
        <f>IFERROR(__xludf.DUMMYFUNCTION("""COMPUTED_VALUE"""),122.63)</f>
        <v>122.63</v>
      </c>
      <c r="E1162" s="22">
        <f>IFERROR(__xludf.DUMMYFUNCTION("""COMPUTED_VALUE"""),43819.66666666667)</f>
        <v>43819.66667</v>
      </c>
      <c r="F1162" s="23">
        <f>IFERROR(__xludf.DUMMYFUNCTION("""COMPUTED_VALUE"""),21.3)</f>
        <v>21.3</v>
      </c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</row>
    <row r="1163">
      <c r="A1163" s="22">
        <f>IFERROR(__xludf.DUMMYFUNCTION("""COMPUTED_VALUE"""),43644.66666666667)</f>
        <v>43644.66667</v>
      </c>
      <c r="B1163" s="23">
        <f>IFERROR(__xludf.DUMMYFUNCTION("""COMPUTED_VALUE"""),75.21)</f>
        <v>75.21</v>
      </c>
      <c r="C1163" s="22">
        <f>IFERROR(__xludf.DUMMYFUNCTION("""COMPUTED_VALUE"""),44897.66666666667)</f>
        <v>44897.66667</v>
      </c>
      <c r="D1163" s="23">
        <f>IFERROR(__xludf.DUMMYFUNCTION("""COMPUTED_VALUE"""),121.9)</f>
        <v>121.9</v>
      </c>
      <c r="E1163" s="22">
        <f>IFERROR(__xludf.DUMMYFUNCTION("""COMPUTED_VALUE"""),43822.66666666667)</f>
        <v>43822.66667</v>
      </c>
      <c r="F1163" s="23">
        <f>IFERROR(__xludf.DUMMYFUNCTION("""COMPUTED_VALUE"""),21.38)</f>
        <v>21.38</v>
      </c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</row>
    <row r="1164">
      <c r="A1164" s="22">
        <f>IFERROR(__xludf.DUMMYFUNCTION("""COMPUTED_VALUE"""),43647.66666666667)</f>
        <v>43647.66667</v>
      </c>
      <c r="B1164" s="23">
        <f>IFERROR(__xludf.DUMMYFUNCTION("""COMPUTED_VALUE"""),75.85)</f>
        <v>75.85</v>
      </c>
      <c r="C1164" s="22">
        <f>IFERROR(__xludf.DUMMYFUNCTION("""COMPUTED_VALUE"""),44900.66666666667)</f>
        <v>44900.66667</v>
      </c>
      <c r="D1164" s="23">
        <f>IFERROR(__xludf.DUMMYFUNCTION("""COMPUTED_VALUE"""),122.27)</f>
        <v>122.27</v>
      </c>
      <c r="E1164" s="22">
        <f>IFERROR(__xludf.DUMMYFUNCTION("""COMPUTED_VALUE"""),43823.59027777778)</f>
        <v>43823.59028</v>
      </c>
      <c r="F1164" s="23">
        <f>IFERROR(__xludf.DUMMYFUNCTION("""COMPUTED_VALUE"""),21.38)</f>
        <v>21.38</v>
      </c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</row>
    <row r="1165">
      <c r="A1165" s="22">
        <f>IFERROR(__xludf.DUMMYFUNCTION("""COMPUTED_VALUE"""),43648.66666666667)</f>
        <v>43648.66667</v>
      </c>
      <c r="B1165" s="23">
        <f>IFERROR(__xludf.DUMMYFUNCTION("""COMPUTED_VALUE"""),75.8)</f>
        <v>75.8</v>
      </c>
      <c r="C1165" s="22">
        <f>IFERROR(__xludf.DUMMYFUNCTION("""COMPUTED_VALUE"""),44901.66666666667)</f>
        <v>44901.66667</v>
      </c>
      <c r="D1165" s="23">
        <f>IFERROR(__xludf.DUMMYFUNCTION("""COMPUTED_VALUE"""),121.7)</f>
        <v>121.7</v>
      </c>
      <c r="E1165" s="22">
        <f>IFERROR(__xludf.DUMMYFUNCTION("""COMPUTED_VALUE"""),43826.66666666667)</f>
        <v>43826.66667</v>
      </c>
      <c r="F1165" s="23">
        <f>IFERROR(__xludf.DUMMYFUNCTION("""COMPUTED_VALUE"""),21.52)</f>
        <v>21.52</v>
      </c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</row>
    <row r="1166">
      <c r="A1166" s="22">
        <f>IFERROR(__xludf.DUMMYFUNCTION("""COMPUTED_VALUE"""),43649.66666666667)</f>
        <v>43649.66667</v>
      </c>
      <c r="B1166" s="23">
        <f>IFERROR(__xludf.DUMMYFUNCTION("""COMPUTED_VALUE"""),75.72)</f>
        <v>75.72</v>
      </c>
      <c r="C1166" s="22">
        <f>IFERROR(__xludf.DUMMYFUNCTION("""COMPUTED_VALUE"""),44902.66666666667)</f>
        <v>44902.66667</v>
      </c>
      <c r="D1166" s="23">
        <f>IFERROR(__xludf.DUMMYFUNCTION("""COMPUTED_VALUE"""),120.64)</f>
        <v>120.64</v>
      </c>
      <c r="E1166" s="22">
        <f>IFERROR(__xludf.DUMMYFUNCTION("""COMPUTED_VALUE"""),43829.66666666667)</f>
        <v>43829.66667</v>
      </c>
      <c r="F1166" s="23">
        <f>IFERROR(__xludf.DUMMYFUNCTION("""COMPUTED_VALUE"""),21.36)</f>
        <v>21.36</v>
      </c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</row>
    <row r="1167">
      <c r="A1167" s="22">
        <f>IFERROR(__xludf.DUMMYFUNCTION("""COMPUTED_VALUE"""),43650.66666666667)</f>
        <v>43650.66667</v>
      </c>
      <c r="B1167" s="23">
        <f>IFERROR(__xludf.DUMMYFUNCTION("""COMPUTED_VALUE"""),75.92)</f>
        <v>75.92</v>
      </c>
      <c r="C1167" s="22">
        <f>IFERROR(__xludf.DUMMYFUNCTION("""COMPUTED_VALUE"""),44903.66666666667)</f>
        <v>44903.66667</v>
      </c>
      <c r="D1167" s="23">
        <f>IFERROR(__xludf.DUMMYFUNCTION("""COMPUTED_VALUE"""),119.72)</f>
        <v>119.72</v>
      </c>
      <c r="E1167" s="22">
        <f>IFERROR(__xludf.DUMMYFUNCTION("""COMPUTED_VALUE"""),43830.59027777778)</f>
        <v>43830.59028</v>
      </c>
      <c r="F1167" s="23">
        <f>IFERROR(__xludf.DUMMYFUNCTION("""COMPUTED_VALUE"""),21.17)</f>
        <v>21.17</v>
      </c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</row>
    <row r="1168">
      <c r="A1168" s="22">
        <f>IFERROR(__xludf.DUMMYFUNCTION("""COMPUTED_VALUE"""),43651.66666666667)</f>
        <v>43651.66667</v>
      </c>
      <c r="B1168" s="23">
        <f>IFERROR(__xludf.DUMMYFUNCTION("""COMPUTED_VALUE"""),76.13)</f>
        <v>76.13</v>
      </c>
      <c r="C1168" s="22">
        <f>IFERROR(__xludf.DUMMYFUNCTION("""COMPUTED_VALUE"""),44904.66666666667)</f>
        <v>44904.66667</v>
      </c>
      <c r="D1168" s="23">
        <f>IFERROR(__xludf.DUMMYFUNCTION("""COMPUTED_VALUE"""),120.37)</f>
        <v>120.37</v>
      </c>
      <c r="E1168" s="22">
        <f>IFERROR(__xludf.DUMMYFUNCTION("""COMPUTED_VALUE"""),43832.66666666667)</f>
        <v>43832.66667</v>
      </c>
      <c r="F1168" s="23">
        <f>IFERROR(__xludf.DUMMYFUNCTION("""COMPUTED_VALUE"""),21.23)</f>
        <v>21.23</v>
      </c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</row>
    <row r="1169">
      <c r="A1169" s="22">
        <f>IFERROR(__xludf.DUMMYFUNCTION("""COMPUTED_VALUE"""),43654.66666666667)</f>
        <v>43654.66667</v>
      </c>
      <c r="B1169" s="23">
        <f>IFERROR(__xludf.DUMMYFUNCTION("""COMPUTED_VALUE"""),75.83)</f>
        <v>75.83</v>
      </c>
      <c r="C1169" s="22">
        <f>IFERROR(__xludf.DUMMYFUNCTION("""COMPUTED_VALUE"""),44907.66666666667)</f>
        <v>44907.66667</v>
      </c>
      <c r="D1169" s="23">
        <f>IFERROR(__xludf.DUMMYFUNCTION("""COMPUTED_VALUE"""),119.9)</f>
        <v>119.9</v>
      </c>
      <c r="E1169" s="22">
        <f>IFERROR(__xludf.DUMMYFUNCTION("""COMPUTED_VALUE"""),43833.66666666667)</f>
        <v>43833.66667</v>
      </c>
      <c r="F1169" s="23">
        <f>IFERROR(__xludf.DUMMYFUNCTION("""COMPUTED_VALUE"""),21.43)</f>
        <v>21.43</v>
      </c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</row>
    <row r="1170">
      <c r="A1170" s="22">
        <f>IFERROR(__xludf.DUMMYFUNCTION("""COMPUTED_VALUE"""),43655.66666666667)</f>
        <v>43655.66667</v>
      </c>
      <c r="B1170" s="23">
        <f>IFERROR(__xludf.DUMMYFUNCTION("""COMPUTED_VALUE"""),75.95)</f>
        <v>75.95</v>
      </c>
      <c r="C1170" s="22">
        <f>IFERROR(__xludf.DUMMYFUNCTION("""COMPUTED_VALUE"""),44908.66666666667)</f>
        <v>44908.66667</v>
      </c>
      <c r="D1170" s="23">
        <f>IFERROR(__xludf.DUMMYFUNCTION("""COMPUTED_VALUE"""),120.15)</f>
        <v>120.15</v>
      </c>
      <c r="E1170" s="22">
        <f>IFERROR(__xludf.DUMMYFUNCTION("""COMPUTED_VALUE"""),43836.66666666667)</f>
        <v>43836.66667</v>
      </c>
      <c r="F1170" s="23">
        <f>IFERROR(__xludf.DUMMYFUNCTION("""COMPUTED_VALUE"""),21.42)</f>
        <v>21.42</v>
      </c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</row>
    <row r="1171">
      <c r="A1171" s="22">
        <f>IFERROR(__xludf.DUMMYFUNCTION("""COMPUTED_VALUE"""),43656.66666666667)</f>
        <v>43656.66667</v>
      </c>
      <c r="B1171" s="23">
        <f>IFERROR(__xludf.DUMMYFUNCTION("""COMPUTED_VALUE"""),76.4)</f>
        <v>76.4</v>
      </c>
      <c r="C1171" s="22">
        <f>IFERROR(__xludf.DUMMYFUNCTION("""COMPUTED_VALUE"""),44909.66666666667)</f>
        <v>44909.66667</v>
      </c>
      <c r="D1171" s="23">
        <f>IFERROR(__xludf.DUMMYFUNCTION("""COMPUTED_VALUE"""),121.04)</f>
        <v>121.04</v>
      </c>
      <c r="E1171" s="22">
        <f>IFERROR(__xludf.DUMMYFUNCTION("""COMPUTED_VALUE"""),43837.66666666667)</f>
        <v>43837.66667</v>
      </c>
      <c r="F1171" s="23">
        <f>IFERROR(__xludf.DUMMYFUNCTION("""COMPUTED_VALUE"""),21.69)</f>
        <v>21.69</v>
      </c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</row>
    <row r="1172">
      <c r="A1172" s="22">
        <f>IFERROR(__xludf.DUMMYFUNCTION("""COMPUTED_VALUE"""),43657.66666666667)</f>
        <v>43657.66667</v>
      </c>
      <c r="B1172" s="23">
        <f>IFERROR(__xludf.DUMMYFUNCTION("""COMPUTED_VALUE"""),76.5)</f>
        <v>76.5</v>
      </c>
      <c r="C1172" s="22">
        <f>IFERROR(__xludf.DUMMYFUNCTION("""COMPUTED_VALUE"""),44910.66666666667)</f>
        <v>44910.66667</v>
      </c>
      <c r="D1172" s="23">
        <f>IFERROR(__xludf.DUMMYFUNCTION("""COMPUTED_VALUE"""),120.24)</f>
        <v>120.24</v>
      </c>
      <c r="E1172" s="22">
        <f>IFERROR(__xludf.DUMMYFUNCTION("""COMPUTED_VALUE"""),43838.66666666667)</f>
        <v>43838.66667</v>
      </c>
      <c r="F1172" s="23">
        <f>IFERROR(__xludf.DUMMYFUNCTION("""COMPUTED_VALUE"""),21.72)</f>
        <v>21.72</v>
      </c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</row>
    <row r="1173">
      <c r="A1173" s="22">
        <f>IFERROR(__xludf.DUMMYFUNCTION("""COMPUTED_VALUE"""),43658.66666666667)</f>
        <v>43658.66667</v>
      </c>
      <c r="B1173" s="23">
        <f>IFERROR(__xludf.DUMMYFUNCTION("""COMPUTED_VALUE"""),76.28)</f>
        <v>76.28</v>
      </c>
      <c r="C1173" s="22">
        <f>IFERROR(__xludf.DUMMYFUNCTION("""COMPUTED_VALUE"""),44911.66666666667)</f>
        <v>44911.66667</v>
      </c>
      <c r="D1173" s="23">
        <f>IFERROR(__xludf.DUMMYFUNCTION("""COMPUTED_VALUE"""),119.32)</f>
        <v>119.32</v>
      </c>
      <c r="E1173" s="22">
        <f>IFERROR(__xludf.DUMMYFUNCTION("""COMPUTED_VALUE"""),43839.66666666667)</f>
        <v>43839.66667</v>
      </c>
      <c r="F1173" s="23">
        <f>IFERROR(__xludf.DUMMYFUNCTION("""COMPUTED_VALUE"""),22.07)</f>
        <v>22.07</v>
      </c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</row>
    <row r="1174">
      <c r="A1174" s="22">
        <f>IFERROR(__xludf.DUMMYFUNCTION("""COMPUTED_VALUE"""),43661.66666666667)</f>
        <v>43661.66667</v>
      </c>
      <c r="B1174" s="23">
        <f>IFERROR(__xludf.DUMMYFUNCTION("""COMPUTED_VALUE"""),75.94)</f>
        <v>75.94</v>
      </c>
      <c r="C1174" s="22">
        <f>IFERROR(__xludf.DUMMYFUNCTION("""COMPUTED_VALUE"""),44914.66666666667)</f>
        <v>44914.66667</v>
      </c>
      <c r="D1174" s="23">
        <f>IFERROR(__xludf.DUMMYFUNCTION("""COMPUTED_VALUE"""),119.04)</f>
        <v>119.04</v>
      </c>
      <c r="E1174" s="22">
        <f>IFERROR(__xludf.DUMMYFUNCTION("""COMPUTED_VALUE"""),43840.66666666667)</f>
        <v>43840.66667</v>
      </c>
      <c r="F1174" s="23">
        <f>IFERROR(__xludf.DUMMYFUNCTION("""COMPUTED_VALUE"""),22.26)</f>
        <v>22.26</v>
      </c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</row>
    <row r="1175">
      <c r="A1175" s="22">
        <f>IFERROR(__xludf.DUMMYFUNCTION("""COMPUTED_VALUE"""),43662.66666666667)</f>
        <v>43662.66667</v>
      </c>
      <c r="B1175" s="23">
        <f>IFERROR(__xludf.DUMMYFUNCTION("""COMPUTED_VALUE"""),75.94)</f>
        <v>75.94</v>
      </c>
      <c r="C1175" s="22">
        <f>IFERROR(__xludf.DUMMYFUNCTION("""COMPUTED_VALUE"""),44915.66666666667)</f>
        <v>44915.66667</v>
      </c>
      <c r="D1175" s="23">
        <f>IFERROR(__xludf.DUMMYFUNCTION("""COMPUTED_VALUE"""),117.3)</f>
        <v>117.3</v>
      </c>
      <c r="E1175" s="22">
        <f>IFERROR(__xludf.DUMMYFUNCTION("""COMPUTED_VALUE"""),43843.66666666667)</f>
        <v>43843.66667</v>
      </c>
      <c r="F1175" s="23">
        <f>IFERROR(__xludf.DUMMYFUNCTION("""COMPUTED_VALUE"""),22.07)</f>
        <v>22.07</v>
      </c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</row>
    <row r="1176">
      <c r="A1176" s="22">
        <f>IFERROR(__xludf.DUMMYFUNCTION("""COMPUTED_VALUE"""),43663.66666666667)</f>
        <v>43663.66667</v>
      </c>
      <c r="B1176" s="23">
        <f>IFERROR(__xludf.DUMMYFUNCTION("""COMPUTED_VALUE"""),76.02)</f>
        <v>76.02</v>
      </c>
      <c r="C1176" s="22">
        <f>IFERROR(__xludf.DUMMYFUNCTION("""COMPUTED_VALUE"""),44916.66666666667)</f>
        <v>44916.66667</v>
      </c>
      <c r="D1176" s="23">
        <f>IFERROR(__xludf.DUMMYFUNCTION("""COMPUTED_VALUE"""),118.67)</f>
        <v>118.67</v>
      </c>
      <c r="E1176" s="22">
        <f>IFERROR(__xludf.DUMMYFUNCTION("""COMPUTED_VALUE"""),43844.66666666667)</f>
        <v>43844.66667</v>
      </c>
      <c r="F1176" s="23">
        <f>IFERROR(__xludf.DUMMYFUNCTION("""COMPUTED_VALUE"""),22.3)</f>
        <v>22.3</v>
      </c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</row>
    <row r="1177">
      <c r="A1177" s="22">
        <f>IFERROR(__xludf.DUMMYFUNCTION("""COMPUTED_VALUE"""),43664.66666666667)</f>
        <v>43664.66667</v>
      </c>
      <c r="B1177" s="23">
        <f>IFERROR(__xludf.DUMMYFUNCTION("""COMPUTED_VALUE"""),75.04)</f>
        <v>75.04</v>
      </c>
      <c r="C1177" s="22">
        <f>IFERROR(__xludf.DUMMYFUNCTION("""COMPUTED_VALUE"""),44917.66666666667)</f>
        <v>44917.66667</v>
      </c>
      <c r="D1177" s="23">
        <f>IFERROR(__xludf.DUMMYFUNCTION("""COMPUTED_VALUE"""),119.39)</f>
        <v>119.39</v>
      </c>
      <c r="E1177" s="22">
        <f>IFERROR(__xludf.DUMMYFUNCTION("""COMPUTED_VALUE"""),43845.66666666667)</f>
        <v>43845.66667</v>
      </c>
      <c r="F1177" s="23">
        <f>IFERROR(__xludf.DUMMYFUNCTION("""COMPUTED_VALUE"""),22.17)</f>
        <v>22.17</v>
      </c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</row>
    <row r="1178">
      <c r="A1178" s="22">
        <f>IFERROR(__xludf.DUMMYFUNCTION("""COMPUTED_VALUE"""),43665.66666666667)</f>
        <v>43665.66667</v>
      </c>
      <c r="B1178" s="23">
        <f>IFERROR(__xludf.DUMMYFUNCTION("""COMPUTED_VALUE"""),75.56)</f>
        <v>75.56</v>
      </c>
      <c r="C1178" s="22">
        <f>IFERROR(__xludf.DUMMYFUNCTION("""COMPUTED_VALUE"""),44918.66666666667)</f>
        <v>44918.66667</v>
      </c>
      <c r="D1178" s="23">
        <f>IFERROR(__xludf.DUMMYFUNCTION("""COMPUTED_VALUE"""),118.56)</f>
        <v>118.56</v>
      </c>
      <c r="E1178" s="22">
        <f>IFERROR(__xludf.DUMMYFUNCTION("""COMPUTED_VALUE"""),43846.66666666667)</f>
        <v>43846.66667</v>
      </c>
      <c r="F1178" s="23">
        <f>IFERROR(__xludf.DUMMYFUNCTION("""COMPUTED_VALUE"""),22.25)</f>
        <v>22.25</v>
      </c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</row>
    <row r="1179">
      <c r="A1179" s="22">
        <f>IFERROR(__xludf.DUMMYFUNCTION("""COMPUTED_VALUE"""),43668.66666666667)</f>
        <v>43668.66667</v>
      </c>
      <c r="B1179" s="23">
        <f>IFERROR(__xludf.DUMMYFUNCTION("""COMPUTED_VALUE"""),75.25)</f>
        <v>75.25</v>
      </c>
      <c r="C1179" s="22">
        <f>IFERROR(__xludf.DUMMYFUNCTION("""COMPUTED_VALUE"""),44923.66666666667)</f>
        <v>44923.66667</v>
      </c>
      <c r="D1179" s="23">
        <f>IFERROR(__xludf.DUMMYFUNCTION("""COMPUTED_VALUE"""),118.16)</f>
        <v>118.16</v>
      </c>
      <c r="E1179" s="22">
        <f>IFERROR(__xludf.DUMMYFUNCTION("""COMPUTED_VALUE"""),43847.66666666667)</f>
        <v>43847.66667</v>
      </c>
      <c r="F1179" s="23">
        <f>IFERROR(__xludf.DUMMYFUNCTION("""COMPUTED_VALUE"""),22.43)</f>
        <v>22.43</v>
      </c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</row>
    <row r="1180">
      <c r="A1180" s="22">
        <f>IFERROR(__xludf.DUMMYFUNCTION("""COMPUTED_VALUE"""),43669.66666666667)</f>
        <v>43669.66667</v>
      </c>
      <c r="B1180" s="23">
        <f>IFERROR(__xludf.DUMMYFUNCTION("""COMPUTED_VALUE"""),75.66)</f>
        <v>75.66</v>
      </c>
      <c r="C1180" s="22">
        <f>IFERROR(__xludf.DUMMYFUNCTION("""COMPUTED_VALUE"""),44924.66666666667)</f>
        <v>44924.66667</v>
      </c>
      <c r="D1180" s="23">
        <f>IFERROR(__xludf.DUMMYFUNCTION("""COMPUTED_VALUE"""),117.3)</f>
        <v>117.3</v>
      </c>
      <c r="E1180" s="22">
        <f>IFERROR(__xludf.DUMMYFUNCTION("""COMPUTED_VALUE"""),43850.66666666667)</f>
        <v>43850.66667</v>
      </c>
      <c r="F1180" s="23">
        <f>IFERROR(__xludf.DUMMYFUNCTION("""COMPUTED_VALUE"""),22.59)</f>
        <v>22.59</v>
      </c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</row>
    <row r="1181">
      <c r="A1181" s="22">
        <f>IFERROR(__xludf.DUMMYFUNCTION("""COMPUTED_VALUE"""),43670.66666666667)</f>
        <v>43670.66667</v>
      </c>
      <c r="B1181" s="23">
        <f>IFERROR(__xludf.DUMMYFUNCTION("""COMPUTED_VALUE"""),76.39)</f>
        <v>76.39</v>
      </c>
      <c r="C1181" s="22">
        <f>IFERROR(__xludf.DUMMYFUNCTION("""COMPUTED_VALUE"""),44925.66666666667)</f>
        <v>44925.66667</v>
      </c>
      <c r="D1181" s="23">
        <f>IFERROR(__xludf.DUMMYFUNCTION("""COMPUTED_VALUE"""),117.97)</f>
        <v>117.97</v>
      </c>
      <c r="E1181" s="22">
        <f>IFERROR(__xludf.DUMMYFUNCTION("""COMPUTED_VALUE"""),43851.66666666667)</f>
        <v>43851.66667</v>
      </c>
      <c r="F1181" s="23">
        <f>IFERROR(__xludf.DUMMYFUNCTION("""COMPUTED_VALUE"""),22.54)</f>
        <v>22.54</v>
      </c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</row>
    <row r="1182">
      <c r="A1182" s="22">
        <f>IFERROR(__xludf.DUMMYFUNCTION("""COMPUTED_VALUE"""),43671.66666666667)</f>
        <v>43671.66667</v>
      </c>
      <c r="B1182" s="23">
        <f>IFERROR(__xludf.DUMMYFUNCTION("""COMPUTED_VALUE"""),76.99)</f>
        <v>76.99</v>
      </c>
      <c r="C1182" s="22">
        <f>IFERROR(__xludf.DUMMYFUNCTION("""COMPUTED_VALUE"""),44929.66666666667)</f>
        <v>44929.66667</v>
      </c>
      <c r="D1182" s="23">
        <f>IFERROR(__xludf.DUMMYFUNCTION("""COMPUTED_VALUE"""),114.98)</f>
        <v>114.98</v>
      </c>
      <c r="E1182" s="22">
        <f>IFERROR(__xludf.DUMMYFUNCTION("""COMPUTED_VALUE"""),43852.66666666667)</f>
        <v>43852.66667</v>
      </c>
      <c r="F1182" s="23">
        <f>IFERROR(__xludf.DUMMYFUNCTION("""COMPUTED_VALUE"""),22.86)</f>
        <v>22.86</v>
      </c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</row>
    <row r="1183">
      <c r="A1183" s="22">
        <f>IFERROR(__xludf.DUMMYFUNCTION("""COMPUTED_VALUE"""),43672.66666666667)</f>
        <v>43672.66667</v>
      </c>
      <c r="B1183" s="23">
        <f>IFERROR(__xludf.DUMMYFUNCTION("""COMPUTED_VALUE"""),76.82)</f>
        <v>76.82</v>
      </c>
      <c r="C1183" s="22">
        <f>IFERROR(__xludf.DUMMYFUNCTION("""COMPUTED_VALUE"""),44930.66666666667)</f>
        <v>44930.66667</v>
      </c>
      <c r="D1183" s="23">
        <f>IFERROR(__xludf.DUMMYFUNCTION("""COMPUTED_VALUE"""),116.75)</f>
        <v>116.75</v>
      </c>
      <c r="E1183" s="22">
        <f>IFERROR(__xludf.DUMMYFUNCTION("""COMPUTED_VALUE"""),43853.66666666667)</f>
        <v>43853.66667</v>
      </c>
      <c r="F1183" s="23">
        <f>IFERROR(__xludf.DUMMYFUNCTION("""COMPUTED_VALUE"""),22.67)</f>
        <v>22.67</v>
      </c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</row>
    <row r="1184">
      <c r="A1184" s="22">
        <f>IFERROR(__xludf.DUMMYFUNCTION("""COMPUTED_VALUE"""),43675.66666666667)</f>
        <v>43675.66667</v>
      </c>
      <c r="B1184" s="23">
        <f>IFERROR(__xludf.DUMMYFUNCTION("""COMPUTED_VALUE"""),77.29)</f>
        <v>77.29</v>
      </c>
      <c r="C1184" s="22">
        <f>IFERROR(__xludf.DUMMYFUNCTION("""COMPUTED_VALUE"""),44931.66666666667)</f>
        <v>44931.66667</v>
      </c>
      <c r="D1184" s="23">
        <f>IFERROR(__xludf.DUMMYFUNCTION("""COMPUTED_VALUE"""),116.98)</f>
        <v>116.98</v>
      </c>
      <c r="E1184" s="22">
        <f>IFERROR(__xludf.DUMMYFUNCTION("""COMPUTED_VALUE"""),43854.66666666667)</f>
        <v>43854.66667</v>
      </c>
      <c r="F1184" s="23">
        <f>IFERROR(__xludf.DUMMYFUNCTION("""COMPUTED_VALUE"""),22.93)</f>
        <v>22.93</v>
      </c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</row>
    <row r="1185">
      <c r="A1185" s="22">
        <f>IFERROR(__xludf.DUMMYFUNCTION("""COMPUTED_VALUE"""),43676.66666666667)</f>
        <v>43676.66667</v>
      </c>
      <c r="B1185" s="23">
        <f>IFERROR(__xludf.DUMMYFUNCTION("""COMPUTED_VALUE"""),77.52)</f>
        <v>77.52</v>
      </c>
      <c r="C1185" s="22">
        <f>IFERROR(__xludf.DUMMYFUNCTION("""COMPUTED_VALUE"""),44932.66666666667)</f>
        <v>44932.66667</v>
      </c>
      <c r="D1185" s="23">
        <f>IFERROR(__xludf.DUMMYFUNCTION("""COMPUTED_VALUE"""),117.75)</f>
        <v>117.75</v>
      </c>
      <c r="E1185" s="22">
        <f>IFERROR(__xludf.DUMMYFUNCTION("""COMPUTED_VALUE"""),43858.66666666667)</f>
        <v>43858.66667</v>
      </c>
      <c r="F1185" s="23">
        <f>IFERROR(__xludf.DUMMYFUNCTION("""COMPUTED_VALUE"""),22.57)</f>
        <v>22.57</v>
      </c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</row>
    <row r="1186">
      <c r="A1186" s="22">
        <f>IFERROR(__xludf.DUMMYFUNCTION("""COMPUTED_VALUE"""),43677.66666666667)</f>
        <v>43677.66667</v>
      </c>
      <c r="B1186" s="23">
        <f>IFERROR(__xludf.DUMMYFUNCTION("""COMPUTED_VALUE"""),77.29)</f>
        <v>77.29</v>
      </c>
      <c r="C1186" s="22">
        <f>IFERROR(__xludf.DUMMYFUNCTION("""COMPUTED_VALUE"""),44935.66666666667)</f>
        <v>44935.66667</v>
      </c>
      <c r="D1186" s="23">
        <f>IFERROR(__xludf.DUMMYFUNCTION("""COMPUTED_VALUE"""),118.4)</f>
        <v>118.4</v>
      </c>
      <c r="E1186" s="22">
        <f>IFERROR(__xludf.DUMMYFUNCTION("""COMPUTED_VALUE"""),43859.66666666667)</f>
        <v>43859.66667</v>
      </c>
      <c r="F1186" s="23">
        <f>IFERROR(__xludf.DUMMYFUNCTION("""COMPUTED_VALUE"""),22.87)</f>
        <v>22.87</v>
      </c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</row>
    <row r="1187">
      <c r="A1187" s="22">
        <f>IFERROR(__xludf.DUMMYFUNCTION("""COMPUTED_VALUE"""),43678.66666666667)</f>
        <v>43678.66667</v>
      </c>
      <c r="B1187" s="23">
        <f>IFERROR(__xludf.DUMMYFUNCTION("""COMPUTED_VALUE"""),76.84)</f>
        <v>76.84</v>
      </c>
      <c r="C1187" s="22">
        <f>IFERROR(__xludf.DUMMYFUNCTION("""COMPUTED_VALUE"""),44936.66666666667)</f>
        <v>44936.66667</v>
      </c>
      <c r="D1187" s="23">
        <f>IFERROR(__xludf.DUMMYFUNCTION("""COMPUTED_VALUE"""),117.93)</f>
        <v>117.93</v>
      </c>
      <c r="E1187" s="22">
        <f>IFERROR(__xludf.DUMMYFUNCTION("""COMPUTED_VALUE"""),43860.66666666667)</f>
        <v>43860.66667</v>
      </c>
      <c r="F1187" s="23">
        <f>IFERROR(__xludf.DUMMYFUNCTION("""COMPUTED_VALUE"""),22.75)</f>
        <v>22.75</v>
      </c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</row>
    <row r="1188">
      <c r="A1188" s="22">
        <f>IFERROR(__xludf.DUMMYFUNCTION("""COMPUTED_VALUE"""),43679.66666666667)</f>
        <v>43679.66667</v>
      </c>
      <c r="B1188" s="23">
        <f>IFERROR(__xludf.DUMMYFUNCTION("""COMPUTED_VALUE"""),76.54)</f>
        <v>76.54</v>
      </c>
      <c r="C1188" s="22">
        <f>IFERROR(__xludf.DUMMYFUNCTION("""COMPUTED_VALUE"""),44937.66666666667)</f>
        <v>44937.66667</v>
      </c>
      <c r="D1188" s="23">
        <f>IFERROR(__xludf.DUMMYFUNCTION("""COMPUTED_VALUE"""),119.12)</f>
        <v>119.12</v>
      </c>
      <c r="E1188" s="22">
        <f>IFERROR(__xludf.DUMMYFUNCTION("""COMPUTED_VALUE"""),43861.66666666667)</f>
        <v>43861.66667</v>
      </c>
      <c r="F1188" s="23">
        <f>IFERROR(__xludf.DUMMYFUNCTION("""COMPUTED_VALUE"""),23.3)</f>
        <v>23.3</v>
      </c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</row>
    <row r="1189">
      <c r="A1189" s="22">
        <f>IFERROR(__xludf.DUMMYFUNCTION("""COMPUTED_VALUE"""),43682.66666666667)</f>
        <v>43682.66667</v>
      </c>
      <c r="B1189" s="23">
        <f>IFERROR(__xludf.DUMMYFUNCTION("""COMPUTED_VALUE"""),76.02)</f>
        <v>76.02</v>
      </c>
      <c r="C1189" s="22">
        <f>IFERROR(__xludf.DUMMYFUNCTION("""COMPUTED_VALUE"""),44938.66666666667)</f>
        <v>44938.66667</v>
      </c>
      <c r="D1189" s="23">
        <f>IFERROR(__xludf.DUMMYFUNCTION("""COMPUTED_VALUE"""),120.56)</f>
        <v>120.56</v>
      </c>
      <c r="E1189" s="22">
        <f>IFERROR(__xludf.DUMMYFUNCTION("""COMPUTED_VALUE"""),43864.66666666667)</f>
        <v>43864.66667</v>
      </c>
      <c r="F1189" s="23">
        <f>IFERROR(__xludf.DUMMYFUNCTION("""COMPUTED_VALUE"""),22.96)</f>
        <v>22.96</v>
      </c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</row>
    <row r="1190">
      <c r="A1190" s="22">
        <f>IFERROR(__xludf.DUMMYFUNCTION("""COMPUTED_VALUE"""),43683.66666666667)</f>
        <v>43683.66667</v>
      </c>
      <c r="B1190" s="23">
        <f>IFERROR(__xludf.DUMMYFUNCTION("""COMPUTED_VALUE"""),74.99)</f>
        <v>74.99</v>
      </c>
      <c r="C1190" s="22">
        <f>IFERROR(__xludf.DUMMYFUNCTION("""COMPUTED_VALUE"""),44939.66666666667)</f>
        <v>44939.66667</v>
      </c>
      <c r="D1190" s="23">
        <f>IFERROR(__xludf.DUMMYFUNCTION("""COMPUTED_VALUE"""),121.3)</f>
        <v>121.3</v>
      </c>
      <c r="E1190" s="22">
        <f>IFERROR(__xludf.DUMMYFUNCTION("""COMPUTED_VALUE"""),43865.66666666667)</f>
        <v>43865.66667</v>
      </c>
      <c r="F1190" s="23">
        <f>IFERROR(__xludf.DUMMYFUNCTION("""COMPUTED_VALUE"""),23.17)</f>
        <v>23.17</v>
      </c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</row>
    <row r="1191">
      <c r="A1191" s="22">
        <f>IFERROR(__xludf.DUMMYFUNCTION("""COMPUTED_VALUE"""),43684.66666666667)</f>
        <v>43684.66667</v>
      </c>
      <c r="B1191" s="23">
        <f>IFERROR(__xludf.DUMMYFUNCTION("""COMPUTED_VALUE"""),75.67)</f>
        <v>75.67</v>
      </c>
      <c r="C1191" s="22">
        <f>IFERROR(__xludf.DUMMYFUNCTION("""COMPUTED_VALUE"""),44942.66666666667)</f>
        <v>44942.66667</v>
      </c>
      <c r="D1191" s="23">
        <f>IFERROR(__xludf.DUMMYFUNCTION("""COMPUTED_VALUE"""),122.36)</f>
        <v>122.36</v>
      </c>
      <c r="E1191" s="22">
        <f>IFERROR(__xludf.DUMMYFUNCTION("""COMPUTED_VALUE"""),43866.66666666667)</f>
        <v>43866.66667</v>
      </c>
      <c r="F1191" s="23">
        <f>IFERROR(__xludf.DUMMYFUNCTION("""COMPUTED_VALUE"""),23.51)</f>
        <v>23.51</v>
      </c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</row>
    <row r="1192">
      <c r="A1192" s="22">
        <f>IFERROR(__xludf.DUMMYFUNCTION("""COMPUTED_VALUE"""),43685.66666666667)</f>
        <v>43685.66667</v>
      </c>
      <c r="B1192" s="23">
        <f>IFERROR(__xludf.DUMMYFUNCTION("""COMPUTED_VALUE"""),75.72)</f>
        <v>75.72</v>
      </c>
      <c r="C1192" s="22">
        <f>IFERROR(__xludf.DUMMYFUNCTION("""COMPUTED_VALUE"""),44943.66666666667)</f>
        <v>44943.66667</v>
      </c>
      <c r="D1192" s="23">
        <f>IFERROR(__xludf.DUMMYFUNCTION("""COMPUTED_VALUE"""),122.25)</f>
        <v>122.25</v>
      </c>
      <c r="E1192" s="22">
        <f>IFERROR(__xludf.DUMMYFUNCTION("""COMPUTED_VALUE"""),43867.66666666667)</f>
        <v>43867.66667</v>
      </c>
      <c r="F1192" s="23">
        <f>IFERROR(__xludf.DUMMYFUNCTION("""COMPUTED_VALUE"""),23.7)</f>
        <v>23.7</v>
      </c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</row>
    <row r="1193">
      <c r="A1193" s="22">
        <f>IFERROR(__xludf.DUMMYFUNCTION("""COMPUTED_VALUE"""),43686.66666666667)</f>
        <v>43686.66667</v>
      </c>
      <c r="B1193" s="23">
        <f>IFERROR(__xludf.DUMMYFUNCTION("""COMPUTED_VALUE"""),75.96)</f>
        <v>75.96</v>
      </c>
      <c r="C1193" s="22">
        <f>IFERROR(__xludf.DUMMYFUNCTION("""COMPUTED_VALUE"""),44944.66666666667)</f>
        <v>44944.66667</v>
      </c>
      <c r="D1193" s="23">
        <f>IFERROR(__xludf.DUMMYFUNCTION("""COMPUTED_VALUE"""),122.38)</f>
        <v>122.38</v>
      </c>
      <c r="E1193" s="22">
        <f>IFERROR(__xludf.DUMMYFUNCTION("""COMPUTED_VALUE"""),43868.66666666667)</f>
        <v>43868.66667</v>
      </c>
      <c r="F1193" s="23">
        <f>IFERROR(__xludf.DUMMYFUNCTION("""COMPUTED_VALUE"""),23.82)</f>
        <v>23.82</v>
      </c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</row>
    <row r="1194">
      <c r="A1194" s="22">
        <f>IFERROR(__xludf.DUMMYFUNCTION("""COMPUTED_VALUE"""),43689.66666666667)</f>
        <v>43689.66667</v>
      </c>
      <c r="B1194" s="23">
        <f>IFERROR(__xludf.DUMMYFUNCTION("""COMPUTED_VALUE"""),76.41)</f>
        <v>76.41</v>
      </c>
      <c r="C1194" s="22">
        <f>IFERROR(__xludf.DUMMYFUNCTION("""COMPUTED_VALUE"""),44945.66666666667)</f>
        <v>44945.66667</v>
      </c>
      <c r="D1194" s="23">
        <f>IFERROR(__xludf.DUMMYFUNCTION("""COMPUTED_VALUE"""),123.14)</f>
        <v>123.14</v>
      </c>
      <c r="E1194" s="22">
        <f>IFERROR(__xludf.DUMMYFUNCTION("""COMPUTED_VALUE"""),43871.66666666667)</f>
        <v>43871.66667</v>
      </c>
      <c r="F1194" s="23">
        <f>IFERROR(__xludf.DUMMYFUNCTION("""COMPUTED_VALUE"""),23.82)</f>
        <v>23.82</v>
      </c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</row>
    <row r="1195">
      <c r="A1195" s="22">
        <f>IFERROR(__xludf.DUMMYFUNCTION("""COMPUTED_VALUE"""),43690.66666666667)</f>
        <v>43690.66667</v>
      </c>
      <c r="B1195" s="23">
        <f>IFERROR(__xludf.DUMMYFUNCTION("""COMPUTED_VALUE"""),75.54)</f>
        <v>75.54</v>
      </c>
      <c r="C1195" s="22">
        <f>IFERROR(__xludf.DUMMYFUNCTION("""COMPUTED_VALUE"""),44946.66666666667)</f>
        <v>44946.66667</v>
      </c>
      <c r="D1195" s="23">
        <f>IFERROR(__xludf.DUMMYFUNCTION("""COMPUTED_VALUE"""),123.38)</f>
        <v>123.38</v>
      </c>
      <c r="E1195" s="22">
        <f>IFERROR(__xludf.DUMMYFUNCTION("""COMPUTED_VALUE"""),43872.66666666667)</f>
        <v>43872.66667</v>
      </c>
      <c r="F1195" s="23">
        <f>IFERROR(__xludf.DUMMYFUNCTION("""COMPUTED_VALUE"""),24.18)</f>
        <v>24.18</v>
      </c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</row>
    <row r="1196">
      <c r="A1196" s="22">
        <f>IFERROR(__xludf.DUMMYFUNCTION("""COMPUTED_VALUE"""),43691.66666666667)</f>
        <v>43691.66667</v>
      </c>
      <c r="B1196" s="23">
        <f>IFERROR(__xludf.DUMMYFUNCTION("""COMPUTED_VALUE"""),76.14)</f>
        <v>76.14</v>
      </c>
      <c r="C1196" s="22">
        <f>IFERROR(__xludf.DUMMYFUNCTION("""COMPUTED_VALUE"""),44949.66666666667)</f>
        <v>44949.66667</v>
      </c>
      <c r="D1196" s="23">
        <f>IFERROR(__xludf.DUMMYFUNCTION("""COMPUTED_VALUE"""),123.42)</f>
        <v>123.42</v>
      </c>
      <c r="E1196" s="22">
        <f>IFERROR(__xludf.DUMMYFUNCTION("""COMPUTED_VALUE"""),43873.66666666667)</f>
        <v>43873.66667</v>
      </c>
      <c r="F1196" s="23">
        <f>IFERROR(__xludf.DUMMYFUNCTION("""COMPUTED_VALUE"""),24.08)</f>
        <v>24.08</v>
      </c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</row>
    <row r="1197">
      <c r="A1197" s="22">
        <f>IFERROR(__xludf.DUMMYFUNCTION("""COMPUTED_VALUE"""),43692.66666666667)</f>
        <v>43692.66667</v>
      </c>
      <c r="B1197" s="23">
        <f>IFERROR(__xludf.DUMMYFUNCTION("""COMPUTED_VALUE"""),74.44)</f>
        <v>74.44</v>
      </c>
      <c r="C1197" s="22">
        <f>IFERROR(__xludf.DUMMYFUNCTION("""COMPUTED_VALUE"""),44950.66666666667)</f>
        <v>44950.66667</v>
      </c>
      <c r="D1197" s="23">
        <f>IFERROR(__xludf.DUMMYFUNCTION("""COMPUTED_VALUE"""),124.05)</f>
        <v>124.05</v>
      </c>
      <c r="E1197" s="22">
        <f>IFERROR(__xludf.DUMMYFUNCTION("""COMPUTED_VALUE"""),43874.66666666667)</f>
        <v>43874.66667</v>
      </c>
      <c r="F1197" s="23">
        <f>IFERROR(__xludf.DUMMYFUNCTION("""COMPUTED_VALUE"""),24.17)</f>
        <v>24.17</v>
      </c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</row>
    <row r="1198">
      <c r="A1198" s="22">
        <f>IFERROR(__xludf.DUMMYFUNCTION("""COMPUTED_VALUE"""),43693.66666666667)</f>
        <v>43693.66667</v>
      </c>
      <c r="B1198" s="23">
        <f>IFERROR(__xludf.DUMMYFUNCTION("""COMPUTED_VALUE"""),74.55)</f>
        <v>74.55</v>
      </c>
      <c r="C1198" s="22">
        <f>IFERROR(__xludf.DUMMYFUNCTION("""COMPUTED_VALUE"""),44951.66666666667)</f>
        <v>44951.66667</v>
      </c>
      <c r="D1198" s="23">
        <f>IFERROR(__xludf.DUMMYFUNCTION("""COMPUTED_VALUE"""),123.72)</f>
        <v>123.72</v>
      </c>
      <c r="E1198" s="22">
        <f>IFERROR(__xludf.DUMMYFUNCTION("""COMPUTED_VALUE"""),43875.66666666667)</f>
        <v>43875.66667</v>
      </c>
      <c r="F1198" s="23">
        <f>IFERROR(__xludf.DUMMYFUNCTION("""COMPUTED_VALUE"""),24.35)</f>
        <v>24.35</v>
      </c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</row>
    <row r="1199">
      <c r="A1199" s="22">
        <f>IFERROR(__xludf.DUMMYFUNCTION("""COMPUTED_VALUE"""),43696.66666666667)</f>
        <v>43696.66667</v>
      </c>
      <c r="B1199" s="23">
        <f>IFERROR(__xludf.DUMMYFUNCTION("""COMPUTED_VALUE"""),75.8)</f>
        <v>75.8</v>
      </c>
      <c r="C1199" s="22">
        <f>IFERROR(__xludf.DUMMYFUNCTION("""COMPUTED_VALUE"""),44953.66666666667)</f>
        <v>44953.66667</v>
      </c>
      <c r="D1199" s="23">
        <f>IFERROR(__xludf.DUMMYFUNCTION("""COMPUTED_VALUE"""),124.02)</f>
        <v>124.02</v>
      </c>
      <c r="E1199" s="22">
        <f>IFERROR(__xludf.DUMMYFUNCTION("""COMPUTED_VALUE"""),43878.66666666667)</f>
        <v>43878.66667</v>
      </c>
      <c r="F1199" s="23">
        <f>IFERROR(__xludf.DUMMYFUNCTION("""COMPUTED_VALUE"""),24.39)</f>
        <v>24.39</v>
      </c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</row>
    <row r="1200">
      <c r="A1200" s="22">
        <f>IFERROR(__xludf.DUMMYFUNCTION("""COMPUTED_VALUE"""),43697.66666666667)</f>
        <v>43697.66667</v>
      </c>
      <c r="B1200" s="23">
        <f>IFERROR(__xludf.DUMMYFUNCTION("""COMPUTED_VALUE"""),76.06)</f>
        <v>76.06</v>
      </c>
      <c r="C1200" s="22">
        <f>IFERROR(__xludf.DUMMYFUNCTION("""COMPUTED_VALUE"""),44956.66666666667)</f>
        <v>44956.66667</v>
      </c>
      <c r="D1200" s="23">
        <f>IFERROR(__xludf.DUMMYFUNCTION("""COMPUTED_VALUE"""),123.96)</f>
        <v>123.96</v>
      </c>
      <c r="E1200" s="22">
        <f>IFERROR(__xludf.DUMMYFUNCTION("""COMPUTED_VALUE"""),43879.66666666667)</f>
        <v>43879.66667</v>
      </c>
      <c r="F1200" s="23">
        <f>IFERROR(__xludf.DUMMYFUNCTION("""COMPUTED_VALUE"""),24.28)</f>
        <v>24.28</v>
      </c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</row>
    <row r="1201">
      <c r="A1201" s="22">
        <f>IFERROR(__xludf.DUMMYFUNCTION("""COMPUTED_VALUE"""),43698.66666666667)</f>
        <v>43698.66667</v>
      </c>
      <c r="B1201" s="23">
        <f>IFERROR(__xludf.DUMMYFUNCTION("""COMPUTED_VALUE"""),75.7)</f>
        <v>75.7</v>
      </c>
      <c r="C1201" s="22">
        <f>IFERROR(__xludf.DUMMYFUNCTION("""COMPUTED_VALUE"""),44957.66666666667)</f>
        <v>44957.66667</v>
      </c>
      <c r="D1201" s="23">
        <f>IFERROR(__xludf.DUMMYFUNCTION("""COMPUTED_VALUE"""),123.85)</f>
        <v>123.85</v>
      </c>
      <c r="E1201" s="22">
        <f>IFERROR(__xludf.DUMMYFUNCTION("""COMPUTED_VALUE"""),43880.66666666667)</f>
        <v>43880.66667</v>
      </c>
      <c r="F1201" s="23">
        <f>IFERROR(__xludf.DUMMYFUNCTION("""COMPUTED_VALUE"""),24.49)</f>
        <v>24.49</v>
      </c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</row>
    <row r="1202">
      <c r="A1202" s="22">
        <f>IFERROR(__xludf.DUMMYFUNCTION("""COMPUTED_VALUE"""),43699.66666666667)</f>
        <v>43699.66667</v>
      </c>
      <c r="B1202" s="23">
        <f>IFERROR(__xludf.DUMMYFUNCTION("""COMPUTED_VALUE"""),76.26)</f>
        <v>76.26</v>
      </c>
      <c r="C1202" s="22">
        <f>IFERROR(__xludf.DUMMYFUNCTION("""COMPUTED_VALUE"""),44958.66666666667)</f>
        <v>44958.66667</v>
      </c>
      <c r="D1202" s="23">
        <f>IFERROR(__xludf.DUMMYFUNCTION("""COMPUTED_VALUE"""),124.24)</f>
        <v>124.24</v>
      </c>
      <c r="E1202" s="22">
        <f>IFERROR(__xludf.DUMMYFUNCTION("""COMPUTED_VALUE"""),43881.66666666667)</f>
        <v>43881.66667</v>
      </c>
      <c r="F1202" s="23">
        <f>IFERROR(__xludf.DUMMYFUNCTION("""COMPUTED_VALUE"""),24.76)</f>
        <v>24.76</v>
      </c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</row>
    <row r="1203">
      <c r="A1203" s="22">
        <f>IFERROR(__xludf.DUMMYFUNCTION("""COMPUTED_VALUE"""),43700.66666666667)</f>
        <v>43700.66667</v>
      </c>
      <c r="B1203" s="23">
        <f>IFERROR(__xludf.DUMMYFUNCTION("""COMPUTED_VALUE"""),76.63)</f>
        <v>76.63</v>
      </c>
      <c r="C1203" s="22">
        <f>IFERROR(__xludf.DUMMYFUNCTION("""COMPUTED_VALUE"""),44959.66666666667)</f>
        <v>44959.66667</v>
      </c>
      <c r="D1203" s="23">
        <f>IFERROR(__xludf.DUMMYFUNCTION("""COMPUTED_VALUE"""),124.41)</f>
        <v>124.41</v>
      </c>
      <c r="E1203" s="22">
        <f>IFERROR(__xludf.DUMMYFUNCTION("""COMPUTED_VALUE"""),43882.66666666667)</f>
        <v>43882.66667</v>
      </c>
      <c r="F1203" s="23">
        <f>IFERROR(__xludf.DUMMYFUNCTION("""COMPUTED_VALUE"""),24.59)</f>
        <v>24.59</v>
      </c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</row>
    <row r="1204">
      <c r="A1204" s="22">
        <f>IFERROR(__xludf.DUMMYFUNCTION("""COMPUTED_VALUE"""),43703.66666666667)</f>
        <v>43703.66667</v>
      </c>
      <c r="B1204" s="23">
        <f>IFERROR(__xludf.DUMMYFUNCTION("""COMPUTED_VALUE"""),74.66)</f>
        <v>74.66</v>
      </c>
      <c r="C1204" s="22">
        <f>IFERROR(__xludf.DUMMYFUNCTION("""COMPUTED_VALUE"""),44960.66666666667)</f>
        <v>44960.66667</v>
      </c>
      <c r="D1204" s="23">
        <f>IFERROR(__xludf.DUMMYFUNCTION("""COMPUTED_VALUE"""),125.19)</f>
        <v>125.19</v>
      </c>
      <c r="E1204" s="22">
        <f>IFERROR(__xludf.DUMMYFUNCTION("""COMPUTED_VALUE"""),43885.66666666667)</f>
        <v>43885.66667</v>
      </c>
      <c r="F1204" s="23">
        <f>IFERROR(__xludf.DUMMYFUNCTION("""COMPUTED_VALUE"""),23.83)</f>
        <v>23.83</v>
      </c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</row>
    <row r="1205">
      <c r="A1205" s="22">
        <f>IFERROR(__xludf.DUMMYFUNCTION("""COMPUTED_VALUE"""),43704.66666666667)</f>
        <v>43704.66667</v>
      </c>
      <c r="B1205" s="23">
        <f>IFERROR(__xludf.DUMMYFUNCTION("""COMPUTED_VALUE"""),75.4)</f>
        <v>75.4</v>
      </c>
      <c r="C1205" s="22">
        <f>IFERROR(__xludf.DUMMYFUNCTION("""COMPUTED_VALUE"""),44963.66666666667)</f>
        <v>44963.66667</v>
      </c>
      <c r="D1205" s="23">
        <f>IFERROR(__xludf.DUMMYFUNCTION("""COMPUTED_VALUE"""),124.9)</f>
        <v>124.9</v>
      </c>
      <c r="E1205" s="22">
        <f>IFERROR(__xludf.DUMMYFUNCTION("""COMPUTED_VALUE"""),43886.66666666667)</f>
        <v>43886.66667</v>
      </c>
      <c r="F1205" s="23">
        <f>IFERROR(__xludf.DUMMYFUNCTION("""COMPUTED_VALUE"""),23.57)</f>
        <v>23.57</v>
      </c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</row>
    <row r="1206">
      <c r="A1206" s="22">
        <f>IFERROR(__xludf.DUMMYFUNCTION("""COMPUTED_VALUE"""),43705.66666666667)</f>
        <v>43705.66667</v>
      </c>
      <c r="B1206" s="23">
        <f>IFERROR(__xludf.DUMMYFUNCTION("""COMPUTED_VALUE"""),75.66)</f>
        <v>75.66</v>
      </c>
      <c r="C1206" s="22">
        <f>IFERROR(__xludf.DUMMYFUNCTION("""COMPUTED_VALUE"""),44964.66666666667)</f>
        <v>44964.66667</v>
      </c>
      <c r="D1206" s="23">
        <f>IFERROR(__xludf.DUMMYFUNCTION("""COMPUTED_VALUE"""),124.18)</f>
        <v>124.18</v>
      </c>
      <c r="E1206" s="22">
        <f>IFERROR(__xludf.DUMMYFUNCTION("""COMPUTED_VALUE"""),43887.66666666667)</f>
        <v>43887.66667</v>
      </c>
      <c r="F1206" s="23">
        <f>IFERROR(__xludf.DUMMYFUNCTION("""COMPUTED_VALUE"""),22.91)</f>
        <v>22.91</v>
      </c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</row>
    <row r="1207">
      <c r="A1207" s="22">
        <f>IFERROR(__xludf.DUMMYFUNCTION("""COMPUTED_VALUE"""),43706.66666666667)</f>
        <v>43706.66667</v>
      </c>
      <c r="B1207" s="23">
        <f>IFERROR(__xludf.DUMMYFUNCTION("""COMPUTED_VALUE"""),75.78)</f>
        <v>75.78</v>
      </c>
      <c r="C1207" s="22">
        <f>IFERROR(__xludf.DUMMYFUNCTION("""COMPUTED_VALUE"""),44965.66666666667)</f>
        <v>44965.66667</v>
      </c>
      <c r="D1207" s="23">
        <f>IFERROR(__xludf.DUMMYFUNCTION("""COMPUTED_VALUE"""),124.66)</f>
        <v>124.66</v>
      </c>
      <c r="E1207" s="22">
        <f>IFERROR(__xludf.DUMMYFUNCTION("""COMPUTED_VALUE"""),43888.66666666667)</f>
        <v>43888.66667</v>
      </c>
      <c r="F1207" s="23">
        <f>IFERROR(__xludf.DUMMYFUNCTION("""COMPUTED_VALUE"""),22.55)</f>
        <v>22.55</v>
      </c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</row>
    <row r="1208">
      <c r="A1208" s="22">
        <f>IFERROR(__xludf.DUMMYFUNCTION("""COMPUTED_VALUE"""),43707.66666666667)</f>
        <v>43707.66667</v>
      </c>
      <c r="B1208" s="23">
        <f>IFERROR(__xludf.DUMMYFUNCTION("""COMPUTED_VALUE"""),77.04)</f>
        <v>77.04</v>
      </c>
      <c r="C1208" s="22">
        <f>IFERROR(__xludf.DUMMYFUNCTION("""COMPUTED_VALUE"""),44966.66666666667)</f>
        <v>44966.66667</v>
      </c>
      <c r="D1208" s="23">
        <f>IFERROR(__xludf.DUMMYFUNCTION("""COMPUTED_VALUE"""),124.05)</f>
        <v>124.05</v>
      </c>
      <c r="E1208" s="22">
        <f>IFERROR(__xludf.DUMMYFUNCTION("""COMPUTED_VALUE"""),43889.66666666667)</f>
        <v>43889.66667</v>
      </c>
      <c r="F1208" s="23">
        <f>IFERROR(__xludf.DUMMYFUNCTION("""COMPUTED_VALUE"""),21.39)</f>
        <v>21.39</v>
      </c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</row>
    <row r="1209">
      <c r="A1209" s="22">
        <f>IFERROR(__xludf.DUMMYFUNCTION("""COMPUTED_VALUE"""),43710.66666666667)</f>
        <v>43710.66667</v>
      </c>
      <c r="B1209" s="23">
        <f>IFERROR(__xludf.DUMMYFUNCTION("""COMPUTED_VALUE"""),76.63)</f>
        <v>76.63</v>
      </c>
      <c r="C1209" s="22">
        <f>IFERROR(__xludf.DUMMYFUNCTION("""COMPUTED_VALUE"""),44967.66666666667)</f>
        <v>44967.66667</v>
      </c>
      <c r="D1209" s="23">
        <f>IFERROR(__xludf.DUMMYFUNCTION("""COMPUTED_VALUE"""),123.04)</f>
        <v>123.04</v>
      </c>
      <c r="E1209" s="22">
        <f>IFERROR(__xludf.DUMMYFUNCTION("""COMPUTED_VALUE"""),43892.66666666667)</f>
        <v>43892.66667</v>
      </c>
      <c r="F1209" s="23">
        <f>IFERROR(__xludf.DUMMYFUNCTION("""COMPUTED_VALUE"""),22.08)</f>
        <v>22.08</v>
      </c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</row>
    <row r="1210">
      <c r="A1210" s="22">
        <f>IFERROR(__xludf.DUMMYFUNCTION("""COMPUTED_VALUE"""),43711.66666666667)</f>
        <v>43711.66667</v>
      </c>
      <c r="B1210" s="23">
        <f>IFERROR(__xludf.DUMMYFUNCTION("""COMPUTED_VALUE"""),76.6)</f>
        <v>76.6</v>
      </c>
      <c r="C1210" s="22">
        <f>IFERROR(__xludf.DUMMYFUNCTION("""COMPUTED_VALUE"""),44970.66666666667)</f>
        <v>44970.66667</v>
      </c>
      <c r="D1210" s="23">
        <f>IFERROR(__xludf.DUMMYFUNCTION("""COMPUTED_VALUE"""),122.77)</f>
        <v>122.77</v>
      </c>
      <c r="E1210" s="22">
        <f>IFERROR(__xludf.DUMMYFUNCTION("""COMPUTED_VALUE"""),43893.66666666667)</f>
        <v>43893.66667</v>
      </c>
      <c r="F1210" s="23">
        <f>IFERROR(__xludf.DUMMYFUNCTION("""COMPUTED_VALUE"""),22.75)</f>
        <v>22.75</v>
      </c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</row>
    <row r="1211">
      <c r="A1211" s="22">
        <f>IFERROR(__xludf.DUMMYFUNCTION("""COMPUTED_VALUE"""),43712.66666666667)</f>
        <v>43712.66667</v>
      </c>
      <c r="B1211" s="23">
        <f>IFERROR(__xludf.DUMMYFUNCTION("""COMPUTED_VALUE"""),76.42)</f>
        <v>76.42</v>
      </c>
      <c r="C1211" s="22">
        <f>IFERROR(__xludf.DUMMYFUNCTION("""COMPUTED_VALUE"""),44971.66666666667)</f>
        <v>44971.66667</v>
      </c>
      <c r="D1211" s="23">
        <f>IFERROR(__xludf.DUMMYFUNCTION("""COMPUTED_VALUE"""),123.05)</f>
        <v>123.05</v>
      </c>
      <c r="E1211" s="22">
        <f>IFERROR(__xludf.DUMMYFUNCTION("""COMPUTED_VALUE"""),43894.66666666667)</f>
        <v>43894.66667</v>
      </c>
      <c r="F1211" s="23">
        <f>IFERROR(__xludf.DUMMYFUNCTION("""COMPUTED_VALUE"""),22.36)</f>
        <v>22.36</v>
      </c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</row>
    <row r="1212">
      <c r="A1212" s="22">
        <f>IFERROR(__xludf.DUMMYFUNCTION("""COMPUTED_VALUE"""),43713.66666666667)</f>
        <v>43713.66667</v>
      </c>
      <c r="B1212" s="23">
        <f>IFERROR(__xludf.DUMMYFUNCTION("""COMPUTED_VALUE"""),77.03)</f>
        <v>77.03</v>
      </c>
      <c r="C1212" s="22">
        <f>IFERROR(__xludf.DUMMYFUNCTION("""COMPUTED_VALUE"""),44972.66666666667)</f>
        <v>44972.66667</v>
      </c>
      <c r="D1212" s="23">
        <f>IFERROR(__xludf.DUMMYFUNCTION("""COMPUTED_VALUE"""),121.84)</f>
        <v>121.84</v>
      </c>
      <c r="E1212" s="22">
        <f>IFERROR(__xludf.DUMMYFUNCTION("""COMPUTED_VALUE"""),43895.66666666667)</f>
        <v>43895.66667</v>
      </c>
      <c r="F1212" s="23">
        <f>IFERROR(__xludf.DUMMYFUNCTION("""COMPUTED_VALUE"""),22.62)</f>
        <v>22.62</v>
      </c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</row>
    <row r="1213">
      <c r="A1213" s="22">
        <f>IFERROR(__xludf.DUMMYFUNCTION("""COMPUTED_VALUE"""),43714.66666666667)</f>
        <v>43714.66667</v>
      </c>
      <c r="B1213" s="23">
        <f>IFERROR(__xludf.DUMMYFUNCTION("""COMPUTED_VALUE"""),77.15)</f>
        <v>77.15</v>
      </c>
      <c r="C1213" s="22">
        <f>IFERROR(__xludf.DUMMYFUNCTION("""COMPUTED_VALUE"""),44973.66666666667)</f>
        <v>44973.66667</v>
      </c>
      <c r="D1213" s="23">
        <f>IFERROR(__xludf.DUMMYFUNCTION("""COMPUTED_VALUE"""),122.77)</f>
        <v>122.77</v>
      </c>
      <c r="E1213" s="22">
        <f>IFERROR(__xludf.DUMMYFUNCTION("""COMPUTED_VALUE"""),43896.66666666667)</f>
        <v>43896.66667</v>
      </c>
      <c r="F1213" s="23">
        <f>IFERROR(__xludf.DUMMYFUNCTION("""COMPUTED_VALUE"""),21.94)</f>
        <v>21.94</v>
      </c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</row>
    <row r="1214">
      <c r="A1214" s="22">
        <f>IFERROR(__xludf.DUMMYFUNCTION("""COMPUTED_VALUE"""),43717.66666666667)</f>
        <v>43717.66667</v>
      </c>
      <c r="B1214" s="23">
        <f>IFERROR(__xludf.DUMMYFUNCTION("""COMPUTED_VALUE"""),77.04)</f>
        <v>77.04</v>
      </c>
      <c r="C1214" s="22">
        <f>IFERROR(__xludf.DUMMYFUNCTION("""COMPUTED_VALUE"""),44974.66666666667)</f>
        <v>44974.66667</v>
      </c>
      <c r="D1214" s="23">
        <f>IFERROR(__xludf.DUMMYFUNCTION("""COMPUTED_VALUE"""),121.78)</f>
        <v>121.78</v>
      </c>
      <c r="E1214" s="22">
        <f>IFERROR(__xludf.DUMMYFUNCTION("""COMPUTED_VALUE"""),43899.66666666667)</f>
        <v>43899.66667</v>
      </c>
      <c r="F1214" s="23">
        <f>IFERROR(__xludf.DUMMYFUNCTION("""COMPUTED_VALUE"""),21.03)</f>
        <v>21.03</v>
      </c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</row>
    <row r="1215">
      <c r="A1215" s="22">
        <f>IFERROR(__xludf.DUMMYFUNCTION("""COMPUTED_VALUE"""),43718.66666666667)</f>
        <v>43718.66667</v>
      </c>
      <c r="B1215" s="23">
        <f>IFERROR(__xludf.DUMMYFUNCTION("""COMPUTED_VALUE"""),76.73)</f>
        <v>76.73</v>
      </c>
      <c r="C1215" s="22">
        <f>IFERROR(__xludf.DUMMYFUNCTION("""COMPUTED_VALUE"""),44977.66666666667)</f>
        <v>44977.66667</v>
      </c>
      <c r="D1215" s="23">
        <f>IFERROR(__xludf.DUMMYFUNCTION("""COMPUTED_VALUE"""),121.85)</f>
        <v>121.85</v>
      </c>
      <c r="E1215" s="22">
        <f>IFERROR(__xludf.DUMMYFUNCTION("""COMPUTED_VALUE"""),43900.66666666667)</f>
        <v>43900.66667</v>
      </c>
      <c r="F1215" s="23">
        <f>IFERROR(__xludf.DUMMYFUNCTION("""COMPUTED_VALUE"""),21.31)</f>
        <v>21.31</v>
      </c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</row>
    <row r="1216">
      <c r="A1216" s="22">
        <f>IFERROR(__xludf.DUMMYFUNCTION("""COMPUTED_VALUE"""),43719.66666666667)</f>
        <v>43719.66667</v>
      </c>
      <c r="B1216" s="23">
        <f>IFERROR(__xludf.DUMMYFUNCTION("""COMPUTED_VALUE"""),76.89)</f>
        <v>76.89</v>
      </c>
      <c r="C1216" s="22">
        <f>IFERROR(__xludf.DUMMYFUNCTION("""COMPUTED_VALUE"""),44978.66666666667)</f>
        <v>44978.66667</v>
      </c>
      <c r="D1216" s="23">
        <f>IFERROR(__xludf.DUMMYFUNCTION("""COMPUTED_VALUE"""),121.65)</f>
        <v>121.65</v>
      </c>
      <c r="E1216" s="22">
        <f>IFERROR(__xludf.DUMMYFUNCTION("""COMPUTED_VALUE"""),43901.66666666667)</f>
        <v>43901.66667</v>
      </c>
      <c r="F1216" s="23">
        <f>IFERROR(__xludf.DUMMYFUNCTION("""COMPUTED_VALUE"""),21.15)</f>
        <v>21.15</v>
      </c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</row>
    <row r="1217">
      <c r="A1217" s="22">
        <f>IFERROR(__xludf.DUMMYFUNCTION("""COMPUTED_VALUE"""),43720.66666666667)</f>
        <v>43720.66667</v>
      </c>
      <c r="B1217" s="23">
        <f>IFERROR(__xludf.DUMMYFUNCTION("""COMPUTED_VALUE"""),77.42)</f>
        <v>77.42</v>
      </c>
      <c r="C1217" s="22">
        <f>IFERROR(__xludf.DUMMYFUNCTION("""COMPUTED_VALUE"""),44979.66666666667)</f>
        <v>44979.66667</v>
      </c>
      <c r="D1217" s="23">
        <f>IFERROR(__xludf.DUMMYFUNCTION("""COMPUTED_VALUE"""),121.34)</f>
        <v>121.34</v>
      </c>
      <c r="E1217" s="22">
        <f>IFERROR(__xludf.DUMMYFUNCTION("""COMPUTED_VALUE"""),43902.66666666667)</f>
        <v>43902.66667</v>
      </c>
      <c r="F1217" s="23">
        <f>IFERROR(__xludf.DUMMYFUNCTION("""COMPUTED_VALUE"""),20.3)</f>
        <v>20.3</v>
      </c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</row>
    <row r="1218">
      <c r="A1218" s="22">
        <f>IFERROR(__xludf.DUMMYFUNCTION("""COMPUTED_VALUE"""),43721.66666666667)</f>
        <v>43721.66667</v>
      </c>
      <c r="B1218" s="23">
        <f>IFERROR(__xludf.DUMMYFUNCTION("""COMPUTED_VALUE"""),77.84)</f>
        <v>77.84</v>
      </c>
      <c r="C1218" s="22">
        <f>IFERROR(__xludf.DUMMYFUNCTION("""COMPUTED_VALUE"""),44980.66666666667)</f>
        <v>44980.66667</v>
      </c>
      <c r="D1218" s="23">
        <f>IFERROR(__xludf.DUMMYFUNCTION("""COMPUTED_VALUE"""),121.08)</f>
        <v>121.08</v>
      </c>
      <c r="E1218" s="22">
        <f>IFERROR(__xludf.DUMMYFUNCTION("""COMPUTED_VALUE"""),43903.66666666667)</f>
        <v>43903.66667</v>
      </c>
      <c r="F1218" s="23">
        <f>IFERROR(__xludf.DUMMYFUNCTION("""COMPUTED_VALUE"""),19.63)</f>
        <v>19.63</v>
      </c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</row>
    <row r="1219">
      <c r="A1219" s="22">
        <f>IFERROR(__xludf.DUMMYFUNCTION("""COMPUTED_VALUE"""),43724.66666666667)</f>
        <v>43724.66667</v>
      </c>
      <c r="B1219" s="23">
        <f>IFERROR(__xludf.DUMMYFUNCTION("""COMPUTED_VALUE"""),77.24)</f>
        <v>77.24</v>
      </c>
      <c r="C1219" s="22">
        <f>IFERROR(__xludf.DUMMYFUNCTION("""COMPUTED_VALUE"""),44981.66666666667)</f>
        <v>44981.66667</v>
      </c>
      <c r="D1219" s="23">
        <f>IFERROR(__xludf.DUMMYFUNCTION("""COMPUTED_VALUE"""),121.37)</f>
        <v>121.37</v>
      </c>
      <c r="E1219" s="22">
        <f>IFERROR(__xludf.DUMMYFUNCTION("""COMPUTED_VALUE"""),43906.66666666667)</f>
        <v>43906.66667</v>
      </c>
      <c r="F1219" s="23">
        <f>IFERROR(__xludf.DUMMYFUNCTION("""COMPUTED_VALUE"""),20.01)</f>
        <v>20.01</v>
      </c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</row>
    <row r="1220">
      <c r="A1220" s="22">
        <f>IFERROR(__xludf.DUMMYFUNCTION("""COMPUTED_VALUE"""),43725.66666666667)</f>
        <v>43725.66667</v>
      </c>
      <c r="B1220" s="23">
        <f>IFERROR(__xludf.DUMMYFUNCTION("""COMPUTED_VALUE"""),77.6)</f>
        <v>77.6</v>
      </c>
      <c r="C1220" s="22">
        <f>IFERROR(__xludf.DUMMYFUNCTION("""COMPUTED_VALUE"""),44984.66666666667)</f>
        <v>44984.66667</v>
      </c>
      <c r="D1220" s="23">
        <f>IFERROR(__xludf.DUMMYFUNCTION("""COMPUTED_VALUE"""),120.15)</f>
        <v>120.15</v>
      </c>
      <c r="E1220" s="22">
        <f>IFERROR(__xludf.DUMMYFUNCTION("""COMPUTED_VALUE"""),43907.66666666667)</f>
        <v>43907.66667</v>
      </c>
      <c r="F1220" s="23">
        <f>IFERROR(__xludf.DUMMYFUNCTION("""COMPUTED_VALUE"""),20.32)</f>
        <v>20.32</v>
      </c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</row>
    <row r="1221">
      <c r="A1221" s="22">
        <f>IFERROR(__xludf.DUMMYFUNCTION("""COMPUTED_VALUE"""),43726.66666666667)</f>
        <v>43726.66667</v>
      </c>
      <c r="B1221" s="23">
        <f>IFERROR(__xludf.DUMMYFUNCTION("""COMPUTED_VALUE"""),77.72)</f>
        <v>77.72</v>
      </c>
      <c r="C1221" s="22">
        <f>IFERROR(__xludf.DUMMYFUNCTION("""COMPUTED_VALUE"""),44985.66666666667)</f>
        <v>44985.66667</v>
      </c>
      <c r="D1221" s="23">
        <f>IFERROR(__xludf.DUMMYFUNCTION("""COMPUTED_VALUE"""),120.76)</f>
        <v>120.76</v>
      </c>
      <c r="E1221" s="22">
        <f>IFERROR(__xludf.DUMMYFUNCTION("""COMPUTED_VALUE"""),43908.66666666667)</f>
        <v>43908.66667</v>
      </c>
      <c r="F1221" s="23">
        <f>IFERROR(__xludf.DUMMYFUNCTION("""COMPUTED_VALUE"""),20.15)</f>
        <v>20.15</v>
      </c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</row>
    <row r="1222">
      <c r="A1222" s="22">
        <f>IFERROR(__xludf.DUMMYFUNCTION("""COMPUTED_VALUE"""),43727.66666666667)</f>
        <v>43727.66667</v>
      </c>
      <c r="B1222" s="23">
        <f>IFERROR(__xludf.DUMMYFUNCTION("""COMPUTED_VALUE"""),78.48)</f>
        <v>78.48</v>
      </c>
      <c r="C1222" s="22">
        <f>IFERROR(__xludf.DUMMYFUNCTION("""COMPUTED_VALUE"""),44986.66666666667)</f>
        <v>44986.66667</v>
      </c>
      <c r="D1222" s="23">
        <f>IFERROR(__xludf.DUMMYFUNCTION("""COMPUTED_VALUE"""),120.72)</f>
        <v>120.72</v>
      </c>
      <c r="E1222" s="22">
        <f>IFERROR(__xludf.DUMMYFUNCTION("""COMPUTED_VALUE"""),43909.66666666667)</f>
        <v>43909.66667</v>
      </c>
      <c r="F1222" s="23">
        <f>IFERROR(__xludf.DUMMYFUNCTION("""COMPUTED_VALUE"""),21.1)</f>
        <v>21.1</v>
      </c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</row>
    <row r="1223">
      <c r="A1223" s="22">
        <f>IFERROR(__xludf.DUMMYFUNCTION("""COMPUTED_VALUE"""),43728.66666666667)</f>
        <v>43728.66667</v>
      </c>
      <c r="B1223" s="23">
        <f>IFERROR(__xludf.DUMMYFUNCTION("""COMPUTED_VALUE"""),78.48)</f>
        <v>78.48</v>
      </c>
      <c r="C1223" s="22">
        <f>IFERROR(__xludf.DUMMYFUNCTION("""COMPUTED_VALUE"""),44987.66666666667)</f>
        <v>44987.66667</v>
      </c>
      <c r="D1223" s="23">
        <f>IFERROR(__xludf.DUMMYFUNCTION("""COMPUTED_VALUE"""),120.81)</f>
        <v>120.81</v>
      </c>
      <c r="E1223" s="22">
        <f>IFERROR(__xludf.DUMMYFUNCTION("""COMPUTED_VALUE"""),43910.66666666667)</f>
        <v>43910.66667</v>
      </c>
      <c r="F1223" s="23">
        <f>IFERROR(__xludf.DUMMYFUNCTION("""COMPUTED_VALUE"""),21.24)</f>
        <v>21.24</v>
      </c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</row>
    <row r="1224">
      <c r="A1224" s="22">
        <f>IFERROR(__xludf.DUMMYFUNCTION("""COMPUTED_VALUE"""),43731.66666666667)</f>
        <v>43731.66667</v>
      </c>
      <c r="B1224" s="23">
        <f>IFERROR(__xludf.DUMMYFUNCTION("""COMPUTED_VALUE"""),78.69)</f>
        <v>78.69</v>
      </c>
      <c r="C1224" s="22">
        <f>IFERROR(__xludf.DUMMYFUNCTION("""COMPUTED_VALUE"""),44988.66666666667)</f>
        <v>44988.66667</v>
      </c>
      <c r="D1224" s="23">
        <f>IFERROR(__xludf.DUMMYFUNCTION("""COMPUTED_VALUE"""),121.3)</f>
        <v>121.3</v>
      </c>
      <c r="E1224" s="22">
        <f>IFERROR(__xludf.DUMMYFUNCTION("""COMPUTED_VALUE"""),43913.66666666667)</f>
        <v>43913.66667</v>
      </c>
      <c r="F1224" s="23">
        <f>IFERROR(__xludf.DUMMYFUNCTION("""COMPUTED_VALUE"""),19.88)</f>
        <v>19.88</v>
      </c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</row>
    <row r="1225">
      <c r="A1225" s="22">
        <f>IFERROR(__xludf.DUMMYFUNCTION("""COMPUTED_VALUE"""),43732.66666666667)</f>
        <v>43732.66667</v>
      </c>
      <c r="B1225" s="23">
        <f>IFERROR(__xludf.DUMMYFUNCTION("""COMPUTED_VALUE"""),78.63)</f>
        <v>78.63</v>
      </c>
      <c r="C1225" s="22">
        <f>IFERROR(__xludf.DUMMYFUNCTION("""COMPUTED_VALUE"""),44991.66666666667)</f>
        <v>44991.66667</v>
      </c>
      <c r="D1225" s="23">
        <f>IFERROR(__xludf.DUMMYFUNCTION("""COMPUTED_VALUE"""),122.11)</f>
        <v>122.11</v>
      </c>
      <c r="E1225" s="22">
        <f>IFERROR(__xludf.DUMMYFUNCTION("""COMPUTED_VALUE"""),43914.66666666667)</f>
        <v>43914.66667</v>
      </c>
      <c r="F1225" s="23">
        <f>IFERROR(__xludf.DUMMYFUNCTION("""COMPUTED_VALUE"""),20.74)</f>
        <v>20.74</v>
      </c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</row>
    <row r="1226">
      <c r="A1226" s="22">
        <f>IFERROR(__xludf.DUMMYFUNCTION("""COMPUTED_VALUE"""),43733.66666666667)</f>
        <v>43733.66667</v>
      </c>
      <c r="B1226" s="23">
        <f>IFERROR(__xludf.DUMMYFUNCTION("""COMPUTED_VALUE"""),77.97)</f>
        <v>77.97</v>
      </c>
      <c r="C1226" s="22">
        <f>IFERROR(__xludf.DUMMYFUNCTION("""COMPUTED_VALUE"""),44992.66666666667)</f>
        <v>44992.66667</v>
      </c>
      <c r="D1226" s="23">
        <f>IFERROR(__xludf.DUMMYFUNCTION("""COMPUTED_VALUE"""),122.8)</f>
        <v>122.8</v>
      </c>
      <c r="E1226" s="22">
        <f>IFERROR(__xludf.DUMMYFUNCTION("""COMPUTED_VALUE"""),43915.66666666667)</f>
        <v>43915.66667</v>
      </c>
      <c r="F1226" s="23">
        <f>IFERROR(__xludf.DUMMYFUNCTION("""COMPUTED_VALUE"""),21.07)</f>
        <v>21.07</v>
      </c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</row>
    <row r="1227">
      <c r="A1227" s="22">
        <f>IFERROR(__xludf.DUMMYFUNCTION("""COMPUTED_VALUE"""),43734.66666666667)</f>
        <v>43734.66667</v>
      </c>
      <c r="B1227" s="23">
        <f>IFERROR(__xludf.DUMMYFUNCTION("""COMPUTED_VALUE"""),78.27)</f>
        <v>78.27</v>
      </c>
      <c r="C1227" s="22">
        <f>IFERROR(__xludf.DUMMYFUNCTION("""COMPUTED_VALUE"""),44993.66666666667)</f>
        <v>44993.66667</v>
      </c>
      <c r="D1227" s="23">
        <f>IFERROR(__xludf.DUMMYFUNCTION("""COMPUTED_VALUE"""),122.14)</f>
        <v>122.14</v>
      </c>
      <c r="E1227" s="22">
        <f>IFERROR(__xludf.DUMMYFUNCTION("""COMPUTED_VALUE"""),43916.66666666667)</f>
        <v>43916.66667</v>
      </c>
      <c r="F1227" s="23">
        <f>IFERROR(__xludf.DUMMYFUNCTION("""COMPUTED_VALUE"""),21.23)</f>
        <v>21.23</v>
      </c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</row>
    <row r="1228">
      <c r="A1228" s="22">
        <f>IFERROR(__xludf.DUMMYFUNCTION("""COMPUTED_VALUE"""),43735.66666666667)</f>
        <v>43735.66667</v>
      </c>
      <c r="B1228" s="23">
        <f>IFERROR(__xludf.DUMMYFUNCTION("""COMPUTED_VALUE"""),78.34)</f>
        <v>78.34</v>
      </c>
      <c r="C1228" s="22">
        <f>IFERROR(__xludf.DUMMYFUNCTION("""COMPUTED_VALUE"""),44994.66666666667)</f>
        <v>44994.66667</v>
      </c>
      <c r="D1228" s="23">
        <f>IFERROR(__xludf.DUMMYFUNCTION("""COMPUTED_VALUE"""),122.73)</f>
        <v>122.73</v>
      </c>
      <c r="E1228" s="22">
        <f>IFERROR(__xludf.DUMMYFUNCTION("""COMPUTED_VALUE"""),43917.66666666667)</f>
        <v>43917.66667</v>
      </c>
      <c r="F1228" s="23">
        <f>IFERROR(__xludf.DUMMYFUNCTION("""COMPUTED_VALUE"""),21.45)</f>
        <v>21.45</v>
      </c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</row>
    <row r="1229">
      <c r="A1229" s="22">
        <f>IFERROR(__xludf.DUMMYFUNCTION("""COMPUTED_VALUE"""),43738.66666666667)</f>
        <v>43738.66667</v>
      </c>
      <c r="B1229" s="23">
        <f>IFERROR(__xludf.DUMMYFUNCTION("""COMPUTED_VALUE"""),78.31)</f>
        <v>78.31</v>
      </c>
      <c r="C1229" s="22">
        <f>IFERROR(__xludf.DUMMYFUNCTION("""COMPUTED_VALUE"""),44995.66666666667)</f>
        <v>44995.66667</v>
      </c>
      <c r="D1229" s="23">
        <f>IFERROR(__xludf.DUMMYFUNCTION("""COMPUTED_VALUE"""),119.9)</f>
        <v>119.9</v>
      </c>
      <c r="E1229" s="22">
        <f>IFERROR(__xludf.DUMMYFUNCTION("""COMPUTED_VALUE"""),43920.66666666667)</f>
        <v>43920.66667</v>
      </c>
      <c r="F1229" s="23">
        <f>IFERROR(__xludf.DUMMYFUNCTION("""COMPUTED_VALUE"""),21.04)</f>
        <v>21.04</v>
      </c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</row>
    <row r="1230">
      <c r="A1230" s="22">
        <f>IFERROR(__xludf.DUMMYFUNCTION("""COMPUTED_VALUE"""),43739.66666666667)</f>
        <v>43739.66667</v>
      </c>
      <c r="B1230" s="23">
        <f>IFERROR(__xludf.DUMMYFUNCTION("""COMPUTED_VALUE"""),78.66)</f>
        <v>78.66</v>
      </c>
      <c r="C1230" s="22">
        <f>IFERROR(__xludf.DUMMYFUNCTION("""COMPUTED_VALUE"""),44998.66666666667)</f>
        <v>44998.66667</v>
      </c>
      <c r="D1230" s="23">
        <f>IFERROR(__xludf.DUMMYFUNCTION("""COMPUTED_VALUE"""),119.23)</f>
        <v>119.23</v>
      </c>
      <c r="E1230" s="22">
        <f>IFERROR(__xludf.DUMMYFUNCTION("""COMPUTED_VALUE"""),43921.66666666667)</f>
        <v>43921.66667</v>
      </c>
      <c r="F1230" s="23">
        <f>IFERROR(__xludf.DUMMYFUNCTION("""COMPUTED_VALUE"""),21.51)</f>
        <v>21.51</v>
      </c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</row>
    <row r="1231">
      <c r="A1231" s="22">
        <f>IFERROR(__xludf.DUMMYFUNCTION("""COMPUTED_VALUE"""),43740.66666666667)</f>
        <v>43740.66667</v>
      </c>
      <c r="B1231" s="23">
        <f>IFERROR(__xludf.DUMMYFUNCTION("""COMPUTED_VALUE"""),77.61)</f>
        <v>77.61</v>
      </c>
      <c r="C1231" s="22">
        <f>IFERROR(__xludf.DUMMYFUNCTION("""COMPUTED_VALUE"""),44999.66666666667)</f>
        <v>44999.66667</v>
      </c>
      <c r="D1231" s="23">
        <f>IFERROR(__xludf.DUMMYFUNCTION("""COMPUTED_VALUE"""),117.45)</f>
        <v>117.45</v>
      </c>
      <c r="E1231" s="22">
        <f>IFERROR(__xludf.DUMMYFUNCTION("""COMPUTED_VALUE"""),43922.66666666667)</f>
        <v>43922.66667</v>
      </c>
      <c r="F1231" s="23">
        <f>IFERROR(__xludf.DUMMYFUNCTION("""COMPUTED_VALUE"""),21.32)</f>
        <v>21.32</v>
      </c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</row>
    <row r="1232">
      <c r="A1232" s="22">
        <f>IFERROR(__xludf.DUMMYFUNCTION("""COMPUTED_VALUE"""),43741.66666666667)</f>
        <v>43741.66667</v>
      </c>
      <c r="B1232" s="23">
        <f>IFERROR(__xludf.DUMMYFUNCTION("""COMPUTED_VALUE"""),76.07)</f>
        <v>76.07</v>
      </c>
      <c r="C1232" s="22">
        <f>IFERROR(__xludf.DUMMYFUNCTION("""COMPUTED_VALUE"""),45000.66666666667)</f>
        <v>45000.66667</v>
      </c>
      <c r="D1232" s="23">
        <f>IFERROR(__xludf.DUMMYFUNCTION("""COMPUTED_VALUE"""),118.54)</f>
        <v>118.54</v>
      </c>
      <c r="E1232" s="22">
        <f>IFERROR(__xludf.DUMMYFUNCTION("""COMPUTED_VALUE"""),43923.66666666667)</f>
        <v>43923.66667</v>
      </c>
      <c r="F1232" s="23">
        <f>IFERROR(__xludf.DUMMYFUNCTION("""COMPUTED_VALUE"""),21.0)</f>
        <v>21</v>
      </c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</row>
    <row r="1233">
      <c r="A1233" s="22">
        <f>IFERROR(__xludf.DUMMYFUNCTION("""COMPUTED_VALUE"""),43742.66666666667)</f>
        <v>43742.66667</v>
      </c>
      <c r="B1233" s="23">
        <f>IFERROR(__xludf.DUMMYFUNCTION("""COMPUTED_VALUE"""),76.21)</f>
        <v>76.21</v>
      </c>
      <c r="C1233" s="22">
        <f>IFERROR(__xludf.DUMMYFUNCTION("""COMPUTED_VALUE"""),45001.66666666667)</f>
        <v>45001.66667</v>
      </c>
      <c r="D1233" s="23">
        <f>IFERROR(__xludf.DUMMYFUNCTION("""COMPUTED_VALUE"""),117.01)</f>
        <v>117.01</v>
      </c>
      <c r="E1233" s="22">
        <f>IFERROR(__xludf.DUMMYFUNCTION("""COMPUTED_VALUE"""),43924.66666666667)</f>
        <v>43924.66667</v>
      </c>
      <c r="F1233" s="23">
        <f>IFERROR(__xludf.DUMMYFUNCTION("""COMPUTED_VALUE"""),21.1)</f>
        <v>21.1</v>
      </c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</row>
    <row r="1234">
      <c r="A1234" s="22">
        <f>IFERROR(__xludf.DUMMYFUNCTION("""COMPUTED_VALUE"""),43745.66666666667)</f>
        <v>43745.66667</v>
      </c>
      <c r="B1234" s="23">
        <f>IFERROR(__xludf.DUMMYFUNCTION("""COMPUTED_VALUE"""),76.8)</f>
        <v>76.8</v>
      </c>
      <c r="C1234" s="24">
        <f>IFERROR(__xludf.DUMMYFUNCTION("""COMPUTED_VALUE"""),45002.66666666667)</f>
        <v>45002.66667</v>
      </c>
      <c r="D1234" s="19">
        <f>IFERROR(__xludf.DUMMYFUNCTION("""COMPUTED_VALUE"""),117.45)</f>
        <v>117.45</v>
      </c>
      <c r="E1234" s="22">
        <f>IFERROR(__xludf.DUMMYFUNCTION("""COMPUTED_VALUE"""),43927.66666666667)</f>
        <v>43927.66667</v>
      </c>
      <c r="F1234" s="23">
        <f>IFERROR(__xludf.DUMMYFUNCTION("""COMPUTED_VALUE"""),22.1)</f>
        <v>22.1</v>
      </c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</row>
    <row r="1235">
      <c r="A1235" s="22">
        <f>IFERROR(__xludf.DUMMYFUNCTION("""COMPUTED_VALUE"""),43746.66666666667)</f>
        <v>43746.66667</v>
      </c>
      <c r="B1235" s="23">
        <f>IFERROR(__xludf.DUMMYFUNCTION("""COMPUTED_VALUE"""),77.19)</f>
        <v>77.19</v>
      </c>
      <c r="C1235" s="24">
        <f>IFERROR(__xludf.DUMMYFUNCTION("""COMPUTED_VALUE"""),45005.66666666667)</f>
        <v>45005.66667</v>
      </c>
      <c r="D1235" s="19">
        <f>IFERROR(__xludf.DUMMYFUNCTION("""COMPUTED_VALUE"""),115.86)</f>
        <v>115.86</v>
      </c>
      <c r="E1235" s="22">
        <f>IFERROR(__xludf.DUMMYFUNCTION("""COMPUTED_VALUE"""),43928.66666666667)</f>
        <v>43928.66667</v>
      </c>
      <c r="F1235" s="23">
        <f>IFERROR(__xludf.DUMMYFUNCTION("""COMPUTED_VALUE"""),22.33)</f>
        <v>22.33</v>
      </c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</row>
    <row r="1236">
      <c r="A1236" s="22">
        <f>IFERROR(__xludf.DUMMYFUNCTION("""COMPUTED_VALUE"""),43747.66666666667)</f>
        <v>43747.66667</v>
      </c>
      <c r="B1236" s="23">
        <f>IFERROR(__xludf.DUMMYFUNCTION("""COMPUTED_VALUE"""),76.2)</f>
        <v>76.2</v>
      </c>
      <c r="C1236" s="24">
        <f>IFERROR(__xludf.DUMMYFUNCTION("""COMPUTED_VALUE"""),45006.66666666667)</f>
        <v>45006.66667</v>
      </c>
      <c r="D1236" s="19">
        <f>IFERROR(__xludf.DUMMYFUNCTION("""COMPUTED_VALUE"""),116.86)</f>
        <v>116.86</v>
      </c>
      <c r="E1236" s="22">
        <f>IFERROR(__xludf.DUMMYFUNCTION("""COMPUTED_VALUE"""),43929.66666666667)</f>
        <v>43929.66667</v>
      </c>
      <c r="F1236" s="23">
        <f>IFERROR(__xludf.DUMMYFUNCTION("""COMPUTED_VALUE"""),22.31)</f>
        <v>22.31</v>
      </c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</row>
    <row r="1237">
      <c r="A1237" s="22">
        <f>IFERROR(__xludf.DUMMYFUNCTION("""COMPUTED_VALUE"""),43748.66666666667)</f>
        <v>43748.66667</v>
      </c>
      <c r="B1237" s="23">
        <f>IFERROR(__xludf.DUMMYFUNCTION("""COMPUTED_VALUE"""),76.4)</f>
        <v>76.4</v>
      </c>
      <c r="C1237" s="24">
        <f>IFERROR(__xludf.DUMMYFUNCTION("""COMPUTED_VALUE"""),45007.66666666667)</f>
        <v>45007.66667</v>
      </c>
      <c r="D1237" s="19">
        <f>IFERROR(__xludf.DUMMYFUNCTION("""COMPUTED_VALUE"""),117.84)</f>
        <v>117.84</v>
      </c>
      <c r="E1237" s="22">
        <f>IFERROR(__xludf.DUMMYFUNCTION("""COMPUTED_VALUE"""),43930.66666666667)</f>
        <v>43930.66667</v>
      </c>
      <c r="F1237" s="23">
        <f>IFERROR(__xludf.DUMMYFUNCTION("""COMPUTED_VALUE"""),22.49)</f>
        <v>22.49</v>
      </c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</row>
    <row r="1238">
      <c r="A1238" s="22">
        <f>IFERROR(__xludf.DUMMYFUNCTION("""COMPUTED_VALUE"""),43749.66666666667)</f>
        <v>43749.66667</v>
      </c>
      <c r="B1238" s="23">
        <f>IFERROR(__xludf.DUMMYFUNCTION("""COMPUTED_VALUE"""),77.04)</f>
        <v>77.04</v>
      </c>
      <c r="C1238" s="24">
        <f>IFERROR(__xludf.DUMMYFUNCTION("""COMPUTED_VALUE"""),45008.66666666667)</f>
        <v>45008.66667</v>
      </c>
      <c r="D1238" s="19">
        <f>IFERROR(__xludf.DUMMYFUNCTION("""COMPUTED_VALUE"""),117.03)</f>
        <v>117.03</v>
      </c>
      <c r="E1238" s="22">
        <f>IFERROR(__xludf.DUMMYFUNCTION("""COMPUTED_VALUE"""),43935.66666666667)</f>
        <v>43935.66667</v>
      </c>
      <c r="F1238" s="23">
        <f>IFERROR(__xludf.DUMMYFUNCTION("""COMPUTED_VALUE"""),22.43)</f>
        <v>22.43</v>
      </c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</row>
    <row r="1239">
      <c r="A1239" s="22">
        <f>IFERROR(__xludf.DUMMYFUNCTION("""COMPUTED_VALUE"""),43752.66666666667)</f>
        <v>43752.66667</v>
      </c>
      <c r="B1239" s="23">
        <f>IFERROR(__xludf.DUMMYFUNCTION("""COMPUTED_VALUE"""),77.72)</f>
        <v>77.72</v>
      </c>
      <c r="C1239" s="24">
        <f>IFERROR(__xludf.DUMMYFUNCTION("""COMPUTED_VALUE"""),45009.66666666667)</f>
        <v>45009.66667</v>
      </c>
      <c r="D1239" s="19">
        <f>IFERROR(__xludf.DUMMYFUNCTION("""COMPUTED_VALUE"""),116.83)</f>
        <v>116.83</v>
      </c>
      <c r="E1239" s="22">
        <f>IFERROR(__xludf.DUMMYFUNCTION("""COMPUTED_VALUE"""),43936.66666666667)</f>
        <v>43936.66667</v>
      </c>
      <c r="F1239" s="23">
        <f>IFERROR(__xludf.DUMMYFUNCTION("""COMPUTED_VALUE"""),23.05)</f>
        <v>23.05</v>
      </c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</row>
    <row r="1240">
      <c r="A1240" s="22">
        <f>IFERROR(__xludf.DUMMYFUNCTION("""COMPUTED_VALUE"""),43753.66666666667)</f>
        <v>43753.66667</v>
      </c>
      <c r="B1240" s="23">
        <f>IFERROR(__xludf.DUMMYFUNCTION("""COMPUTED_VALUE"""),77.84)</f>
        <v>77.84</v>
      </c>
      <c r="C1240" s="24">
        <f>IFERROR(__xludf.DUMMYFUNCTION("""COMPUTED_VALUE"""),45012.66666666667)</f>
        <v>45012.66667</v>
      </c>
      <c r="D1240" s="19">
        <f>IFERROR(__xludf.DUMMYFUNCTION("""COMPUTED_VALUE"""),116.96)</f>
        <v>116.96</v>
      </c>
      <c r="E1240" s="22">
        <f>IFERROR(__xludf.DUMMYFUNCTION("""COMPUTED_VALUE"""),43937.66666666667)</f>
        <v>43937.66667</v>
      </c>
      <c r="F1240" s="23">
        <f>IFERROR(__xludf.DUMMYFUNCTION("""COMPUTED_VALUE"""),23.28)</f>
        <v>23.28</v>
      </c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</row>
    <row r="1241">
      <c r="A1241" s="22">
        <f>IFERROR(__xludf.DUMMYFUNCTION("""COMPUTED_VALUE"""),43754.66666666667)</f>
        <v>43754.66667</v>
      </c>
      <c r="B1241" s="23">
        <f>IFERROR(__xludf.DUMMYFUNCTION("""COMPUTED_VALUE"""),78.68)</f>
        <v>78.68</v>
      </c>
      <c r="C1241" s="24">
        <f>IFERROR(__xludf.DUMMYFUNCTION("""COMPUTED_VALUE"""),45013.66666666667)</f>
        <v>45013.66667</v>
      </c>
      <c r="D1241" s="19">
        <f>IFERROR(__xludf.DUMMYFUNCTION("""COMPUTED_VALUE"""),118.13)</f>
        <v>118.13</v>
      </c>
      <c r="E1241" s="22">
        <f>IFERROR(__xludf.DUMMYFUNCTION("""COMPUTED_VALUE"""),43938.66666666667)</f>
        <v>43938.66667</v>
      </c>
      <c r="F1241" s="23">
        <f>IFERROR(__xludf.DUMMYFUNCTION("""COMPUTED_VALUE"""),23.87)</f>
        <v>23.87</v>
      </c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</row>
    <row r="1242">
      <c r="A1242" s="22">
        <f>IFERROR(__xludf.DUMMYFUNCTION("""COMPUTED_VALUE"""),43755.66666666667)</f>
        <v>43755.66667</v>
      </c>
      <c r="B1242" s="23">
        <f>IFERROR(__xludf.DUMMYFUNCTION("""COMPUTED_VALUE"""),78.15)</f>
        <v>78.15</v>
      </c>
      <c r="C1242" s="24">
        <f>IFERROR(__xludf.DUMMYFUNCTION("""COMPUTED_VALUE"""),45014.66666666667)</f>
        <v>45014.66667</v>
      </c>
      <c r="D1242" s="19">
        <f>IFERROR(__xludf.DUMMYFUNCTION("""COMPUTED_VALUE"""),118.4)</f>
        <v>118.4</v>
      </c>
      <c r="E1242" s="22">
        <f>IFERROR(__xludf.DUMMYFUNCTION("""COMPUTED_VALUE"""),43941.66666666667)</f>
        <v>43941.66667</v>
      </c>
      <c r="F1242" s="23">
        <f>IFERROR(__xludf.DUMMYFUNCTION("""COMPUTED_VALUE"""),23.53)</f>
        <v>23.53</v>
      </c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</row>
    <row r="1243">
      <c r="A1243" s="22">
        <f>IFERROR(__xludf.DUMMYFUNCTION("""COMPUTED_VALUE"""),43756.66666666667)</f>
        <v>43756.66667</v>
      </c>
      <c r="B1243" s="23">
        <f>IFERROR(__xludf.DUMMYFUNCTION("""COMPUTED_VALUE"""),77.8)</f>
        <v>77.8</v>
      </c>
      <c r="C1243" s="24">
        <f>IFERROR(__xludf.DUMMYFUNCTION("""COMPUTED_VALUE"""),45015.66666666667)</f>
        <v>45015.66667</v>
      </c>
      <c r="D1243" s="19">
        <f>IFERROR(__xludf.DUMMYFUNCTION("""COMPUTED_VALUE"""),119.56)</f>
        <v>119.56</v>
      </c>
      <c r="E1243" s="22">
        <f>IFERROR(__xludf.DUMMYFUNCTION("""COMPUTED_VALUE"""),43942.66666666667)</f>
        <v>43942.66667</v>
      </c>
      <c r="F1243" s="23">
        <f>IFERROR(__xludf.DUMMYFUNCTION("""COMPUTED_VALUE"""),23.31)</f>
        <v>23.31</v>
      </c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</row>
    <row r="1244">
      <c r="A1244" s="22">
        <f>IFERROR(__xludf.DUMMYFUNCTION("""COMPUTED_VALUE"""),43759.66666666667)</f>
        <v>43759.66667</v>
      </c>
      <c r="B1244" s="23">
        <f>IFERROR(__xludf.DUMMYFUNCTION("""COMPUTED_VALUE"""),77.52)</f>
        <v>77.52</v>
      </c>
      <c r="C1244" s="24">
        <f>IFERROR(__xludf.DUMMYFUNCTION("""COMPUTED_VALUE"""),45016.66666666667)</f>
        <v>45016.66667</v>
      </c>
      <c r="D1244" s="19">
        <f>IFERROR(__xludf.DUMMYFUNCTION("""COMPUTED_VALUE"""),120.46)</f>
        <v>120.46</v>
      </c>
      <c r="E1244" s="22">
        <f>IFERROR(__xludf.DUMMYFUNCTION("""COMPUTED_VALUE"""),43943.66666666667)</f>
        <v>43943.66667</v>
      </c>
      <c r="F1244" s="23">
        <f>IFERROR(__xludf.DUMMYFUNCTION("""COMPUTED_VALUE"""),22.85)</f>
        <v>22.85</v>
      </c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</row>
    <row r="1245">
      <c r="A1245" s="22">
        <f>IFERROR(__xludf.DUMMYFUNCTION("""COMPUTED_VALUE"""),43760.66666666667)</f>
        <v>43760.66667</v>
      </c>
      <c r="B1245" s="23">
        <f>IFERROR(__xludf.DUMMYFUNCTION("""COMPUTED_VALUE"""),77.8)</f>
        <v>77.8</v>
      </c>
      <c r="C1245" s="24">
        <f>IFERROR(__xludf.DUMMYFUNCTION("""COMPUTED_VALUE"""),45019.66666666667)</f>
        <v>45019.66667</v>
      </c>
      <c r="D1245" s="19">
        <f>IFERROR(__xludf.DUMMYFUNCTION("""COMPUTED_VALUE"""),120.1)</f>
        <v>120.1</v>
      </c>
      <c r="E1245" s="22">
        <f>IFERROR(__xludf.DUMMYFUNCTION("""COMPUTED_VALUE"""),43944.66666666667)</f>
        <v>43944.66667</v>
      </c>
      <c r="F1245" s="23">
        <f>IFERROR(__xludf.DUMMYFUNCTION("""COMPUTED_VALUE"""),23.15)</f>
        <v>23.15</v>
      </c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</row>
    <row r="1246">
      <c r="A1246" s="22">
        <f>IFERROR(__xludf.DUMMYFUNCTION("""COMPUTED_VALUE"""),43761.66666666667)</f>
        <v>43761.66667</v>
      </c>
      <c r="B1246" s="23">
        <f>IFERROR(__xludf.DUMMYFUNCTION("""COMPUTED_VALUE"""),77.56)</f>
        <v>77.56</v>
      </c>
      <c r="C1246" s="24">
        <f>IFERROR(__xludf.DUMMYFUNCTION("""COMPUTED_VALUE"""),45020.66666666667)</f>
        <v>45020.66667</v>
      </c>
      <c r="D1246" s="19">
        <f>IFERROR(__xludf.DUMMYFUNCTION("""COMPUTED_VALUE"""),120.37)</f>
        <v>120.37</v>
      </c>
      <c r="E1246" s="22">
        <f>IFERROR(__xludf.DUMMYFUNCTION("""COMPUTED_VALUE"""),43945.66666666667)</f>
        <v>43945.66667</v>
      </c>
      <c r="F1246" s="23">
        <f>IFERROR(__xludf.DUMMYFUNCTION("""COMPUTED_VALUE"""),22.86)</f>
        <v>22.86</v>
      </c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</row>
    <row r="1247">
      <c r="A1247" s="22">
        <f>IFERROR(__xludf.DUMMYFUNCTION("""COMPUTED_VALUE"""),43762.66666666667)</f>
        <v>43762.66667</v>
      </c>
      <c r="B1247" s="23">
        <f>IFERROR(__xludf.DUMMYFUNCTION("""COMPUTED_VALUE"""),78.05)</f>
        <v>78.05</v>
      </c>
      <c r="C1247" s="24">
        <f>IFERROR(__xludf.DUMMYFUNCTION("""COMPUTED_VALUE"""),45021.66666666667)</f>
        <v>45021.66667</v>
      </c>
      <c r="D1247" s="19">
        <f>IFERROR(__xludf.DUMMYFUNCTION("""COMPUTED_VALUE"""),120.36)</f>
        <v>120.36</v>
      </c>
      <c r="E1247" s="22">
        <f>IFERROR(__xludf.DUMMYFUNCTION("""COMPUTED_VALUE"""),43948.66666666667)</f>
        <v>43948.66667</v>
      </c>
      <c r="F1247" s="23">
        <f>IFERROR(__xludf.DUMMYFUNCTION("""COMPUTED_VALUE"""),23.37)</f>
        <v>23.37</v>
      </c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</row>
    <row r="1248">
      <c r="A1248" s="22">
        <f>IFERROR(__xludf.DUMMYFUNCTION("""COMPUTED_VALUE"""),43763.66666666667)</f>
        <v>43763.66667</v>
      </c>
      <c r="B1248" s="23">
        <f>IFERROR(__xludf.DUMMYFUNCTION("""COMPUTED_VALUE"""),78.4)</f>
        <v>78.4</v>
      </c>
      <c r="C1248" s="24">
        <f>IFERROR(__xludf.DUMMYFUNCTION("""COMPUTED_VALUE"""),45022.66666666667)</f>
        <v>45022.66667</v>
      </c>
      <c r="D1248" s="19">
        <f>IFERROR(__xludf.DUMMYFUNCTION("""COMPUTED_VALUE"""),120.01)</f>
        <v>120.01</v>
      </c>
      <c r="E1248" s="22">
        <f>IFERROR(__xludf.DUMMYFUNCTION("""COMPUTED_VALUE"""),43949.66666666667)</f>
        <v>43949.66667</v>
      </c>
      <c r="F1248" s="23">
        <f>IFERROR(__xludf.DUMMYFUNCTION("""COMPUTED_VALUE"""),23.29)</f>
        <v>23.29</v>
      </c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</row>
    <row r="1249">
      <c r="A1249" s="22">
        <f>IFERROR(__xludf.DUMMYFUNCTION("""COMPUTED_VALUE"""),43766.66666666667)</f>
        <v>43766.66667</v>
      </c>
      <c r="B1249" s="23">
        <f>IFERROR(__xludf.DUMMYFUNCTION("""COMPUTED_VALUE"""),78.82)</f>
        <v>78.82</v>
      </c>
      <c r="C1249" s="24">
        <f>IFERROR(__xludf.DUMMYFUNCTION("""COMPUTED_VALUE"""),45027.66666666667)</f>
        <v>45027.66667</v>
      </c>
      <c r="D1249" s="19">
        <f>IFERROR(__xludf.DUMMYFUNCTION("""COMPUTED_VALUE"""),121.59)</f>
        <v>121.59</v>
      </c>
      <c r="E1249" s="22">
        <f>IFERROR(__xludf.DUMMYFUNCTION("""COMPUTED_VALUE"""),43950.66666666667)</f>
        <v>43950.66667</v>
      </c>
      <c r="F1249" s="23">
        <f>IFERROR(__xludf.DUMMYFUNCTION("""COMPUTED_VALUE"""),22.94)</f>
        <v>22.94</v>
      </c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</row>
    <row r="1250">
      <c r="A1250" s="22">
        <f>IFERROR(__xludf.DUMMYFUNCTION("""COMPUTED_VALUE"""),43767.66666666667)</f>
        <v>43767.66667</v>
      </c>
      <c r="B1250" s="23">
        <f>IFERROR(__xludf.DUMMYFUNCTION("""COMPUTED_VALUE"""),78.66)</f>
        <v>78.66</v>
      </c>
      <c r="C1250" s="24">
        <f>IFERROR(__xludf.DUMMYFUNCTION("""COMPUTED_VALUE"""),45028.66666666667)</f>
        <v>45028.66667</v>
      </c>
      <c r="D1250" s="19">
        <f>IFERROR(__xludf.DUMMYFUNCTION("""COMPUTED_VALUE"""),122.17)</f>
        <v>122.17</v>
      </c>
      <c r="E1250" s="22">
        <f>IFERROR(__xludf.DUMMYFUNCTION("""COMPUTED_VALUE"""),43951.66666666667)</f>
        <v>43951.66667</v>
      </c>
      <c r="F1250" s="23">
        <f>IFERROR(__xludf.DUMMYFUNCTION("""COMPUTED_VALUE"""),23.63)</f>
        <v>23.63</v>
      </c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</row>
    <row r="1251">
      <c r="A1251" s="22">
        <f>IFERROR(__xludf.DUMMYFUNCTION("""COMPUTED_VALUE"""),43768.66666666667)</f>
        <v>43768.66667</v>
      </c>
      <c r="B1251" s="23">
        <f>IFERROR(__xludf.DUMMYFUNCTION("""COMPUTED_VALUE"""),78.41)</f>
        <v>78.41</v>
      </c>
      <c r="C1251" s="24">
        <f>IFERROR(__xludf.DUMMYFUNCTION("""COMPUTED_VALUE"""),45029.66666666667)</f>
        <v>45029.66667</v>
      </c>
      <c r="D1251" s="19">
        <f>IFERROR(__xludf.DUMMYFUNCTION("""COMPUTED_VALUE"""),121.76)</f>
        <v>121.76</v>
      </c>
      <c r="E1251" s="22">
        <f>IFERROR(__xludf.DUMMYFUNCTION("""COMPUTED_VALUE"""),43952.66666666667)</f>
        <v>43952.66667</v>
      </c>
      <c r="F1251" s="23">
        <f>IFERROR(__xludf.DUMMYFUNCTION("""COMPUTED_VALUE"""),23.16)</f>
        <v>23.16</v>
      </c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</row>
    <row r="1252">
      <c r="A1252" s="22">
        <f>IFERROR(__xludf.DUMMYFUNCTION("""COMPUTED_VALUE"""),43769.66666666667)</f>
        <v>43769.66667</v>
      </c>
      <c r="B1252" s="23">
        <f>IFERROR(__xludf.DUMMYFUNCTION("""COMPUTED_VALUE"""),78.21)</f>
        <v>78.21</v>
      </c>
      <c r="C1252" s="24">
        <f>IFERROR(__xludf.DUMMYFUNCTION("""COMPUTED_VALUE"""),45030.66666666667)</f>
        <v>45030.66667</v>
      </c>
      <c r="D1252" s="19">
        <f>IFERROR(__xludf.DUMMYFUNCTION("""COMPUTED_VALUE"""),122.47)</f>
        <v>122.47</v>
      </c>
      <c r="E1252" s="22">
        <f>IFERROR(__xludf.DUMMYFUNCTION("""COMPUTED_VALUE"""),43955.66666666667)</f>
        <v>43955.66667</v>
      </c>
      <c r="F1252" s="23">
        <f>IFERROR(__xludf.DUMMYFUNCTION("""COMPUTED_VALUE"""),22.99)</f>
        <v>22.99</v>
      </c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</row>
    <row r="1253">
      <c r="A1253" s="22">
        <f>IFERROR(__xludf.DUMMYFUNCTION("""COMPUTED_VALUE"""),43770.66666666667)</f>
        <v>43770.66667</v>
      </c>
      <c r="B1253" s="23">
        <f>IFERROR(__xludf.DUMMYFUNCTION("""COMPUTED_VALUE"""),78.41)</f>
        <v>78.41</v>
      </c>
      <c r="C1253" s="24">
        <f>IFERROR(__xludf.DUMMYFUNCTION("""COMPUTED_VALUE"""),45033.66666666667)</f>
        <v>45033.66667</v>
      </c>
      <c r="D1253" s="19">
        <f>IFERROR(__xludf.DUMMYFUNCTION("""COMPUTED_VALUE"""),122.78)</f>
        <v>122.78</v>
      </c>
      <c r="E1253" s="22">
        <f>IFERROR(__xludf.DUMMYFUNCTION("""COMPUTED_VALUE"""),43956.66666666667)</f>
        <v>43956.66667</v>
      </c>
      <c r="F1253" s="23">
        <f>IFERROR(__xludf.DUMMYFUNCTION("""COMPUTED_VALUE"""),23.3)</f>
        <v>23.3</v>
      </c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</row>
    <row r="1254">
      <c r="A1254" s="22">
        <f>IFERROR(__xludf.DUMMYFUNCTION("""COMPUTED_VALUE"""),43773.66666666667)</f>
        <v>43773.66667</v>
      </c>
      <c r="B1254" s="23">
        <f>IFERROR(__xludf.DUMMYFUNCTION("""COMPUTED_VALUE"""),78.85)</f>
        <v>78.85</v>
      </c>
      <c r="C1254" s="24">
        <f>IFERROR(__xludf.DUMMYFUNCTION("""COMPUTED_VALUE"""),45034.66666666667)</f>
        <v>45034.66667</v>
      </c>
      <c r="D1254" s="19">
        <f>IFERROR(__xludf.DUMMYFUNCTION("""COMPUTED_VALUE"""),122.33)</f>
        <v>122.33</v>
      </c>
      <c r="E1254" s="22">
        <f>IFERROR(__xludf.DUMMYFUNCTION("""COMPUTED_VALUE"""),43957.66666666667)</f>
        <v>43957.66667</v>
      </c>
      <c r="F1254" s="23">
        <f>IFERROR(__xludf.DUMMYFUNCTION("""COMPUTED_VALUE"""),23.66)</f>
        <v>23.66</v>
      </c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</row>
    <row r="1255">
      <c r="A1255" s="22">
        <f>IFERROR(__xludf.DUMMYFUNCTION("""COMPUTED_VALUE"""),43774.66666666667)</f>
        <v>43774.66667</v>
      </c>
      <c r="B1255" s="23">
        <f>IFERROR(__xludf.DUMMYFUNCTION("""COMPUTED_VALUE"""),79.36)</f>
        <v>79.36</v>
      </c>
      <c r="C1255" s="24">
        <f>IFERROR(__xludf.DUMMYFUNCTION("""COMPUTED_VALUE"""),45035.66666666667)</f>
        <v>45035.66667</v>
      </c>
      <c r="D1255" s="19">
        <f>IFERROR(__xludf.DUMMYFUNCTION("""COMPUTED_VALUE"""),122.5)</f>
        <v>122.5</v>
      </c>
      <c r="E1255" s="22">
        <f>IFERROR(__xludf.DUMMYFUNCTION("""COMPUTED_VALUE"""),43958.66666666667)</f>
        <v>43958.66667</v>
      </c>
      <c r="F1255" s="23">
        <f>IFERROR(__xludf.DUMMYFUNCTION("""COMPUTED_VALUE"""),23.85)</f>
        <v>23.85</v>
      </c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</row>
    <row r="1256">
      <c r="A1256" s="22">
        <f>IFERROR(__xludf.DUMMYFUNCTION("""COMPUTED_VALUE"""),43775.66666666667)</f>
        <v>43775.66667</v>
      </c>
      <c r="B1256" s="23">
        <f>IFERROR(__xludf.DUMMYFUNCTION("""COMPUTED_VALUE"""),79.08)</f>
        <v>79.08</v>
      </c>
      <c r="C1256" s="24">
        <f>IFERROR(__xludf.DUMMYFUNCTION("""COMPUTED_VALUE"""),45036.66666666667)</f>
        <v>45036.66667</v>
      </c>
      <c r="D1256" s="19">
        <f>IFERROR(__xludf.DUMMYFUNCTION("""COMPUTED_VALUE"""),122.5)</f>
        <v>122.5</v>
      </c>
      <c r="E1256" s="22">
        <f>IFERROR(__xludf.DUMMYFUNCTION("""COMPUTED_VALUE"""),43959.66666666667)</f>
        <v>43959.66667</v>
      </c>
      <c r="F1256" s="23">
        <f>IFERROR(__xludf.DUMMYFUNCTION("""COMPUTED_VALUE"""),24.01)</f>
        <v>24.01</v>
      </c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</row>
    <row r="1257">
      <c r="A1257" s="22">
        <f>IFERROR(__xludf.DUMMYFUNCTION("""COMPUTED_VALUE"""),43776.66666666667)</f>
        <v>43776.66667</v>
      </c>
      <c r="B1257" s="23">
        <f>IFERROR(__xludf.DUMMYFUNCTION("""COMPUTED_VALUE"""),79.56)</f>
        <v>79.56</v>
      </c>
      <c r="C1257" s="24">
        <f>IFERROR(__xludf.DUMMYFUNCTION("""COMPUTED_VALUE"""),45037.66666666667)</f>
        <v>45037.66667</v>
      </c>
      <c r="D1257" s="19">
        <f>IFERROR(__xludf.DUMMYFUNCTION("""COMPUTED_VALUE"""),121.89)</f>
        <v>121.89</v>
      </c>
      <c r="E1257" s="22">
        <f>IFERROR(__xludf.DUMMYFUNCTION("""COMPUTED_VALUE"""),43962.66666666667)</f>
        <v>43962.66667</v>
      </c>
      <c r="F1257" s="23">
        <f>IFERROR(__xludf.DUMMYFUNCTION("""COMPUTED_VALUE"""),24.0)</f>
        <v>24</v>
      </c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</row>
    <row r="1258">
      <c r="A1258" s="22">
        <f>IFERROR(__xludf.DUMMYFUNCTION("""COMPUTED_VALUE"""),43777.66666666667)</f>
        <v>43777.66667</v>
      </c>
      <c r="B1258" s="23">
        <f>IFERROR(__xludf.DUMMYFUNCTION("""COMPUTED_VALUE"""),79.44)</f>
        <v>79.44</v>
      </c>
      <c r="C1258" s="24">
        <f>IFERROR(__xludf.DUMMYFUNCTION("""COMPUTED_VALUE"""),45040.66666666667)</f>
        <v>45040.66667</v>
      </c>
      <c r="D1258" s="19">
        <f>IFERROR(__xludf.DUMMYFUNCTION("""COMPUTED_VALUE"""),121.78)</f>
        <v>121.78</v>
      </c>
      <c r="E1258" s="22">
        <f>IFERROR(__xludf.DUMMYFUNCTION("""COMPUTED_VALUE"""),43963.66666666667)</f>
        <v>43963.66667</v>
      </c>
      <c r="F1258" s="23">
        <f>IFERROR(__xludf.DUMMYFUNCTION("""COMPUTED_VALUE"""),24.3)</f>
        <v>24.3</v>
      </c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</row>
    <row r="1259">
      <c r="A1259" s="22">
        <f>IFERROR(__xludf.DUMMYFUNCTION("""COMPUTED_VALUE"""),43780.66666666667)</f>
        <v>43780.66667</v>
      </c>
      <c r="B1259" s="23">
        <f>IFERROR(__xludf.DUMMYFUNCTION("""COMPUTED_VALUE"""),79.81)</f>
        <v>79.81</v>
      </c>
      <c r="C1259" s="24">
        <f>IFERROR(__xludf.DUMMYFUNCTION("""COMPUTED_VALUE"""),45042.66666666667)</f>
        <v>45042.66667</v>
      </c>
      <c r="D1259" s="19">
        <f>IFERROR(__xludf.DUMMYFUNCTION("""COMPUTED_VALUE"""),121.73)</f>
        <v>121.73</v>
      </c>
      <c r="E1259" s="22">
        <f>IFERROR(__xludf.DUMMYFUNCTION("""COMPUTED_VALUE"""),43964.66666666667)</f>
        <v>43964.66667</v>
      </c>
      <c r="F1259" s="23">
        <f>IFERROR(__xludf.DUMMYFUNCTION("""COMPUTED_VALUE"""),23.92)</f>
        <v>23.92</v>
      </c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</row>
    <row r="1260">
      <c r="A1260" s="22">
        <f>IFERROR(__xludf.DUMMYFUNCTION("""COMPUTED_VALUE"""),43781.66666666667)</f>
        <v>43781.66667</v>
      </c>
      <c r="B1260" s="23">
        <f>IFERROR(__xludf.DUMMYFUNCTION("""COMPUTED_VALUE"""),79.97)</f>
        <v>79.97</v>
      </c>
      <c r="C1260" s="24">
        <f>IFERROR(__xludf.DUMMYFUNCTION("""COMPUTED_VALUE"""),45043.66666666667)</f>
        <v>45043.66667</v>
      </c>
      <c r="D1260" s="19">
        <f>IFERROR(__xludf.DUMMYFUNCTION("""COMPUTED_VALUE"""),121.3)</f>
        <v>121.3</v>
      </c>
      <c r="E1260" s="22">
        <f>IFERROR(__xludf.DUMMYFUNCTION("""COMPUTED_VALUE"""),43965.66666666667)</f>
        <v>43965.66667</v>
      </c>
      <c r="F1260" s="23">
        <f>IFERROR(__xludf.DUMMYFUNCTION("""COMPUTED_VALUE"""),23.69)</f>
        <v>23.69</v>
      </c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</row>
    <row r="1261">
      <c r="A1261" s="22">
        <f>IFERROR(__xludf.DUMMYFUNCTION("""COMPUTED_VALUE"""),43782.66666666667)</f>
        <v>43782.66667</v>
      </c>
      <c r="B1261" s="23">
        <f>IFERROR(__xludf.DUMMYFUNCTION("""COMPUTED_VALUE"""),79.91)</f>
        <v>79.91</v>
      </c>
      <c r="C1261" s="24">
        <f>IFERROR(__xludf.DUMMYFUNCTION("""COMPUTED_VALUE"""),45044.66666666667)</f>
        <v>45044.66667</v>
      </c>
      <c r="D1261" s="19">
        <f>IFERROR(__xludf.DUMMYFUNCTION("""COMPUTED_VALUE"""),121.65)</f>
        <v>121.65</v>
      </c>
      <c r="E1261" s="22">
        <f>IFERROR(__xludf.DUMMYFUNCTION("""COMPUTED_VALUE"""),43966.66666666667)</f>
        <v>43966.66667</v>
      </c>
      <c r="F1261" s="23">
        <f>IFERROR(__xludf.DUMMYFUNCTION("""COMPUTED_VALUE"""),23.93)</f>
        <v>23.93</v>
      </c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</row>
    <row r="1262">
      <c r="A1262" s="22">
        <f>IFERROR(__xludf.DUMMYFUNCTION("""COMPUTED_VALUE"""),43783.66666666667)</f>
        <v>43783.66667</v>
      </c>
      <c r="B1262" s="23">
        <f>IFERROR(__xludf.DUMMYFUNCTION("""COMPUTED_VALUE"""),80.56)</f>
        <v>80.56</v>
      </c>
      <c r="C1262" s="24">
        <f>IFERROR(__xludf.DUMMYFUNCTION("""COMPUTED_VALUE"""),45047.66666666667)</f>
        <v>45047.66667</v>
      </c>
      <c r="D1262" s="19">
        <f>IFERROR(__xludf.DUMMYFUNCTION("""COMPUTED_VALUE"""),122.01)</f>
        <v>122.01</v>
      </c>
      <c r="E1262" s="22">
        <f>IFERROR(__xludf.DUMMYFUNCTION("""COMPUTED_VALUE"""),43969.66666666667)</f>
        <v>43969.66667</v>
      </c>
      <c r="F1262" s="23">
        <f>IFERROR(__xludf.DUMMYFUNCTION("""COMPUTED_VALUE"""),24.29)</f>
        <v>24.29</v>
      </c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</row>
    <row r="1263">
      <c r="A1263" s="22">
        <f>IFERROR(__xludf.DUMMYFUNCTION("""COMPUTED_VALUE"""),43784.66666666667)</f>
        <v>43784.66667</v>
      </c>
      <c r="B1263" s="23">
        <f>IFERROR(__xludf.DUMMYFUNCTION("""COMPUTED_VALUE"""),81.02)</f>
        <v>81.02</v>
      </c>
      <c r="C1263" s="24">
        <f>IFERROR(__xludf.DUMMYFUNCTION("""COMPUTED_VALUE"""),45048.66666666667)</f>
        <v>45048.66667</v>
      </c>
      <c r="D1263" s="19">
        <f>IFERROR(__xludf.DUMMYFUNCTION("""COMPUTED_VALUE"""),120.91)</f>
        <v>120.91</v>
      </c>
      <c r="E1263" s="22">
        <f>IFERROR(__xludf.DUMMYFUNCTION("""COMPUTED_VALUE"""),43970.66666666667)</f>
        <v>43970.66667</v>
      </c>
      <c r="F1263" s="23">
        <f>IFERROR(__xludf.DUMMYFUNCTION("""COMPUTED_VALUE"""),24.31)</f>
        <v>24.31</v>
      </c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</row>
    <row r="1264">
      <c r="A1264" s="22">
        <f>IFERROR(__xludf.DUMMYFUNCTION("""COMPUTED_VALUE"""),43787.66666666667)</f>
        <v>43787.66667</v>
      </c>
      <c r="B1264" s="23">
        <f>IFERROR(__xludf.DUMMYFUNCTION("""COMPUTED_VALUE"""),81.07)</f>
        <v>81.07</v>
      </c>
      <c r="C1264" s="24">
        <f>IFERROR(__xludf.DUMMYFUNCTION("""COMPUTED_VALUE"""),45049.66666666667)</f>
        <v>45049.66667</v>
      </c>
      <c r="D1264" s="19">
        <f>IFERROR(__xludf.DUMMYFUNCTION("""COMPUTED_VALUE"""),119.66)</f>
        <v>119.66</v>
      </c>
      <c r="E1264" s="22">
        <f>IFERROR(__xludf.DUMMYFUNCTION("""COMPUTED_VALUE"""),43971.66666666667)</f>
        <v>43971.66667</v>
      </c>
      <c r="F1264" s="23">
        <f>IFERROR(__xludf.DUMMYFUNCTION("""COMPUTED_VALUE"""),24.23)</f>
        <v>24.23</v>
      </c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</row>
    <row r="1265">
      <c r="A1265" s="22">
        <f>IFERROR(__xludf.DUMMYFUNCTION("""COMPUTED_VALUE"""),43788.66666666667)</f>
        <v>43788.66667</v>
      </c>
      <c r="B1265" s="23">
        <f>IFERROR(__xludf.DUMMYFUNCTION("""COMPUTED_VALUE"""),81.43)</f>
        <v>81.43</v>
      </c>
      <c r="C1265" s="24">
        <f>IFERROR(__xludf.DUMMYFUNCTION("""COMPUTED_VALUE"""),45050.66666666667)</f>
        <v>45050.66667</v>
      </c>
      <c r="D1265" s="19">
        <f>IFERROR(__xludf.DUMMYFUNCTION("""COMPUTED_VALUE"""),119.63)</f>
        <v>119.63</v>
      </c>
      <c r="E1265" s="22">
        <f>IFERROR(__xludf.DUMMYFUNCTION("""COMPUTED_VALUE"""),43972.66666666667)</f>
        <v>43972.66667</v>
      </c>
      <c r="F1265" s="23">
        <f>IFERROR(__xludf.DUMMYFUNCTION("""COMPUTED_VALUE"""),24.46)</f>
        <v>24.46</v>
      </c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</row>
    <row r="1266">
      <c r="A1266" s="22">
        <f>IFERROR(__xludf.DUMMYFUNCTION("""COMPUTED_VALUE"""),43789.66666666667)</f>
        <v>43789.66667</v>
      </c>
      <c r="B1266" s="23">
        <f>IFERROR(__xludf.DUMMYFUNCTION("""COMPUTED_VALUE"""),80.89)</f>
        <v>80.89</v>
      </c>
      <c r="C1266" s="24">
        <f>IFERROR(__xludf.DUMMYFUNCTION("""COMPUTED_VALUE"""),45051.66666666667)</f>
        <v>45051.66667</v>
      </c>
      <c r="D1266" s="19">
        <f>IFERROR(__xludf.DUMMYFUNCTION("""COMPUTED_VALUE"""),120.03)</f>
        <v>120.03</v>
      </c>
      <c r="E1266" s="22">
        <f>IFERROR(__xludf.DUMMYFUNCTION("""COMPUTED_VALUE"""),43973.66666666667)</f>
        <v>43973.66667</v>
      </c>
      <c r="F1266" s="23">
        <f>IFERROR(__xludf.DUMMYFUNCTION("""COMPUTED_VALUE"""),24.14)</f>
        <v>24.14</v>
      </c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</row>
    <row r="1267">
      <c r="A1267" s="22">
        <f>IFERROR(__xludf.DUMMYFUNCTION("""COMPUTED_VALUE"""),43790.66666666667)</f>
        <v>43790.66667</v>
      </c>
      <c r="B1267" s="23">
        <f>IFERROR(__xludf.DUMMYFUNCTION("""COMPUTED_VALUE"""),80.8)</f>
        <v>80.8</v>
      </c>
      <c r="C1267" s="24">
        <f>IFERROR(__xludf.DUMMYFUNCTION("""COMPUTED_VALUE"""),45054.66666666667)</f>
        <v>45054.66667</v>
      </c>
      <c r="D1267" s="19">
        <f>IFERROR(__xludf.DUMMYFUNCTION("""COMPUTED_VALUE"""),121.07)</f>
        <v>121.07</v>
      </c>
      <c r="E1267" s="22">
        <f>IFERROR(__xludf.DUMMYFUNCTION("""COMPUTED_VALUE"""),43976.66666666667)</f>
        <v>43976.66667</v>
      </c>
      <c r="F1267" s="23">
        <f>IFERROR(__xludf.DUMMYFUNCTION("""COMPUTED_VALUE"""),24.64)</f>
        <v>24.64</v>
      </c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</row>
    <row r="1268">
      <c r="A1268" s="22">
        <f>IFERROR(__xludf.DUMMYFUNCTION("""COMPUTED_VALUE"""),43791.66666666667)</f>
        <v>43791.66667</v>
      </c>
      <c r="B1268" s="23">
        <f>IFERROR(__xludf.DUMMYFUNCTION("""COMPUTED_VALUE"""),81.1)</f>
        <v>81.1</v>
      </c>
      <c r="C1268" s="24">
        <f>IFERROR(__xludf.DUMMYFUNCTION("""COMPUTED_VALUE"""),45055.66666666667)</f>
        <v>45055.66667</v>
      </c>
      <c r="D1268" s="19">
        <f>IFERROR(__xludf.DUMMYFUNCTION("""COMPUTED_VALUE"""),120.82)</f>
        <v>120.82</v>
      </c>
      <c r="E1268" s="22">
        <f>IFERROR(__xludf.DUMMYFUNCTION("""COMPUTED_VALUE"""),43977.66666666667)</f>
        <v>43977.66667</v>
      </c>
      <c r="F1268" s="23">
        <f>IFERROR(__xludf.DUMMYFUNCTION("""COMPUTED_VALUE"""),24.81)</f>
        <v>24.81</v>
      </c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</row>
    <row r="1269">
      <c r="A1269" s="22">
        <f>IFERROR(__xludf.DUMMYFUNCTION("""COMPUTED_VALUE"""),43794.66666666667)</f>
        <v>43794.66667</v>
      </c>
      <c r="B1269" s="23">
        <f>IFERROR(__xludf.DUMMYFUNCTION("""COMPUTED_VALUE"""),81.22)</f>
        <v>81.22</v>
      </c>
      <c r="C1269" s="24">
        <f>IFERROR(__xludf.DUMMYFUNCTION("""COMPUTED_VALUE"""),45056.66666666667)</f>
        <v>45056.66667</v>
      </c>
      <c r="D1269" s="19">
        <f>IFERROR(__xludf.DUMMYFUNCTION("""COMPUTED_VALUE"""),120.67)</f>
        <v>120.67</v>
      </c>
      <c r="E1269" s="22">
        <f>IFERROR(__xludf.DUMMYFUNCTION("""COMPUTED_VALUE"""),43978.66666666667)</f>
        <v>43978.66667</v>
      </c>
      <c r="F1269" s="23">
        <f>IFERROR(__xludf.DUMMYFUNCTION("""COMPUTED_VALUE"""),24.25)</f>
        <v>24.25</v>
      </c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</row>
    <row r="1270">
      <c r="A1270" s="22">
        <f>IFERROR(__xludf.DUMMYFUNCTION("""COMPUTED_VALUE"""),43795.66666666667)</f>
        <v>43795.66667</v>
      </c>
      <c r="B1270" s="23">
        <f>IFERROR(__xludf.DUMMYFUNCTION("""COMPUTED_VALUE"""),81.84)</f>
        <v>81.84</v>
      </c>
      <c r="C1270" s="24">
        <f>IFERROR(__xludf.DUMMYFUNCTION("""COMPUTED_VALUE"""),45057.66666666667)</f>
        <v>45057.66667</v>
      </c>
      <c r="D1270" s="19">
        <f>IFERROR(__xludf.DUMMYFUNCTION("""COMPUTED_VALUE"""),120.84)</f>
        <v>120.84</v>
      </c>
      <c r="E1270" s="22">
        <f>IFERROR(__xludf.DUMMYFUNCTION("""COMPUTED_VALUE"""),43979.66666666667)</f>
        <v>43979.66667</v>
      </c>
      <c r="F1270" s="23">
        <f>IFERROR(__xludf.DUMMYFUNCTION("""COMPUTED_VALUE"""),24.24)</f>
        <v>24.24</v>
      </c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</row>
    <row r="1271">
      <c r="A1271" s="22">
        <f>IFERROR(__xludf.DUMMYFUNCTION("""COMPUTED_VALUE"""),43796.66666666667)</f>
        <v>43796.66667</v>
      </c>
      <c r="B1271" s="23">
        <f>IFERROR(__xludf.DUMMYFUNCTION("""COMPUTED_VALUE"""),82.14)</f>
        <v>82.14</v>
      </c>
      <c r="C1271" s="24">
        <f>IFERROR(__xludf.DUMMYFUNCTION("""COMPUTED_VALUE"""),45058.66666666667)</f>
        <v>45058.66667</v>
      </c>
      <c r="D1271" s="19">
        <f>IFERROR(__xludf.DUMMYFUNCTION("""COMPUTED_VALUE"""),121.0)</f>
        <v>121</v>
      </c>
      <c r="E1271" s="22">
        <f>IFERROR(__xludf.DUMMYFUNCTION("""COMPUTED_VALUE"""),43980.66666666667)</f>
        <v>43980.66667</v>
      </c>
      <c r="F1271" s="23">
        <f>IFERROR(__xludf.DUMMYFUNCTION("""COMPUTED_VALUE"""),24.09)</f>
        <v>24.09</v>
      </c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</row>
    <row r="1272">
      <c r="A1272" s="22">
        <f>IFERROR(__xludf.DUMMYFUNCTION("""COMPUTED_VALUE"""),43797.66666666667)</f>
        <v>43797.66667</v>
      </c>
      <c r="B1272" s="23">
        <f>IFERROR(__xludf.DUMMYFUNCTION("""COMPUTED_VALUE"""),82.23)</f>
        <v>82.23</v>
      </c>
      <c r="C1272" s="24">
        <f>IFERROR(__xludf.DUMMYFUNCTION("""COMPUTED_VALUE"""),45061.66666666667)</f>
        <v>45061.66667</v>
      </c>
      <c r="D1272" s="19">
        <f>IFERROR(__xludf.DUMMYFUNCTION("""COMPUTED_VALUE"""),121.32)</f>
        <v>121.32</v>
      </c>
      <c r="E1272" s="22">
        <f>IFERROR(__xludf.DUMMYFUNCTION("""COMPUTED_VALUE"""),43983.66666666667)</f>
        <v>43983.66667</v>
      </c>
      <c r="F1272" s="23">
        <f>IFERROR(__xludf.DUMMYFUNCTION("""COMPUTED_VALUE"""),24.09)</f>
        <v>24.09</v>
      </c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</row>
    <row r="1273">
      <c r="A1273" s="22">
        <f>IFERROR(__xludf.DUMMYFUNCTION("""COMPUTED_VALUE"""),43798.66666666667)</f>
        <v>43798.66667</v>
      </c>
      <c r="B1273" s="23">
        <f>IFERROR(__xludf.DUMMYFUNCTION("""COMPUTED_VALUE"""),82.05)</f>
        <v>82.05</v>
      </c>
      <c r="C1273" s="24">
        <f>IFERROR(__xludf.DUMMYFUNCTION("""COMPUTED_VALUE"""),45062.66666666667)</f>
        <v>45062.66667</v>
      </c>
      <c r="D1273" s="19">
        <f>IFERROR(__xludf.DUMMYFUNCTION("""COMPUTED_VALUE"""),120.86)</f>
        <v>120.86</v>
      </c>
      <c r="E1273" s="22">
        <f>IFERROR(__xludf.DUMMYFUNCTION("""COMPUTED_VALUE"""),43984.66666666667)</f>
        <v>43984.66667</v>
      </c>
      <c r="F1273" s="23">
        <f>IFERROR(__xludf.DUMMYFUNCTION("""COMPUTED_VALUE"""),23.99)</f>
        <v>23.99</v>
      </c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</row>
    <row r="1274">
      <c r="A1274" s="22">
        <f>IFERROR(__xludf.DUMMYFUNCTION("""COMPUTED_VALUE"""),43801.66666666667)</f>
        <v>43801.66667</v>
      </c>
      <c r="B1274" s="23">
        <f>IFERROR(__xludf.DUMMYFUNCTION("""COMPUTED_VALUE"""),82.2)</f>
        <v>82.2</v>
      </c>
      <c r="C1274" s="24">
        <f>IFERROR(__xludf.DUMMYFUNCTION("""COMPUTED_VALUE"""),45063.66666666667)</f>
        <v>45063.66667</v>
      </c>
      <c r="D1274" s="19">
        <f>IFERROR(__xludf.DUMMYFUNCTION("""COMPUTED_VALUE"""),120.22)</f>
        <v>120.22</v>
      </c>
      <c r="E1274" s="22">
        <f>IFERROR(__xludf.DUMMYFUNCTION("""COMPUTED_VALUE"""),43985.66666666667)</f>
        <v>43985.66667</v>
      </c>
      <c r="F1274" s="23">
        <f>IFERROR(__xludf.DUMMYFUNCTION("""COMPUTED_VALUE"""),23.74)</f>
        <v>23.74</v>
      </c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</row>
    <row r="1275">
      <c r="A1275" s="22">
        <f>IFERROR(__xludf.DUMMYFUNCTION("""COMPUTED_VALUE"""),43802.66666666667)</f>
        <v>43802.66667</v>
      </c>
      <c r="B1275" s="23">
        <f>IFERROR(__xludf.DUMMYFUNCTION("""COMPUTED_VALUE"""),80.67)</f>
        <v>80.67</v>
      </c>
      <c r="C1275" s="24">
        <f>IFERROR(__xludf.DUMMYFUNCTION("""COMPUTED_VALUE"""),45064.66666666667)</f>
        <v>45064.66667</v>
      </c>
      <c r="D1275" s="19">
        <f>IFERROR(__xludf.DUMMYFUNCTION("""COMPUTED_VALUE"""),120.82)</f>
        <v>120.82</v>
      </c>
      <c r="E1275" s="22">
        <f>IFERROR(__xludf.DUMMYFUNCTION("""COMPUTED_VALUE"""),43986.66666666667)</f>
        <v>43986.66667</v>
      </c>
      <c r="F1275" s="23">
        <f>IFERROR(__xludf.DUMMYFUNCTION("""COMPUTED_VALUE"""),23.8)</f>
        <v>23.8</v>
      </c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</row>
    <row r="1276">
      <c r="A1276" s="22">
        <f>IFERROR(__xludf.DUMMYFUNCTION("""COMPUTED_VALUE"""),43803.66666666667)</f>
        <v>43803.66667</v>
      </c>
      <c r="B1276" s="23">
        <f>IFERROR(__xludf.DUMMYFUNCTION("""COMPUTED_VALUE"""),80.25)</f>
        <v>80.25</v>
      </c>
      <c r="C1276" s="24">
        <f>IFERROR(__xludf.DUMMYFUNCTION("""COMPUTED_VALUE"""),45065.66666666667)</f>
        <v>45065.66667</v>
      </c>
      <c r="D1276" s="19">
        <f>IFERROR(__xludf.DUMMYFUNCTION("""COMPUTED_VALUE"""),121.59)</f>
        <v>121.59</v>
      </c>
      <c r="E1276" s="22">
        <f>IFERROR(__xludf.DUMMYFUNCTION("""COMPUTED_VALUE"""),43987.66666666667)</f>
        <v>43987.66667</v>
      </c>
      <c r="F1276" s="23">
        <f>IFERROR(__xludf.DUMMYFUNCTION("""COMPUTED_VALUE"""),23.53)</f>
        <v>23.53</v>
      </c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</row>
    <row r="1277">
      <c r="A1277" s="22">
        <f>IFERROR(__xludf.DUMMYFUNCTION("""COMPUTED_VALUE"""),43804.66666666667)</f>
        <v>43804.66667</v>
      </c>
      <c r="B1277" s="23">
        <f>IFERROR(__xludf.DUMMYFUNCTION("""COMPUTED_VALUE"""),80.62)</f>
        <v>80.62</v>
      </c>
      <c r="C1277" s="24">
        <f>IFERROR(__xludf.DUMMYFUNCTION("""COMPUTED_VALUE"""),45068.66666666667)</f>
        <v>45068.66667</v>
      </c>
      <c r="D1277" s="19">
        <f>IFERROR(__xludf.DUMMYFUNCTION("""COMPUTED_VALUE"""),121.33)</f>
        <v>121.33</v>
      </c>
      <c r="E1277" s="22">
        <f>IFERROR(__xludf.DUMMYFUNCTION("""COMPUTED_VALUE"""),43991.66666666667)</f>
        <v>43991.66667</v>
      </c>
      <c r="F1277" s="23">
        <f>IFERROR(__xludf.DUMMYFUNCTION("""COMPUTED_VALUE"""),24.06)</f>
        <v>24.06</v>
      </c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</row>
    <row r="1278">
      <c r="A1278" s="22">
        <f>IFERROR(__xludf.DUMMYFUNCTION("""COMPUTED_VALUE"""),43805.66666666667)</f>
        <v>43805.66667</v>
      </c>
      <c r="B1278" s="23">
        <f>IFERROR(__xludf.DUMMYFUNCTION("""COMPUTED_VALUE"""),80.81)</f>
        <v>80.81</v>
      </c>
      <c r="C1278" s="24">
        <f>IFERROR(__xludf.DUMMYFUNCTION("""COMPUTED_VALUE"""),45069.66666666667)</f>
        <v>45069.66667</v>
      </c>
      <c r="D1278" s="19">
        <f>IFERROR(__xludf.DUMMYFUNCTION("""COMPUTED_VALUE"""),121.25)</f>
        <v>121.25</v>
      </c>
      <c r="E1278" s="22">
        <f>IFERROR(__xludf.DUMMYFUNCTION("""COMPUTED_VALUE"""),43992.66666666667)</f>
        <v>43992.66667</v>
      </c>
      <c r="F1278" s="23">
        <f>IFERROR(__xludf.DUMMYFUNCTION("""COMPUTED_VALUE"""),24.31)</f>
        <v>24.31</v>
      </c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</row>
    <row r="1279">
      <c r="A1279" s="22">
        <f>IFERROR(__xludf.DUMMYFUNCTION("""COMPUTED_VALUE"""),43808.66666666667)</f>
        <v>43808.66667</v>
      </c>
      <c r="B1279" s="23">
        <f>IFERROR(__xludf.DUMMYFUNCTION("""COMPUTED_VALUE"""),81.36)</f>
        <v>81.36</v>
      </c>
      <c r="C1279" s="24">
        <f>IFERROR(__xludf.DUMMYFUNCTION("""COMPUTED_VALUE"""),45070.66666666667)</f>
        <v>45070.66667</v>
      </c>
      <c r="D1279" s="19">
        <f>IFERROR(__xludf.DUMMYFUNCTION("""COMPUTED_VALUE"""),120.44)</f>
        <v>120.44</v>
      </c>
      <c r="E1279" s="22">
        <f>IFERROR(__xludf.DUMMYFUNCTION("""COMPUTED_VALUE"""),43993.66666666667)</f>
        <v>43993.66667</v>
      </c>
      <c r="F1279" s="23">
        <f>IFERROR(__xludf.DUMMYFUNCTION("""COMPUTED_VALUE"""),24.52)</f>
        <v>24.52</v>
      </c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</row>
    <row r="1280">
      <c r="A1280" s="22">
        <f>IFERROR(__xludf.DUMMYFUNCTION("""COMPUTED_VALUE"""),43809.66666666667)</f>
        <v>43809.66667</v>
      </c>
      <c r="B1280" s="23">
        <f>IFERROR(__xludf.DUMMYFUNCTION("""COMPUTED_VALUE"""),81.25)</f>
        <v>81.25</v>
      </c>
      <c r="C1280" s="24">
        <f>IFERROR(__xludf.DUMMYFUNCTION("""COMPUTED_VALUE"""),45071.66666666667)</f>
        <v>45071.66667</v>
      </c>
      <c r="D1280" s="19">
        <f>IFERROR(__xludf.DUMMYFUNCTION("""COMPUTED_VALUE"""),119.23)</f>
        <v>119.23</v>
      </c>
      <c r="E1280" s="22">
        <f>IFERROR(__xludf.DUMMYFUNCTION("""COMPUTED_VALUE"""),43994.66666666667)</f>
        <v>43994.66667</v>
      </c>
      <c r="F1280" s="23">
        <f>IFERROR(__xludf.DUMMYFUNCTION("""COMPUTED_VALUE"""),24.03)</f>
        <v>24.03</v>
      </c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</row>
    <row r="1281">
      <c r="A1281" s="22">
        <f>IFERROR(__xludf.DUMMYFUNCTION("""COMPUTED_VALUE"""),43810.66666666667)</f>
        <v>43810.66667</v>
      </c>
      <c r="B1281" s="23">
        <f>IFERROR(__xludf.DUMMYFUNCTION("""COMPUTED_VALUE"""),81.33)</f>
        <v>81.33</v>
      </c>
      <c r="C1281" s="24">
        <f>IFERROR(__xludf.DUMMYFUNCTION("""COMPUTED_VALUE"""),45072.66666666667)</f>
        <v>45072.66667</v>
      </c>
      <c r="D1281" s="19">
        <f>IFERROR(__xludf.DUMMYFUNCTION("""COMPUTED_VALUE"""),119.5)</f>
        <v>119.5</v>
      </c>
      <c r="E1281" s="22">
        <f>IFERROR(__xludf.DUMMYFUNCTION("""COMPUTED_VALUE"""),43997.66666666667)</f>
        <v>43997.66667</v>
      </c>
      <c r="F1281" s="23">
        <f>IFERROR(__xludf.DUMMYFUNCTION("""COMPUTED_VALUE"""),23.53)</f>
        <v>23.53</v>
      </c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</row>
    <row r="1282">
      <c r="A1282" s="22">
        <f>IFERROR(__xludf.DUMMYFUNCTION("""COMPUTED_VALUE"""),43811.66666666667)</f>
        <v>43811.66667</v>
      </c>
      <c r="B1282" s="23">
        <f>IFERROR(__xludf.DUMMYFUNCTION("""COMPUTED_VALUE"""),80.95)</f>
        <v>80.95</v>
      </c>
      <c r="C1282" s="24">
        <f>IFERROR(__xludf.DUMMYFUNCTION("""COMPUTED_VALUE"""),45075.66666666667)</f>
        <v>45075.66667</v>
      </c>
      <c r="D1282" s="19">
        <f>IFERROR(__xludf.DUMMYFUNCTION("""COMPUTED_VALUE"""),120.6)</f>
        <v>120.6</v>
      </c>
      <c r="E1282" s="22">
        <f>IFERROR(__xludf.DUMMYFUNCTION("""COMPUTED_VALUE"""),43998.66666666667)</f>
        <v>43998.66667</v>
      </c>
      <c r="F1282" s="23">
        <f>IFERROR(__xludf.DUMMYFUNCTION("""COMPUTED_VALUE"""),24.24)</f>
        <v>24.24</v>
      </c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</row>
    <row r="1283">
      <c r="A1283" s="22">
        <f>IFERROR(__xludf.DUMMYFUNCTION("""COMPUTED_VALUE"""),43812.66666666667)</f>
        <v>43812.66667</v>
      </c>
      <c r="B1283" s="23">
        <f>IFERROR(__xludf.DUMMYFUNCTION("""COMPUTED_VALUE"""),81.4)</f>
        <v>81.4</v>
      </c>
      <c r="C1283" s="24">
        <f>IFERROR(__xludf.DUMMYFUNCTION("""COMPUTED_VALUE"""),45076.66666666667)</f>
        <v>45076.66667</v>
      </c>
      <c r="D1283" s="19">
        <f>IFERROR(__xludf.DUMMYFUNCTION("""COMPUTED_VALUE"""),120.45)</f>
        <v>120.45</v>
      </c>
      <c r="E1283" s="22">
        <f>IFERROR(__xludf.DUMMYFUNCTION("""COMPUTED_VALUE"""),43999.66666666667)</f>
        <v>43999.66667</v>
      </c>
      <c r="F1283" s="23">
        <f>IFERROR(__xludf.DUMMYFUNCTION("""COMPUTED_VALUE"""),24.6)</f>
        <v>24.6</v>
      </c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</row>
    <row r="1284">
      <c r="A1284" s="22">
        <f>IFERROR(__xludf.DUMMYFUNCTION("""COMPUTED_VALUE"""),43815.66666666667)</f>
        <v>43815.66667</v>
      </c>
      <c r="B1284" s="23">
        <f>IFERROR(__xludf.DUMMYFUNCTION("""COMPUTED_VALUE"""),82.09)</f>
        <v>82.09</v>
      </c>
      <c r="C1284" s="24">
        <f>IFERROR(__xludf.DUMMYFUNCTION("""COMPUTED_VALUE"""),45077.66666666667)</f>
        <v>45077.66667</v>
      </c>
      <c r="D1284" s="19">
        <f>IFERROR(__xludf.DUMMYFUNCTION("""COMPUTED_VALUE"""),118.45)</f>
        <v>118.45</v>
      </c>
      <c r="E1284" s="22">
        <f>IFERROR(__xludf.DUMMYFUNCTION("""COMPUTED_VALUE"""),44000.66666666667)</f>
        <v>44000.66667</v>
      </c>
      <c r="F1284" s="23">
        <f>IFERROR(__xludf.DUMMYFUNCTION("""COMPUTED_VALUE"""),24.62)</f>
        <v>24.62</v>
      </c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</row>
    <row r="1285">
      <c r="A1285" s="22">
        <f>IFERROR(__xludf.DUMMYFUNCTION("""COMPUTED_VALUE"""),43816.66666666667)</f>
        <v>43816.66667</v>
      </c>
      <c r="B1285" s="23">
        <f>IFERROR(__xludf.DUMMYFUNCTION("""COMPUTED_VALUE"""),82.45)</f>
        <v>82.45</v>
      </c>
      <c r="C1285" s="24">
        <f>IFERROR(__xludf.DUMMYFUNCTION("""COMPUTED_VALUE"""),45078.66666666667)</f>
        <v>45078.66667</v>
      </c>
      <c r="D1285" s="19">
        <f>IFERROR(__xludf.DUMMYFUNCTION("""COMPUTED_VALUE"""),118.82)</f>
        <v>118.82</v>
      </c>
      <c r="E1285" s="22">
        <f>IFERROR(__xludf.DUMMYFUNCTION("""COMPUTED_VALUE"""),44001.66666666667)</f>
        <v>44001.66667</v>
      </c>
      <c r="F1285" s="23">
        <f>IFERROR(__xludf.DUMMYFUNCTION("""COMPUTED_VALUE"""),24.85)</f>
        <v>24.85</v>
      </c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</row>
    <row r="1286">
      <c r="A1286" s="22">
        <f>IFERROR(__xludf.DUMMYFUNCTION("""COMPUTED_VALUE"""),43817.66666666667)</f>
        <v>43817.66667</v>
      </c>
      <c r="B1286" s="23">
        <f>IFERROR(__xludf.DUMMYFUNCTION("""COMPUTED_VALUE"""),82.55)</f>
        <v>82.55</v>
      </c>
      <c r="C1286" s="24">
        <f>IFERROR(__xludf.DUMMYFUNCTION("""COMPUTED_VALUE"""),45079.66666666667)</f>
        <v>45079.66667</v>
      </c>
      <c r="D1286" s="19">
        <f>IFERROR(__xludf.DUMMYFUNCTION("""COMPUTED_VALUE"""),119.36)</f>
        <v>119.36</v>
      </c>
      <c r="E1286" s="22">
        <f>IFERROR(__xludf.DUMMYFUNCTION("""COMPUTED_VALUE"""),44004.66666666667)</f>
        <v>44004.66667</v>
      </c>
      <c r="F1286" s="23">
        <f>IFERROR(__xludf.DUMMYFUNCTION("""COMPUTED_VALUE"""),24.69)</f>
        <v>24.69</v>
      </c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</row>
    <row r="1287">
      <c r="A1287" s="22">
        <f>IFERROR(__xludf.DUMMYFUNCTION("""COMPUTED_VALUE"""),43818.66666666667)</f>
        <v>43818.66667</v>
      </c>
      <c r="B1287" s="23">
        <f>IFERROR(__xludf.DUMMYFUNCTION("""COMPUTED_VALUE"""),82.21)</f>
        <v>82.21</v>
      </c>
      <c r="C1287" s="24">
        <f>IFERROR(__xludf.DUMMYFUNCTION("""COMPUTED_VALUE"""),45082.66666666667)</f>
        <v>45082.66667</v>
      </c>
      <c r="D1287" s="19">
        <f>IFERROR(__xludf.DUMMYFUNCTION("""COMPUTED_VALUE"""),120.52)</f>
        <v>120.52</v>
      </c>
      <c r="E1287" s="22">
        <f>IFERROR(__xludf.DUMMYFUNCTION("""COMPUTED_VALUE"""),44005.66666666667)</f>
        <v>44005.66667</v>
      </c>
      <c r="F1287" s="23">
        <f>IFERROR(__xludf.DUMMYFUNCTION("""COMPUTED_VALUE"""),24.89)</f>
        <v>24.89</v>
      </c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</row>
    <row r="1288">
      <c r="A1288" s="22">
        <f>IFERROR(__xludf.DUMMYFUNCTION("""COMPUTED_VALUE"""),43819.66666666667)</f>
        <v>43819.66667</v>
      </c>
      <c r="B1288" s="23">
        <f>IFERROR(__xludf.DUMMYFUNCTION("""COMPUTED_VALUE"""),82.36)</f>
        <v>82.36</v>
      </c>
      <c r="C1288" s="24">
        <f>IFERROR(__xludf.DUMMYFUNCTION("""COMPUTED_VALUE"""),45083.66666666667)</f>
        <v>45083.66667</v>
      </c>
      <c r="D1288" s="19">
        <f>IFERROR(__xludf.DUMMYFUNCTION("""COMPUTED_VALUE"""),119.09)</f>
        <v>119.09</v>
      </c>
      <c r="E1288" s="22">
        <f>IFERROR(__xludf.DUMMYFUNCTION("""COMPUTED_VALUE"""),44006.66666666667)</f>
        <v>44006.66667</v>
      </c>
      <c r="F1288" s="23">
        <f>IFERROR(__xludf.DUMMYFUNCTION("""COMPUTED_VALUE"""),25.03)</f>
        <v>25.03</v>
      </c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</row>
    <row r="1289">
      <c r="A1289" s="22">
        <f>IFERROR(__xludf.DUMMYFUNCTION("""COMPUTED_VALUE"""),43822.66666666667)</f>
        <v>43822.66667</v>
      </c>
      <c r="B1289" s="23">
        <f>IFERROR(__xludf.DUMMYFUNCTION("""COMPUTED_VALUE"""),82.41)</f>
        <v>82.41</v>
      </c>
      <c r="C1289" s="24">
        <f>IFERROR(__xludf.DUMMYFUNCTION("""COMPUTED_VALUE"""),45084.66666666667)</f>
        <v>45084.66667</v>
      </c>
      <c r="D1289" s="19">
        <f>IFERROR(__xludf.DUMMYFUNCTION("""COMPUTED_VALUE"""),118.94)</f>
        <v>118.94</v>
      </c>
      <c r="E1289" s="22">
        <f>IFERROR(__xludf.DUMMYFUNCTION("""COMPUTED_VALUE"""),44007.66666666667)</f>
        <v>44007.66667</v>
      </c>
      <c r="F1289" s="23">
        <f>IFERROR(__xludf.DUMMYFUNCTION("""COMPUTED_VALUE"""),24.72)</f>
        <v>24.72</v>
      </c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</row>
    <row r="1290">
      <c r="A1290" s="22">
        <f>IFERROR(__xludf.DUMMYFUNCTION("""COMPUTED_VALUE"""),43823.59027777778)</f>
        <v>43823.59028</v>
      </c>
      <c r="B1290" s="23">
        <f>IFERROR(__xludf.DUMMYFUNCTION("""COMPUTED_VALUE"""),82.31)</f>
        <v>82.31</v>
      </c>
      <c r="C1290" s="24">
        <f>IFERROR(__xludf.DUMMYFUNCTION("""COMPUTED_VALUE"""),45085.66666666667)</f>
        <v>45085.66667</v>
      </c>
      <c r="D1290" s="19">
        <f>IFERROR(__xludf.DUMMYFUNCTION("""COMPUTED_VALUE"""),118.57)</f>
        <v>118.57</v>
      </c>
      <c r="E1290" s="22">
        <f>IFERROR(__xludf.DUMMYFUNCTION("""COMPUTED_VALUE"""),44008.66666666667)</f>
        <v>44008.66667</v>
      </c>
      <c r="F1290" s="23">
        <f>IFERROR(__xludf.DUMMYFUNCTION("""COMPUTED_VALUE"""),24.92)</f>
        <v>24.92</v>
      </c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</row>
    <row r="1291">
      <c r="A1291" s="22">
        <f>IFERROR(__xludf.DUMMYFUNCTION("""COMPUTED_VALUE"""),43826.66666666667)</f>
        <v>43826.66667</v>
      </c>
      <c r="B1291" s="23">
        <f>IFERROR(__xludf.DUMMYFUNCTION("""COMPUTED_VALUE"""),82.51)</f>
        <v>82.51</v>
      </c>
      <c r="C1291" s="24">
        <f>IFERROR(__xludf.DUMMYFUNCTION("""COMPUTED_VALUE"""),45086.66666666667)</f>
        <v>45086.66667</v>
      </c>
      <c r="D1291" s="19">
        <f>IFERROR(__xludf.DUMMYFUNCTION("""COMPUTED_VALUE"""),118.97)</f>
        <v>118.97</v>
      </c>
      <c r="E1291" s="22">
        <f>IFERROR(__xludf.DUMMYFUNCTION("""COMPUTED_VALUE"""),44011.66666666667)</f>
        <v>44011.66667</v>
      </c>
      <c r="F1291" s="23">
        <f>IFERROR(__xludf.DUMMYFUNCTION("""COMPUTED_VALUE"""),24.26)</f>
        <v>24.26</v>
      </c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</row>
    <row r="1292">
      <c r="A1292" s="22">
        <f>IFERROR(__xludf.DUMMYFUNCTION("""COMPUTED_VALUE"""),43829.66666666667)</f>
        <v>43829.66667</v>
      </c>
      <c r="B1292" s="23">
        <f>IFERROR(__xludf.DUMMYFUNCTION("""COMPUTED_VALUE"""),82.02)</f>
        <v>82.02</v>
      </c>
      <c r="C1292" s="24">
        <f>IFERROR(__xludf.DUMMYFUNCTION("""COMPUTED_VALUE"""),45090.66666666667)</f>
        <v>45090.66667</v>
      </c>
      <c r="D1292" s="19">
        <f>IFERROR(__xludf.DUMMYFUNCTION("""COMPUTED_VALUE"""),119.27)</f>
        <v>119.27</v>
      </c>
      <c r="E1292" s="22">
        <f>IFERROR(__xludf.DUMMYFUNCTION("""COMPUTED_VALUE"""),44012.66666666667)</f>
        <v>44012.66667</v>
      </c>
      <c r="F1292" s="23">
        <f>IFERROR(__xludf.DUMMYFUNCTION("""COMPUTED_VALUE"""),24.73)</f>
        <v>24.73</v>
      </c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</row>
    <row r="1293">
      <c r="A1293" s="22">
        <f>IFERROR(__xludf.DUMMYFUNCTION("""COMPUTED_VALUE"""),43830.59027777778)</f>
        <v>43830.59028</v>
      </c>
      <c r="B1293" s="23">
        <f>IFERROR(__xludf.DUMMYFUNCTION("""COMPUTED_VALUE"""),81.51)</f>
        <v>81.51</v>
      </c>
      <c r="C1293" s="24">
        <f>IFERROR(__xludf.DUMMYFUNCTION("""COMPUTED_VALUE"""),45091.66666666667)</f>
        <v>45091.66667</v>
      </c>
      <c r="D1293" s="19">
        <f>IFERROR(__xludf.DUMMYFUNCTION("""COMPUTED_VALUE"""),119.68)</f>
        <v>119.68</v>
      </c>
      <c r="E1293" s="22">
        <f>IFERROR(__xludf.DUMMYFUNCTION("""COMPUTED_VALUE"""),44013.66666666667)</f>
        <v>44013.66667</v>
      </c>
      <c r="F1293" s="23">
        <f>IFERROR(__xludf.DUMMYFUNCTION("""COMPUTED_VALUE"""),24.31)</f>
        <v>24.31</v>
      </c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</row>
    <row r="1294">
      <c r="A1294" s="22">
        <f>IFERROR(__xludf.DUMMYFUNCTION("""COMPUTED_VALUE"""),43832.66666666667)</f>
        <v>43832.66667</v>
      </c>
      <c r="B1294" s="23">
        <f>IFERROR(__xludf.DUMMYFUNCTION("""COMPUTED_VALUE"""),81.77)</f>
        <v>81.77</v>
      </c>
      <c r="C1294" s="24">
        <f>IFERROR(__xludf.DUMMYFUNCTION("""COMPUTED_VALUE"""),45092.66666666667)</f>
        <v>45092.66667</v>
      </c>
      <c r="D1294" s="19">
        <f>IFERROR(__xludf.DUMMYFUNCTION("""COMPUTED_VALUE"""),119.93)</f>
        <v>119.93</v>
      </c>
      <c r="E1294" s="22">
        <f>IFERROR(__xludf.DUMMYFUNCTION("""COMPUTED_VALUE"""),44014.66666666667)</f>
        <v>44014.66667</v>
      </c>
      <c r="F1294" s="23">
        <f>IFERROR(__xludf.DUMMYFUNCTION("""COMPUTED_VALUE"""),24.66)</f>
        <v>24.66</v>
      </c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</row>
    <row r="1295">
      <c r="A1295" s="22">
        <f>IFERROR(__xludf.DUMMYFUNCTION("""COMPUTED_VALUE"""),43833.66666666667)</f>
        <v>43833.66667</v>
      </c>
      <c r="B1295" s="23">
        <f>IFERROR(__xludf.DUMMYFUNCTION("""COMPUTED_VALUE"""),81.68)</f>
        <v>81.68</v>
      </c>
      <c r="C1295" s="24">
        <f>IFERROR(__xludf.DUMMYFUNCTION("""COMPUTED_VALUE"""),45093.66666666667)</f>
        <v>45093.66667</v>
      </c>
      <c r="D1295" s="19">
        <f>IFERROR(__xludf.DUMMYFUNCTION("""COMPUTED_VALUE"""),121.24)</f>
        <v>121.24</v>
      </c>
      <c r="E1295" s="22">
        <f>IFERROR(__xludf.DUMMYFUNCTION("""COMPUTED_VALUE"""),44015.66666666667)</f>
        <v>44015.66667</v>
      </c>
      <c r="F1295" s="23">
        <f>IFERROR(__xludf.DUMMYFUNCTION("""COMPUTED_VALUE"""),24.8)</f>
        <v>24.8</v>
      </c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</row>
    <row r="1296">
      <c r="A1296" s="22">
        <f>IFERROR(__xludf.DUMMYFUNCTION("""COMPUTED_VALUE"""),43836.66666666667)</f>
        <v>43836.66667</v>
      </c>
      <c r="B1296" s="23">
        <f>IFERROR(__xludf.DUMMYFUNCTION("""COMPUTED_VALUE"""),81.73)</f>
        <v>81.73</v>
      </c>
      <c r="C1296" s="24">
        <f>IFERROR(__xludf.DUMMYFUNCTION("""COMPUTED_VALUE"""),45096.66666666667)</f>
        <v>45096.66667</v>
      </c>
      <c r="D1296" s="19">
        <f>IFERROR(__xludf.DUMMYFUNCTION("""COMPUTED_VALUE"""),121.84)</f>
        <v>121.84</v>
      </c>
      <c r="E1296" s="22">
        <f>IFERROR(__xludf.DUMMYFUNCTION("""COMPUTED_VALUE"""),44018.66666666667)</f>
        <v>44018.66667</v>
      </c>
      <c r="F1296" s="23">
        <f>IFERROR(__xludf.DUMMYFUNCTION("""COMPUTED_VALUE"""),24.92)</f>
        <v>24.92</v>
      </c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</row>
    <row r="1297">
      <c r="A1297" s="22">
        <f>IFERROR(__xludf.DUMMYFUNCTION("""COMPUTED_VALUE"""),43837.66666666667)</f>
        <v>43837.66667</v>
      </c>
      <c r="B1297" s="23">
        <f>IFERROR(__xludf.DUMMYFUNCTION("""COMPUTED_VALUE"""),82.57)</f>
        <v>82.57</v>
      </c>
      <c r="C1297" s="24">
        <f>IFERROR(__xludf.DUMMYFUNCTION("""COMPUTED_VALUE"""),45097.66666666667)</f>
        <v>45097.66667</v>
      </c>
      <c r="D1297" s="19">
        <f>IFERROR(__xludf.DUMMYFUNCTION("""COMPUTED_VALUE"""),122.96)</f>
        <v>122.96</v>
      </c>
      <c r="E1297" s="22">
        <f>IFERROR(__xludf.DUMMYFUNCTION("""COMPUTED_VALUE"""),44019.66666666667)</f>
        <v>44019.66667</v>
      </c>
      <c r="F1297" s="23">
        <f>IFERROR(__xludf.DUMMYFUNCTION("""COMPUTED_VALUE"""),25.21)</f>
        <v>25.21</v>
      </c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</row>
    <row r="1298">
      <c r="A1298" s="22">
        <f>IFERROR(__xludf.DUMMYFUNCTION("""COMPUTED_VALUE"""),43838.66666666667)</f>
        <v>43838.66667</v>
      </c>
      <c r="B1298" s="23">
        <f>IFERROR(__xludf.DUMMYFUNCTION("""COMPUTED_VALUE"""),82.48)</f>
        <v>82.48</v>
      </c>
      <c r="C1298" s="24">
        <f>IFERROR(__xludf.DUMMYFUNCTION("""COMPUTED_VALUE"""),45098.66666666667)</f>
        <v>45098.66667</v>
      </c>
      <c r="D1298" s="19">
        <f>IFERROR(__xludf.DUMMYFUNCTION("""COMPUTED_VALUE"""),122.22)</f>
        <v>122.22</v>
      </c>
      <c r="E1298" s="22">
        <f>IFERROR(__xludf.DUMMYFUNCTION("""COMPUTED_VALUE"""),44020.66666666667)</f>
        <v>44020.66667</v>
      </c>
      <c r="F1298" s="23">
        <f>IFERROR(__xludf.DUMMYFUNCTION("""COMPUTED_VALUE"""),25.11)</f>
        <v>25.11</v>
      </c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</row>
    <row r="1299">
      <c r="A1299" s="22">
        <f>IFERROR(__xludf.DUMMYFUNCTION("""COMPUTED_VALUE"""),43839.66666666667)</f>
        <v>43839.66667</v>
      </c>
      <c r="B1299" s="23">
        <f>IFERROR(__xludf.DUMMYFUNCTION("""COMPUTED_VALUE"""),83.43)</f>
        <v>83.43</v>
      </c>
      <c r="C1299" s="24">
        <f>IFERROR(__xludf.DUMMYFUNCTION("""COMPUTED_VALUE"""),45099.66666666667)</f>
        <v>45099.66667</v>
      </c>
      <c r="D1299" s="19">
        <f>IFERROR(__xludf.DUMMYFUNCTION("""COMPUTED_VALUE"""),120.19)</f>
        <v>120.19</v>
      </c>
      <c r="E1299" s="22">
        <f>IFERROR(__xludf.DUMMYFUNCTION("""COMPUTED_VALUE"""),44021.66666666667)</f>
        <v>44021.66667</v>
      </c>
      <c r="F1299" s="23">
        <f>IFERROR(__xludf.DUMMYFUNCTION("""COMPUTED_VALUE"""),25.31)</f>
        <v>25.31</v>
      </c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</row>
    <row r="1300">
      <c r="A1300" s="22">
        <f>IFERROR(__xludf.DUMMYFUNCTION("""COMPUTED_VALUE"""),43840.66666666667)</f>
        <v>43840.66667</v>
      </c>
      <c r="B1300" s="23">
        <f>IFERROR(__xludf.DUMMYFUNCTION("""COMPUTED_VALUE"""),83.75)</f>
        <v>83.75</v>
      </c>
      <c r="C1300" s="24">
        <f>IFERROR(__xludf.DUMMYFUNCTION("""COMPUTED_VALUE"""),45100.66666666667)</f>
        <v>45100.66667</v>
      </c>
      <c r="D1300" s="19">
        <f>IFERROR(__xludf.DUMMYFUNCTION("""COMPUTED_VALUE"""),118.61)</f>
        <v>118.61</v>
      </c>
      <c r="E1300" s="22">
        <f>IFERROR(__xludf.DUMMYFUNCTION("""COMPUTED_VALUE"""),44022.66666666667)</f>
        <v>44022.66667</v>
      </c>
      <c r="F1300" s="23">
        <f>IFERROR(__xludf.DUMMYFUNCTION("""COMPUTED_VALUE"""),25.53)</f>
        <v>25.53</v>
      </c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</row>
    <row r="1301">
      <c r="A1301" s="22">
        <f>IFERROR(__xludf.DUMMYFUNCTION("""COMPUTED_VALUE"""),43843.66666666667)</f>
        <v>43843.66667</v>
      </c>
      <c r="B1301" s="23">
        <f>IFERROR(__xludf.DUMMYFUNCTION("""COMPUTED_VALUE"""),83.02)</f>
        <v>83.02</v>
      </c>
      <c r="C1301" s="24">
        <f>IFERROR(__xludf.DUMMYFUNCTION("""COMPUTED_VALUE"""),45103.66666666667)</f>
        <v>45103.66667</v>
      </c>
      <c r="D1301" s="19">
        <f>IFERROR(__xludf.DUMMYFUNCTION("""COMPUTED_VALUE"""),118.22)</f>
        <v>118.22</v>
      </c>
      <c r="E1301" s="22">
        <f>IFERROR(__xludf.DUMMYFUNCTION("""COMPUTED_VALUE"""),44025.66666666667)</f>
        <v>44025.66667</v>
      </c>
      <c r="F1301" s="23">
        <f>IFERROR(__xludf.DUMMYFUNCTION("""COMPUTED_VALUE"""),25.92)</f>
        <v>25.92</v>
      </c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</row>
    <row r="1302">
      <c r="A1302" s="22">
        <f>IFERROR(__xludf.DUMMYFUNCTION("""COMPUTED_VALUE"""),43844.66666666667)</f>
        <v>43844.66667</v>
      </c>
      <c r="B1302" s="23">
        <f>IFERROR(__xludf.DUMMYFUNCTION("""COMPUTED_VALUE"""),83.55)</f>
        <v>83.55</v>
      </c>
      <c r="C1302" s="24">
        <f>IFERROR(__xludf.DUMMYFUNCTION("""COMPUTED_VALUE"""),45104.66666666667)</f>
        <v>45104.66667</v>
      </c>
      <c r="D1302" s="19">
        <f>IFERROR(__xludf.DUMMYFUNCTION("""COMPUTED_VALUE"""),118.96)</f>
        <v>118.96</v>
      </c>
      <c r="E1302" s="22">
        <f>IFERROR(__xludf.DUMMYFUNCTION("""COMPUTED_VALUE"""),44026.66666666667)</f>
        <v>44026.66667</v>
      </c>
      <c r="F1302" s="23">
        <f>IFERROR(__xludf.DUMMYFUNCTION("""COMPUTED_VALUE"""),25.38)</f>
        <v>25.38</v>
      </c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</row>
    <row r="1303">
      <c r="A1303" s="22">
        <f>IFERROR(__xludf.DUMMYFUNCTION("""COMPUTED_VALUE"""),43845.66666666667)</f>
        <v>43845.66667</v>
      </c>
      <c r="B1303" s="23">
        <f>IFERROR(__xludf.DUMMYFUNCTION("""COMPUTED_VALUE"""),83.39)</f>
        <v>83.39</v>
      </c>
      <c r="C1303" s="24">
        <f>IFERROR(__xludf.DUMMYFUNCTION("""COMPUTED_VALUE"""),45105.66666666667)</f>
        <v>45105.66667</v>
      </c>
      <c r="D1303" s="19">
        <f>IFERROR(__xludf.DUMMYFUNCTION("""COMPUTED_VALUE"""),120.26)</f>
        <v>120.26</v>
      </c>
      <c r="E1303" s="22">
        <f>IFERROR(__xludf.DUMMYFUNCTION("""COMPUTED_VALUE"""),44027.66666666667)</f>
        <v>44027.66667</v>
      </c>
      <c r="F1303" s="23">
        <f>IFERROR(__xludf.DUMMYFUNCTION("""COMPUTED_VALUE"""),25.34)</f>
        <v>25.34</v>
      </c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</row>
    <row r="1304">
      <c r="A1304" s="22">
        <f>IFERROR(__xludf.DUMMYFUNCTION("""COMPUTED_VALUE"""),43846.66666666667)</f>
        <v>43846.66667</v>
      </c>
      <c r="B1304" s="23">
        <f>IFERROR(__xludf.DUMMYFUNCTION("""COMPUTED_VALUE"""),83.68)</f>
        <v>83.68</v>
      </c>
      <c r="C1304" s="24">
        <f>IFERROR(__xludf.DUMMYFUNCTION("""COMPUTED_VALUE"""),45106.66666666667)</f>
        <v>45106.66667</v>
      </c>
      <c r="D1304" s="19">
        <f>IFERROR(__xludf.DUMMYFUNCTION("""COMPUTED_VALUE"""),120.42)</f>
        <v>120.42</v>
      </c>
      <c r="E1304" s="22">
        <f>IFERROR(__xludf.DUMMYFUNCTION("""COMPUTED_VALUE"""),44028.66666666667)</f>
        <v>44028.66667</v>
      </c>
      <c r="F1304" s="23">
        <f>IFERROR(__xludf.DUMMYFUNCTION("""COMPUTED_VALUE"""),25.12)</f>
        <v>25.12</v>
      </c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</row>
    <row r="1305">
      <c r="A1305" s="22">
        <f>IFERROR(__xludf.DUMMYFUNCTION("""COMPUTED_VALUE"""),43847.66666666667)</f>
        <v>43847.66667</v>
      </c>
      <c r="B1305" s="23">
        <f>IFERROR(__xludf.DUMMYFUNCTION("""COMPUTED_VALUE"""),84.21)</f>
        <v>84.21</v>
      </c>
      <c r="C1305" s="24">
        <f>IFERROR(__xludf.DUMMYFUNCTION("""COMPUTED_VALUE"""),45107.66666666667)</f>
        <v>45107.66667</v>
      </c>
      <c r="D1305" s="19">
        <f>IFERROR(__xludf.DUMMYFUNCTION("""COMPUTED_VALUE"""),120.53)</f>
        <v>120.53</v>
      </c>
      <c r="E1305" s="22">
        <f>IFERROR(__xludf.DUMMYFUNCTION("""COMPUTED_VALUE"""),44029.66666666667)</f>
        <v>44029.66667</v>
      </c>
      <c r="F1305" s="23">
        <f>IFERROR(__xludf.DUMMYFUNCTION("""COMPUTED_VALUE"""),25.14)</f>
        <v>25.14</v>
      </c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</row>
    <row r="1306">
      <c r="A1306" s="22">
        <f>IFERROR(__xludf.DUMMYFUNCTION("""COMPUTED_VALUE"""),43850.66666666667)</f>
        <v>43850.66667</v>
      </c>
      <c r="B1306" s="23">
        <f>IFERROR(__xludf.DUMMYFUNCTION("""COMPUTED_VALUE"""),84.58)</f>
        <v>84.58</v>
      </c>
      <c r="C1306" s="24">
        <f>IFERROR(__xludf.DUMMYFUNCTION("""COMPUTED_VALUE"""),45110.66666666667)</f>
        <v>45110.66667</v>
      </c>
      <c r="D1306" s="19">
        <f>IFERROR(__xludf.DUMMYFUNCTION("""COMPUTED_VALUE"""),120.41)</f>
        <v>120.41</v>
      </c>
      <c r="E1306" s="22">
        <f>IFERROR(__xludf.DUMMYFUNCTION("""COMPUTED_VALUE"""),44032.66666666667)</f>
        <v>44032.66667</v>
      </c>
      <c r="F1306" s="23">
        <f>IFERROR(__xludf.DUMMYFUNCTION("""COMPUTED_VALUE"""),25.09)</f>
        <v>25.09</v>
      </c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</row>
    <row r="1307">
      <c r="A1307" s="22">
        <f>IFERROR(__xludf.DUMMYFUNCTION("""COMPUTED_VALUE"""),43851.66666666667)</f>
        <v>43851.66667</v>
      </c>
      <c r="B1307" s="23">
        <f>IFERROR(__xludf.DUMMYFUNCTION("""COMPUTED_VALUE"""),84.4)</f>
        <v>84.4</v>
      </c>
      <c r="C1307" s="24">
        <f>IFERROR(__xludf.DUMMYFUNCTION("""COMPUTED_VALUE"""),45111.66666666667)</f>
        <v>45111.66667</v>
      </c>
      <c r="D1307" s="19">
        <f>IFERROR(__xludf.DUMMYFUNCTION("""COMPUTED_VALUE"""),120.97)</f>
        <v>120.97</v>
      </c>
      <c r="E1307" s="22">
        <f>IFERROR(__xludf.DUMMYFUNCTION("""COMPUTED_VALUE"""),44033.66666666667)</f>
        <v>44033.66667</v>
      </c>
      <c r="F1307" s="23">
        <f>IFERROR(__xludf.DUMMYFUNCTION("""COMPUTED_VALUE"""),26.01)</f>
        <v>26.01</v>
      </c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</row>
    <row r="1308">
      <c r="A1308" s="22">
        <f>IFERROR(__xludf.DUMMYFUNCTION("""COMPUTED_VALUE"""),43852.66666666667)</f>
        <v>43852.66667</v>
      </c>
      <c r="B1308" s="23">
        <f>IFERROR(__xludf.DUMMYFUNCTION("""COMPUTED_VALUE"""),85.24)</f>
        <v>85.24</v>
      </c>
      <c r="C1308" s="24">
        <f>IFERROR(__xludf.DUMMYFUNCTION("""COMPUTED_VALUE"""),45112.66666666667)</f>
        <v>45112.66667</v>
      </c>
      <c r="D1308" s="19">
        <f>IFERROR(__xludf.DUMMYFUNCTION("""COMPUTED_VALUE"""),120.53)</f>
        <v>120.53</v>
      </c>
      <c r="E1308" s="22">
        <f>IFERROR(__xludf.DUMMYFUNCTION("""COMPUTED_VALUE"""),44034.66666666667)</f>
        <v>44034.66667</v>
      </c>
      <c r="F1308" s="23">
        <f>IFERROR(__xludf.DUMMYFUNCTION("""COMPUTED_VALUE"""),25.18)</f>
        <v>25.18</v>
      </c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</row>
    <row r="1309">
      <c r="A1309" s="22">
        <f>IFERROR(__xludf.DUMMYFUNCTION("""COMPUTED_VALUE"""),43853.66666666667)</f>
        <v>43853.66667</v>
      </c>
      <c r="B1309" s="23">
        <f>IFERROR(__xludf.DUMMYFUNCTION("""COMPUTED_VALUE"""),84.42)</f>
        <v>84.42</v>
      </c>
      <c r="C1309" s="24">
        <f>IFERROR(__xludf.DUMMYFUNCTION("""COMPUTED_VALUE"""),45113.66666666667)</f>
        <v>45113.66667</v>
      </c>
      <c r="D1309" s="19">
        <f>IFERROR(__xludf.DUMMYFUNCTION("""COMPUTED_VALUE"""),119.01)</f>
        <v>119.01</v>
      </c>
      <c r="E1309" s="22">
        <f>IFERROR(__xludf.DUMMYFUNCTION("""COMPUTED_VALUE"""),44035.66666666667)</f>
        <v>44035.66667</v>
      </c>
      <c r="F1309" s="23">
        <f>IFERROR(__xludf.DUMMYFUNCTION("""COMPUTED_VALUE"""),25.18)</f>
        <v>25.18</v>
      </c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</row>
    <row r="1310">
      <c r="A1310" s="22">
        <f>IFERROR(__xludf.DUMMYFUNCTION("""COMPUTED_VALUE"""),43854.66666666667)</f>
        <v>43854.66667</v>
      </c>
      <c r="B1310" s="23">
        <f>IFERROR(__xludf.DUMMYFUNCTION("""COMPUTED_VALUE"""),84.9)</f>
        <v>84.9</v>
      </c>
      <c r="C1310" s="24">
        <f>IFERROR(__xludf.DUMMYFUNCTION("""COMPUTED_VALUE"""),45114.66666666667)</f>
        <v>45114.66667</v>
      </c>
      <c r="D1310" s="19">
        <f>IFERROR(__xludf.DUMMYFUNCTION("""COMPUTED_VALUE"""),117.06)</f>
        <v>117.06</v>
      </c>
      <c r="E1310" s="22">
        <f>IFERROR(__xludf.DUMMYFUNCTION("""COMPUTED_VALUE"""),44036.66666666667)</f>
        <v>44036.66667</v>
      </c>
      <c r="F1310" s="23">
        <f>IFERROR(__xludf.DUMMYFUNCTION("""COMPUTED_VALUE"""),24.5)</f>
        <v>24.5</v>
      </c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</row>
    <row r="1311">
      <c r="A1311" s="22">
        <f>IFERROR(__xludf.DUMMYFUNCTION("""COMPUTED_VALUE"""),43858.66666666667)</f>
        <v>43858.66667</v>
      </c>
      <c r="B1311" s="23">
        <f>IFERROR(__xludf.DUMMYFUNCTION("""COMPUTED_VALUE"""),84.34)</f>
        <v>84.34</v>
      </c>
      <c r="C1311" s="24">
        <f>IFERROR(__xludf.DUMMYFUNCTION("""COMPUTED_VALUE"""),45117.66666666667)</f>
        <v>45117.66667</v>
      </c>
      <c r="D1311" s="19">
        <f>IFERROR(__xludf.DUMMYFUNCTION("""COMPUTED_VALUE"""),116.45)</f>
        <v>116.45</v>
      </c>
      <c r="E1311" s="22">
        <f>IFERROR(__xludf.DUMMYFUNCTION("""COMPUTED_VALUE"""),44039.66666666667)</f>
        <v>44039.66667</v>
      </c>
      <c r="F1311" s="23">
        <f>IFERROR(__xludf.DUMMYFUNCTION("""COMPUTED_VALUE"""),24.46)</f>
        <v>24.46</v>
      </c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</row>
    <row r="1312">
      <c r="A1312" s="22">
        <f>IFERROR(__xludf.DUMMYFUNCTION("""COMPUTED_VALUE"""),43859.66666666667)</f>
        <v>43859.66667</v>
      </c>
      <c r="B1312" s="23">
        <f>IFERROR(__xludf.DUMMYFUNCTION("""COMPUTED_VALUE"""),84.8)</f>
        <v>84.8</v>
      </c>
      <c r="C1312" s="24">
        <f>IFERROR(__xludf.DUMMYFUNCTION("""COMPUTED_VALUE"""),45118.66666666667)</f>
        <v>45118.66667</v>
      </c>
      <c r="D1312" s="19">
        <f>IFERROR(__xludf.DUMMYFUNCTION("""COMPUTED_VALUE"""),117.93)</f>
        <v>117.93</v>
      </c>
      <c r="E1312" s="22">
        <f>IFERROR(__xludf.DUMMYFUNCTION("""COMPUTED_VALUE"""),44040.66666666667)</f>
        <v>44040.66667</v>
      </c>
      <c r="F1312" s="23">
        <f>IFERROR(__xludf.DUMMYFUNCTION("""COMPUTED_VALUE"""),24.8)</f>
        <v>24.8</v>
      </c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</row>
    <row r="1313">
      <c r="A1313" s="22">
        <f>IFERROR(__xludf.DUMMYFUNCTION("""COMPUTED_VALUE"""),43860.66666666667)</f>
        <v>43860.66667</v>
      </c>
      <c r="B1313" s="23">
        <f>IFERROR(__xludf.DUMMYFUNCTION("""COMPUTED_VALUE"""),84.5)</f>
        <v>84.5</v>
      </c>
      <c r="C1313" s="24">
        <f>IFERROR(__xludf.DUMMYFUNCTION("""COMPUTED_VALUE"""),45119.66666666667)</f>
        <v>45119.66667</v>
      </c>
      <c r="D1313" s="19">
        <f>IFERROR(__xludf.DUMMYFUNCTION("""COMPUTED_VALUE"""),118.66)</f>
        <v>118.66</v>
      </c>
      <c r="E1313" s="22">
        <f>IFERROR(__xludf.DUMMYFUNCTION("""COMPUTED_VALUE"""),44041.66666666667)</f>
        <v>44041.66667</v>
      </c>
      <c r="F1313" s="23">
        <f>IFERROR(__xludf.DUMMYFUNCTION("""COMPUTED_VALUE"""),24.38)</f>
        <v>24.38</v>
      </c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</row>
    <row r="1314">
      <c r="A1314" s="22">
        <f>IFERROR(__xludf.DUMMYFUNCTION("""COMPUTED_VALUE"""),43861.66666666667)</f>
        <v>43861.66667</v>
      </c>
      <c r="B1314" s="23">
        <f>IFERROR(__xludf.DUMMYFUNCTION("""COMPUTED_VALUE"""),85.49)</f>
        <v>85.49</v>
      </c>
      <c r="C1314" s="24">
        <f>IFERROR(__xludf.DUMMYFUNCTION("""COMPUTED_VALUE"""),45120.66666666667)</f>
        <v>45120.66667</v>
      </c>
      <c r="D1314" s="19">
        <f>IFERROR(__xludf.DUMMYFUNCTION("""COMPUTED_VALUE"""),120.43)</f>
        <v>120.43</v>
      </c>
      <c r="E1314" s="22">
        <f>IFERROR(__xludf.DUMMYFUNCTION("""COMPUTED_VALUE"""),44042.66666666667)</f>
        <v>44042.66667</v>
      </c>
      <c r="F1314" s="23">
        <f>IFERROR(__xludf.DUMMYFUNCTION("""COMPUTED_VALUE"""),24.7)</f>
        <v>24.7</v>
      </c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</row>
    <row r="1315">
      <c r="A1315" s="22">
        <f>IFERROR(__xludf.DUMMYFUNCTION("""COMPUTED_VALUE"""),43864.66666666667)</f>
        <v>43864.66667</v>
      </c>
      <c r="B1315" s="23">
        <f>IFERROR(__xludf.DUMMYFUNCTION("""COMPUTED_VALUE"""),84.61)</f>
        <v>84.61</v>
      </c>
      <c r="C1315" s="24">
        <f>IFERROR(__xludf.DUMMYFUNCTION("""COMPUTED_VALUE"""),45121.66666666667)</f>
        <v>45121.66667</v>
      </c>
      <c r="D1315" s="19">
        <f>IFERROR(__xludf.DUMMYFUNCTION("""COMPUTED_VALUE"""),121.39)</f>
        <v>121.39</v>
      </c>
      <c r="E1315" s="22">
        <f>IFERROR(__xludf.DUMMYFUNCTION("""COMPUTED_VALUE"""),44043.66666666667)</f>
        <v>44043.66667</v>
      </c>
      <c r="F1315" s="23">
        <f>IFERROR(__xludf.DUMMYFUNCTION("""COMPUTED_VALUE"""),24.94)</f>
        <v>24.94</v>
      </c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</row>
    <row r="1316">
      <c r="A1316" s="22">
        <f>IFERROR(__xludf.DUMMYFUNCTION("""COMPUTED_VALUE"""),43865.66666666667)</f>
        <v>43865.66667</v>
      </c>
      <c r="B1316" s="23">
        <f>IFERROR(__xludf.DUMMYFUNCTION("""COMPUTED_VALUE"""),84.78)</f>
        <v>84.78</v>
      </c>
      <c r="C1316" s="24">
        <f>IFERROR(__xludf.DUMMYFUNCTION("""COMPUTED_VALUE"""),45124.66666666667)</f>
        <v>45124.66667</v>
      </c>
      <c r="D1316" s="19">
        <f>IFERROR(__xludf.DUMMYFUNCTION("""COMPUTED_VALUE"""),121.29)</f>
        <v>121.29</v>
      </c>
      <c r="E1316" s="22">
        <f>IFERROR(__xludf.DUMMYFUNCTION("""COMPUTED_VALUE"""),44046.66666666667)</f>
        <v>44046.66667</v>
      </c>
      <c r="F1316" s="23">
        <f>IFERROR(__xludf.DUMMYFUNCTION("""COMPUTED_VALUE"""),25.38)</f>
        <v>25.38</v>
      </c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</row>
    <row r="1317">
      <c r="A1317" s="22">
        <f>IFERROR(__xludf.DUMMYFUNCTION("""COMPUTED_VALUE"""),43866.66666666667)</f>
        <v>43866.66667</v>
      </c>
      <c r="B1317" s="23">
        <f>IFERROR(__xludf.DUMMYFUNCTION("""COMPUTED_VALUE"""),85.38)</f>
        <v>85.38</v>
      </c>
      <c r="C1317" s="24">
        <f>IFERROR(__xludf.DUMMYFUNCTION("""COMPUTED_VALUE"""),45125.66666666667)</f>
        <v>45125.66667</v>
      </c>
      <c r="D1317" s="19">
        <f>IFERROR(__xludf.DUMMYFUNCTION("""COMPUTED_VALUE"""),121.03)</f>
        <v>121.03</v>
      </c>
      <c r="E1317" s="22">
        <f>IFERROR(__xludf.DUMMYFUNCTION("""COMPUTED_VALUE"""),44047.66666666667)</f>
        <v>44047.66667</v>
      </c>
      <c r="F1317" s="23">
        <f>IFERROR(__xludf.DUMMYFUNCTION("""COMPUTED_VALUE"""),25.68)</f>
        <v>25.68</v>
      </c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</row>
    <row r="1318">
      <c r="A1318" s="22">
        <f>IFERROR(__xludf.DUMMYFUNCTION("""COMPUTED_VALUE"""),43867.66666666667)</f>
        <v>43867.66667</v>
      </c>
      <c r="B1318" s="23">
        <f>IFERROR(__xludf.DUMMYFUNCTION("""COMPUTED_VALUE"""),86.47)</f>
        <v>86.47</v>
      </c>
      <c r="C1318" s="24">
        <f>IFERROR(__xludf.DUMMYFUNCTION("""COMPUTED_VALUE"""),45126.66666666667)</f>
        <v>45126.66667</v>
      </c>
      <c r="D1318" s="19">
        <f>IFERROR(__xludf.DUMMYFUNCTION("""COMPUTED_VALUE"""),121.73)</f>
        <v>121.73</v>
      </c>
      <c r="E1318" s="22">
        <f>IFERROR(__xludf.DUMMYFUNCTION("""COMPUTED_VALUE"""),44048.66666666667)</f>
        <v>44048.66667</v>
      </c>
      <c r="F1318" s="23">
        <f>IFERROR(__xludf.DUMMYFUNCTION("""COMPUTED_VALUE"""),25.61)</f>
        <v>25.61</v>
      </c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</row>
    <row r="1319">
      <c r="A1319" s="22">
        <f>IFERROR(__xludf.DUMMYFUNCTION("""COMPUTED_VALUE"""),43868.66666666667)</f>
        <v>43868.66667</v>
      </c>
      <c r="B1319" s="23">
        <f>IFERROR(__xludf.DUMMYFUNCTION("""COMPUTED_VALUE"""),86.68)</f>
        <v>86.68</v>
      </c>
      <c r="C1319" s="24">
        <f>IFERROR(__xludf.DUMMYFUNCTION("""COMPUTED_VALUE"""),45127.66666666667)</f>
        <v>45127.66667</v>
      </c>
      <c r="D1319" s="19">
        <f>IFERROR(__xludf.DUMMYFUNCTION("""COMPUTED_VALUE"""),121.8)</f>
        <v>121.8</v>
      </c>
      <c r="E1319" s="22">
        <f>IFERROR(__xludf.DUMMYFUNCTION("""COMPUTED_VALUE"""),44049.66666666667)</f>
        <v>44049.66667</v>
      </c>
      <c r="F1319" s="23">
        <f>IFERROR(__xludf.DUMMYFUNCTION("""COMPUTED_VALUE"""),25.48)</f>
        <v>25.48</v>
      </c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</row>
    <row r="1320">
      <c r="A1320" s="22">
        <f>IFERROR(__xludf.DUMMYFUNCTION("""COMPUTED_VALUE"""),43871.66666666667)</f>
        <v>43871.66667</v>
      </c>
      <c r="B1320" s="23">
        <f>IFERROR(__xludf.DUMMYFUNCTION("""COMPUTED_VALUE"""),86.48)</f>
        <v>86.48</v>
      </c>
      <c r="C1320" s="24">
        <f>IFERROR(__xludf.DUMMYFUNCTION("""COMPUTED_VALUE"""),45128.66666666667)</f>
        <v>45128.66667</v>
      </c>
      <c r="D1320" s="19">
        <f>IFERROR(__xludf.DUMMYFUNCTION("""COMPUTED_VALUE"""),121.6)</f>
        <v>121.6</v>
      </c>
      <c r="E1320" s="22">
        <f>IFERROR(__xludf.DUMMYFUNCTION("""COMPUTED_VALUE"""),44050.66666666667)</f>
        <v>44050.66667</v>
      </c>
      <c r="F1320" s="23">
        <f>IFERROR(__xludf.DUMMYFUNCTION("""COMPUTED_VALUE"""),25.77)</f>
        <v>25.77</v>
      </c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</row>
    <row r="1321">
      <c r="A1321" s="22">
        <f>IFERROR(__xludf.DUMMYFUNCTION("""COMPUTED_VALUE"""),43872.66666666667)</f>
        <v>43872.66667</v>
      </c>
      <c r="B1321" s="23">
        <f>IFERROR(__xludf.DUMMYFUNCTION("""COMPUTED_VALUE"""),87.16)</f>
        <v>87.16</v>
      </c>
      <c r="C1321" s="24">
        <f>IFERROR(__xludf.DUMMYFUNCTION("""COMPUTED_VALUE"""),45131.66666666667)</f>
        <v>45131.66667</v>
      </c>
      <c r="D1321" s="19">
        <f>IFERROR(__xludf.DUMMYFUNCTION("""COMPUTED_VALUE"""),121.46)</f>
        <v>121.46</v>
      </c>
      <c r="E1321" s="22">
        <f>IFERROR(__xludf.DUMMYFUNCTION("""COMPUTED_VALUE"""),44053.66666666667)</f>
        <v>44053.66667</v>
      </c>
      <c r="F1321" s="23">
        <f>IFERROR(__xludf.DUMMYFUNCTION("""COMPUTED_VALUE"""),25.73)</f>
        <v>25.73</v>
      </c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</row>
    <row r="1322">
      <c r="A1322" s="22">
        <f>IFERROR(__xludf.DUMMYFUNCTION("""COMPUTED_VALUE"""),43873.66666666667)</f>
        <v>43873.66667</v>
      </c>
      <c r="B1322" s="23">
        <f>IFERROR(__xludf.DUMMYFUNCTION("""COMPUTED_VALUE"""),87.03)</f>
        <v>87.03</v>
      </c>
      <c r="C1322" s="24">
        <f>IFERROR(__xludf.DUMMYFUNCTION("""COMPUTED_VALUE"""),45132.66666666667)</f>
        <v>45132.66667</v>
      </c>
      <c r="D1322" s="19">
        <f>IFERROR(__xludf.DUMMYFUNCTION("""COMPUTED_VALUE"""),121.97)</f>
        <v>121.97</v>
      </c>
      <c r="E1322" s="22">
        <f>IFERROR(__xludf.DUMMYFUNCTION("""COMPUTED_VALUE"""),44054.66666666667)</f>
        <v>44054.66667</v>
      </c>
      <c r="F1322" s="23">
        <f>IFERROR(__xludf.DUMMYFUNCTION("""COMPUTED_VALUE"""),25.7)</f>
        <v>25.7</v>
      </c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</row>
    <row r="1323">
      <c r="A1323" s="22">
        <f>IFERROR(__xludf.DUMMYFUNCTION("""COMPUTED_VALUE"""),43874.66666666667)</f>
        <v>43874.66667</v>
      </c>
      <c r="B1323" s="23">
        <f>IFERROR(__xludf.DUMMYFUNCTION("""COMPUTED_VALUE"""),87.15)</f>
        <v>87.15</v>
      </c>
      <c r="C1323" s="24">
        <f>IFERROR(__xludf.DUMMYFUNCTION("""COMPUTED_VALUE"""),45133.66666666667)</f>
        <v>45133.66667</v>
      </c>
      <c r="D1323" s="19">
        <f>IFERROR(__xludf.DUMMYFUNCTION("""COMPUTED_VALUE"""),123.06)</f>
        <v>123.06</v>
      </c>
      <c r="E1323" s="22">
        <f>IFERROR(__xludf.DUMMYFUNCTION("""COMPUTED_VALUE"""),44055.66666666667)</f>
        <v>44055.66667</v>
      </c>
      <c r="F1323" s="23">
        <f>IFERROR(__xludf.DUMMYFUNCTION("""COMPUTED_VALUE"""),25.44)</f>
        <v>25.44</v>
      </c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</row>
    <row r="1324">
      <c r="A1324" s="22">
        <f>IFERROR(__xludf.DUMMYFUNCTION("""COMPUTED_VALUE"""),43875.66666666667)</f>
        <v>43875.66667</v>
      </c>
      <c r="B1324" s="23">
        <f>IFERROR(__xludf.DUMMYFUNCTION("""COMPUTED_VALUE"""),87.49)</f>
        <v>87.49</v>
      </c>
      <c r="C1324" s="24">
        <f>IFERROR(__xludf.DUMMYFUNCTION("""COMPUTED_VALUE"""),45134.66666666667)</f>
        <v>45134.66667</v>
      </c>
      <c r="D1324" s="19">
        <f>IFERROR(__xludf.DUMMYFUNCTION("""COMPUTED_VALUE"""),123.98)</f>
        <v>123.98</v>
      </c>
      <c r="E1324" s="22">
        <f>IFERROR(__xludf.DUMMYFUNCTION("""COMPUTED_VALUE"""),44056.66666666667)</f>
        <v>44056.66667</v>
      </c>
      <c r="F1324" s="23">
        <f>IFERROR(__xludf.DUMMYFUNCTION("""COMPUTED_VALUE"""),25.66)</f>
        <v>25.66</v>
      </c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</row>
    <row r="1325">
      <c r="A1325" s="22">
        <f>IFERROR(__xludf.DUMMYFUNCTION("""COMPUTED_VALUE"""),43878.66666666667)</f>
        <v>43878.66667</v>
      </c>
      <c r="B1325" s="23">
        <f>IFERROR(__xludf.DUMMYFUNCTION("""COMPUTED_VALUE"""),87.36)</f>
        <v>87.36</v>
      </c>
      <c r="C1325" s="24">
        <f>IFERROR(__xludf.DUMMYFUNCTION("""COMPUTED_VALUE"""),45135.66666666667)</f>
        <v>45135.66667</v>
      </c>
      <c r="D1325" s="19">
        <f>IFERROR(__xludf.DUMMYFUNCTION("""COMPUTED_VALUE"""),123.07)</f>
        <v>123.07</v>
      </c>
      <c r="E1325" s="22">
        <f>IFERROR(__xludf.DUMMYFUNCTION("""COMPUTED_VALUE"""),44057.66666666667)</f>
        <v>44057.66667</v>
      </c>
      <c r="F1325" s="23">
        <f>IFERROR(__xludf.DUMMYFUNCTION("""COMPUTED_VALUE"""),25.97)</f>
        <v>25.97</v>
      </c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</row>
    <row r="1326">
      <c r="A1326" s="22">
        <f>IFERROR(__xludf.DUMMYFUNCTION("""COMPUTED_VALUE"""),43879.66666666667)</f>
        <v>43879.66667</v>
      </c>
      <c r="B1326" s="23">
        <f>IFERROR(__xludf.DUMMYFUNCTION("""COMPUTED_VALUE"""),87.37)</f>
        <v>87.37</v>
      </c>
      <c r="C1326" s="24">
        <f>IFERROR(__xludf.DUMMYFUNCTION("""COMPUTED_VALUE"""),45138.66666666667)</f>
        <v>45138.66667</v>
      </c>
      <c r="D1326" s="19">
        <f>IFERROR(__xludf.DUMMYFUNCTION("""COMPUTED_VALUE"""),123.1)</f>
        <v>123.1</v>
      </c>
      <c r="E1326" s="22">
        <f>IFERROR(__xludf.DUMMYFUNCTION("""COMPUTED_VALUE"""),44060.66666666667)</f>
        <v>44060.66667</v>
      </c>
      <c r="F1326" s="23">
        <f>IFERROR(__xludf.DUMMYFUNCTION("""COMPUTED_VALUE"""),25.81)</f>
        <v>25.81</v>
      </c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</row>
    <row r="1327">
      <c r="A1327" s="22">
        <f>IFERROR(__xludf.DUMMYFUNCTION("""COMPUTED_VALUE"""),43880.66666666667)</f>
        <v>43880.66667</v>
      </c>
      <c r="B1327" s="23">
        <f>IFERROR(__xludf.DUMMYFUNCTION("""COMPUTED_VALUE"""),87.59)</f>
        <v>87.59</v>
      </c>
      <c r="C1327" s="24">
        <f>IFERROR(__xludf.DUMMYFUNCTION("""COMPUTED_VALUE"""),45139.66666666667)</f>
        <v>45139.66667</v>
      </c>
      <c r="D1327" s="19">
        <f>IFERROR(__xludf.DUMMYFUNCTION("""COMPUTED_VALUE"""),123.83)</f>
        <v>123.83</v>
      </c>
      <c r="E1327" s="22">
        <f>IFERROR(__xludf.DUMMYFUNCTION("""COMPUTED_VALUE"""),44061.66666666667)</f>
        <v>44061.66667</v>
      </c>
      <c r="F1327" s="23">
        <f>IFERROR(__xludf.DUMMYFUNCTION("""COMPUTED_VALUE"""),25.89)</f>
        <v>25.89</v>
      </c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</row>
    <row r="1328">
      <c r="A1328" s="22">
        <f>IFERROR(__xludf.DUMMYFUNCTION("""COMPUTED_VALUE"""),43881.66666666667)</f>
        <v>43881.66667</v>
      </c>
      <c r="B1328" s="23">
        <f>IFERROR(__xludf.DUMMYFUNCTION("""COMPUTED_VALUE"""),88.14)</f>
        <v>88.14</v>
      </c>
      <c r="C1328" s="24">
        <f>IFERROR(__xludf.DUMMYFUNCTION("""COMPUTED_VALUE"""),45140.66666666667)</f>
        <v>45140.66667</v>
      </c>
      <c r="D1328" s="19">
        <f>IFERROR(__xludf.DUMMYFUNCTION("""COMPUTED_VALUE"""),122.19)</f>
        <v>122.19</v>
      </c>
      <c r="E1328" s="22">
        <f>IFERROR(__xludf.DUMMYFUNCTION("""COMPUTED_VALUE"""),44062.66666666667)</f>
        <v>44062.66667</v>
      </c>
      <c r="F1328" s="23">
        <f>IFERROR(__xludf.DUMMYFUNCTION("""COMPUTED_VALUE"""),26.08)</f>
        <v>26.08</v>
      </c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</row>
    <row r="1329">
      <c r="A1329" s="22">
        <f>IFERROR(__xludf.DUMMYFUNCTION("""COMPUTED_VALUE"""),43882.66666666667)</f>
        <v>43882.66667</v>
      </c>
      <c r="B1329" s="23">
        <f>IFERROR(__xludf.DUMMYFUNCTION("""COMPUTED_VALUE"""),88.24)</f>
        <v>88.24</v>
      </c>
      <c r="C1329" s="24">
        <f>IFERROR(__xludf.DUMMYFUNCTION("""COMPUTED_VALUE"""),45141.66666666667)</f>
        <v>45141.66667</v>
      </c>
      <c r="D1329" s="19">
        <f>IFERROR(__xludf.DUMMYFUNCTION("""COMPUTED_VALUE"""),121.24)</f>
        <v>121.24</v>
      </c>
      <c r="E1329" s="22">
        <f>IFERROR(__xludf.DUMMYFUNCTION("""COMPUTED_VALUE"""),44063.66666666667)</f>
        <v>44063.66667</v>
      </c>
      <c r="F1329" s="23">
        <f>IFERROR(__xludf.DUMMYFUNCTION("""COMPUTED_VALUE"""),26.05)</f>
        <v>26.05</v>
      </c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</row>
    <row r="1330">
      <c r="A1330" s="22">
        <f>IFERROR(__xludf.DUMMYFUNCTION("""COMPUTED_VALUE"""),43885.66666666667)</f>
        <v>43885.66667</v>
      </c>
      <c r="B1330" s="23">
        <f>IFERROR(__xludf.DUMMYFUNCTION("""COMPUTED_VALUE"""),86.43)</f>
        <v>86.43</v>
      </c>
      <c r="C1330" s="24">
        <f>IFERROR(__xludf.DUMMYFUNCTION("""COMPUTED_VALUE"""),45142.66666666667)</f>
        <v>45142.66667</v>
      </c>
      <c r="D1330" s="19">
        <f>IFERROR(__xludf.DUMMYFUNCTION("""COMPUTED_VALUE"""),121.72)</f>
        <v>121.72</v>
      </c>
      <c r="E1330" s="22">
        <f>IFERROR(__xludf.DUMMYFUNCTION("""COMPUTED_VALUE"""),44064.66666666667)</f>
        <v>44064.66667</v>
      </c>
      <c r="F1330" s="23">
        <f>IFERROR(__xludf.DUMMYFUNCTION("""COMPUTED_VALUE"""),26.45)</f>
        <v>26.45</v>
      </c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</row>
    <row r="1331">
      <c r="A1331" s="22">
        <f>IFERROR(__xludf.DUMMYFUNCTION("""COMPUTED_VALUE"""),43886.66666666667)</f>
        <v>43886.66667</v>
      </c>
      <c r="B1331" s="23">
        <f>IFERROR(__xludf.DUMMYFUNCTION("""COMPUTED_VALUE"""),85.47)</f>
        <v>85.47</v>
      </c>
      <c r="C1331" s="24">
        <f>IFERROR(__xludf.DUMMYFUNCTION("""COMPUTED_VALUE"""),45145.66666666667)</f>
        <v>45145.66667</v>
      </c>
      <c r="D1331" s="19">
        <f>IFERROR(__xludf.DUMMYFUNCTION("""COMPUTED_VALUE"""),121.47)</f>
        <v>121.47</v>
      </c>
      <c r="E1331" s="22">
        <f>IFERROR(__xludf.DUMMYFUNCTION("""COMPUTED_VALUE"""),44067.66666666667)</f>
        <v>44067.66667</v>
      </c>
      <c r="F1331" s="23">
        <f>IFERROR(__xludf.DUMMYFUNCTION("""COMPUTED_VALUE"""),26.81)</f>
        <v>26.81</v>
      </c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</row>
    <row r="1332">
      <c r="A1332" s="22">
        <f>IFERROR(__xludf.DUMMYFUNCTION("""COMPUTED_VALUE"""),43887.66666666667)</f>
        <v>43887.66667</v>
      </c>
      <c r="B1332" s="23">
        <f>IFERROR(__xludf.DUMMYFUNCTION("""COMPUTED_VALUE"""),83.29)</f>
        <v>83.29</v>
      </c>
      <c r="C1332" s="24">
        <f>IFERROR(__xludf.DUMMYFUNCTION("""COMPUTED_VALUE"""),45146.66666666667)</f>
        <v>45146.66667</v>
      </c>
      <c r="D1332" s="19">
        <f>IFERROR(__xludf.DUMMYFUNCTION("""COMPUTED_VALUE"""),121.4)</f>
        <v>121.4</v>
      </c>
      <c r="E1332" s="22">
        <f>IFERROR(__xludf.DUMMYFUNCTION("""COMPUTED_VALUE"""),44068.66666666667)</f>
        <v>44068.66667</v>
      </c>
      <c r="F1332" s="23">
        <f>IFERROR(__xludf.DUMMYFUNCTION("""COMPUTED_VALUE"""),26.98)</f>
        <v>26.98</v>
      </c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</row>
    <row r="1333">
      <c r="A1333" s="22">
        <f>IFERROR(__xludf.DUMMYFUNCTION("""COMPUTED_VALUE"""),43888.66666666667)</f>
        <v>43888.66667</v>
      </c>
      <c r="B1333" s="23">
        <f>IFERROR(__xludf.DUMMYFUNCTION("""COMPUTED_VALUE"""),81.79)</f>
        <v>81.79</v>
      </c>
      <c r="C1333" s="24">
        <f>IFERROR(__xludf.DUMMYFUNCTION("""COMPUTED_VALUE"""),45147.66666666667)</f>
        <v>45147.66667</v>
      </c>
      <c r="D1333" s="19">
        <f>IFERROR(__xludf.DUMMYFUNCTION("""COMPUTED_VALUE"""),122.0)</f>
        <v>122</v>
      </c>
      <c r="E1333" s="22">
        <f>IFERROR(__xludf.DUMMYFUNCTION("""COMPUTED_VALUE"""),44069.66666666667)</f>
        <v>44069.66667</v>
      </c>
      <c r="F1333" s="23">
        <f>IFERROR(__xludf.DUMMYFUNCTION("""COMPUTED_VALUE"""),27.03)</f>
        <v>27.03</v>
      </c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</row>
    <row r="1334">
      <c r="A1334" s="22">
        <f>IFERROR(__xludf.DUMMYFUNCTION("""COMPUTED_VALUE"""),43889.66666666667)</f>
        <v>43889.66667</v>
      </c>
      <c r="B1334" s="23">
        <f>IFERROR(__xludf.DUMMYFUNCTION("""COMPUTED_VALUE"""),78.76)</f>
        <v>78.76</v>
      </c>
      <c r="C1334" s="24">
        <f>IFERROR(__xludf.DUMMYFUNCTION("""COMPUTED_VALUE"""),45148.66666666667)</f>
        <v>45148.66667</v>
      </c>
      <c r="D1334" s="19">
        <f>IFERROR(__xludf.DUMMYFUNCTION("""COMPUTED_VALUE"""),122.3)</f>
        <v>122.3</v>
      </c>
      <c r="E1334" s="22">
        <f>IFERROR(__xludf.DUMMYFUNCTION("""COMPUTED_VALUE"""),44070.66666666667)</f>
        <v>44070.66667</v>
      </c>
      <c r="F1334" s="23">
        <f>IFERROR(__xludf.DUMMYFUNCTION("""COMPUTED_VALUE"""),27.39)</f>
        <v>27.39</v>
      </c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</row>
    <row r="1335">
      <c r="A1335" s="22">
        <f>IFERROR(__xludf.DUMMYFUNCTION("""COMPUTED_VALUE"""),43892.66666666667)</f>
        <v>43892.66667</v>
      </c>
      <c r="B1335" s="23">
        <f>IFERROR(__xludf.DUMMYFUNCTION("""COMPUTED_VALUE"""),80.01)</f>
        <v>80.01</v>
      </c>
      <c r="C1335" s="24">
        <f>IFERROR(__xludf.DUMMYFUNCTION("""COMPUTED_VALUE"""),45149.66666666667)</f>
        <v>45149.66667</v>
      </c>
      <c r="D1335" s="19">
        <f>IFERROR(__xludf.DUMMYFUNCTION("""COMPUTED_VALUE"""),122.05)</f>
        <v>122.05</v>
      </c>
      <c r="E1335" s="22">
        <f>IFERROR(__xludf.DUMMYFUNCTION("""COMPUTED_VALUE"""),44071.66666666667)</f>
        <v>44071.66667</v>
      </c>
      <c r="F1335" s="23">
        <f>IFERROR(__xludf.DUMMYFUNCTION("""COMPUTED_VALUE"""),27.21)</f>
        <v>27.21</v>
      </c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</row>
    <row r="1336">
      <c r="A1336" s="22">
        <f>IFERROR(__xludf.DUMMYFUNCTION("""COMPUTED_VALUE"""),43893.66666666667)</f>
        <v>43893.66667</v>
      </c>
      <c r="B1336" s="23">
        <f>IFERROR(__xludf.DUMMYFUNCTION("""COMPUTED_VALUE"""),81.23)</f>
        <v>81.23</v>
      </c>
      <c r="C1336" s="24">
        <f>IFERROR(__xludf.DUMMYFUNCTION("""COMPUTED_VALUE"""),45152.66666666667)</f>
        <v>45152.66667</v>
      </c>
      <c r="D1336" s="19">
        <f>IFERROR(__xludf.DUMMYFUNCTION("""COMPUTED_VALUE"""),121.05)</f>
        <v>121.05</v>
      </c>
      <c r="E1336" s="22">
        <f>IFERROR(__xludf.DUMMYFUNCTION("""COMPUTED_VALUE"""),44074.66666666667)</f>
        <v>44074.66667</v>
      </c>
      <c r="F1336" s="23">
        <f>IFERROR(__xludf.DUMMYFUNCTION("""COMPUTED_VALUE"""),27.16)</f>
        <v>27.16</v>
      </c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</row>
    <row r="1337">
      <c r="A1337" s="22">
        <f>IFERROR(__xludf.DUMMYFUNCTION("""COMPUTED_VALUE"""),43894.66666666667)</f>
        <v>43894.66667</v>
      </c>
      <c r="B1337" s="23">
        <f>IFERROR(__xludf.DUMMYFUNCTION("""COMPUTED_VALUE"""),80.32)</f>
        <v>80.32</v>
      </c>
      <c r="C1337" s="24">
        <f>IFERROR(__xludf.DUMMYFUNCTION("""COMPUTED_VALUE"""),45153.66666666667)</f>
        <v>45153.66667</v>
      </c>
      <c r="D1337" s="19">
        <f>IFERROR(__xludf.DUMMYFUNCTION("""COMPUTED_VALUE"""),121.36)</f>
        <v>121.36</v>
      </c>
      <c r="E1337" s="22">
        <f>IFERROR(__xludf.DUMMYFUNCTION("""COMPUTED_VALUE"""),44075.66666666667)</f>
        <v>44075.66667</v>
      </c>
      <c r="F1337" s="23">
        <f>IFERROR(__xludf.DUMMYFUNCTION("""COMPUTED_VALUE"""),27.19)</f>
        <v>27.19</v>
      </c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</row>
    <row r="1338">
      <c r="A1338" s="22">
        <f>IFERROR(__xludf.DUMMYFUNCTION("""COMPUTED_VALUE"""),43895.66666666667)</f>
        <v>43895.66667</v>
      </c>
      <c r="B1338" s="23">
        <f>IFERROR(__xludf.DUMMYFUNCTION("""COMPUTED_VALUE"""),81.36)</f>
        <v>81.36</v>
      </c>
      <c r="C1338" s="24">
        <f>IFERROR(__xludf.DUMMYFUNCTION("""COMPUTED_VALUE"""),45154.66666666667)</f>
        <v>45154.66667</v>
      </c>
      <c r="D1338" s="19">
        <f>IFERROR(__xludf.DUMMYFUNCTION("""COMPUTED_VALUE"""),119.87)</f>
        <v>119.87</v>
      </c>
      <c r="E1338" s="22">
        <f>IFERROR(__xludf.DUMMYFUNCTION("""COMPUTED_VALUE"""),44076.66666666667)</f>
        <v>44076.66667</v>
      </c>
      <c r="F1338" s="23">
        <f>IFERROR(__xludf.DUMMYFUNCTION("""COMPUTED_VALUE"""),27.88)</f>
        <v>27.88</v>
      </c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</row>
    <row r="1339">
      <c r="A1339" s="22">
        <f>IFERROR(__xludf.DUMMYFUNCTION("""COMPUTED_VALUE"""),43896.66666666667)</f>
        <v>43896.66667</v>
      </c>
      <c r="B1339" s="23">
        <f>IFERROR(__xludf.DUMMYFUNCTION("""COMPUTED_VALUE"""),78.99)</f>
        <v>78.99</v>
      </c>
      <c r="C1339" s="24">
        <f>IFERROR(__xludf.DUMMYFUNCTION("""COMPUTED_VALUE"""),45155.66666666667)</f>
        <v>45155.66667</v>
      </c>
      <c r="D1339" s="19">
        <f>IFERROR(__xludf.DUMMYFUNCTION("""COMPUTED_VALUE"""),119.01)</f>
        <v>119.01</v>
      </c>
      <c r="E1339" s="22">
        <f>IFERROR(__xludf.DUMMYFUNCTION("""COMPUTED_VALUE"""),44077.66666666667)</f>
        <v>44077.66667</v>
      </c>
      <c r="F1339" s="23">
        <f>IFERROR(__xludf.DUMMYFUNCTION("""COMPUTED_VALUE"""),28.11)</f>
        <v>28.11</v>
      </c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</row>
    <row r="1340">
      <c r="A1340" s="22">
        <f>IFERROR(__xludf.DUMMYFUNCTION("""COMPUTED_VALUE"""),43899.66666666667)</f>
        <v>43899.66667</v>
      </c>
      <c r="B1340" s="23">
        <f>IFERROR(__xludf.DUMMYFUNCTION("""COMPUTED_VALUE"""),75.49)</f>
        <v>75.49</v>
      </c>
      <c r="C1340" s="24">
        <f>IFERROR(__xludf.DUMMYFUNCTION("""COMPUTED_VALUE"""),45156.66666666667)</f>
        <v>45156.66667</v>
      </c>
      <c r="D1340" s="19">
        <f>IFERROR(__xludf.DUMMYFUNCTION("""COMPUTED_VALUE"""),119.15)</f>
        <v>119.15</v>
      </c>
      <c r="E1340" s="22">
        <f>IFERROR(__xludf.DUMMYFUNCTION("""COMPUTED_VALUE"""),44078.66666666667)</f>
        <v>44078.66667</v>
      </c>
      <c r="F1340" s="23">
        <f>IFERROR(__xludf.DUMMYFUNCTION("""COMPUTED_VALUE"""),26.62)</f>
        <v>26.62</v>
      </c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</row>
    <row r="1341">
      <c r="A1341" s="22">
        <f>IFERROR(__xludf.DUMMYFUNCTION("""COMPUTED_VALUE"""),43900.66666666667)</f>
        <v>43900.66667</v>
      </c>
      <c r="B1341" s="23">
        <f>IFERROR(__xludf.DUMMYFUNCTION("""COMPUTED_VALUE"""),75.48)</f>
        <v>75.48</v>
      </c>
      <c r="C1341" s="24">
        <f>IFERROR(__xludf.DUMMYFUNCTION("""COMPUTED_VALUE"""),45159.66666666667)</f>
        <v>45159.66667</v>
      </c>
      <c r="D1341" s="19">
        <f>IFERROR(__xludf.DUMMYFUNCTION("""COMPUTED_VALUE"""),118.62)</f>
        <v>118.62</v>
      </c>
      <c r="E1341" s="22">
        <f>IFERROR(__xludf.DUMMYFUNCTION("""COMPUTED_VALUE"""),44081.66666666667)</f>
        <v>44081.66667</v>
      </c>
      <c r="F1341" s="23">
        <f>IFERROR(__xludf.DUMMYFUNCTION("""COMPUTED_VALUE"""),25.97)</f>
        <v>25.97</v>
      </c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</row>
    <row r="1342">
      <c r="A1342" s="22">
        <f>IFERROR(__xludf.DUMMYFUNCTION("""COMPUTED_VALUE"""),43901.66666666667)</f>
        <v>43901.66667</v>
      </c>
      <c r="B1342" s="23">
        <f>IFERROR(__xludf.DUMMYFUNCTION("""COMPUTED_VALUE"""),74.74)</f>
        <v>74.74</v>
      </c>
      <c r="C1342" s="24">
        <f>IFERROR(__xludf.DUMMYFUNCTION("""COMPUTED_VALUE"""),45160.66666666667)</f>
        <v>45160.66667</v>
      </c>
      <c r="D1342" s="19">
        <f>IFERROR(__xludf.DUMMYFUNCTION("""COMPUTED_VALUE"""),118.69)</f>
        <v>118.69</v>
      </c>
      <c r="E1342" s="22">
        <f>IFERROR(__xludf.DUMMYFUNCTION("""COMPUTED_VALUE"""),44082.66666666667)</f>
        <v>44082.66667</v>
      </c>
      <c r="F1342" s="23">
        <f>IFERROR(__xludf.DUMMYFUNCTION("""COMPUTED_VALUE"""),26.22)</f>
        <v>26.22</v>
      </c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</row>
    <row r="1343">
      <c r="A1343" s="22">
        <f>IFERROR(__xludf.DUMMYFUNCTION("""COMPUTED_VALUE"""),43902.66666666667)</f>
        <v>43902.66667</v>
      </c>
      <c r="B1343" s="23">
        <f>IFERROR(__xludf.DUMMYFUNCTION("""COMPUTED_VALUE"""),71.65)</f>
        <v>71.65</v>
      </c>
      <c r="C1343" s="24">
        <f>IFERROR(__xludf.DUMMYFUNCTION("""COMPUTED_VALUE"""),45161.66666666667)</f>
        <v>45161.66667</v>
      </c>
      <c r="D1343" s="19">
        <f>IFERROR(__xludf.DUMMYFUNCTION("""COMPUTED_VALUE"""),119.18)</f>
        <v>119.18</v>
      </c>
      <c r="E1343" s="22">
        <f>IFERROR(__xludf.DUMMYFUNCTION("""COMPUTED_VALUE"""),44083.66666666667)</f>
        <v>44083.66667</v>
      </c>
      <c r="F1343" s="23">
        <f>IFERROR(__xludf.DUMMYFUNCTION("""COMPUTED_VALUE"""),25.61)</f>
        <v>25.61</v>
      </c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</row>
    <row r="1344">
      <c r="A1344" s="22">
        <f>IFERROR(__xludf.DUMMYFUNCTION("""COMPUTED_VALUE"""),43903.66666666667)</f>
        <v>43903.66667</v>
      </c>
      <c r="B1344" s="23">
        <f>IFERROR(__xludf.DUMMYFUNCTION("""COMPUTED_VALUE"""),68.88)</f>
        <v>68.88</v>
      </c>
      <c r="C1344" s="24">
        <f>IFERROR(__xludf.DUMMYFUNCTION("""COMPUTED_VALUE"""),45162.66666666667)</f>
        <v>45162.66667</v>
      </c>
      <c r="D1344" s="19">
        <f>IFERROR(__xludf.DUMMYFUNCTION("""COMPUTED_VALUE"""),119.78)</f>
        <v>119.78</v>
      </c>
      <c r="E1344" s="22">
        <f>IFERROR(__xludf.DUMMYFUNCTION("""COMPUTED_VALUE"""),44084.66666666667)</f>
        <v>44084.66667</v>
      </c>
      <c r="F1344" s="23">
        <f>IFERROR(__xludf.DUMMYFUNCTION("""COMPUTED_VALUE"""),26.0)</f>
        <v>26</v>
      </c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</row>
    <row r="1345">
      <c r="A1345" s="22">
        <f>IFERROR(__xludf.DUMMYFUNCTION("""COMPUTED_VALUE"""),43906.66666666667)</f>
        <v>43906.66667</v>
      </c>
      <c r="B1345" s="23">
        <f>IFERROR(__xludf.DUMMYFUNCTION("""COMPUTED_VALUE"""),69.87)</f>
        <v>69.87</v>
      </c>
      <c r="C1345" s="24">
        <f>IFERROR(__xludf.DUMMYFUNCTION("""COMPUTED_VALUE"""),45163.66666666667)</f>
        <v>45163.66667</v>
      </c>
      <c r="D1345" s="19">
        <f>IFERROR(__xludf.DUMMYFUNCTION("""COMPUTED_VALUE"""),118.66)</f>
        <v>118.66</v>
      </c>
      <c r="E1345" s="22">
        <f>IFERROR(__xludf.DUMMYFUNCTION("""COMPUTED_VALUE"""),44085.66666666667)</f>
        <v>44085.66667</v>
      </c>
      <c r="F1345" s="23">
        <f>IFERROR(__xludf.DUMMYFUNCTION("""COMPUTED_VALUE"""),25.67)</f>
        <v>25.67</v>
      </c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</row>
    <row r="1346">
      <c r="A1346" s="22">
        <f>IFERROR(__xludf.DUMMYFUNCTION("""COMPUTED_VALUE"""),43907.66666666667)</f>
        <v>43907.66667</v>
      </c>
      <c r="B1346" s="23">
        <f>IFERROR(__xludf.DUMMYFUNCTION("""COMPUTED_VALUE"""),70.49)</f>
        <v>70.49</v>
      </c>
      <c r="C1346" s="24">
        <f>IFERROR(__xludf.DUMMYFUNCTION("""COMPUTED_VALUE"""),45166.66666666667)</f>
        <v>45166.66667</v>
      </c>
      <c r="D1346" s="19">
        <f>IFERROR(__xludf.DUMMYFUNCTION("""COMPUTED_VALUE"""),119.49)</f>
        <v>119.49</v>
      </c>
      <c r="E1346" s="22">
        <f>IFERROR(__xludf.DUMMYFUNCTION("""COMPUTED_VALUE"""),44088.66666666667)</f>
        <v>44088.66667</v>
      </c>
      <c r="F1346" s="23">
        <f>IFERROR(__xludf.DUMMYFUNCTION("""COMPUTED_VALUE"""),25.55)</f>
        <v>25.55</v>
      </c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</row>
    <row r="1347">
      <c r="A1347" s="22">
        <f>IFERROR(__xludf.DUMMYFUNCTION("""COMPUTED_VALUE"""),43908.66666666667)</f>
        <v>43908.66667</v>
      </c>
      <c r="B1347" s="23">
        <f>IFERROR(__xludf.DUMMYFUNCTION("""COMPUTED_VALUE"""),69.2)</f>
        <v>69.2</v>
      </c>
      <c r="C1347" s="24">
        <f>IFERROR(__xludf.DUMMYFUNCTION("""COMPUTED_VALUE"""),45167.66666666667)</f>
        <v>45167.66667</v>
      </c>
      <c r="D1347" s="19">
        <f>IFERROR(__xludf.DUMMYFUNCTION("""COMPUTED_VALUE"""),120.34)</f>
        <v>120.34</v>
      </c>
      <c r="E1347" s="22">
        <f>IFERROR(__xludf.DUMMYFUNCTION("""COMPUTED_VALUE"""),44089.66666666667)</f>
        <v>44089.66667</v>
      </c>
      <c r="F1347" s="23">
        <f>IFERROR(__xludf.DUMMYFUNCTION("""COMPUTED_VALUE"""),25.61)</f>
        <v>25.61</v>
      </c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</row>
    <row r="1348">
      <c r="A1348" s="22">
        <f>IFERROR(__xludf.DUMMYFUNCTION("""COMPUTED_VALUE"""),43909.66666666667)</f>
        <v>43909.66667</v>
      </c>
      <c r="B1348" s="23">
        <f>IFERROR(__xludf.DUMMYFUNCTION("""COMPUTED_VALUE"""),70.52)</f>
        <v>70.52</v>
      </c>
      <c r="C1348" s="24">
        <f>IFERROR(__xludf.DUMMYFUNCTION("""COMPUTED_VALUE"""),45168.66666666667)</f>
        <v>45168.66667</v>
      </c>
      <c r="D1348" s="19">
        <f>IFERROR(__xludf.DUMMYFUNCTION("""COMPUTED_VALUE"""),121.91)</f>
        <v>121.91</v>
      </c>
      <c r="E1348" s="22">
        <f>IFERROR(__xludf.DUMMYFUNCTION("""COMPUTED_VALUE"""),44090.66666666667)</f>
        <v>44090.66667</v>
      </c>
      <c r="F1348" s="23">
        <f>IFERROR(__xludf.DUMMYFUNCTION("""COMPUTED_VALUE"""),26.0)</f>
        <v>26</v>
      </c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</row>
    <row r="1349">
      <c r="A1349" s="22">
        <f>IFERROR(__xludf.DUMMYFUNCTION("""COMPUTED_VALUE"""),43910.66666666667)</f>
        <v>43910.66667</v>
      </c>
      <c r="B1349" s="23">
        <f>IFERROR(__xludf.DUMMYFUNCTION("""COMPUTED_VALUE"""),70.72)</f>
        <v>70.72</v>
      </c>
      <c r="C1349" s="24">
        <f>IFERROR(__xludf.DUMMYFUNCTION("""COMPUTED_VALUE"""),45169.66666666667)</f>
        <v>45169.66667</v>
      </c>
      <c r="D1349" s="19">
        <f>IFERROR(__xludf.DUMMYFUNCTION("""COMPUTED_VALUE"""),122.2)</f>
        <v>122.2</v>
      </c>
      <c r="E1349" s="22">
        <f>IFERROR(__xludf.DUMMYFUNCTION("""COMPUTED_VALUE"""),44091.66666666667)</f>
        <v>44091.66667</v>
      </c>
      <c r="F1349" s="23">
        <f>IFERROR(__xludf.DUMMYFUNCTION("""COMPUTED_VALUE"""),25.26)</f>
        <v>25.26</v>
      </c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</row>
    <row r="1350">
      <c r="A1350" s="22">
        <f>IFERROR(__xludf.DUMMYFUNCTION("""COMPUTED_VALUE"""),43913.66666666667)</f>
        <v>43913.66667</v>
      </c>
      <c r="B1350" s="23">
        <f>IFERROR(__xludf.DUMMYFUNCTION("""COMPUTED_VALUE"""),67.6)</f>
        <v>67.6</v>
      </c>
      <c r="C1350" s="24">
        <f>IFERROR(__xludf.DUMMYFUNCTION("""COMPUTED_VALUE"""),45170.66666666667)</f>
        <v>45170.66667</v>
      </c>
      <c r="D1350" s="19">
        <f>IFERROR(__xludf.DUMMYFUNCTION("""COMPUTED_VALUE"""),121.85)</f>
        <v>121.85</v>
      </c>
      <c r="E1350" s="22">
        <f>IFERROR(__xludf.DUMMYFUNCTION("""COMPUTED_VALUE"""),44092.66666666667)</f>
        <v>44092.66667</v>
      </c>
      <c r="F1350" s="23">
        <f>IFERROR(__xludf.DUMMYFUNCTION("""COMPUTED_VALUE"""),25.22)</f>
        <v>25.22</v>
      </c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</row>
    <row r="1351">
      <c r="A1351" s="22">
        <f>IFERROR(__xludf.DUMMYFUNCTION("""COMPUTED_VALUE"""),43914.66666666667)</f>
        <v>43914.66667</v>
      </c>
      <c r="B1351" s="23">
        <f>IFERROR(__xludf.DUMMYFUNCTION("""COMPUTED_VALUE"""),67.68)</f>
        <v>67.68</v>
      </c>
      <c r="C1351" s="24">
        <f>IFERROR(__xludf.DUMMYFUNCTION("""COMPUTED_VALUE"""),45173.66666666667)</f>
        <v>45173.66667</v>
      </c>
      <c r="D1351" s="19">
        <f>IFERROR(__xludf.DUMMYFUNCTION("""COMPUTED_VALUE"""),122.68)</f>
        <v>122.68</v>
      </c>
      <c r="E1351" s="22">
        <f>IFERROR(__xludf.DUMMYFUNCTION("""COMPUTED_VALUE"""),44095.66666666667)</f>
        <v>44095.66667</v>
      </c>
      <c r="F1351" s="23">
        <f>IFERROR(__xludf.DUMMYFUNCTION("""COMPUTED_VALUE"""),24.66)</f>
        <v>24.66</v>
      </c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</row>
    <row r="1352">
      <c r="A1352" s="22">
        <f>IFERROR(__xludf.DUMMYFUNCTION("""COMPUTED_VALUE"""),43915.66666666667)</f>
        <v>43915.66667</v>
      </c>
      <c r="B1352" s="23">
        <f>IFERROR(__xludf.DUMMYFUNCTION("""COMPUTED_VALUE"""),70.45)</f>
        <v>70.45</v>
      </c>
      <c r="C1352" s="24">
        <f>IFERROR(__xludf.DUMMYFUNCTION("""COMPUTED_VALUE"""),45174.66666666667)</f>
        <v>45174.66667</v>
      </c>
      <c r="D1352" s="19">
        <f>IFERROR(__xludf.DUMMYFUNCTION("""COMPUTED_VALUE"""),122.57)</f>
        <v>122.57</v>
      </c>
      <c r="E1352" s="22">
        <f>IFERROR(__xludf.DUMMYFUNCTION("""COMPUTED_VALUE"""),44096.66666666667)</f>
        <v>44096.66667</v>
      </c>
      <c r="F1352" s="23">
        <f>IFERROR(__xludf.DUMMYFUNCTION("""COMPUTED_VALUE"""),25.18)</f>
        <v>25.18</v>
      </c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</row>
    <row r="1353">
      <c r="A1353" s="22">
        <f>IFERROR(__xludf.DUMMYFUNCTION("""COMPUTED_VALUE"""),43916.66666666667)</f>
        <v>43916.66667</v>
      </c>
      <c r="B1353" s="23">
        <f>IFERROR(__xludf.DUMMYFUNCTION("""COMPUTED_VALUE"""),72.65)</f>
        <v>72.65</v>
      </c>
      <c r="C1353" s="24">
        <f>IFERROR(__xludf.DUMMYFUNCTION("""COMPUTED_VALUE"""),45175.66666666667)</f>
        <v>45175.66667</v>
      </c>
      <c r="D1353" s="19">
        <f>IFERROR(__xludf.DUMMYFUNCTION("""COMPUTED_VALUE"""),121.74)</f>
        <v>121.74</v>
      </c>
      <c r="E1353" s="22">
        <f>IFERROR(__xludf.DUMMYFUNCTION("""COMPUTED_VALUE"""),44097.66666666667)</f>
        <v>44097.66667</v>
      </c>
      <c r="F1353" s="23">
        <f>IFERROR(__xludf.DUMMYFUNCTION("""COMPUTED_VALUE"""),25.92)</f>
        <v>25.92</v>
      </c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</row>
    <row r="1354">
      <c r="A1354" s="22">
        <f>IFERROR(__xludf.DUMMYFUNCTION("""COMPUTED_VALUE"""),43917.66666666667)</f>
        <v>43917.66667</v>
      </c>
      <c r="B1354" s="23">
        <f>IFERROR(__xludf.DUMMYFUNCTION("""COMPUTED_VALUE"""),73.5)</f>
        <v>73.5</v>
      </c>
      <c r="C1354" s="24">
        <f>IFERROR(__xludf.DUMMYFUNCTION("""COMPUTED_VALUE"""),45176.66666666667)</f>
        <v>45176.66667</v>
      </c>
      <c r="D1354" s="19">
        <f>IFERROR(__xludf.DUMMYFUNCTION("""COMPUTED_VALUE"""),120.65)</f>
        <v>120.65</v>
      </c>
      <c r="E1354" s="22">
        <f>IFERROR(__xludf.DUMMYFUNCTION("""COMPUTED_VALUE"""),44098.66666666667)</f>
        <v>44098.66667</v>
      </c>
      <c r="F1354" s="23">
        <f>IFERROR(__xludf.DUMMYFUNCTION("""COMPUTED_VALUE"""),25.37)</f>
        <v>25.37</v>
      </c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</row>
    <row r="1355">
      <c r="A1355" s="22">
        <f>IFERROR(__xludf.DUMMYFUNCTION("""COMPUTED_VALUE"""),43920.66666666667)</f>
        <v>43920.66667</v>
      </c>
      <c r="B1355" s="23">
        <f>IFERROR(__xludf.DUMMYFUNCTION("""COMPUTED_VALUE"""),72.02)</f>
        <v>72.02</v>
      </c>
      <c r="C1355" s="24">
        <f>IFERROR(__xludf.DUMMYFUNCTION("""COMPUTED_VALUE"""),45177.66666666667)</f>
        <v>45177.66667</v>
      </c>
      <c r="D1355" s="19">
        <f>IFERROR(__xludf.DUMMYFUNCTION("""COMPUTED_VALUE"""),120.43)</f>
        <v>120.43</v>
      </c>
      <c r="E1355" s="22">
        <f>IFERROR(__xludf.DUMMYFUNCTION("""COMPUTED_VALUE"""),44099.66666666667)</f>
        <v>44099.66667</v>
      </c>
      <c r="F1355" s="23">
        <f>IFERROR(__xludf.DUMMYFUNCTION("""COMPUTED_VALUE"""),25.66)</f>
        <v>25.66</v>
      </c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</row>
    <row r="1356">
      <c r="A1356" s="22">
        <f>IFERROR(__xludf.DUMMYFUNCTION("""COMPUTED_VALUE"""),43921.66666666667)</f>
        <v>43921.66667</v>
      </c>
      <c r="B1356" s="23">
        <f>IFERROR(__xludf.DUMMYFUNCTION("""COMPUTED_VALUE"""),72.99)</f>
        <v>72.99</v>
      </c>
      <c r="C1356" s="24">
        <f>IFERROR(__xludf.DUMMYFUNCTION("""COMPUTED_VALUE"""),45180.66666666667)</f>
        <v>45180.66667</v>
      </c>
      <c r="D1356" s="19">
        <f>IFERROR(__xludf.DUMMYFUNCTION("""COMPUTED_VALUE"""),121.12)</f>
        <v>121.12</v>
      </c>
      <c r="E1356" s="22">
        <f>IFERROR(__xludf.DUMMYFUNCTION("""COMPUTED_VALUE"""),44102.66666666667)</f>
        <v>44102.66667</v>
      </c>
      <c r="F1356" s="23">
        <f>IFERROR(__xludf.DUMMYFUNCTION("""COMPUTED_VALUE"""),26.34)</f>
        <v>26.34</v>
      </c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</row>
    <row r="1357">
      <c r="A1357" s="22">
        <f>IFERROR(__xludf.DUMMYFUNCTION("""COMPUTED_VALUE"""),43922.66666666667)</f>
        <v>43922.66667</v>
      </c>
      <c r="B1357" s="23">
        <f>IFERROR(__xludf.DUMMYFUNCTION("""COMPUTED_VALUE"""),71.69)</f>
        <v>71.69</v>
      </c>
      <c r="C1357" s="24">
        <f>IFERROR(__xludf.DUMMYFUNCTION("""COMPUTED_VALUE"""),45181.66666666667)</f>
        <v>45181.66667</v>
      </c>
      <c r="D1357" s="19">
        <f>IFERROR(__xludf.DUMMYFUNCTION("""COMPUTED_VALUE"""),121.3)</f>
        <v>121.3</v>
      </c>
      <c r="E1357" s="22">
        <f>IFERROR(__xludf.DUMMYFUNCTION("""COMPUTED_VALUE"""),44103.66666666667)</f>
        <v>44103.66667</v>
      </c>
      <c r="F1357" s="23">
        <f>IFERROR(__xludf.DUMMYFUNCTION("""COMPUTED_VALUE"""),26.72)</f>
        <v>26.72</v>
      </c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</row>
    <row r="1358">
      <c r="A1358" s="22">
        <f>IFERROR(__xludf.DUMMYFUNCTION("""COMPUTED_VALUE"""),43923.66666666667)</f>
        <v>43923.66667</v>
      </c>
      <c r="B1358" s="23">
        <f>IFERROR(__xludf.DUMMYFUNCTION("""COMPUTED_VALUE"""),70.95)</f>
        <v>70.95</v>
      </c>
      <c r="C1358" s="24">
        <f>IFERROR(__xludf.DUMMYFUNCTION("""COMPUTED_VALUE"""),45182.66666666667)</f>
        <v>45182.66667</v>
      </c>
      <c r="D1358" s="19">
        <f>IFERROR(__xludf.DUMMYFUNCTION("""COMPUTED_VALUE"""),120.47)</f>
        <v>120.47</v>
      </c>
      <c r="E1358" s="22">
        <f>IFERROR(__xludf.DUMMYFUNCTION("""COMPUTED_VALUE"""),44104.66666666667)</f>
        <v>44104.66667</v>
      </c>
      <c r="F1358" s="23">
        <f>IFERROR(__xludf.DUMMYFUNCTION("""COMPUTED_VALUE"""),26.11)</f>
        <v>26.11</v>
      </c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</row>
    <row r="1359">
      <c r="A1359" s="22">
        <f>IFERROR(__xludf.DUMMYFUNCTION("""COMPUTED_VALUE"""),43924.66666666667)</f>
        <v>43924.66667</v>
      </c>
      <c r="B1359" s="23">
        <f>IFERROR(__xludf.DUMMYFUNCTION("""COMPUTED_VALUE"""),70.95)</f>
        <v>70.95</v>
      </c>
      <c r="C1359" s="24">
        <f>IFERROR(__xludf.DUMMYFUNCTION("""COMPUTED_VALUE"""),45183.66666666667)</f>
        <v>45183.66667</v>
      </c>
      <c r="D1359" s="19">
        <f>IFERROR(__xludf.DUMMYFUNCTION("""COMPUTED_VALUE"""),121.1)</f>
        <v>121.1</v>
      </c>
      <c r="E1359" s="22">
        <f>IFERROR(__xludf.DUMMYFUNCTION("""COMPUTED_VALUE"""),44105.66666666667)</f>
        <v>44105.66667</v>
      </c>
      <c r="F1359" s="23">
        <f>IFERROR(__xludf.DUMMYFUNCTION("""COMPUTED_VALUE"""),26.47)</f>
        <v>26.47</v>
      </c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</row>
    <row r="1360">
      <c r="A1360" s="22">
        <f>IFERROR(__xludf.DUMMYFUNCTION("""COMPUTED_VALUE"""),43927.66666666667)</f>
        <v>43927.66667</v>
      </c>
      <c r="B1360" s="23">
        <f>IFERROR(__xludf.DUMMYFUNCTION("""COMPUTED_VALUE"""),73.99)</f>
        <v>73.99</v>
      </c>
      <c r="C1360" s="24">
        <f>IFERROR(__xludf.DUMMYFUNCTION("""COMPUTED_VALUE"""),45184.66666666667)</f>
        <v>45184.66667</v>
      </c>
      <c r="D1360" s="19">
        <f>IFERROR(__xludf.DUMMYFUNCTION("""COMPUTED_VALUE"""),122.64)</f>
        <v>122.64</v>
      </c>
      <c r="E1360" s="22">
        <f>IFERROR(__xludf.DUMMYFUNCTION("""COMPUTED_VALUE"""),44106.66666666667)</f>
        <v>44106.66667</v>
      </c>
      <c r="F1360" s="23">
        <f>IFERROR(__xludf.DUMMYFUNCTION("""COMPUTED_VALUE"""),26.36)</f>
        <v>26.36</v>
      </c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</row>
    <row r="1361">
      <c r="A1361" s="22">
        <f>IFERROR(__xludf.DUMMYFUNCTION("""COMPUTED_VALUE"""),43928.66666666667)</f>
        <v>43928.66667</v>
      </c>
      <c r="B1361" s="23">
        <f>IFERROR(__xludf.DUMMYFUNCTION("""COMPUTED_VALUE"""),74.64)</f>
        <v>74.64</v>
      </c>
      <c r="C1361" s="24">
        <f>IFERROR(__xludf.DUMMYFUNCTION("""COMPUTED_VALUE"""),45187.66666666667)</f>
        <v>45187.66667</v>
      </c>
      <c r="D1361" s="19">
        <f>IFERROR(__xludf.DUMMYFUNCTION("""COMPUTED_VALUE"""),121.81)</f>
        <v>121.81</v>
      </c>
      <c r="E1361" s="22">
        <f>IFERROR(__xludf.DUMMYFUNCTION("""COMPUTED_VALUE"""),44109.66666666667)</f>
        <v>44109.66667</v>
      </c>
      <c r="F1361" s="23">
        <f>IFERROR(__xludf.DUMMYFUNCTION("""COMPUTED_VALUE"""),26.18)</f>
        <v>26.18</v>
      </c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</row>
    <row r="1362">
      <c r="A1362" s="22">
        <f>IFERROR(__xludf.DUMMYFUNCTION("""COMPUTED_VALUE"""),43929.66666666667)</f>
        <v>43929.66667</v>
      </c>
      <c r="B1362" s="23">
        <f>IFERROR(__xludf.DUMMYFUNCTION("""COMPUTED_VALUE"""),74.28)</f>
        <v>74.28</v>
      </c>
      <c r="C1362" s="24">
        <f>IFERROR(__xludf.DUMMYFUNCTION("""COMPUTED_VALUE"""),45188.66666666667)</f>
        <v>45188.66667</v>
      </c>
      <c r="D1362" s="19">
        <f>IFERROR(__xludf.DUMMYFUNCTION("""COMPUTED_VALUE"""),121.29)</f>
        <v>121.29</v>
      </c>
      <c r="E1362" s="22">
        <f>IFERROR(__xludf.DUMMYFUNCTION("""COMPUTED_VALUE"""),44110.66666666667)</f>
        <v>44110.66667</v>
      </c>
      <c r="F1362" s="23">
        <f>IFERROR(__xludf.DUMMYFUNCTION("""COMPUTED_VALUE"""),26.42)</f>
        <v>26.42</v>
      </c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</row>
    <row r="1363">
      <c r="A1363" s="22">
        <f>IFERROR(__xludf.DUMMYFUNCTION("""COMPUTED_VALUE"""),43930.66666666667)</f>
        <v>43930.66667</v>
      </c>
      <c r="B1363" s="23">
        <f>IFERROR(__xludf.DUMMYFUNCTION("""COMPUTED_VALUE"""),75.69)</f>
        <v>75.69</v>
      </c>
      <c r="C1363" s="24">
        <f>IFERROR(__xludf.DUMMYFUNCTION("""COMPUTED_VALUE"""),45189.66666666667)</f>
        <v>45189.66667</v>
      </c>
      <c r="D1363" s="19">
        <f>IFERROR(__xludf.DUMMYFUNCTION("""COMPUTED_VALUE"""),120.65)</f>
        <v>120.65</v>
      </c>
      <c r="E1363" s="22">
        <f>IFERROR(__xludf.DUMMYFUNCTION("""COMPUTED_VALUE"""),44111.66666666667)</f>
        <v>44111.66667</v>
      </c>
      <c r="F1363" s="23">
        <f>IFERROR(__xludf.DUMMYFUNCTION("""COMPUTED_VALUE"""),26.29)</f>
        <v>26.29</v>
      </c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</row>
    <row r="1364">
      <c r="A1364" s="22">
        <f>IFERROR(__xludf.DUMMYFUNCTION("""COMPUTED_VALUE"""),43935.66666666667)</f>
        <v>43935.66667</v>
      </c>
      <c r="B1364" s="23">
        <f>IFERROR(__xludf.DUMMYFUNCTION("""COMPUTED_VALUE"""),74.73)</f>
        <v>74.73</v>
      </c>
      <c r="C1364" s="24">
        <f>IFERROR(__xludf.DUMMYFUNCTION("""COMPUTED_VALUE"""),45190.66666666667)</f>
        <v>45190.66667</v>
      </c>
      <c r="D1364" s="19">
        <f>IFERROR(__xludf.DUMMYFUNCTION("""COMPUTED_VALUE"""),119.08)</f>
        <v>119.08</v>
      </c>
      <c r="E1364" s="22">
        <f>IFERROR(__xludf.DUMMYFUNCTION("""COMPUTED_VALUE"""),44112.66666666667)</f>
        <v>44112.66667</v>
      </c>
      <c r="F1364" s="23">
        <f>IFERROR(__xludf.DUMMYFUNCTION("""COMPUTED_VALUE"""),26.71)</f>
        <v>26.71</v>
      </c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</row>
    <row r="1365">
      <c r="A1365" s="22">
        <f>IFERROR(__xludf.DUMMYFUNCTION("""COMPUTED_VALUE"""),43936.66666666667)</f>
        <v>43936.66667</v>
      </c>
      <c r="B1365" s="23">
        <f>IFERROR(__xludf.DUMMYFUNCTION("""COMPUTED_VALUE"""),75.85)</f>
        <v>75.85</v>
      </c>
      <c r="C1365" s="24">
        <f>IFERROR(__xludf.DUMMYFUNCTION("""COMPUTED_VALUE"""),45191.66666666667)</f>
        <v>45191.66667</v>
      </c>
      <c r="D1365" s="19">
        <f>IFERROR(__xludf.DUMMYFUNCTION("""COMPUTED_VALUE"""),119.06)</f>
        <v>119.06</v>
      </c>
      <c r="E1365" s="22">
        <f>IFERROR(__xludf.DUMMYFUNCTION("""COMPUTED_VALUE"""),44113.66666666667)</f>
        <v>44113.66667</v>
      </c>
      <c r="F1365" s="23">
        <f>IFERROR(__xludf.DUMMYFUNCTION("""COMPUTED_VALUE"""),26.77)</f>
        <v>26.77</v>
      </c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</row>
    <row r="1366">
      <c r="A1366" s="22">
        <f>IFERROR(__xludf.DUMMYFUNCTION("""COMPUTED_VALUE"""),43937.66666666667)</f>
        <v>43937.66667</v>
      </c>
      <c r="B1366" s="23">
        <f>IFERROR(__xludf.DUMMYFUNCTION("""COMPUTED_VALUE"""),75.28)</f>
        <v>75.28</v>
      </c>
      <c r="C1366" s="24">
        <f>IFERROR(__xludf.DUMMYFUNCTION("""COMPUTED_VALUE"""),45194.66666666667)</f>
        <v>45194.66667</v>
      </c>
      <c r="D1366" s="19">
        <f>IFERROR(__xludf.DUMMYFUNCTION("""COMPUTED_VALUE"""),119.23)</f>
        <v>119.23</v>
      </c>
      <c r="E1366" s="22">
        <f>IFERROR(__xludf.DUMMYFUNCTION("""COMPUTED_VALUE"""),44116.66666666667)</f>
        <v>44116.66667</v>
      </c>
      <c r="F1366" s="23">
        <f>IFERROR(__xludf.DUMMYFUNCTION("""COMPUTED_VALUE"""),27.03)</f>
        <v>27.03</v>
      </c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</row>
    <row r="1367">
      <c r="A1367" s="22">
        <f>IFERROR(__xludf.DUMMYFUNCTION("""COMPUTED_VALUE"""),43938.66666666667)</f>
        <v>43938.66667</v>
      </c>
      <c r="B1367" s="23">
        <f>IFERROR(__xludf.DUMMYFUNCTION("""COMPUTED_VALUE"""),76.75)</f>
        <v>76.75</v>
      </c>
      <c r="C1367" s="24">
        <f>IFERROR(__xludf.DUMMYFUNCTION("""COMPUTED_VALUE"""),45195.66666666667)</f>
        <v>45195.66667</v>
      </c>
      <c r="D1367" s="19">
        <f>IFERROR(__xludf.DUMMYFUNCTION("""COMPUTED_VALUE"""),118.66)</f>
        <v>118.66</v>
      </c>
      <c r="E1367" s="22">
        <f>IFERROR(__xludf.DUMMYFUNCTION("""COMPUTED_VALUE"""),44117.66666666667)</f>
        <v>44117.66667</v>
      </c>
      <c r="F1367" s="23">
        <f>IFERROR(__xludf.DUMMYFUNCTION("""COMPUTED_VALUE"""),27.81)</f>
        <v>27.81</v>
      </c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</row>
    <row r="1368">
      <c r="A1368" s="22">
        <f>IFERROR(__xludf.DUMMYFUNCTION("""COMPUTED_VALUE"""),43941.66666666667)</f>
        <v>43941.66667</v>
      </c>
      <c r="B1368" s="23">
        <f>IFERROR(__xludf.DUMMYFUNCTION("""COMPUTED_VALUE"""),76.54)</f>
        <v>76.54</v>
      </c>
      <c r="C1368" s="24">
        <f>IFERROR(__xludf.DUMMYFUNCTION("""COMPUTED_VALUE"""),45196.66666666667)</f>
        <v>45196.66667</v>
      </c>
      <c r="D1368" s="19">
        <f>IFERROR(__xludf.DUMMYFUNCTION("""COMPUTED_VALUE"""),118.33)</f>
        <v>118.33</v>
      </c>
      <c r="E1368" s="22">
        <f>IFERROR(__xludf.DUMMYFUNCTION("""COMPUTED_VALUE"""),44118.66666666667)</f>
        <v>44118.66667</v>
      </c>
      <c r="F1368" s="23">
        <f>IFERROR(__xludf.DUMMYFUNCTION("""COMPUTED_VALUE"""),28.08)</f>
        <v>28.08</v>
      </c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</row>
    <row r="1369">
      <c r="A1369" s="22">
        <f>IFERROR(__xludf.DUMMYFUNCTION("""COMPUTED_VALUE"""),43942.66666666667)</f>
        <v>43942.66667</v>
      </c>
      <c r="B1369" s="23">
        <f>IFERROR(__xludf.DUMMYFUNCTION("""COMPUTED_VALUE"""),75.32)</f>
        <v>75.32</v>
      </c>
      <c r="C1369" s="24">
        <f>IFERROR(__xludf.DUMMYFUNCTION("""COMPUTED_VALUE"""),45197.66666666667)</f>
        <v>45197.66667</v>
      </c>
      <c r="D1369" s="19">
        <f>IFERROR(__xludf.DUMMYFUNCTION("""COMPUTED_VALUE"""),118.34)</f>
        <v>118.34</v>
      </c>
      <c r="E1369" s="22">
        <f>IFERROR(__xludf.DUMMYFUNCTION("""COMPUTED_VALUE"""),44119.66666666667)</f>
        <v>44119.66667</v>
      </c>
      <c r="F1369" s="23">
        <f>IFERROR(__xludf.DUMMYFUNCTION("""COMPUTED_VALUE"""),27.64)</f>
        <v>27.64</v>
      </c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</row>
    <row r="1370">
      <c r="A1370" s="22">
        <f>IFERROR(__xludf.DUMMYFUNCTION("""COMPUTED_VALUE"""),43943.66666666667)</f>
        <v>43943.66667</v>
      </c>
      <c r="B1370" s="23">
        <f>IFERROR(__xludf.DUMMYFUNCTION("""COMPUTED_VALUE"""),74.43)</f>
        <v>74.43</v>
      </c>
      <c r="C1370" s="24">
        <f>IFERROR(__xludf.DUMMYFUNCTION("""COMPUTED_VALUE"""),45198.66666666667)</f>
        <v>45198.66667</v>
      </c>
      <c r="D1370" s="19">
        <f>IFERROR(__xludf.DUMMYFUNCTION("""COMPUTED_VALUE"""),118.79)</f>
        <v>118.79</v>
      </c>
      <c r="E1370" s="22">
        <f>IFERROR(__xludf.DUMMYFUNCTION("""COMPUTED_VALUE"""),44120.66666666667)</f>
        <v>44120.66667</v>
      </c>
      <c r="F1370" s="23">
        <f>IFERROR(__xludf.DUMMYFUNCTION("""COMPUTED_VALUE"""),27.8)</f>
        <v>27.8</v>
      </c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</row>
    <row r="1371">
      <c r="A1371" s="22">
        <f>IFERROR(__xludf.DUMMYFUNCTION("""COMPUTED_VALUE"""),43944.66666666667)</f>
        <v>43944.66667</v>
      </c>
      <c r="B1371" s="23">
        <f>IFERROR(__xludf.DUMMYFUNCTION("""COMPUTED_VALUE"""),74.97)</f>
        <v>74.97</v>
      </c>
      <c r="C1371" s="24">
        <f>IFERROR(__xludf.DUMMYFUNCTION("""COMPUTED_VALUE"""),45201.66666666667)</f>
        <v>45201.66667</v>
      </c>
      <c r="D1371" s="19">
        <f>IFERROR(__xludf.DUMMYFUNCTION("""COMPUTED_VALUE"""),116.8)</f>
        <v>116.8</v>
      </c>
      <c r="E1371" s="22">
        <f>IFERROR(__xludf.DUMMYFUNCTION("""COMPUTED_VALUE"""),44123.66666666667)</f>
        <v>44123.66667</v>
      </c>
      <c r="F1371" s="23">
        <f>IFERROR(__xludf.DUMMYFUNCTION("""COMPUTED_VALUE"""),27.83)</f>
        <v>27.83</v>
      </c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</row>
    <row r="1372">
      <c r="A1372" s="22">
        <f>IFERROR(__xludf.DUMMYFUNCTION("""COMPUTED_VALUE"""),43945.66666666667)</f>
        <v>43945.66667</v>
      </c>
      <c r="B1372" s="23">
        <f>IFERROR(__xludf.DUMMYFUNCTION("""COMPUTED_VALUE"""),74.3)</f>
        <v>74.3</v>
      </c>
      <c r="C1372" s="24">
        <f>IFERROR(__xludf.DUMMYFUNCTION("""COMPUTED_VALUE"""),45202.66666666667)</f>
        <v>45202.66667</v>
      </c>
      <c r="D1372" s="19">
        <f>IFERROR(__xludf.DUMMYFUNCTION("""COMPUTED_VALUE"""),115.25)</f>
        <v>115.25</v>
      </c>
      <c r="E1372" s="22">
        <f>IFERROR(__xludf.DUMMYFUNCTION("""COMPUTED_VALUE"""),44124.66666666667)</f>
        <v>44124.66667</v>
      </c>
      <c r="F1372" s="23">
        <f>IFERROR(__xludf.DUMMYFUNCTION("""COMPUTED_VALUE"""),27.55)</f>
        <v>27.55</v>
      </c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</row>
    <row r="1373">
      <c r="A1373" s="22">
        <f>IFERROR(__xludf.DUMMYFUNCTION("""COMPUTED_VALUE"""),43948.66666666667)</f>
        <v>43948.66667</v>
      </c>
      <c r="B1373" s="23">
        <f>IFERROR(__xludf.DUMMYFUNCTION("""COMPUTED_VALUE"""),75.37)</f>
        <v>75.37</v>
      </c>
      <c r="C1373" s="24">
        <f>IFERROR(__xludf.DUMMYFUNCTION("""COMPUTED_VALUE"""),45203.66666666667)</f>
        <v>45203.66667</v>
      </c>
      <c r="D1373" s="19">
        <f>IFERROR(__xludf.DUMMYFUNCTION("""COMPUTED_VALUE"""),114.47)</f>
        <v>114.47</v>
      </c>
      <c r="E1373" s="22">
        <f>IFERROR(__xludf.DUMMYFUNCTION("""COMPUTED_VALUE"""),44125.66666666667)</f>
        <v>44125.66667</v>
      </c>
      <c r="F1373" s="23">
        <f>IFERROR(__xludf.DUMMYFUNCTION("""COMPUTED_VALUE"""),27.47)</f>
        <v>27.47</v>
      </c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</row>
    <row r="1374">
      <c r="A1374" s="22">
        <f>IFERROR(__xludf.DUMMYFUNCTION("""COMPUTED_VALUE"""),43949.66666666667)</f>
        <v>43949.66667</v>
      </c>
      <c r="B1374" s="23">
        <f>IFERROR(__xludf.DUMMYFUNCTION("""COMPUTED_VALUE"""),75.52)</f>
        <v>75.52</v>
      </c>
      <c r="C1374" s="24">
        <f>IFERROR(__xludf.DUMMYFUNCTION("""COMPUTED_VALUE"""),45204.66666666667)</f>
        <v>45204.66667</v>
      </c>
      <c r="D1374" s="19">
        <f>IFERROR(__xludf.DUMMYFUNCTION("""COMPUTED_VALUE"""),115.12)</f>
        <v>115.12</v>
      </c>
      <c r="E1374" s="22">
        <f>IFERROR(__xludf.DUMMYFUNCTION("""COMPUTED_VALUE"""),44126.66666666667)</f>
        <v>44126.66667</v>
      </c>
      <c r="F1374" s="23">
        <f>IFERROR(__xludf.DUMMYFUNCTION("""COMPUTED_VALUE"""),27.12)</f>
        <v>27.12</v>
      </c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</row>
    <row r="1375">
      <c r="A1375" s="22">
        <f>IFERROR(__xludf.DUMMYFUNCTION("""COMPUTED_VALUE"""),43950.66666666667)</f>
        <v>43950.66667</v>
      </c>
      <c r="B1375" s="23">
        <f>IFERROR(__xludf.DUMMYFUNCTION("""COMPUTED_VALUE"""),75.74)</f>
        <v>75.74</v>
      </c>
      <c r="C1375" s="24">
        <f>IFERROR(__xludf.DUMMYFUNCTION("""COMPUTED_VALUE"""),45205.66666666667)</f>
        <v>45205.66667</v>
      </c>
      <c r="D1375" s="19">
        <f>IFERROR(__xludf.DUMMYFUNCTION("""COMPUTED_VALUE"""),115.56)</f>
        <v>115.56</v>
      </c>
      <c r="E1375" s="22">
        <f>IFERROR(__xludf.DUMMYFUNCTION("""COMPUTED_VALUE"""),44127.66666666667)</f>
        <v>44127.66667</v>
      </c>
      <c r="F1375" s="23">
        <f>IFERROR(__xludf.DUMMYFUNCTION("""COMPUTED_VALUE"""),27.19)</f>
        <v>27.19</v>
      </c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</row>
    <row r="1376">
      <c r="A1376" s="22">
        <f>IFERROR(__xludf.DUMMYFUNCTION("""COMPUTED_VALUE"""),43951.66666666667)</f>
        <v>43951.66667</v>
      </c>
      <c r="B1376" s="23">
        <f>IFERROR(__xludf.DUMMYFUNCTION("""COMPUTED_VALUE"""),77.03)</f>
        <v>77.03</v>
      </c>
      <c r="C1376" s="19"/>
      <c r="D1376" s="19"/>
      <c r="E1376" s="22">
        <f>IFERROR(__xludf.DUMMYFUNCTION("""COMPUTED_VALUE"""),44130.66666666667)</f>
        <v>44130.66667</v>
      </c>
      <c r="F1376" s="23">
        <f>IFERROR(__xludf.DUMMYFUNCTION("""COMPUTED_VALUE"""),27.03)</f>
        <v>27.03</v>
      </c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</row>
    <row r="1377">
      <c r="A1377" s="22">
        <f>IFERROR(__xludf.DUMMYFUNCTION("""COMPUTED_VALUE"""),43952.66666666667)</f>
        <v>43952.66667</v>
      </c>
      <c r="B1377" s="23">
        <f>IFERROR(__xludf.DUMMYFUNCTION("""COMPUTED_VALUE"""),75.66)</f>
        <v>75.66</v>
      </c>
      <c r="C1377" s="19"/>
      <c r="D1377" s="19"/>
      <c r="E1377" s="22">
        <f>IFERROR(__xludf.DUMMYFUNCTION("""COMPUTED_VALUE"""),44131.66666666667)</f>
        <v>44131.66667</v>
      </c>
      <c r="F1377" s="23">
        <f>IFERROR(__xludf.DUMMYFUNCTION("""COMPUTED_VALUE"""),26.74)</f>
        <v>26.74</v>
      </c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</row>
    <row r="1378">
      <c r="A1378" s="22">
        <f>IFERROR(__xludf.DUMMYFUNCTION("""COMPUTED_VALUE"""),43955.66666666667)</f>
        <v>43955.66667</v>
      </c>
      <c r="B1378" s="23">
        <f>IFERROR(__xludf.DUMMYFUNCTION("""COMPUTED_VALUE"""),74.75)</f>
        <v>74.75</v>
      </c>
      <c r="C1378" s="19"/>
      <c r="D1378" s="19"/>
      <c r="E1378" s="22">
        <f>IFERROR(__xludf.DUMMYFUNCTION("""COMPUTED_VALUE"""),44132.66666666667)</f>
        <v>44132.66667</v>
      </c>
      <c r="F1378" s="23">
        <f>IFERROR(__xludf.DUMMYFUNCTION("""COMPUTED_VALUE"""),26.76)</f>
        <v>26.76</v>
      </c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</row>
    <row r="1379">
      <c r="A1379" s="22">
        <f>IFERROR(__xludf.DUMMYFUNCTION("""COMPUTED_VALUE"""),43956.66666666667)</f>
        <v>43956.66667</v>
      </c>
      <c r="B1379" s="23">
        <f>IFERROR(__xludf.DUMMYFUNCTION("""COMPUTED_VALUE"""),75.14)</f>
        <v>75.14</v>
      </c>
      <c r="C1379" s="19"/>
      <c r="D1379" s="19"/>
      <c r="E1379" s="22">
        <f>IFERROR(__xludf.DUMMYFUNCTION("""COMPUTED_VALUE"""),44133.66666666667)</f>
        <v>44133.66667</v>
      </c>
      <c r="F1379" s="23">
        <f>IFERROR(__xludf.DUMMYFUNCTION("""COMPUTED_VALUE"""),26.4)</f>
        <v>26.4</v>
      </c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</row>
    <row r="1380">
      <c r="A1380" s="22">
        <f>IFERROR(__xludf.DUMMYFUNCTION("""COMPUTED_VALUE"""),43957.66666666667)</f>
        <v>43957.66667</v>
      </c>
      <c r="B1380" s="23">
        <f>IFERROR(__xludf.DUMMYFUNCTION("""COMPUTED_VALUE"""),76.01)</f>
        <v>76.01</v>
      </c>
      <c r="C1380" s="19"/>
      <c r="D1380" s="19"/>
      <c r="E1380" s="22">
        <f>IFERROR(__xludf.DUMMYFUNCTION("""COMPUTED_VALUE"""),44134.66666666667)</f>
        <v>44134.66667</v>
      </c>
      <c r="F1380" s="23">
        <f>IFERROR(__xludf.DUMMYFUNCTION("""COMPUTED_VALUE"""),26.34)</f>
        <v>26.34</v>
      </c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</row>
    <row r="1381">
      <c r="A1381" s="22">
        <f>IFERROR(__xludf.DUMMYFUNCTION("""COMPUTED_VALUE"""),43958.66666666667)</f>
        <v>43958.66667</v>
      </c>
      <c r="B1381" s="23">
        <f>IFERROR(__xludf.DUMMYFUNCTION("""COMPUTED_VALUE"""),75.98)</f>
        <v>75.98</v>
      </c>
      <c r="C1381" s="19"/>
      <c r="D1381" s="19"/>
      <c r="E1381" s="22">
        <f>IFERROR(__xludf.DUMMYFUNCTION("""COMPUTED_VALUE"""),44137.66666666667)</f>
        <v>44137.66667</v>
      </c>
      <c r="F1381" s="23">
        <f>IFERROR(__xludf.DUMMYFUNCTION("""COMPUTED_VALUE"""),26.18)</f>
        <v>26.18</v>
      </c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</row>
    <row r="1382">
      <c r="A1382" s="22">
        <f>IFERROR(__xludf.DUMMYFUNCTION("""COMPUTED_VALUE"""),43959.66666666667)</f>
        <v>43959.66667</v>
      </c>
      <c r="B1382" s="23">
        <f>IFERROR(__xludf.DUMMYFUNCTION("""COMPUTED_VALUE"""),76.26)</f>
        <v>76.26</v>
      </c>
      <c r="C1382" s="19"/>
      <c r="D1382" s="19"/>
      <c r="E1382" s="22">
        <f>IFERROR(__xludf.DUMMYFUNCTION("""COMPUTED_VALUE"""),44138.66666666667)</f>
        <v>44138.66667</v>
      </c>
      <c r="F1382" s="23">
        <f>IFERROR(__xludf.DUMMYFUNCTION("""COMPUTED_VALUE"""),26.1)</f>
        <v>26.1</v>
      </c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</row>
    <row r="1383">
      <c r="A1383" s="22">
        <f>IFERROR(__xludf.DUMMYFUNCTION("""COMPUTED_VALUE"""),43962.66666666667)</f>
        <v>43962.66667</v>
      </c>
      <c r="B1383" s="23">
        <f>IFERROR(__xludf.DUMMYFUNCTION("""COMPUTED_VALUE"""),76.55)</f>
        <v>76.55</v>
      </c>
      <c r="C1383" s="19"/>
      <c r="D1383" s="19"/>
      <c r="E1383" s="22">
        <f>IFERROR(__xludf.DUMMYFUNCTION("""COMPUTED_VALUE"""),44139.66666666667)</f>
        <v>44139.66667</v>
      </c>
      <c r="F1383" s="23">
        <f>IFERROR(__xludf.DUMMYFUNCTION("""COMPUTED_VALUE"""),26.93)</f>
        <v>26.93</v>
      </c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</row>
    <row r="1384">
      <c r="A1384" s="22">
        <f>IFERROR(__xludf.DUMMYFUNCTION("""COMPUTED_VALUE"""),43963.66666666667)</f>
        <v>43963.66667</v>
      </c>
      <c r="B1384" s="23">
        <f>IFERROR(__xludf.DUMMYFUNCTION("""COMPUTED_VALUE"""),76.9)</f>
        <v>76.9</v>
      </c>
      <c r="C1384" s="19"/>
      <c r="D1384" s="19"/>
      <c r="E1384" s="22">
        <f>IFERROR(__xludf.DUMMYFUNCTION("""COMPUTED_VALUE"""),44140.66666666667)</f>
        <v>44140.66667</v>
      </c>
      <c r="F1384" s="23">
        <f>IFERROR(__xludf.DUMMYFUNCTION("""COMPUTED_VALUE"""),27.59)</f>
        <v>27.59</v>
      </c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</row>
    <row r="1385">
      <c r="A1385" s="22">
        <f>IFERROR(__xludf.DUMMYFUNCTION("""COMPUTED_VALUE"""),43964.66666666667)</f>
        <v>43964.66667</v>
      </c>
      <c r="B1385" s="23">
        <f>IFERROR(__xludf.DUMMYFUNCTION("""COMPUTED_VALUE"""),75.72)</f>
        <v>75.72</v>
      </c>
      <c r="C1385" s="19"/>
      <c r="D1385" s="19"/>
      <c r="E1385" s="22">
        <f>IFERROR(__xludf.DUMMYFUNCTION("""COMPUTED_VALUE"""),44141.66666666667)</f>
        <v>44141.66667</v>
      </c>
      <c r="F1385" s="23">
        <f>IFERROR(__xludf.DUMMYFUNCTION("""COMPUTED_VALUE"""),27.21)</f>
        <v>27.21</v>
      </c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</row>
    <row r="1386">
      <c r="A1386" s="22">
        <f>IFERROR(__xludf.DUMMYFUNCTION("""COMPUTED_VALUE"""),43965.66666666667)</f>
        <v>43965.66667</v>
      </c>
      <c r="B1386" s="23">
        <f>IFERROR(__xludf.DUMMYFUNCTION("""COMPUTED_VALUE"""),74.68)</f>
        <v>74.68</v>
      </c>
      <c r="C1386" s="19"/>
      <c r="D1386" s="19"/>
      <c r="E1386" s="22">
        <f>IFERROR(__xludf.DUMMYFUNCTION("""COMPUTED_VALUE"""),44144.66666666667)</f>
        <v>44144.66667</v>
      </c>
      <c r="F1386" s="23">
        <f>IFERROR(__xludf.DUMMYFUNCTION("""COMPUTED_VALUE"""),28.15)</f>
        <v>28.15</v>
      </c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</row>
    <row r="1387">
      <c r="A1387" s="22">
        <f>IFERROR(__xludf.DUMMYFUNCTION("""COMPUTED_VALUE"""),43966.66666666667)</f>
        <v>43966.66667</v>
      </c>
      <c r="B1387" s="23">
        <f>IFERROR(__xludf.DUMMYFUNCTION("""COMPUTED_VALUE"""),75.03)</f>
        <v>75.03</v>
      </c>
      <c r="C1387" s="19"/>
      <c r="D1387" s="19"/>
      <c r="E1387" s="22">
        <f>IFERROR(__xludf.DUMMYFUNCTION("""COMPUTED_VALUE"""),44145.66666666667)</f>
        <v>44145.66667</v>
      </c>
      <c r="F1387" s="23">
        <f>IFERROR(__xludf.DUMMYFUNCTION("""COMPUTED_VALUE"""),26.73)</f>
        <v>26.73</v>
      </c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</row>
    <row r="1388">
      <c r="A1388" s="22">
        <f>IFERROR(__xludf.DUMMYFUNCTION("""COMPUTED_VALUE"""),43969.66666666667)</f>
        <v>43969.66667</v>
      </c>
      <c r="B1388" s="23">
        <f>IFERROR(__xludf.DUMMYFUNCTION("""COMPUTED_VALUE"""),76.14)</f>
        <v>76.14</v>
      </c>
      <c r="C1388" s="19"/>
      <c r="D1388" s="19"/>
      <c r="E1388" s="22">
        <f>IFERROR(__xludf.DUMMYFUNCTION("""COMPUTED_VALUE"""),44146.66666666667)</f>
        <v>44146.66667</v>
      </c>
      <c r="F1388" s="23">
        <f>IFERROR(__xludf.DUMMYFUNCTION("""COMPUTED_VALUE"""),26.46)</f>
        <v>26.46</v>
      </c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</row>
    <row r="1389">
      <c r="A1389" s="22">
        <f>IFERROR(__xludf.DUMMYFUNCTION("""COMPUTED_VALUE"""),43970.66666666667)</f>
        <v>43970.66667</v>
      </c>
      <c r="B1389" s="23">
        <f>IFERROR(__xludf.DUMMYFUNCTION("""COMPUTED_VALUE"""),76.96)</f>
        <v>76.96</v>
      </c>
      <c r="C1389" s="19"/>
      <c r="D1389" s="19"/>
      <c r="E1389" s="22">
        <f>IFERROR(__xludf.DUMMYFUNCTION("""COMPUTED_VALUE"""),44147.66666666667)</f>
        <v>44147.66667</v>
      </c>
      <c r="F1389" s="23">
        <f>IFERROR(__xludf.DUMMYFUNCTION("""COMPUTED_VALUE"""),26.91)</f>
        <v>26.91</v>
      </c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</row>
    <row r="1390">
      <c r="A1390" s="22">
        <f>IFERROR(__xludf.DUMMYFUNCTION("""COMPUTED_VALUE"""),43971.66666666667)</f>
        <v>43971.66667</v>
      </c>
      <c r="B1390" s="23">
        <f>IFERROR(__xludf.DUMMYFUNCTION("""COMPUTED_VALUE"""),76.39)</f>
        <v>76.39</v>
      </c>
      <c r="C1390" s="19"/>
      <c r="D1390" s="19"/>
      <c r="E1390" s="22">
        <f>IFERROR(__xludf.DUMMYFUNCTION("""COMPUTED_VALUE"""),44148.66666666667)</f>
        <v>44148.66667</v>
      </c>
      <c r="F1390" s="23">
        <f>IFERROR(__xludf.DUMMYFUNCTION("""COMPUTED_VALUE"""),27.17)</f>
        <v>27.17</v>
      </c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</row>
    <row r="1391">
      <c r="A1391" s="22">
        <f>IFERROR(__xludf.DUMMYFUNCTION("""COMPUTED_VALUE"""),43972.66666666667)</f>
        <v>43972.66667</v>
      </c>
      <c r="B1391" s="23">
        <f>IFERROR(__xludf.DUMMYFUNCTION("""COMPUTED_VALUE"""),76.68)</f>
        <v>76.68</v>
      </c>
      <c r="C1391" s="19"/>
      <c r="D1391" s="19"/>
      <c r="E1391" s="22">
        <f>IFERROR(__xludf.DUMMYFUNCTION("""COMPUTED_VALUE"""),44151.66666666667)</f>
        <v>44151.66667</v>
      </c>
      <c r="F1391" s="23">
        <f>IFERROR(__xludf.DUMMYFUNCTION("""COMPUTED_VALUE"""),27.41)</f>
        <v>27.41</v>
      </c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</row>
    <row r="1392">
      <c r="A1392" s="22">
        <f>IFERROR(__xludf.DUMMYFUNCTION("""COMPUTED_VALUE"""),43973.66666666667)</f>
        <v>43973.66667</v>
      </c>
      <c r="B1392" s="23">
        <f>IFERROR(__xludf.DUMMYFUNCTION("""COMPUTED_VALUE"""),76.07)</f>
        <v>76.07</v>
      </c>
      <c r="C1392" s="19"/>
      <c r="D1392" s="19"/>
      <c r="E1392" s="22">
        <f>IFERROR(__xludf.DUMMYFUNCTION("""COMPUTED_VALUE"""),44152.66666666667)</f>
        <v>44152.66667</v>
      </c>
      <c r="F1392" s="23">
        <f>IFERROR(__xludf.DUMMYFUNCTION("""COMPUTED_VALUE"""),27.18)</f>
        <v>27.18</v>
      </c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</row>
    <row r="1393">
      <c r="A1393" s="22">
        <f>IFERROR(__xludf.DUMMYFUNCTION("""COMPUTED_VALUE"""),43976.66666666667)</f>
        <v>43976.66667</v>
      </c>
      <c r="B1393" s="23">
        <f>IFERROR(__xludf.DUMMYFUNCTION("""COMPUTED_VALUE"""),77.21)</f>
        <v>77.21</v>
      </c>
      <c r="C1393" s="19"/>
      <c r="D1393" s="19"/>
      <c r="E1393" s="22">
        <f>IFERROR(__xludf.DUMMYFUNCTION("""COMPUTED_VALUE"""),44153.66666666667)</f>
        <v>44153.66667</v>
      </c>
      <c r="F1393" s="23">
        <f>IFERROR(__xludf.DUMMYFUNCTION("""COMPUTED_VALUE"""),27.19)</f>
        <v>27.19</v>
      </c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</row>
    <row r="1394">
      <c r="A1394" s="22">
        <f>IFERROR(__xludf.DUMMYFUNCTION("""COMPUTED_VALUE"""),43977.66666666667)</f>
        <v>43977.66667</v>
      </c>
      <c r="B1394" s="23">
        <f>IFERROR(__xludf.DUMMYFUNCTION("""COMPUTED_VALUE"""),78.15)</f>
        <v>78.15</v>
      </c>
      <c r="C1394" s="19"/>
      <c r="D1394" s="19"/>
      <c r="E1394" s="22">
        <f>IFERROR(__xludf.DUMMYFUNCTION("""COMPUTED_VALUE"""),44154.66666666667)</f>
        <v>44154.66667</v>
      </c>
      <c r="F1394" s="23">
        <f>IFERROR(__xludf.DUMMYFUNCTION("""COMPUTED_VALUE"""),26.92)</f>
        <v>26.92</v>
      </c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</row>
    <row r="1395">
      <c r="A1395" s="22">
        <f>IFERROR(__xludf.DUMMYFUNCTION("""COMPUTED_VALUE"""),43978.66666666667)</f>
        <v>43978.66667</v>
      </c>
      <c r="B1395" s="23">
        <f>IFERROR(__xludf.DUMMYFUNCTION("""COMPUTED_VALUE"""),77.6)</f>
        <v>77.6</v>
      </c>
      <c r="C1395" s="19"/>
      <c r="D1395" s="19"/>
      <c r="E1395" s="22">
        <f>IFERROR(__xludf.DUMMYFUNCTION("""COMPUTED_VALUE"""),44155.66666666667)</f>
        <v>44155.66667</v>
      </c>
      <c r="F1395" s="23">
        <f>IFERROR(__xludf.DUMMYFUNCTION("""COMPUTED_VALUE"""),27.26)</f>
        <v>27.26</v>
      </c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</row>
    <row r="1396">
      <c r="A1396" s="22">
        <f>IFERROR(__xludf.DUMMYFUNCTION("""COMPUTED_VALUE"""),43979.66666666667)</f>
        <v>43979.66667</v>
      </c>
      <c r="B1396" s="23">
        <f>IFERROR(__xludf.DUMMYFUNCTION("""COMPUTED_VALUE"""),78.77)</f>
        <v>78.77</v>
      </c>
      <c r="C1396" s="19"/>
      <c r="D1396" s="19"/>
      <c r="E1396" s="22">
        <f>IFERROR(__xludf.DUMMYFUNCTION("""COMPUTED_VALUE"""),44158.66666666667)</f>
        <v>44158.66667</v>
      </c>
      <c r="F1396" s="23">
        <f>IFERROR(__xludf.DUMMYFUNCTION("""COMPUTED_VALUE"""),27.08)</f>
        <v>27.08</v>
      </c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</row>
    <row r="1397">
      <c r="A1397" s="22">
        <f>IFERROR(__xludf.DUMMYFUNCTION("""COMPUTED_VALUE"""),43980.66666666667)</f>
        <v>43980.66667</v>
      </c>
      <c r="B1397" s="23">
        <f>IFERROR(__xludf.DUMMYFUNCTION("""COMPUTED_VALUE"""),78.1)</f>
        <v>78.1</v>
      </c>
      <c r="C1397" s="19"/>
      <c r="D1397" s="19"/>
      <c r="E1397" s="22">
        <f>IFERROR(__xludf.DUMMYFUNCTION("""COMPUTED_VALUE"""),44159.66666666667)</f>
        <v>44159.66667</v>
      </c>
      <c r="F1397" s="23">
        <f>IFERROR(__xludf.DUMMYFUNCTION("""COMPUTED_VALUE"""),27.12)</f>
        <v>27.12</v>
      </c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</row>
    <row r="1398">
      <c r="A1398" s="22">
        <f>IFERROR(__xludf.DUMMYFUNCTION("""COMPUTED_VALUE"""),43983.66666666667)</f>
        <v>43983.66667</v>
      </c>
      <c r="B1398" s="23">
        <f>IFERROR(__xludf.DUMMYFUNCTION("""COMPUTED_VALUE"""),77.61)</f>
        <v>77.61</v>
      </c>
      <c r="C1398" s="19"/>
      <c r="D1398" s="19"/>
      <c r="E1398" s="22">
        <f>IFERROR(__xludf.DUMMYFUNCTION("""COMPUTED_VALUE"""),44160.66666666667)</f>
        <v>44160.66667</v>
      </c>
      <c r="F1398" s="23">
        <f>IFERROR(__xludf.DUMMYFUNCTION("""COMPUTED_VALUE"""),27.32)</f>
        <v>27.32</v>
      </c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</row>
    <row r="1399">
      <c r="A1399" s="22">
        <f>IFERROR(__xludf.DUMMYFUNCTION("""COMPUTED_VALUE"""),43984.66666666667)</f>
        <v>43984.66667</v>
      </c>
      <c r="B1399" s="23">
        <f>IFERROR(__xludf.DUMMYFUNCTION("""COMPUTED_VALUE"""),77.23)</f>
        <v>77.23</v>
      </c>
      <c r="C1399" s="19"/>
      <c r="D1399" s="19"/>
      <c r="E1399" s="22">
        <f>IFERROR(__xludf.DUMMYFUNCTION("""COMPUTED_VALUE"""),44161.66666666667)</f>
        <v>44161.66667</v>
      </c>
      <c r="F1399" s="23">
        <f>IFERROR(__xludf.DUMMYFUNCTION("""COMPUTED_VALUE"""),27.44)</f>
        <v>27.44</v>
      </c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</row>
    <row r="1400">
      <c r="A1400" s="22">
        <f>IFERROR(__xludf.DUMMYFUNCTION("""COMPUTED_VALUE"""),43985.66666666667)</f>
        <v>43985.66667</v>
      </c>
      <c r="B1400" s="23">
        <f>IFERROR(__xludf.DUMMYFUNCTION("""COMPUTED_VALUE"""),76.78)</f>
        <v>76.78</v>
      </c>
      <c r="C1400" s="19"/>
      <c r="D1400" s="19"/>
      <c r="E1400" s="22">
        <f>IFERROR(__xludf.DUMMYFUNCTION("""COMPUTED_VALUE"""),44162.66666666667)</f>
        <v>44162.66667</v>
      </c>
      <c r="F1400" s="23">
        <f>IFERROR(__xludf.DUMMYFUNCTION("""COMPUTED_VALUE"""),27.35)</f>
        <v>27.35</v>
      </c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</row>
    <row r="1401">
      <c r="A1401" s="22">
        <f>IFERROR(__xludf.DUMMYFUNCTION("""COMPUTED_VALUE"""),43986.66666666667)</f>
        <v>43986.66667</v>
      </c>
      <c r="B1401" s="23">
        <f>IFERROR(__xludf.DUMMYFUNCTION("""COMPUTED_VALUE"""),77.65)</f>
        <v>77.65</v>
      </c>
      <c r="C1401" s="19"/>
      <c r="D1401" s="19"/>
      <c r="E1401" s="22">
        <f>IFERROR(__xludf.DUMMYFUNCTION("""COMPUTED_VALUE"""),44165.66666666667)</f>
        <v>44165.66667</v>
      </c>
      <c r="F1401" s="23">
        <f>IFERROR(__xludf.DUMMYFUNCTION("""COMPUTED_VALUE"""),27.43)</f>
        <v>27.43</v>
      </c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</row>
    <row r="1402">
      <c r="A1402" s="22">
        <f>IFERROR(__xludf.DUMMYFUNCTION("""COMPUTED_VALUE"""),43987.66666666667)</f>
        <v>43987.66667</v>
      </c>
      <c r="B1402" s="23">
        <f>IFERROR(__xludf.DUMMYFUNCTION("""COMPUTED_VALUE"""),77.4)</f>
        <v>77.4</v>
      </c>
      <c r="C1402" s="19"/>
      <c r="D1402" s="19"/>
      <c r="E1402" s="22">
        <f>IFERROR(__xludf.DUMMYFUNCTION("""COMPUTED_VALUE"""),44166.66666666667)</f>
        <v>44166.66667</v>
      </c>
      <c r="F1402" s="23">
        <f>IFERROR(__xludf.DUMMYFUNCTION("""COMPUTED_VALUE"""),27.82)</f>
        <v>27.82</v>
      </c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</row>
    <row r="1403">
      <c r="A1403" s="22">
        <f>IFERROR(__xludf.DUMMYFUNCTION("""COMPUTED_VALUE"""),43991.66666666667)</f>
        <v>43991.66667</v>
      </c>
      <c r="B1403" s="23">
        <f>IFERROR(__xludf.DUMMYFUNCTION("""COMPUTED_VALUE"""),79.2)</f>
        <v>79.2</v>
      </c>
      <c r="C1403" s="19"/>
      <c r="D1403" s="19"/>
      <c r="E1403" s="22">
        <f>IFERROR(__xludf.DUMMYFUNCTION("""COMPUTED_VALUE"""),44167.66666666667)</f>
        <v>44167.66667</v>
      </c>
      <c r="F1403" s="23">
        <f>IFERROR(__xludf.DUMMYFUNCTION("""COMPUTED_VALUE"""),27.93)</f>
        <v>27.93</v>
      </c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</row>
    <row r="1404">
      <c r="A1404" s="22">
        <f>IFERROR(__xludf.DUMMYFUNCTION("""COMPUTED_VALUE"""),43992.66666666667)</f>
        <v>43992.66667</v>
      </c>
      <c r="B1404" s="23">
        <f>IFERROR(__xludf.DUMMYFUNCTION("""COMPUTED_VALUE"""),79.09)</f>
        <v>79.09</v>
      </c>
      <c r="C1404" s="19"/>
      <c r="D1404" s="19"/>
      <c r="E1404" s="22">
        <f>IFERROR(__xludf.DUMMYFUNCTION("""COMPUTED_VALUE"""),44168.66666666667)</f>
        <v>44168.66667</v>
      </c>
      <c r="F1404" s="23">
        <f>IFERROR(__xludf.DUMMYFUNCTION("""COMPUTED_VALUE"""),27.87)</f>
        <v>27.87</v>
      </c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</row>
    <row r="1405">
      <c r="A1405" s="22">
        <f>IFERROR(__xludf.DUMMYFUNCTION("""COMPUTED_VALUE"""),43993.66666666667)</f>
        <v>43993.66667</v>
      </c>
      <c r="B1405" s="23">
        <f>IFERROR(__xludf.DUMMYFUNCTION("""COMPUTED_VALUE"""),77.86)</f>
        <v>77.86</v>
      </c>
      <c r="C1405" s="19"/>
      <c r="D1405" s="19"/>
      <c r="E1405" s="22">
        <f>IFERROR(__xludf.DUMMYFUNCTION("""COMPUTED_VALUE"""),44169.66666666667)</f>
        <v>44169.66667</v>
      </c>
      <c r="F1405" s="23">
        <f>IFERROR(__xludf.DUMMYFUNCTION("""COMPUTED_VALUE"""),27.87)</f>
        <v>27.87</v>
      </c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</row>
    <row r="1406">
      <c r="A1406" s="22">
        <f>IFERROR(__xludf.DUMMYFUNCTION("""COMPUTED_VALUE"""),43994.66666666667)</f>
        <v>43994.66667</v>
      </c>
      <c r="B1406" s="23">
        <f>IFERROR(__xludf.DUMMYFUNCTION("""COMPUTED_VALUE"""),76.61)</f>
        <v>76.61</v>
      </c>
      <c r="C1406" s="19"/>
      <c r="D1406" s="19"/>
      <c r="E1406" s="22">
        <f>IFERROR(__xludf.DUMMYFUNCTION("""COMPUTED_VALUE"""),44172.66666666667)</f>
        <v>44172.66667</v>
      </c>
      <c r="F1406" s="23">
        <f>IFERROR(__xludf.DUMMYFUNCTION("""COMPUTED_VALUE"""),27.92)</f>
        <v>27.92</v>
      </c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</row>
    <row r="1407">
      <c r="A1407" s="22">
        <f>IFERROR(__xludf.DUMMYFUNCTION("""COMPUTED_VALUE"""),43997.66666666667)</f>
        <v>43997.66667</v>
      </c>
      <c r="B1407" s="23">
        <f>IFERROR(__xludf.DUMMYFUNCTION("""COMPUTED_VALUE"""),74.97)</f>
        <v>74.97</v>
      </c>
      <c r="C1407" s="19"/>
      <c r="D1407" s="19"/>
      <c r="E1407" s="22">
        <f>IFERROR(__xludf.DUMMYFUNCTION("""COMPUTED_VALUE"""),44173.66666666667)</f>
        <v>44173.66667</v>
      </c>
      <c r="F1407" s="23">
        <f>IFERROR(__xludf.DUMMYFUNCTION("""COMPUTED_VALUE"""),28.05)</f>
        <v>28.05</v>
      </c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</row>
    <row r="1408">
      <c r="A1408" s="22">
        <f>IFERROR(__xludf.DUMMYFUNCTION("""COMPUTED_VALUE"""),43998.66666666667)</f>
        <v>43998.66667</v>
      </c>
      <c r="B1408" s="23">
        <f>IFERROR(__xludf.DUMMYFUNCTION("""COMPUTED_VALUE"""),77.31)</f>
        <v>77.31</v>
      </c>
      <c r="C1408" s="19"/>
      <c r="D1408" s="19"/>
      <c r="E1408" s="22">
        <f>IFERROR(__xludf.DUMMYFUNCTION("""COMPUTED_VALUE"""),44174.66666666667)</f>
        <v>44174.66667</v>
      </c>
      <c r="F1408" s="23">
        <f>IFERROR(__xludf.DUMMYFUNCTION("""COMPUTED_VALUE"""),28.16)</f>
        <v>28.16</v>
      </c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</row>
    <row r="1409">
      <c r="A1409" s="22">
        <f>IFERROR(__xludf.DUMMYFUNCTION("""COMPUTED_VALUE"""),43999.66666666667)</f>
        <v>43999.66667</v>
      </c>
      <c r="B1409" s="23">
        <f>IFERROR(__xludf.DUMMYFUNCTION("""COMPUTED_VALUE"""),78.2)</f>
        <v>78.2</v>
      </c>
      <c r="C1409" s="19"/>
      <c r="D1409" s="19"/>
      <c r="E1409" s="22">
        <f>IFERROR(__xludf.DUMMYFUNCTION("""COMPUTED_VALUE"""),44175.66666666667)</f>
        <v>44175.66667</v>
      </c>
      <c r="F1409" s="23">
        <f>IFERROR(__xludf.DUMMYFUNCTION("""COMPUTED_VALUE"""),27.39)</f>
        <v>27.39</v>
      </c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</row>
    <row r="1410">
      <c r="A1410" s="22">
        <f>IFERROR(__xludf.DUMMYFUNCTION("""COMPUTED_VALUE"""),44000.66666666667)</f>
        <v>44000.66667</v>
      </c>
      <c r="B1410" s="23">
        <f>IFERROR(__xludf.DUMMYFUNCTION("""COMPUTED_VALUE"""),77.85)</f>
        <v>77.85</v>
      </c>
      <c r="C1410" s="19"/>
      <c r="D1410" s="19"/>
      <c r="E1410" s="22">
        <f>IFERROR(__xludf.DUMMYFUNCTION("""COMPUTED_VALUE"""),44176.66666666667)</f>
        <v>44176.66667</v>
      </c>
      <c r="F1410" s="23">
        <f>IFERROR(__xludf.DUMMYFUNCTION("""COMPUTED_VALUE"""),27.13)</f>
        <v>27.13</v>
      </c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</row>
    <row r="1411">
      <c r="A1411" s="22">
        <f>IFERROR(__xludf.DUMMYFUNCTION("""COMPUTED_VALUE"""),44001.66666666667)</f>
        <v>44001.66667</v>
      </c>
      <c r="B1411" s="23">
        <f>IFERROR(__xludf.DUMMYFUNCTION("""COMPUTED_VALUE"""),78.27)</f>
        <v>78.27</v>
      </c>
      <c r="C1411" s="19"/>
      <c r="D1411" s="19"/>
      <c r="E1411" s="22">
        <f>IFERROR(__xludf.DUMMYFUNCTION("""COMPUTED_VALUE"""),44179.66666666667)</f>
        <v>44179.66667</v>
      </c>
      <c r="F1411" s="23">
        <f>IFERROR(__xludf.DUMMYFUNCTION("""COMPUTED_VALUE"""),27.28)</f>
        <v>27.28</v>
      </c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</row>
    <row r="1412">
      <c r="A1412" s="22">
        <f>IFERROR(__xludf.DUMMYFUNCTION("""COMPUTED_VALUE"""),44004.66666666667)</f>
        <v>44004.66667</v>
      </c>
      <c r="B1412" s="23">
        <f>IFERROR(__xludf.DUMMYFUNCTION("""COMPUTED_VALUE"""),77.46)</f>
        <v>77.46</v>
      </c>
      <c r="C1412" s="19"/>
      <c r="D1412" s="19"/>
      <c r="E1412" s="22">
        <f>IFERROR(__xludf.DUMMYFUNCTION("""COMPUTED_VALUE"""),44180.66666666667)</f>
        <v>44180.66667</v>
      </c>
      <c r="F1412" s="23">
        <f>IFERROR(__xludf.DUMMYFUNCTION("""COMPUTED_VALUE"""),27.44)</f>
        <v>27.44</v>
      </c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</row>
    <row r="1413">
      <c r="A1413" s="22">
        <f>IFERROR(__xludf.DUMMYFUNCTION("""COMPUTED_VALUE"""),44005.66666666667)</f>
        <v>44005.66667</v>
      </c>
      <c r="B1413" s="23">
        <f>IFERROR(__xludf.DUMMYFUNCTION("""COMPUTED_VALUE"""),77.91)</f>
        <v>77.91</v>
      </c>
      <c r="C1413" s="19"/>
      <c r="D1413" s="19"/>
      <c r="E1413" s="22">
        <f>IFERROR(__xludf.DUMMYFUNCTION("""COMPUTED_VALUE"""),44181.66666666667)</f>
        <v>44181.66667</v>
      </c>
      <c r="F1413" s="23">
        <f>IFERROR(__xludf.DUMMYFUNCTION("""COMPUTED_VALUE"""),27.62)</f>
        <v>27.62</v>
      </c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</row>
    <row r="1414">
      <c r="A1414" s="22">
        <f>IFERROR(__xludf.DUMMYFUNCTION("""COMPUTED_VALUE"""),44006.66666666667)</f>
        <v>44006.66667</v>
      </c>
      <c r="B1414" s="23">
        <f>IFERROR(__xludf.DUMMYFUNCTION("""COMPUTED_VALUE"""),77.9)</f>
        <v>77.9</v>
      </c>
      <c r="C1414" s="19"/>
      <c r="D1414" s="19"/>
      <c r="E1414" s="22">
        <f>IFERROR(__xludf.DUMMYFUNCTION("""COMPUTED_VALUE"""),44182.66666666667)</f>
        <v>44182.66667</v>
      </c>
      <c r="F1414" s="23">
        <f>IFERROR(__xludf.DUMMYFUNCTION("""COMPUTED_VALUE"""),27.73)</f>
        <v>27.73</v>
      </c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</row>
    <row r="1415">
      <c r="A1415" s="22">
        <f>IFERROR(__xludf.DUMMYFUNCTION("""COMPUTED_VALUE"""),44007.66666666667)</f>
        <v>44007.66667</v>
      </c>
      <c r="B1415" s="23">
        <f>IFERROR(__xludf.DUMMYFUNCTION("""COMPUTED_VALUE"""),76.66)</f>
        <v>76.66</v>
      </c>
      <c r="C1415" s="19"/>
      <c r="D1415" s="19"/>
      <c r="E1415" s="22">
        <f>IFERROR(__xludf.DUMMYFUNCTION("""COMPUTED_VALUE"""),44183.66666666667)</f>
        <v>44183.66667</v>
      </c>
      <c r="F1415" s="23">
        <f>IFERROR(__xludf.DUMMYFUNCTION("""COMPUTED_VALUE"""),27.76)</f>
        <v>27.76</v>
      </c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</row>
    <row r="1416">
      <c r="A1416" s="22">
        <f>IFERROR(__xludf.DUMMYFUNCTION("""COMPUTED_VALUE"""),44008.66666666667)</f>
        <v>44008.66667</v>
      </c>
      <c r="B1416" s="23">
        <f>IFERROR(__xludf.DUMMYFUNCTION("""COMPUTED_VALUE"""),77.34)</f>
        <v>77.34</v>
      </c>
      <c r="C1416" s="19"/>
      <c r="D1416" s="19"/>
      <c r="E1416" s="22">
        <f>IFERROR(__xludf.DUMMYFUNCTION("""COMPUTED_VALUE"""),44186.66666666667)</f>
        <v>44186.66667</v>
      </c>
      <c r="F1416" s="23">
        <f>IFERROR(__xludf.DUMMYFUNCTION("""COMPUTED_VALUE"""),27.94)</f>
        <v>27.94</v>
      </c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</row>
    <row r="1417">
      <c r="A1417" s="22">
        <f>IFERROR(__xludf.DUMMYFUNCTION("""COMPUTED_VALUE"""),44011.66666666667)</f>
        <v>44011.66667</v>
      </c>
      <c r="B1417" s="23">
        <f>IFERROR(__xludf.DUMMYFUNCTION("""COMPUTED_VALUE"""),75.86)</f>
        <v>75.86</v>
      </c>
      <c r="C1417" s="19"/>
      <c r="D1417" s="19"/>
      <c r="E1417" s="22">
        <f>IFERROR(__xludf.DUMMYFUNCTION("""COMPUTED_VALUE"""),44187.66666666667)</f>
        <v>44187.66667</v>
      </c>
      <c r="F1417" s="23">
        <f>IFERROR(__xludf.DUMMYFUNCTION("""COMPUTED_VALUE"""),27.81)</f>
        <v>27.81</v>
      </c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</row>
    <row r="1418">
      <c r="A1418" s="22">
        <f>IFERROR(__xludf.DUMMYFUNCTION("""COMPUTED_VALUE"""),44012.66666666667)</f>
        <v>44012.66667</v>
      </c>
      <c r="B1418" s="23">
        <f>IFERROR(__xludf.DUMMYFUNCTION("""COMPUTED_VALUE"""),76.87)</f>
        <v>76.87</v>
      </c>
      <c r="C1418" s="19"/>
      <c r="D1418" s="19"/>
      <c r="E1418" s="22">
        <f>IFERROR(__xludf.DUMMYFUNCTION("""COMPUTED_VALUE"""),44188.66666666667)</f>
        <v>44188.66667</v>
      </c>
      <c r="F1418" s="23">
        <f>IFERROR(__xludf.DUMMYFUNCTION("""COMPUTED_VALUE"""),27.85)</f>
        <v>27.85</v>
      </c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</row>
    <row r="1419">
      <c r="A1419" s="22">
        <f>IFERROR(__xludf.DUMMYFUNCTION("""COMPUTED_VALUE"""),44013.66666666667)</f>
        <v>44013.66667</v>
      </c>
      <c r="B1419" s="23">
        <f>IFERROR(__xludf.DUMMYFUNCTION("""COMPUTED_VALUE"""),76.53)</f>
        <v>76.53</v>
      </c>
      <c r="C1419" s="19"/>
      <c r="D1419" s="19"/>
      <c r="E1419" s="22">
        <f>IFERROR(__xludf.DUMMYFUNCTION("""COMPUTED_VALUE"""),44189.66666666667)</f>
        <v>44189.66667</v>
      </c>
      <c r="F1419" s="23">
        <f>IFERROR(__xludf.DUMMYFUNCTION("""COMPUTED_VALUE"""),27.65)</f>
        <v>27.65</v>
      </c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</row>
    <row r="1420">
      <c r="A1420" s="22">
        <f>IFERROR(__xludf.DUMMYFUNCTION("""COMPUTED_VALUE"""),44014.66666666667)</f>
        <v>44014.66667</v>
      </c>
      <c r="B1420" s="23">
        <f>IFERROR(__xludf.DUMMYFUNCTION("""COMPUTED_VALUE"""),76.96)</f>
        <v>76.96</v>
      </c>
      <c r="C1420" s="19"/>
      <c r="D1420" s="19"/>
      <c r="E1420" s="22">
        <f>IFERROR(__xludf.DUMMYFUNCTION("""COMPUTED_VALUE"""),44194.66666666667)</f>
        <v>44194.66667</v>
      </c>
      <c r="F1420" s="23">
        <f>IFERROR(__xludf.DUMMYFUNCTION("""COMPUTED_VALUE"""),28.07)</f>
        <v>28.07</v>
      </c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</row>
    <row r="1421">
      <c r="A1421" s="22">
        <f>IFERROR(__xludf.DUMMYFUNCTION("""COMPUTED_VALUE"""),44015.66666666667)</f>
        <v>44015.66667</v>
      </c>
      <c r="B1421" s="23">
        <f>IFERROR(__xludf.DUMMYFUNCTION("""COMPUTED_VALUE"""),77.34)</f>
        <v>77.34</v>
      </c>
      <c r="C1421" s="19"/>
      <c r="D1421" s="19"/>
      <c r="E1421" s="22">
        <f>IFERROR(__xludf.DUMMYFUNCTION("""COMPUTED_VALUE"""),44195.66666666667)</f>
        <v>44195.66667</v>
      </c>
      <c r="F1421" s="23">
        <f>IFERROR(__xludf.DUMMYFUNCTION("""COMPUTED_VALUE"""),27.87)</f>
        <v>27.87</v>
      </c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</row>
    <row r="1422">
      <c r="A1422" s="22">
        <f>IFERROR(__xludf.DUMMYFUNCTION("""COMPUTED_VALUE"""),44018.66666666667)</f>
        <v>44018.66667</v>
      </c>
      <c r="B1422" s="23">
        <f>IFERROR(__xludf.DUMMYFUNCTION("""COMPUTED_VALUE"""),77.89)</f>
        <v>77.89</v>
      </c>
      <c r="C1422" s="19"/>
      <c r="D1422" s="19"/>
      <c r="E1422" s="22">
        <f>IFERROR(__xludf.DUMMYFUNCTION("""COMPUTED_VALUE"""),44196.66666666667)</f>
        <v>44196.66667</v>
      </c>
      <c r="F1422" s="23">
        <f>IFERROR(__xludf.DUMMYFUNCTION("""COMPUTED_VALUE"""),27.68)</f>
        <v>27.68</v>
      </c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</row>
    <row r="1423">
      <c r="A1423" s="22">
        <f>IFERROR(__xludf.DUMMYFUNCTION("""COMPUTED_VALUE"""),44019.66666666667)</f>
        <v>44019.66667</v>
      </c>
      <c r="B1423" s="23">
        <f>IFERROR(__xludf.DUMMYFUNCTION("""COMPUTED_VALUE"""),77.84)</f>
        <v>77.84</v>
      </c>
      <c r="C1423" s="19"/>
      <c r="D1423" s="19"/>
      <c r="E1423" s="22">
        <f>IFERROR(__xludf.DUMMYFUNCTION("""COMPUTED_VALUE"""),44200.66666666667)</f>
        <v>44200.66667</v>
      </c>
      <c r="F1423" s="23">
        <f>IFERROR(__xludf.DUMMYFUNCTION("""COMPUTED_VALUE"""),27.67)</f>
        <v>27.67</v>
      </c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</row>
    <row r="1424">
      <c r="A1424" s="22">
        <f>IFERROR(__xludf.DUMMYFUNCTION("""COMPUTED_VALUE"""),44020.66666666667)</f>
        <v>44020.66667</v>
      </c>
      <c r="B1424" s="23">
        <f>IFERROR(__xludf.DUMMYFUNCTION("""COMPUTED_VALUE"""),77.42)</f>
        <v>77.42</v>
      </c>
      <c r="C1424" s="19"/>
      <c r="D1424" s="19"/>
      <c r="E1424" s="22">
        <f>IFERROR(__xludf.DUMMYFUNCTION("""COMPUTED_VALUE"""),44201.66666666667)</f>
        <v>44201.66667</v>
      </c>
      <c r="F1424" s="23">
        <f>IFERROR(__xludf.DUMMYFUNCTION("""COMPUTED_VALUE"""),27.28)</f>
        <v>27.28</v>
      </c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</row>
    <row r="1425">
      <c r="A1425" s="22">
        <f>IFERROR(__xludf.DUMMYFUNCTION("""COMPUTED_VALUE"""),44021.66666666667)</f>
        <v>44021.66667</v>
      </c>
      <c r="B1425" s="23">
        <f>IFERROR(__xludf.DUMMYFUNCTION("""COMPUTED_VALUE"""),77.8)</f>
        <v>77.8</v>
      </c>
      <c r="C1425" s="19"/>
      <c r="D1425" s="19"/>
      <c r="E1425" s="22">
        <f>IFERROR(__xludf.DUMMYFUNCTION("""COMPUTED_VALUE"""),44202.66666666667)</f>
        <v>44202.66667</v>
      </c>
      <c r="F1425" s="23">
        <f>IFERROR(__xludf.DUMMYFUNCTION("""COMPUTED_VALUE"""),26.91)</f>
        <v>26.91</v>
      </c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</row>
    <row r="1426">
      <c r="A1426" s="22">
        <f>IFERROR(__xludf.DUMMYFUNCTION("""COMPUTED_VALUE"""),44022.66666666667)</f>
        <v>44022.66667</v>
      </c>
      <c r="B1426" s="23">
        <f>IFERROR(__xludf.DUMMYFUNCTION("""COMPUTED_VALUE"""),77.18)</f>
        <v>77.18</v>
      </c>
      <c r="C1426" s="19"/>
      <c r="D1426" s="19"/>
      <c r="E1426" s="22">
        <f>IFERROR(__xludf.DUMMYFUNCTION("""COMPUTED_VALUE"""),44203.66666666667)</f>
        <v>44203.66667</v>
      </c>
      <c r="F1426" s="23">
        <f>IFERROR(__xludf.DUMMYFUNCTION("""COMPUTED_VALUE"""),26.99)</f>
        <v>26.99</v>
      </c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</row>
    <row r="1427">
      <c r="A1427" s="22">
        <f>IFERROR(__xludf.DUMMYFUNCTION("""COMPUTED_VALUE"""),44025.66666666667)</f>
        <v>44025.66667</v>
      </c>
      <c r="B1427" s="23">
        <f>IFERROR(__xludf.DUMMYFUNCTION("""COMPUTED_VALUE"""),78.6)</f>
        <v>78.6</v>
      </c>
      <c r="C1427" s="19"/>
      <c r="D1427" s="19"/>
      <c r="E1427" s="22">
        <f>IFERROR(__xludf.DUMMYFUNCTION("""COMPUTED_VALUE"""),44204.66666666667)</f>
        <v>44204.66667</v>
      </c>
      <c r="F1427" s="23">
        <f>IFERROR(__xludf.DUMMYFUNCTION("""COMPUTED_VALUE"""),27.64)</f>
        <v>27.64</v>
      </c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</row>
    <row r="1428">
      <c r="A1428" s="22">
        <f>IFERROR(__xludf.DUMMYFUNCTION("""COMPUTED_VALUE"""),44026.66666666667)</f>
        <v>44026.66667</v>
      </c>
      <c r="B1428" s="23">
        <f>IFERROR(__xludf.DUMMYFUNCTION("""COMPUTED_VALUE"""),77.81)</f>
        <v>77.81</v>
      </c>
      <c r="C1428" s="19"/>
      <c r="D1428" s="19"/>
      <c r="E1428" s="22">
        <f>IFERROR(__xludf.DUMMYFUNCTION("""COMPUTED_VALUE"""),44207.66666666667)</f>
        <v>44207.66667</v>
      </c>
      <c r="F1428" s="23">
        <f>IFERROR(__xludf.DUMMYFUNCTION("""COMPUTED_VALUE"""),28.04)</f>
        <v>28.04</v>
      </c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</row>
    <row r="1429">
      <c r="A1429" s="22">
        <f>IFERROR(__xludf.DUMMYFUNCTION("""COMPUTED_VALUE"""),44027.66666666667)</f>
        <v>44027.66667</v>
      </c>
      <c r="B1429" s="23">
        <f>IFERROR(__xludf.DUMMYFUNCTION("""COMPUTED_VALUE"""),78.69)</f>
        <v>78.69</v>
      </c>
      <c r="C1429" s="19"/>
      <c r="D1429" s="19"/>
      <c r="E1429" s="22">
        <f>IFERROR(__xludf.DUMMYFUNCTION("""COMPUTED_VALUE"""),44208.66666666667)</f>
        <v>44208.66667</v>
      </c>
      <c r="F1429" s="23">
        <f>IFERROR(__xludf.DUMMYFUNCTION("""COMPUTED_VALUE"""),27.8)</f>
        <v>27.8</v>
      </c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</row>
    <row r="1430">
      <c r="A1430" s="22">
        <f>IFERROR(__xludf.DUMMYFUNCTION("""COMPUTED_VALUE"""),44028.66666666667)</f>
        <v>44028.66667</v>
      </c>
      <c r="B1430" s="23">
        <f>IFERROR(__xludf.DUMMYFUNCTION("""COMPUTED_VALUE"""),78.65)</f>
        <v>78.65</v>
      </c>
      <c r="C1430" s="19"/>
      <c r="D1430" s="19"/>
      <c r="E1430" s="22">
        <f>IFERROR(__xludf.DUMMYFUNCTION("""COMPUTED_VALUE"""),44209.66666666667)</f>
        <v>44209.66667</v>
      </c>
      <c r="F1430" s="23">
        <f>IFERROR(__xludf.DUMMYFUNCTION("""COMPUTED_VALUE"""),27.59)</f>
        <v>27.59</v>
      </c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</row>
    <row r="1431">
      <c r="A1431" s="22">
        <f>IFERROR(__xludf.DUMMYFUNCTION("""COMPUTED_VALUE"""),44029.66666666667)</f>
        <v>44029.66667</v>
      </c>
      <c r="B1431" s="23">
        <f>IFERROR(__xludf.DUMMYFUNCTION("""COMPUTED_VALUE"""),78.65)</f>
        <v>78.65</v>
      </c>
      <c r="C1431" s="19"/>
      <c r="D1431" s="19"/>
      <c r="E1431" s="22">
        <f>IFERROR(__xludf.DUMMYFUNCTION("""COMPUTED_VALUE"""),44210.66666666667)</f>
        <v>44210.66667</v>
      </c>
      <c r="F1431" s="23">
        <f>IFERROR(__xludf.DUMMYFUNCTION("""COMPUTED_VALUE"""),27.66)</f>
        <v>27.66</v>
      </c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</row>
    <row r="1432">
      <c r="A1432" s="22">
        <f>IFERROR(__xludf.DUMMYFUNCTION("""COMPUTED_VALUE"""),44032.66666666667)</f>
        <v>44032.66667</v>
      </c>
      <c r="B1432" s="23">
        <f>IFERROR(__xludf.DUMMYFUNCTION("""COMPUTED_VALUE"""),78.7)</f>
        <v>78.7</v>
      </c>
      <c r="C1432" s="19"/>
      <c r="D1432" s="19"/>
      <c r="E1432" s="22">
        <f>IFERROR(__xludf.DUMMYFUNCTION("""COMPUTED_VALUE"""),44211.66666666667)</f>
        <v>44211.66667</v>
      </c>
      <c r="F1432" s="23">
        <f>IFERROR(__xludf.DUMMYFUNCTION("""COMPUTED_VALUE"""),27.46)</f>
        <v>27.46</v>
      </c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</row>
    <row r="1433">
      <c r="A1433" s="22">
        <f>IFERROR(__xludf.DUMMYFUNCTION("""COMPUTED_VALUE"""),44033.66666666667)</f>
        <v>44033.66667</v>
      </c>
      <c r="B1433" s="23">
        <f>IFERROR(__xludf.DUMMYFUNCTION("""COMPUTED_VALUE"""),79.63)</f>
        <v>79.63</v>
      </c>
      <c r="C1433" s="19"/>
      <c r="D1433" s="19"/>
      <c r="E1433" s="22">
        <f>IFERROR(__xludf.DUMMYFUNCTION("""COMPUTED_VALUE"""),44214.66666666667)</f>
        <v>44214.66667</v>
      </c>
      <c r="F1433" s="23">
        <f>IFERROR(__xludf.DUMMYFUNCTION("""COMPUTED_VALUE"""),27.5)</f>
        <v>27.5</v>
      </c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</row>
    <row r="1434">
      <c r="A1434" s="22">
        <f>IFERROR(__xludf.DUMMYFUNCTION("""COMPUTED_VALUE"""),44034.66666666667)</f>
        <v>44034.66667</v>
      </c>
      <c r="B1434" s="23">
        <f>IFERROR(__xludf.DUMMYFUNCTION("""COMPUTED_VALUE"""),78.01)</f>
        <v>78.01</v>
      </c>
      <c r="C1434" s="19"/>
      <c r="D1434" s="19"/>
      <c r="E1434" s="22">
        <f>IFERROR(__xludf.DUMMYFUNCTION("""COMPUTED_VALUE"""),44215.66666666667)</f>
        <v>44215.66667</v>
      </c>
      <c r="F1434" s="23">
        <f>IFERROR(__xludf.DUMMYFUNCTION("""COMPUTED_VALUE"""),27.74)</f>
        <v>27.74</v>
      </c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</row>
    <row r="1435">
      <c r="A1435" s="22">
        <f>IFERROR(__xludf.DUMMYFUNCTION("""COMPUTED_VALUE"""),44035.66666666667)</f>
        <v>44035.66667</v>
      </c>
      <c r="B1435" s="23">
        <f>IFERROR(__xludf.DUMMYFUNCTION("""COMPUTED_VALUE"""),78.28)</f>
        <v>78.28</v>
      </c>
      <c r="C1435" s="19"/>
      <c r="D1435" s="19"/>
      <c r="E1435" s="22">
        <f>IFERROR(__xludf.DUMMYFUNCTION("""COMPUTED_VALUE"""),44216.66666666667)</f>
        <v>44216.66667</v>
      </c>
      <c r="F1435" s="23">
        <f>IFERROR(__xludf.DUMMYFUNCTION("""COMPUTED_VALUE"""),27.94)</f>
        <v>27.94</v>
      </c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</row>
    <row r="1436">
      <c r="A1436" s="22">
        <f>IFERROR(__xludf.DUMMYFUNCTION("""COMPUTED_VALUE"""),44036.66666666667)</f>
        <v>44036.66667</v>
      </c>
      <c r="B1436" s="23">
        <f>IFERROR(__xludf.DUMMYFUNCTION("""COMPUTED_VALUE"""),77.83)</f>
        <v>77.83</v>
      </c>
      <c r="C1436" s="19"/>
      <c r="D1436" s="19"/>
      <c r="E1436" s="22">
        <f>IFERROR(__xludf.DUMMYFUNCTION("""COMPUTED_VALUE"""),44217.66666666667)</f>
        <v>44217.66667</v>
      </c>
      <c r="F1436" s="23">
        <f>IFERROR(__xludf.DUMMYFUNCTION("""COMPUTED_VALUE"""),28.51)</f>
        <v>28.51</v>
      </c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</row>
    <row r="1437">
      <c r="A1437" s="22">
        <f>IFERROR(__xludf.DUMMYFUNCTION("""COMPUTED_VALUE"""),44039.66666666667)</f>
        <v>44039.66667</v>
      </c>
      <c r="B1437" s="23">
        <f>IFERROR(__xludf.DUMMYFUNCTION("""COMPUTED_VALUE"""),77.67)</f>
        <v>77.67</v>
      </c>
      <c r="C1437" s="19"/>
      <c r="D1437" s="19"/>
      <c r="E1437" s="22">
        <f>IFERROR(__xludf.DUMMYFUNCTION("""COMPUTED_VALUE"""),44218.66666666667)</f>
        <v>44218.66667</v>
      </c>
      <c r="F1437" s="23">
        <f>IFERROR(__xludf.DUMMYFUNCTION("""COMPUTED_VALUE"""),28.54)</f>
        <v>28.54</v>
      </c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</row>
    <row r="1438">
      <c r="A1438" s="22">
        <f>IFERROR(__xludf.DUMMYFUNCTION("""COMPUTED_VALUE"""),44040.66666666667)</f>
        <v>44040.66667</v>
      </c>
      <c r="B1438" s="23">
        <f>IFERROR(__xludf.DUMMYFUNCTION("""COMPUTED_VALUE"""),77.81)</f>
        <v>77.81</v>
      </c>
      <c r="C1438" s="19"/>
      <c r="D1438" s="19"/>
      <c r="E1438" s="22">
        <f>IFERROR(__xludf.DUMMYFUNCTION("""COMPUTED_VALUE"""),44221.66666666667)</f>
        <v>44221.66667</v>
      </c>
      <c r="F1438" s="23">
        <f>IFERROR(__xludf.DUMMYFUNCTION("""COMPUTED_VALUE"""),28.8)</f>
        <v>28.8</v>
      </c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</row>
    <row r="1439">
      <c r="A1439" s="22">
        <f>IFERROR(__xludf.DUMMYFUNCTION("""COMPUTED_VALUE"""),44041.66666666667)</f>
        <v>44041.66667</v>
      </c>
      <c r="B1439" s="23">
        <f>IFERROR(__xludf.DUMMYFUNCTION("""COMPUTED_VALUE"""),77.05)</f>
        <v>77.05</v>
      </c>
      <c r="C1439" s="19"/>
      <c r="D1439" s="19"/>
      <c r="E1439" s="22">
        <f>IFERROR(__xludf.DUMMYFUNCTION("""COMPUTED_VALUE"""),44223.66666666667)</f>
        <v>44223.66667</v>
      </c>
      <c r="F1439" s="23">
        <f>IFERROR(__xludf.DUMMYFUNCTION("""COMPUTED_VALUE"""),29.0)</f>
        <v>29</v>
      </c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</row>
    <row r="1440">
      <c r="A1440" s="22">
        <f>IFERROR(__xludf.DUMMYFUNCTION("""COMPUTED_VALUE"""),44042.66666666667)</f>
        <v>44042.66667</v>
      </c>
      <c r="B1440" s="23">
        <f>IFERROR(__xludf.DUMMYFUNCTION("""COMPUTED_VALUE"""),77.82)</f>
        <v>77.82</v>
      </c>
      <c r="C1440" s="19"/>
      <c r="D1440" s="19"/>
      <c r="E1440" s="22">
        <f>IFERROR(__xludf.DUMMYFUNCTION("""COMPUTED_VALUE"""),44224.66666666667)</f>
        <v>44224.66667</v>
      </c>
      <c r="F1440" s="23">
        <f>IFERROR(__xludf.DUMMYFUNCTION("""COMPUTED_VALUE"""),28.28)</f>
        <v>28.28</v>
      </c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</row>
    <row r="1441">
      <c r="A1441" s="22">
        <f>IFERROR(__xludf.DUMMYFUNCTION("""COMPUTED_VALUE"""),44043.66666666667)</f>
        <v>44043.66667</v>
      </c>
      <c r="B1441" s="23">
        <f>IFERROR(__xludf.DUMMYFUNCTION("""COMPUTED_VALUE"""),76.96)</f>
        <v>76.96</v>
      </c>
      <c r="C1441" s="19"/>
      <c r="D1441" s="19"/>
      <c r="E1441" s="22">
        <f>IFERROR(__xludf.DUMMYFUNCTION("""COMPUTED_VALUE"""),44225.66666666667)</f>
        <v>44225.66667</v>
      </c>
      <c r="F1441" s="23">
        <f>IFERROR(__xludf.DUMMYFUNCTION("""COMPUTED_VALUE"""),28.14)</f>
        <v>28.14</v>
      </c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</row>
    <row r="1442">
      <c r="A1442" s="22">
        <f>IFERROR(__xludf.DUMMYFUNCTION("""COMPUTED_VALUE"""),44046.66666666667)</f>
        <v>44046.66667</v>
      </c>
      <c r="B1442" s="23">
        <f>IFERROR(__xludf.DUMMYFUNCTION("""COMPUTED_VALUE"""),77.71)</f>
        <v>77.71</v>
      </c>
      <c r="C1442" s="19"/>
      <c r="D1442" s="19"/>
      <c r="E1442" s="22">
        <f>IFERROR(__xludf.DUMMYFUNCTION("""COMPUTED_VALUE"""),44228.66666666667)</f>
        <v>44228.66667</v>
      </c>
      <c r="F1442" s="23">
        <f>IFERROR(__xludf.DUMMYFUNCTION("""COMPUTED_VALUE"""),28.06)</f>
        <v>28.06</v>
      </c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</row>
    <row r="1443">
      <c r="A1443" s="22">
        <f>IFERROR(__xludf.DUMMYFUNCTION("""COMPUTED_VALUE"""),44047.66666666667)</f>
        <v>44047.66667</v>
      </c>
      <c r="B1443" s="23">
        <f>IFERROR(__xludf.DUMMYFUNCTION("""COMPUTED_VALUE"""),78.75)</f>
        <v>78.75</v>
      </c>
      <c r="C1443" s="19"/>
      <c r="D1443" s="19"/>
      <c r="E1443" s="22">
        <f>IFERROR(__xludf.DUMMYFUNCTION("""COMPUTED_VALUE"""),44229.66666666667)</f>
        <v>44229.66667</v>
      </c>
      <c r="F1443" s="23">
        <f>IFERROR(__xludf.DUMMYFUNCTION("""COMPUTED_VALUE"""),28.94)</f>
        <v>28.94</v>
      </c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</row>
    <row r="1444">
      <c r="A1444" s="22">
        <f>IFERROR(__xludf.DUMMYFUNCTION("""COMPUTED_VALUE"""),44048.66666666667)</f>
        <v>44048.66667</v>
      </c>
      <c r="B1444" s="23">
        <f>IFERROR(__xludf.DUMMYFUNCTION("""COMPUTED_VALUE"""),78.55)</f>
        <v>78.55</v>
      </c>
      <c r="C1444" s="19"/>
      <c r="D1444" s="19"/>
      <c r="E1444" s="22">
        <f>IFERROR(__xludf.DUMMYFUNCTION("""COMPUTED_VALUE"""),44230.66666666667)</f>
        <v>44230.66667</v>
      </c>
      <c r="F1444" s="23">
        <f>IFERROR(__xludf.DUMMYFUNCTION("""COMPUTED_VALUE"""),29.38)</f>
        <v>29.38</v>
      </c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</row>
    <row r="1445">
      <c r="A1445" s="22">
        <f>IFERROR(__xludf.DUMMYFUNCTION("""COMPUTED_VALUE"""),44049.66666666667)</f>
        <v>44049.66667</v>
      </c>
      <c r="B1445" s="23">
        <f>IFERROR(__xludf.DUMMYFUNCTION("""COMPUTED_VALUE"""),78.49)</f>
        <v>78.49</v>
      </c>
      <c r="C1445" s="19"/>
      <c r="D1445" s="19"/>
      <c r="E1445" s="22">
        <f>IFERROR(__xludf.DUMMYFUNCTION("""COMPUTED_VALUE"""),44231.66666666667)</f>
        <v>44231.66667</v>
      </c>
      <c r="F1445" s="23">
        <f>IFERROR(__xludf.DUMMYFUNCTION("""COMPUTED_VALUE"""),29.01)</f>
        <v>29.01</v>
      </c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</row>
    <row r="1446">
      <c r="A1446" s="22">
        <f>IFERROR(__xludf.DUMMYFUNCTION("""COMPUTED_VALUE"""),44050.66666666667)</f>
        <v>44050.66667</v>
      </c>
      <c r="B1446" s="23">
        <f>IFERROR(__xludf.DUMMYFUNCTION("""COMPUTED_VALUE"""),78.64)</f>
        <v>78.64</v>
      </c>
      <c r="C1446" s="19"/>
      <c r="D1446" s="19"/>
      <c r="E1446" s="22">
        <f>IFERROR(__xludf.DUMMYFUNCTION("""COMPUTED_VALUE"""),44232.66666666667)</f>
        <v>44232.66667</v>
      </c>
      <c r="F1446" s="23">
        <f>IFERROR(__xludf.DUMMYFUNCTION("""COMPUTED_VALUE"""),29.6)</f>
        <v>29.6</v>
      </c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</row>
    <row r="1447">
      <c r="A1447" s="22">
        <f>IFERROR(__xludf.DUMMYFUNCTION("""COMPUTED_VALUE"""),44053.66666666667)</f>
        <v>44053.66667</v>
      </c>
      <c r="B1447" s="23">
        <f>IFERROR(__xludf.DUMMYFUNCTION("""COMPUTED_VALUE"""),79.42)</f>
        <v>79.42</v>
      </c>
      <c r="C1447" s="19"/>
      <c r="D1447" s="19"/>
      <c r="E1447" s="22">
        <f>IFERROR(__xludf.DUMMYFUNCTION("""COMPUTED_VALUE"""),44235.66666666667)</f>
        <v>44235.66667</v>
      </c>
      <c r="F1447" s="23">
        <f>IFERROR(__xludf.DUMMYFUNCTION("""COMPUTED_VALUE"""),29.5)</f>
        <v>29.5</v>
      </c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</row>
    <row r="1448">
      <c r="A1448" s="22">
        <f>IFERROR(__xludf.DUMMYFUNCTION("""COMPUTED_VALUE"""),44054.66666666667)</f>
        <v>44054.66667</v>
      </c>
      <c r="B1448" s="23">
        <f>IFERROR(__xludf.DUMMYFUNCTION("""COMPUTED_VALUE"""),79.59)</f>
        <v>79.59</v>
      </c>
      <c r="C1448" s="19"/>
      <c r="D1448" s="19"/>
      <c r="E1448" s="22">
        <f>IFERROR(__xludf.DUMMYFUNCTION("""COMPUTED_VALUE"""),44236.66666666667)</f>
        <v>44236.66667</v>
      </c>
      <c r="F1448" s="23">
        <f>IFERROR(__xludf.DUMMYFUNCTION("""COMPUTED_VALUE"""),29.31)</f>
        <v>29.31</v>
      </c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</row>
    <row r="1449">
      <c r="A1449" s="22">
        <f>IFERROR(__xludf.DUMMYFUNCTION("""COMPUTED_VALUE"""),44055.66666666667)</f>
        <v>44055.66667</v>
      </c>
      <c r="B1449" s="23">
        <f>IFERROR(__xludf.DUMMYFUNCTION("""COMPUTED_VALUE"""),79.77)</f>
        <v>79.77</v>
      </c>
      <c r="C1449" s="19"/>
      <c r="D1449" s="19"/>
      <c r="E1449" s="22">
        <f>IFERROR(__xludf.DUMMYFUNCTION("""COMPUTED_VALUE"""),44237.66666666667)</f>
        <v>44237.66667</v>
      </c>
      <c r="F1449" s="23">
        <f>IFERROR(__xludf.DUMMYFUNCTION("""COMPUTED_VALUE"""),29.39)</f>
        <v>29.39</v>
      </c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</row>
    <row r="1450">
      <c r="A1450" s="22">
        <f>IFERROR(__xludf.DUMMYFUNCTION("""COMPUTED_VALUE"""),44056.66666666667)</f>
        <v>44056.66667</v>
      </c>
      <c r="B1450" s="23">
        <f>IFERROR(__xludf.DUMMYFUNCTION("""COMPUTED_VALUE"""),80.27)</f>
        <v>80.27</v>
      </c>
      <c r="C1450" s="19"/>
      <c r="D1450" s="19"/>
      <c r="E1450" s="22">
        <f>IFERROR(__xludf.DUMMYFUNCTION("""COMPUTED_VALUE"""),44238.66666666667)</f>
        <v>44238.66667</v>
      </c>
      <c r="F1450" s="23">
        <f>IFERROR(__xludf.DUMMYFUNCTION("""COMPUTED_VALUE"""),29.25)</f>
        <v>29.25</v>
      </c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</row>
    <row r="1451">
      <c r="A1451" s="22">
        <f>IFERROR(__xludf.DUMMYFUNCTION("""COMPUTED_VALUE"""),44057.66666666667)</f>
        <v>44057.66667</v>
      </c>
      <c r="B1451" s="23">
        <f>IFERROR(__xludf.DUMMYFUNCTION("""COMPUTED_VALUE"""),80.52)</f>
        <v>80.52</v>
      </c>
      <c r="C1451" s="19"/>
      <c r="D1451" s="19"/>
      <c r="E1451" s="22">
        <f>IFERROR(__xludf.DUMMYFUNCTION("""COMPUTED_VALUE"""),44239.66666666667)</f>
        <v>44239.66667</v>
      </c>
      <c r="F1451" s="23">
        <f>IFERROR(__xludf.DUMMYFUNCTION("""COMPUTED_VALUE"""),29.29)</f>
        <v>29.29</v>
      </c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</row>
    <row r="1452">
      <c r="A1452" s="22">
        <f>IFERROR(__xludf.DUMMYFUNCTION("""COMPUTED_VALUE"""),44060.66666666667)</f>
        <v>44060.66667</v>
      </c>
      <c r="B1452" s="23">
        <f>IFERROR(__xludf.DUMMYFUNCTION("""COMPUTED_VALUE"""),79.98)</f>
        <v>79.98</v>
      </c>
      <c r="C1452" s="19"/>
      <c r="D1452" s="19"/>
      <c r="E1452" s="22">
        <f>IFERROR(__xludf.DUMMYFUNCTION("""COMPUTED_VALUE"""),44242.66666666667)</f>
        <v>44242.66667</v>
      </c>
      <c r="F1452" s="23">
        <f>IFERROR(__xludf.DUMMYFUNCTION("""COMPUTED_VALUE"""),29.51)</f>
        <v>29.51</v>
      </c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</row>
    <row r="1453">
      <c r="A1453" s="22">
        <f>IFERROR(__xludf.DUMMYFUNCTION("""COMPUTED_VALUE"""),44061.66666666667)</f>
        <v>44061.66667</v>
      </c>
      <c r="B1453" s="23">
        <f>IFERROR(__xludf.DUMMYFUNCTION("""COMPUTED_VALUE"""),79.89)</f>
        <v>79.89</v>
      </c>
      <c r="C1453" s="19"/>
      <c r="D1453" s="19"/>
      <c r="E1453" s="22">
        <f>IFERROR(__xludf.DUMMYFUNCTION("""COMPUTED_VALUE"""),44243.66666666667)</f>
        <v>44243.66667</v>
      </c>
      <c r="F1453" s="23">
        <f>IFERROR(__xludf.DUMMYFUNCTION("""COMPUTED_VALUE"""),29.5)</f>
        <v>29.5</v>
      </c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</row>
    <row r="1454">
      <c r="A1454" s="22">
        <f>IFERROR(__xludf.DUMMYFUNCTION("""COMPUTED_VALUE"""),44062.66666666667)</f>
        <v>44062.66667</v>
      </c>
      <c r="B1454" s="23">
        <f>IFERROR(__xludf.DUMMYFUNCTION("""COMPUTED_VALUE"""),79.88)</f>
        <v>79.88</v>
      </c>
      <c r="C1454" s="19"/>
      <c r="D1454" s="19"/>
      <c r="E1454" s="22">
        <f>IFERROR(__xludf.DUMMYFUNCTION("""COMPUTED_VALUE"""),44244.66666666667)</f>
        <v>44244.66667</v>
      </c>
      <c r="F1454" s="23">
        <f>IFERROR(__xludf.DUMMYFUNCTION("""COMPUTED_VALUE"""),29.39)</f>
        <v>29.39</v>
      </c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</row>
    <row r="1455">
      <c r="A1455" s="22">
        <f>IFERROR(__xludf.DUMMYFUNCTION("""COMPUTED_VALUE"""),44063.66666666667)</f>
        <v>44063.66667</v>
      </c>
      <c r="B1455" s="23">
        <f>IFERROR(__xludf.DUMMYFUNCTION("""COMPUTED_VALUE"""),79.7)</f>
        <v>79.7</v>
      </c>
      <c r="C1455" s="19"/>
      <c r="D1455" s="19"/>
      <c r="E1455" s="22">
        <f>IFERROR(__xludf.DUMMYFUNCTION("""COMPUTED_VALUE"""),44245.66666666667)</f>
        <v>44245.66667</v>
      </c>
      <c r="F1455" s="23">
        <f>IFERROR(__xludf.DUMMYFUNCTION("""COMPUTED_VALUE"""),29.13)</f>
        <v>29.13</v>
      </c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</row>
    <row r="1456">
      <c r="A1456" s="22">
        <f>IFERROR(__xludf.DUMMYFUNCTION("""COMPUTED_VALUE"""),44064.66666666667)</f>
        <v>44064.66667</v>
      </c>
      <c r="B1456" s="23">
        <f>IFERROR(__xludf.DUMMYFUNCTION("""COMPUTED_VALUE"""),80.17)</f>
        <v>80.17</v>
      </c>
      <c r="C1456" s="19"/>
      <c r="D1456" s="19"/>
      <c r="E1456" s="22">
        <f>IFERROR(__xludf.DUMMYFUNCTION("""COMPUTED_VALUE"""),44246.66666666667)</f>
        <v>44246.66667</v>
      </c>
      <c r="F1456" s="23">
        <f>IFERROR(__xludf.DUMMYFUNCTION("""COMPUTED_VALUE"""),28.95)</f>
        <v>28.95</v>
      </c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</row>
    <row r="1457">
      <c r="A1457" s="22">
        <f>IFERROR(__xludf.DUMMYFUNCTION("""COMPUTED_VALUE"""),44067.66666666667)</f>
        <v>44067.66667</v>
      </c>
      <c r="B1457" s="23">
        <f>IFERROR(__xludf.DUMMYFUNCTION("""COMPUTED_VALUE"""),80.65)</f>
        <v>80.65</v>
      </c>
      <c r="C1457" s="19"/>
      <c r="D1457" s="19"/>
      <c r="E1457" s="22">
        <f>IFERROR(__xludf.DUMMYFUNCTION("""COMPUTED_VALUE"""),44249.66666666667)</f>
        <v>44249.66667</v>
      </c>
      <c r="F1457" s="23">
        <f>IFERROR(__xludf.DUMMYFUNCTION("""COMPUTED_VALUE"""),28.45)</f>
        <v>28.45</v>
      </c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</row>
    <row r="1458">
      <c r="A1458" s="22">
        <f>IFERROR(__xludf.DUMMYFUNCTION("""COMPUTED_VALUE"""),44068.66666666667)</f>
        <v>44068.66667</v>
      </c>
      <c r="B1458" s="23">
        <f>IFERROR(__xludf.DUMMYFUNCTION("""COMPUTED_VALUE"""),81.53)</f>
        <v>81.53</v>
      </c>
      <c r="C1458" s="19"/>
      <c r="D1458" s="19"/>
      <c r="E1458" s="22">
        <f>IFERROR(__xludf.DUMMYFUNCTION("""COMPUTED_VALUE"""),44250.66666666667)</f>
        <v>44250.66667</v>
      </c>
      <c r="F1458" s="23">
        <f>IFERROR(__xludf.DUMMYFUNCTION("""COMPUTED_VALUE"""),27.88)</f>
        <v>27.88</v>
      </c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</row>
    <row r="1459">
      <c r="A1459" s="22">
        <f>IFERROR(__xludf.DUMMYFUNCTION("""COMPUTED_VALUE"""),44069.66666666667)</f>
        <v>44069.66667</v>
      </c>
      <c r="B1459" s="23">
        <f>IFERROR(__xludf.DUMMYFUNCTION("""COMPUTED_VALUE"""),81.21)</f>
        <v>81.21</v>
      </c>
      <c r="C1459" s="19"/>
      <c r="D1459" s="19"/>
      <c r="E1459" s="22">
        <f>IFERROR(__xludf.DUMMYFUNCTION("""COMPUTED_VALUE"""),44251.66666666667)</f>
        <v>44251.66667</v>
      </c>
      <c r="F1459" s="23">
        <f>IFERROR(__xludf.DUMMYFUNCTION("""COMPUTED_VALUE"""),27.49)</f>
        <v>27.49</v>
      </c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</row>
    <row r="1460">
      <c r="A1460" s="22">
        <f>IFERROR(__xludf.DUMMYFUNCTION("""COMPUTED_VALUE"""),44070.66666666667)</f>
        <v>44070.66667</v>
      </c>
      <c r="B1460" s="23">
        <f>IFERROR(__xludf.DUMMYFUNCTION("""COMPUTED_VALUE"""),81.44)</f>
        <v>81.44</v>
      </c>
      <c r="C1460" s="19"/>
      <c r="D1460" s="19"/>
      <c r="E1460" s="22">
        <f>IFERROR(__xludf.DUMMYFUNCTION("""COMPUTED_VALUE"""),44252.66666666667)</f>
        <v>44252.66667</v>
      </c>
      <c r="F1460" s="23">
        <f>IFERROR(__xludf.DUMMYFUNCTION("""COMPUTED_VALUE"""),27.72)</f>
        <v>27.72</v>
      </c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</row>
    <row r="1461">
      <c r="A1461" s="22">
        <f>IFERROR(__xludf.DUMMYFUNCTION("""COMPUTED_VALUE"""),44071.66666666667)</f>
        <v>44071.66667</v>
      </c>
      <c r="B1461" s="23">
        <f>IFERROR(__xludf.DUMMYFUNCTION("""COMPUTED_VALUE"""),81.18)</f>
        <v>81.18</v>
      </c>
      <c r="C1461" s="19"/>
      <c r="D1461" s="19"/>
      <c r="E1461" s="22">
        <f>IFERROR(__xludf.DUMMYFUNCTION("""COMPUTED_VALUE"""),44253.66666666667)</f>
        <v>44253.66667</v>
      </c>
      <c r="F1461" s="23">
        <f>IFERROR(__xludf.DUMMYFUNCTION("""COMPUTED_VALUE"""),26.94)</f>
        <v>26.94</v>
      </c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</row>
    <row r="1462">
      <c r="A1462" s="22">
        <f>IFERROR(__xludf.DUMMYFUNCTION("""COMPUTED_VALUE"""),44074.66666666667)</f>
        <v>44074.66667</v>
      </c>
      <c r="B1462" s="23">
        <f>IFERROR(__xludf.DUMMYFUNCTION("""COMPUTED_VALUE"""),80.88)</f>
        <v>80.88</v>
      </c>
      <c r="C1462" s="19"/>
      <c r="D1462" s="19"/>
      <c r="E1462" s="22">
        <f>IFERROR(__xludf.DUMMYFUNCTION("""COMPUTED_VALUE"""),44256.66666666667)</f>
        <v>44256.66667</v>
      </c>
      <c r="F1462" s="23">
        <f>IFERROR(__xludf.DUMMYFUNCTION("""COMPUTED_VALUE"""),27.9)</f>
        <v>27.9</v>
      </c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</row>
    <row r="1463">
      <c r="A1463" s="22">
        <f>IFERROR(__xludf.DUMMYFUNCTION("""COMPUTED_VALUE"""),44075.66666666667)</f>
        <v>44075.66667</v>
      </c>
      <c r="B1463" s="23">
        <f>IFERROR(__xludf.DUMMYFUNCTION("""COMPUTED_VALUE"""),80.13)</f>
        <v>80.13</v>
      </c>
      <c r="C1463" s="19"/>
      <c r="D1463" s="19"/>
      <c r="E1463" s="22">
        <f>IFERROR(__xludf.DUMMYFUNCTION("""COMPUTED_VALUE"""),44257.66666666667)</f>
        <v>44257.66667</v>
      </c>
      <c r="F1463" s="23">
        <f>IFERROR(__xludf.DUMMYFUNCTION("""COMPUTED_VALUE"""),28.25)</f>
        <v>28.25</v>
      </c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</row>
    <row r="1464">
      <c r="A1464" s="22">
        <f>IFERROR(__xludf.DUMMYFUNCTION("""COMPUTED_VALUE"""),44076.66666666667)</f>
        <v>44076.66667</v>
      </c>
      <c r="B1464" s="23">
        <f>IFERROR(__xludf.DUMMYFUNCTION("""COMPUTED_VALUE"""),81.23)</f>
        <v>81.23</v>
      </c>
      <c r="C1464" s="19"/>
      <c r="D1464" s="19"/>
      <c r="E1464" s="22">
        <f>IFERROR(__xludf.DUMMYFUNCTION("""COMPUTED_VALUE"""),44258.66666666667)</f>
        <v>44258.66667</v>
      </c>
      <c r="F1464" s="23">
        <f>IFERROR(__xludf.DUMMYFUNCTION("""COMPUTED_VALUE"""),27.84)</f>
        <v>27.84</v>
      </c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</row>
    <row r="1465">
      <c r="A1465" s="22">
        <f>IFERROR(__xludf.DUMMYFUNCTION("""COMPUTED_VALUE"""),44077.66666666667)</f>
        <v>44077.66667</v>
      </c>
      <c r="B1465" s="23">
        <f>IFERROR(__xludf.DUMMYFUNCTION("""COMPUTED_VALUE"""),82.19)</f>
        <v>82.19</v>
      </c>
      <c r="C1465" s="19"/>
      <c r="D1465" s="19"/>
      <c r="E1465" s="22">
        <f>IFERROR(__xludf.DUMMYFUNCTION("""COMPUTED_VALUE"""),44259.66666666667)</f>
        <v>44259.66667</v>
      </c>
      <c r="F1465" s="23">
        <f>IFERROR(__xludf.DUMMYFUNCTION("""COMPUTED_VALUE"""),26.72)</f>
        <v>26.72</v>
      </c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</row>
    <row r="1466">
      <c r="A1466" s="22">
        <f>IFERROR(__xludf.DUMMYFUNCTION("""COMPUTED_VALUE"""),44078.66666666667)</f>
        <v>44078.66667</v>
      </c>
      <c r="B1466" s="23">
        <f>IFERROR(__xludf.DUMMYFUNCTION("""COMPUTED_VALUE"""),80.36)</f>
        <v>80.36</v>
      </c>
      <c r="C1466" s="19"/>
      <c r="D1466" s="19"/>
      <c r="E1466" s="22">
        <f>IFERROR(__xludf.DUMMYFUNCTION("""COMPUTED_VALUE"""),44260.66666666667)</f>
        <v>44260.66667</v>
      </c>
      <c r="F1466" s="23">
        <f>IFERROR(__xludf.DUMMYFUNCTION("""COMPUTED_VALUE"""),26.65)</f>
        <v>26.65</v>
      </c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</row>
    <row r="1467">
      <c r="A1467" s="22">
        <f>IFERROR(__xludf.DUMMYFUNCTION("""COMPUTED_VALUE"""),44081.66666666667)</f>
        <v>44081.66667</v>
      </c>
      <c r="B1467" s="23">
        <f>IFERROR(__xludf.DUMMYFUNCTION("""COMPUTED_VALUE"""),79.28)</f>
        <v>79.28</v>
      </c>
      <c r="C1467" s="19"/>
      <c r="D1467" s="19"/>
      <c r="E1467" s="22">
        <f>IFERROR(__xludf.DUMMYFUNCTION("""COMPUTED_VALUE"""),44263.66666666667)</f>
        <v>44263.66667</v>
      </c>
      <c r="F1467" s="23">
        <f>IFERROR(__xludf.DUMMYFUNCTION("""COMPUTED_VALUE"""),26.95)</f>
        <v>26.95</v>
      </c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</row>
    <row r="1468">
      <c r="A1468" s="22">
        <f>IFERROR(__xludf.DUMMYFUNCTION("""COMPUTED_VALUE"""),44082.66666666667)</f>
        <v>44082.66667</v>
      </c>
      <c r="B1468" s="23">
        <f>IFERROR(__xludf.DUMMYFUNCTION("""COMPUTED_VALUE"""),79.97)</f>
        <v>79.97</v>
      </c>
      <c r="C1468" s="19"/>
      <c r="D1468" s="19"/>
      <c r="E1468" s="22">
        <f>IFERROR(__xludf.DUMMYFUNCTION("""COMPUTED_VALUE"""),44264.66666666667)</f>
        <v>44264.66667</v>
      </c>
      <c r="F1468" s="23">
        <f>IFERROR(__xludf.DUMMYFUNCTION("""COMPUTED_VALUE"""),26.93)</f>
        <v>26.93</v>
      </c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</row>
    <row r="1469">
      <c r="A1469" s="22">
        <f>IFERROR(__xludf.DUMMYFUNCTION("""COMPUTED_VALUE"""),44083.66666666667)</f>
        <v>44083.66667</v>
      </c>
      <c r="B1469" s="23">
        <f>IFERROR(__xludf.DUMMYFUNCTION("""COMPUTED_VALUE"""),78.68)</f>
        <v>78.68</v>
      </c>
      <c r="C1469" s="19"/>
      <c r="D1469" s="19"/>
      <c r="E1469" s="22">
        <f>IFERROR(__xludf.DUMMYFUNCTION("""COMPUTED_VALUE"""),44265.66666666667)</f>
        <v>44265.66667</v>
      </c>
      <c r="F1469" s="23">
        <f>IFERROR(__xludf.DUMMYFUNCTION("""COMPUTED_VALUE"""),27.44)</f>
        <v>27.44</v>
      </c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</row>
    <row r="1470">
      <c r="A1470" s="22">
        <f>IFERROR(__xludf.DUMMYFUNCTION("""COMPUTED_VALUE"""),44084.66666666667)</f>
        <v>44084.66667</v>
      </c>
      <c r="B1470" s="23">
        <f>IFERROR(__xludf.DUMMYFUNCTION("""COMPUTED_VALUE"""),79.58)</f>
        <v>79.58</v>
      </c>
      <c r="C1470" s="19"/>
      <c r="D1470" s="19"/>
      <c r="E1470" s="22">
        <f>IFERROR(__xludf.DUMMYFUNCTION("""COMPUTED_VALUE"""),44266.66666666667)</f>
        <v>44266.66667</v>
      </c>
      <c r="F1470" s="23">
        <f>IFERROR(__xludf.DUMMYFUNCTION("""COMPUTED_VALUE"""),27.42)</f>
        <v>27.42</v>
      </c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</row>
    <row r="1471">
      <c r="A1471" s="22">
        <f>IFERROR(__xludf.DUMMYFUNCTION("""COMPUTED_VALUE"""),44085.66666666667)</f>
        <v>44085.66667</v>
      </c>
      <c r="B1471" s="23">
        <f>IFERROR(__xludf.DUMMYFUNCTION("""COMPUTED_VALUE"""),78.87)</f>
        <v>78.87</v>
      </c>
      <c r="C1471" s="19"/>
      <c r="D1471" s="19"/>
      <c r="E1471" s="22">
        <f>IFERROR(__xludf.DUMMYFUNCTION("""COMPUTED_VALUE"""),44267.66666666667)</f>
        <v>44267.66667</v>
      </c>
      <c r="F1471" s="23">
        <f>IFERROR(__xludf.DUMMYFUNCTION("""COMPUTED_VALUE"""),27.75)</f>
        <v>27.75</v>
      </c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</row>
    <row r="1472">
      <c r="A1472" s="22">
        <f>IFERROR(__xludf.DUMMYFUNCTION("""COMPUTED_VALUE"""),44088.66666666667)</f>
        <v>44088.66667</v>
      </c>
      <c r="B1472" s="23">
        <f>IFERROR(__xludf.DUMMYFUNCTION("""COMPUTED_VALUE"""),79.31)</f>
        <v>79.31</v>
      </c>
      <c r="C1472" s="19"/>
      <c r="D1472" s="19"/>
      <c r="E1472" s="22">
        <f>IFERROR(__xludf.DUMMYFUNCTION("""COMPUTED_VALUE"""),44270.66666666667)</f>
        <v>44270.66667</v>
      </c>
      <c r="F1472" s="23">
        <f>IFERROR(__xludf.DUMMYFUNCTION("""COMPUTED_VALUE"""),27.65)</f>
        <v>27.65</v>
      </c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</row>
    <row r="1473">
      <c r="A1473" s="22">
        <f>IFERROR(__xludf.DUMMYFUNCTION("""COMPUTED_VALUE"""),44089.66666666667)</f>
        <v>44089.66667</v>
      </c>
      <c r="B1473" s="23">
        <f>IFERROR(__xludf.DUMMYFUNCTION("""COMPUTED_VALUE"""),79.03)</f>
        <v>79.03</v>
      </c>
      <c r="C1473" s="19"/>
      <c r="D1473" s="19"/>
      <c r="E1473" s="22">
        <f>IFERROR(__xludf.DUMMYFUNCTION("""COMPUTED_VALUE"""),44271.66666666667)</f>
        <v>44271.66667</v>
      </c>
      <c r="F1473" s="23">
        <f>IFERROR(__xludf.DUMMYFUNCTION("""COMPUTED_VALUE"""),28.04)</f>
        <v>28.04</v>
      </c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</row>
    <row r="1474">
      <c r="A1474" s="22">
        <f>IFERROR(__xludf.DUMMYFUNCTION("""COMPUTED_VALUE"""),44090.66666666667)</f>
        <v>44090.66667</v>
      </c>
      <c r="B1474" s="23">
        <f>IFERROR(__xludf.DUMMYFUNCTION("""COMPUTED_VALUE"""),79.55)</f>
        <v>79.55</v>
      </c>
      <c r="C1474" s="19"/>
      <c r="D1474" s="19"/>
      <c r="E1474" s="22">
        <f>IFERROR(__xludf.DUMMYFUNCTION("""COMPUTED_VALUE"""),44272.66666666667)</f>
        <v>44272.66667</v>
      </c>
      <c r="F1474" s="23">
        <f>IFERROR(__xludf.DUMMYFUNCTION("""COMPUTED_VALUE"""),28.09)</f>
        <v>28.09</v>
      </c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</row>
    <row r="1475">
      <c r="A1475" s="22">
        <f>IFERROR(__xludf.DUMMYFUNCTION("""COMPUTED_VALUE"""),44091.66666666667)</f>
        <v>44091.66667</v>
      </c>
      <c r="B1475" s="23">
        <f>IFERROR(__xludf.DUMMYFUNCTION("""COMPUTED_VALUE"""),78.69)</f>
        <v>78.69</v>
      </c>
      <c r="C1475" s="19"/>
      <c r="D1475" s="19"/>
      <c r="E1475" s="22">
        <f>IFERROR(__xludf.DUMMYFUNCTION("""COMPUTED_VALUE"""),44273.66666666667)</f>
        <v>44273.66667</v>
      </c>
      <c r="F1475" s="23">
        <f>IFERROR(__xludf.DUMMYFUNCTION("""COMPUTED_VALUE"""),27.92)</f>
        <v>27.92</v>
      </c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</row>
    <row r="1476">
      <c r="A1476" s="22">
        <f>IFERROR(__xludf.DUMMYFUNCTION("""COMPUTED_VALUE"""),44092.66666666667)</f>
        <v>44092.66667</v>
      </c>
      <c r="B1476" s="23">
        <f>IFERROR(__xludf.DUMMYFUNCTION("""COMPUTED_VALUE"""),78.73)</f>
        <v>78.73</v>
      </c>
      <c r="C1476" s="19"/>
      <c r="D1476" s="19"/>
      <c r="E1476" s="22">
        <f>IFERROR(__xludf.DUMMYFUNCTION("""COMPUTED_VALUE"""),44274.66666666667)</f>
        <v>44274.66667</v>
      </c>
      <c r="F1476" s="23">
        <f>IFERROR(__xludf.DUMMYFUNCTION("""COMPUTED_VALUE"""),27.38)</f>
        <v>27.38</v>
      </c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</row>
    <row r="1477">
      <c r="A1477" s="22">
        <f>IFERROR(__xludf.DUMMYFUNCTION("""COMPUTED_VALUE"""),44095.66666666667)</f>
        <v>44095.66667</v>
      </c>
      <c r="B1477" s="23">
        <f>IFERROR(__xludf.DUMMYFUNCTION("""COMPUTED_VALUE"""),77.82)</f>
        <v>77.82</v>
      </c>
      <c r="C1477" s="19"/>
      <c r="D1477" s="19"/>
      <c r="E1477" s="22">
        <f>IFERROR(__xludf.DUMMYFUNCTION("""COMPUTED_VALUE"""),44277.66666666667)</f>
        <v>44277.66667</v>
      </c>
      <c r="F1477" s="23">
        <f>IFERROR(__xludf.DUMMYFUNCTION("""COMPUTED_VALUE"""),27.7)</f>
        <v>27.7</v>
      </c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</row>
    <row r="1478">
      <c r="A1478" s="22">
        <f>IFERROR(__xludf.DUMMYFUNCTION("""COMPUTED_VALUE"""),44096.66666666667)</f>
        <v>44096.66667</v>
      </c>
      <c r="B1478" s="23">
        <f>IFERROR(__xludf.DUMMYFUNCTION("""COMPUTED_VALUE"""),77.65)</f>
        <v>77.65</v>
      </c>
      <c r="C1478" s="19"/>
      <c r="D1478" s="19"/>
      <c r="E1478" s="22">
        <f>IFERROR(__xludf.DUMMYFUNCTION("""COMPUTED_VALUE"""),44278.66666666667)</f>
        <v>44278.66667</v>
      </c>
      <c r="F1478" s="23">
        <f>IFERROR(__xludf.DUMMYFUNCTION("""COMPUTED_VALUE"""),28.01)</f>
        <v>28.01</v>
      </c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</row>
    <row r="1479">
      <c r="A1479" s="22">
        <f>IFERROR(__xludf.DUMMYFUNCTION("""COMPUTED_VALUE"""),44097.66666666667)</f>
        <v>44097.66667</v>
      </c>
      <c r="B1479" s="23">
        <f>IFERROR(__xludf.DUMMYFUNCTION("""COMPUTED_VALUE"""),79.4)</f>
        <v>79.4</v>
      </c>
      <c r="C1479" s="19"/>
      <c r="D1479" s="19"/>
      <c r="E1479" s="22">
        <f>IFERROR(__xludf.DUMMYFUNCTION("""COMPUTED_VALUE"""),44279.66666666667)</f>
        <v>44279.66667</v>
      </c>
      <c r="F1479" s="23">
        <f>IFERROR(__xludf.DUMMYFUNCTION("""COMPUTED_VALUE"""),28.45)</f>
        <v>28.45</v>
      </c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</row>
    <row r="1480">
      <c r="A1480" s="22">
        <f>IFERROR(__xludf.DUMMYFUNCTION("""COMPUTED_VALUE"""),44098.66666666667)</f>
        <v>44098.66667</v>
      </c>
      <c r="B1480" s="23">
        <f>IFERROR(__xludf.DUMMYFUNCTION("""COMPUTED_VALUE"""),78.72)</f>
        <v>78.72</v>
      </c>
      <c r="C1480" s="19"/>
      <c r="D1480" s="19"/>
      <c r="E1480" s="22">
        <f>IFERROR(__xludf.DUMMYFUNCTION("""COMPUTED_VALUE"""),44280.66666666667)</f>
        <v>44280.66667</v>
      </c>
      <c r="F1480" s="23">
        <f>IFERROR(__xludf.DUMMYFUNCTION("""COMPUTED_VALUE"""),27.92)</f>
        <v>27.92</v>
      </c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</row>
    <row r="1481">
      <c r="A1481" s="22">
        <f>IFERROR(__xludf.DUMMYFUNCTION("""COMPUTED_VALUE"""),44099.66666666667)</f>
        <v>44099.66667</v>
      </c>
      <c r="B1481" s="23">
        <f>IFERROR(__xludf.DUMMYFUNCTION("""COMPUTED_VALUE"""),78.99)</f>
        <v>78.99</v>
      </c>
      <c r="C1481" s="19"/>
      <c r="D1481" s="19"/>
      <c r="E1481" s="22">
        <f>IFERROR(__xludf.DUMMYFUNCTION("""COMPUTED_VALUE"""),44281.66666666667)</f>
        <v>44281.66667</v>
      </c>
      <c r="F1481" s="23">
        <f>IFERROR(__xludf.DUMMYFUNCTION("""COMPUTED_VALUE"""),27.92)</f>
        <v>27.92</v>
      </c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</row>
    <row r="1482">
      <c r="A1482" s="22">
        <f>IFERROR(__xludf.DUMMYFUNCTION("""COMPUTED_VALUE"""),44102.66666666667)</f>
        <v>44102.66667</v>
      </c>
      <c r="B1482" s="23">
        <f>IFERROR(__xludf.DUMMYFUNCTION("""COMPUTED_VALUE"""),80.33)</f>
        <v>80.33</v>
      </c>
      <c r="C1482" s="19"/>
      <c r="D1482" s="19"/>
      <c r="E1482" s="22">
        <f>IFERROR(__xludf.DUMMYFUNCTION("""COMPUTED_VALUE"""),44284.66666666667)</f>
        <v>44284.66667</v>
      </c>
      <c r="F1482" s="23">
        <f>IFERROR(__xludf.DUMMYFUNCTION("""COMPUTED_VALUE"""),27.95)</f>
        <v>27.95</v>
      </c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</row>
    <row r="1483">
      <c r="A1483" s="22">
        <f>IFERROR(__xludf.DUMMYFUNCTION("""COMPUTED_VALUE"""),44103.66666666667)</f>
        <v>44103.66667</v>
      </c>
      <c r="B1483" s="23">
        <f>IFERROR(__xludf.DUMMYFUNCTION("""COMPUTED_VALUE"""),80.93)</f>
        <v>80.93</v>
      </c>
      <c r="C1483" s="19"/>
      <c r="D1483" s="19"/>
      <c r="E1483" s="22">
        <f>IFERROR(__xludf.DUMMYFUNCTION("""COMPUTED_VALUE"""),44285.66666666667)</f>
        <v>44285.66667</v>
      </c>
      <c r="F1483" s="23">
        <f>IFERROR(__xludf.DUMMYFUNCTION("""COMPUTED_VALUE"""),28.0)</f>
        <v>28</v>
      </c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</row>
    <row r="1484">
      <c r="A1484" s="22">
        <f>IFERROR(__xludf.DUMMYFUNCTION("""COMPUTED_VALUE"""),44104.66666666667)</f>
        <v>44104.66667</v>
      </c>
      <c r="B1484" s="23">
        <f>IFERROR(__xludf.DUMMYFUNCTION("""COMPUTED_VALUE"""),79.5)</f>
        <v>79.5</v>
      </c>
      <c r="C1484" s="19"/>
      <c r="D1484" s="19"/>
      <c r="E1484" s="22">
        <f>IFERROR(__xludf.DUMMYFUNCTION("""COMPUTED_VALUE"""),44286.66666666667)</f>
        <v>44286.66667</v>
      </c>
      <c r="F1484" s="23">
        <f>IFERROR(__xludf.DUMMYFUNCTION("""COMPUTED_VALUE"""),28.09)</f>
        <v>28.09</v>
      </c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</row>
    <row r="1485">
      <c r="A1485" s="22">
        <f>IFERROR(__xludf.DUMMYFUNCTION("""COMPUTED_VALUE"""),44105.66666666667)</f>
        <v>44105.66667</v>
      </c>
      <c r="B1485" s="23">
        <f>IFERROR(__xludf.DUMMYFUNCTION("""COMPUTED_VALUE"""),79.69)</f>
        <v>79.69</v>
      </c>
      <c r="C1485" s="19"/>
      <c r="D1485" s="19"/>
      <c r="E1485" s="22">
        <f>IFERROR(__xludf.DUMMYFUNCTION("""COMPUTED_VALUE"""),44287.66666666667)</f>
        <v>44287.66667</v>
      </c>
      <c r="F1485" s="23">
        <f>IFERROR(__xludf.DUMMYFUNCTION("""COMPUTED_VALUE"""),28.82)</f>
        <v>28.82</v>
      </c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</row>
    <row r="1486">
      <c r="A1486" s="22">
        <f>IFERROR(__xludf.DUMMYFUNCTION("""COMPUTED_VALUE"""),44106.66666666667)</f>
        <v>44106.66667</v>
      </c>
      <c r="B1486" s="23">
        <f>IFERROR(__xludf.DUMMYFUNCTION("""COMPUTED_VALUE"""),78.91)</f>
        <v>78.91</v>
      </c>
      <c r="C1486" s="19"/>
      <c r="D1486" s="19"/>
      <c r="E1486" s="22">
        <f>IFERROR(__xludf.DUMMYFUNCTION("""COMPUTED_VALUE"""),44292.66666666667)</f>
        <v>44292.66667</v>
      </c>
      <c r="F1486" s="23">
        <f>IFERROR(__xludf.DUMMYFUNCTION("""COMPUTED_VALUE"""),29.41)</f>
        <v>29.41</v>
      </c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</row>
    <row r="1487">
      <c r="A1487" s="22">
        <f>IFERROR(__xludf.DUMMYFUNCTION("""COMPUTED_VALUE"""),44109.66666666667)</f>
        <v>44109.66667</v>
      </c>
      <c r="B1487" s="23">
        <f>IFERROR(__xludf.DUMMYFUNCTION("""COMPUTED_VALUE"""),79.66)</f>
        <v>79.66</v>
      </c>
      <c r="C1487" s="19"/>
      <c r="D1487" s="19"/>
      <c r="E1487" s="22">
        <f>IFERROR(__xludf.DUMMYFUNCTION("""COMPUTED_VALUE"""),44293.66666666667)</f>
        <v>44293.66667</v>
      </c>
      <c r="F1487" s="23">
        <f>IFERROR(__xludf.DUMMYFUNCTION("""COMPUTED_VALUE"""),29.38)</f>
        <v>29.38</v>
      </c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</row>
    <row r="1488">
      <c r="A1488" s="22">
        <f>IFERROR(__xludf.DUMMYFUNCTION("""COMPUTED_VALUE"""),44110.66666666667)</f>
        <v>44110.66667</v>
      </c>
      <c r="B1488" s="23">
        <f>IFERROR(__xludf.DUMMYFUNCTION("""COMPUTED_VALUE"""),80.43)</f>
        <v>80.43</v>
      </c>
      <c r="C1488" s="19"/>
      <c r="D1488" s="19"/>
      <c r="E1488" s="22">
        <f>IFERROR(__xludf.DUMMYFUNCTION("""COMPUTED_VALUE"""),44294.66666666667)</f>
        <v>44294.66667</v>
      </c>
      <c r="F1488" s="23">
        <f>IFERROR(__xludf.DUMMYFUNCTION("""COMPUTED_VALUE"""),29.78)</f>
        <v>29.78</v>
      </c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</row>
    <row r="1489">
      <c r="A1489" s="22">
        <f>IFERROR(__xludf.DUMMYFUNCTION("""COMPUTED_VALUE"""),44111.66666666667)</f>
        <v>44111.66667</v>
      </c>
      <c r="B1489" s="23">
        <f>IFERROR(__xludf.DUMMYFUNCTION("""COMPUTED_VALUE"""),80.41)</f>
        <v>80.41</v>
      </c>
      <c r="C1489" s="19"/>
      <c r="D1489" s="19"/>
      <c r="E1489" s="22">
        <f>IFERROR(__xludf.DUMMYFUNCTION("""COMPUTED_VALUE"""),44295.66666666667)</f>
        <v>44295.66667</v>
      </c>
      <c r="F1489" s="23">
        <f>IFERROR(__xludf.DUMMYFUNCTION("""COMPUTED_VALUE"""),29.9)</f>
        <v>29.9</v>
      </c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</row>
    <row r="1490">
      <c r="A1490" s="22">
        <f>IFERROR(__xludf.DUMMYFUNCTION("""COMPUTED_VALUE"""),44112.66666666667)</f>
        <v>44112.66667</v>
      </c>
      <c r="B1490" s="23">
        <f>IFERROR(__xludf.DUMMYFUNCTION("""COMPUTED_VALUE"""),81.26)</f>
        <v>81.26</v>
      </c>
      <c r="C1490" s="19"/>
      <c r="D1490" s="19"/>
      <c r="E1490" s="22">
        <f>IFERROR(__xludf.DUMMYFUNCTION("""COMPUTED_VALUE"""),44298.66666666667)</f>
        <v>44298.66667</v>
      </c>
      <c r="F1490" s="23">
        <f>IFERROR(__xludf.DUMMYFUNCTION("""COMPUTED_VALUE"""),30.05)</f>
        <v>30.05</v>
      </c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</row>
    <row r="1491">
      <c r="A1491" s="22">
        <f>IFERROR(__xludf.DUMMYFUNCTION("""COMPUTED_VALUE"""),44113.66666666667)</f>
        <v>44113.66667</v>
      </c>
      <c r="B1491" s="23">
        <f>IFERROR(__xludf.DUMMYFUNCTION("""COMPUTED_VALUE"""),81.66)</f>
        <v>81.66</v>
      </c>
      <c r="C1491" s="19"/>
      <c r="D1491" s="19"/>
      <c r="E1491" s="22">
        <f>IFERROR(__xludf.DUMMYFUNCTION("""COMPUTED_VALUE"""),44299.66666666667)</f>
        <v>44299.66667</v>
      </c>
      <c r="F1491" s="23">
        <f>IFERROR(__xludf.DUMMYFUNCTION("""COMPUTED_VALUE"""),30.04)</f>
        <v>30.04</v>
      </c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</row>
    <row r="1492">
      <c r="A1492" s="22">
        <f>IFERROR(__xludf.DUMMYFUNCTION("""COMPUTED_VALUE"""),44116.66666666667)</f>
        <v>44116.66667</v>
      </c>
      <c r="B1492" s="23">
        <f>IFERROR(__xludf.DUMMYFUNCTION("""COMPUTED_VALUE"""),81.65)</f>
        <v>81.65</v>
      </c>
      <c r="C1492" s="19"/>
      <c r="D1492" s="19"/>
      <c r="E1492" s="22">
        <f>IFERROR(__xludf.DUMMYFUNCTION("""COMPUTED_VALUE"""),44300.66666666667)</f>
        <v>44300.66667</v>
      </c>
      <c r="F1492" s="23">
        <f>IFERROR(__xludf.DUMMYFUNCTION("""COMPUTED_VALUE"""),30.19)</f>
        <v>30.19</v>
      </c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</row>
    <row r="1493">
      <c r="A1493" s="22">
        <f>IFERROR(__xludf.DUMMYFUNCTION("""COMPUTED_VALUE"""),44117.66666666667)</f>
        <v>44117.66667</v>
      </c>
      <c r="B1493" s="23">
        <f>IFERROR(__xludf.DUMMYFUNCTION("""COMPUTED_VALUE"""),82.82)</f>
        <v>82.82</v>
      </c>
      <c r="C1493" s="19"/>
      <c r="D1493" s="19"/>
      <c r="E1493" s="22">
        <f>IFERROR(__xludf.DUMMYFUNCTION("""COMPUTED_VALUE"""),44301.66666666667)</f>
        <v>44301.66667</v>
      </c>
      <c r="F1493" s="23">
        <f>IFERROR(__xludf.DUMMYFUNCTION("""COMPUTED_VALUE"""),29.68)</f>
        <v>29.68</v>
      </c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</row>
    <row r="1494">
      <c r="A1494" s="22">
        <f>IFERROR(__xludf.DUMMYFUNCTION("""COMPUTED_VALUE"""),44118.66666666667)</f>
        <v>44118.66667</v>
      </c>
      <c r="B1494" s="23">
        <f>IFERROR(__xludf.DUMMYFUNCTION("""COMPUTED_VALUE"""),82.73)</f>
        <v>82.73</v>
      </c>
      <c r="C1494" s="19"/>
      <c r="D1494" s="19"/>
      <c r="E1494" s="22">
        <f>IFERROR(__xludf.DUMMYFUNCTION("""COMPUTED_VALUE"""),44302.66666666667)</f>
        <v>44302.66667</v>
      </c>
      <c r="F1494" s="23">
        <f>IFERROR(__xludf.DUMMYFUNCTION("""COMPUTED_VALUE"""),29.9)</f>
        <v>29.9</v>
      </c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</row>
    <row r="1495">
      <c r="A1495" s="22">
        <f>IFERROR(__xludf.DUMMYFUNCTION("""COMPUTED_VALUE"""),44119.66666666667)</f>
        <v>44119.66667</v>
      </c>
      <c r="B1495" s="23">
        <f>IFERROR(__xludf.DUMMYFUNCTION("""COMPUTED_VALUE"""),82.35)</f>
        <v>82.35</v>
      </c>
      <c r="C1495" s="19"/>
      <c r="D1495" s="19"/>
      <c r="E1495" s="22">
        <f>IFERROR(__xludf.DUMMYFUNCTION("""COMPUTED_VALUE"""),44305.66666666667)</f>
        <v>44305.66667</v>
      </c>
      <c r="F1495" s="23">
        <f>IFERROR(__xludf.DUMMYFUNCTION("""COMPUTED_VALUE"""),30.07)</f>
        <v>30.07</v>
      </c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</row>
    <row r="1496">
      <c r="A1496" s="22">
        <f>IFERROR(__xludf.DUMMYFUNCTION("""COMPUTED_VALUE"""),44120.66666666667)</f>
        <v>44120.66667</v>
      </c>
      <c r="B1496" s="23">
        <f>IFERROR(__xludf.DUMMYFUNCTION("""COMPUTED_VALUE"""),82.8)</f>
        <v>82.8</v>
      </c>
      <c r="C1496" s="19"/>
      <c r="D1496" s="19"/>
      <c r="E1496" s="22">
        <f>IFERROR(__xludf.DUMMYFUNCTION("""COMPUTED_VALUE"""),44306.66666666667)</f>
        <v>44306.66667</v>
      </c>
      <c r="F1496" s="23">
        <f>IFERROR(__xludf.DUMMYFUNCTION("""COMPUTED_VALUE"""),29.59)</f>
        <v>29.59</v>
      </c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</row>
    <row r="1497">
      <c r="A1497" s="22">
        <f>IFERROR(__xludf.DUMMYFUNCTION("""COMPUTED_VALUE"""),44123.66666666667)</f>
        <v>44123.66667</v>
      </c>
      <c r="B1497" s="23">
        <f>IFERROR(__xludf.DUMMYFUNCTION("""COMPUTED_VALUE"""),83.14)</f>
        <v>83.14</v>
      </c>
      <c r="C1497" s="19"/>
      <c r="D1497" s="19"/>
      <c r="E1497" s="22">
        <f>IFERROR(__xludf.DUMMYFUNCTION("""COMPUTED_VALUE"""),44307.66666666667)</f>
        <v>44307.66667</v>
      </c>
      <c r="F1497" s="23">
        <f>IFERROR(__xludf.DUMMYFUNCTION("""COMPUTED_VALUE"""),29.53)</f>
        <v>29.53</v>
      </c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</row>
    <row r="1498">
      <c r="A1498" s="22">
        <f>IFERROR(__xludf.DUMMYFUNCTION("""COMPUTED_VALUE"""),44124.66666666667)</f>
        <v>44124.66667</v>
      </c>
      <c r="B1498" s="23">
        <f>IFERROR(__xludf.DUMMYFUNCTION("""COMPUTED_VALUE"""),82.66)</f>
        <v>82.66</v>
      </c>
      <c r="C1498" s="19"/>
      <c r="D1498" s="19"/>
      <c r="E1498" s="22">
        <f>IFERROR(__xludf.DUMMYFUNCTION("""COMPUTED_VALUE"""),44308.66666666667)</f>
        <v>44308.66667</v>
      </c>
      <c r="F1498" s="23">
        <f>IFERROR(__xludf.DUMMYFUNCTION("""COMPUTED_VALUE"""),29.8)</f>
        <v>29.8</v>
      </c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</row>
    <row r="1499">
      <c r="A1499" s="22">
        <f>IFERROR(__xludf.DUMMYFUNCTION("""COMPUTED_VALUE"""),44125.66666666667)</f>
        <v>44125.66667</v>
      </c>
      <c r="B1499" s="23">
        <f>IFERROR(__xludf.DUMMYFUNCTION("""COMPUTED_VALUE"""),82.8)</f>
        <v>82.8</v>
      </c>
      <c r="C1499" s="19"/>
      <c r="D1499" s="19"/>
      <c r="E1499" s="22">
        <f>IFERROR(__xludf.DUMMYFUNCTION("""COMPUTED_VALUE"""),44309.66666666667)</f>
        <v>44309.66667</v>
      </c>
      <c r="F1499" s="23">
        <f>IFERROR(__xludf.DUMMYFUNCTION("""COMPUTED_VALUE"""),29.5)</f>
        <v>29.5</v>
      </c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</row>
    <row r="1500">
      <c r="A1500" s="22">
        <f>IFERROR(__xludf.DUMMYFUNCTION("""COMPUTED_VALUE"""),44126.66666666667)</f>
        <v>44126.66667</v>
      </c>
      <c r="B1500" s="23">
        <f>IFERROR(__xludf.DUMMYFUNCTION("""COMPUTED_VALUE"""),81.46)</f>
        <v>81.46</v>
      </c>
      <c r="C1500" s="19"/>
      <c r="D1500" s="19"/>
      <c r="E1500" s="22">
        <f>IFERROR(__xludf.DUMMYFUNCTION("""COMPUTED_VALUE"""),44312.66666666667)</f>
        <v>44312.66667</v>
      </c>
      <c r="F1500" s="23">
        <f>IFERROR(__xludf.DUMMYFUNCTION("""COMPUTED_VALUE"""),29.66)</f>
        <v>29.66</v>
      </c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</row>
    <row r="1501">
      <c r="A1501" s="22">
        <f>IFERROR(__xludf.DUMMYFUNCTION("""COMPUTED_VALUE"""),44127.66666666667)</f>
        <v>44127.66667</v>
      </c>
      <c r="B1501" s="23">
        <f>IFERROR(__xludf.DUMMYFUNCTION("""COMPUTED_VALUE"""),82.13)</f>
        <v>82.13</v>
      </c>
      <c r="C1501" s="19"/>
      <c r="D1501" s="19"/>
      <c r="E1501" s="22">
        <f>IFERROR(__xludf.DUMMYFUNCTION("""COMPUTED_VALUE"""),44313.66666666667)</f>
        <v>44313.66667</v>
      </c>
      <c r="F1501" s="23">
        <f>IFERROR(__xludf.DUMMYFUNCTION("""COMPUTED_VALUE"""),29.84)</f>
        <v>29.84</v>
      </c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</row>
    <row r="1502">
      <c r="A1502" s="22">
        <f>IFERROR(__xludf.DUMMYFUNCTION("""COMPUTED_VALUE"""),44130.66666666667)</f>
        <v>44130.66667</v>
      </c>
      <c r="B1502" s="23">
        <f>IFERROR(__xludf.DUMMYFUNCTION("""COMPUTED_VALUE"""),81.55)</f>
        <v>81.55</v>
      </c>
      <c r="C1502" s="19"/>
      <c r="D1502" s="19"/>
      <c r="E1502" s="22">
        <f>IFERROR(__xludf.DUMMYFUNCTION("""COMPUTED_VALUE"""),44314.66666666667)</f>
        <v>44314.66667</v>
      </c>
      <c r="F1502" s="23">
        <f>IFERROR(__xludf.DUMMYFUNCTION("""COMPUTED_VALUE"""),29.88)</f>
        <v>29.88</v>
      </c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</row>
    <row r="1503">
      <c r="A1503" s="22">
        <f>IFERROR(__xludf.DUMMYFUNCTION("""COMPUTED_VALUE"""),44131.66666666667)</f>
        <v>44131.66667</v>
      </c>
      <c r="B1503" s="23">
        <f>IFERROR(__xludf.DUMMYFUNCTION("""COMPUTED_VALUE"""),80.77)</f>
        <v>80.77</v>
      </c>
      <c r="C1503" s="19"/>
      <c r="D1503" s="19"/>
      <c r="E1503" s="22">
        <f>IFERROR(__xludf.DUMMYFUNCTION("""COMPUTED_VALUE"""),44315.66666666667)</f>
        <v>44315.66667</v>
      </c>
      <c r="F1503" s="23">
        <f>IFERROR(__xludf.DUMMYFUNCTION("""COMPUTED_VALUE"""),29.77)</f>
        <v>29.77</v>
      </c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</row>
    <row r="1504">
      <c r="A1504" s="22">
        <f>IFERROR(__xludf.DUMMYFUNCTION("""COMPUTED_VALUE"""),44132.66666666667)</f>
        <v>44132.66667</v>
      </c>
      <c r="B1504" s="23">
        <f>IFERROR(__xludf.DUMMYFUNCTION("""COMPUTED_VALUE"""),79.69)</f>
        <v>79.69</v>
      </c>
      <c r="C1504" s="19"/>
      <c r="D1504" s="19"/>
      <c r="E1504" s="22">
        <f>IFERROR(__xludf.DUMMYFUNCTION("""COMPUTED_VALUE"""),44316.66666666667)</f>
        <v>44316.66667</v>
      </c>
      <c r="F1504" s="23">
        <f>IFERROR(__xludf.DUMMYFUNCTION("""COMPUTED_VALUE"""),29.59)</f>
        <v>29.59</v>
      </c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</row>
    <row r="1505">
      <c r="A1505" s="22">
        <f>IFERROR(__xludf.DUMMYFUNCTION("""COMPUTED_VALUE"""),44133.66666666667)</f>
        <v>44133.66667</v>
      </c>
      <c r="B1505" s="23">
        <f>IFERROR(__xludf.DUMMYFUNCTION("""COMPUTED_VALUE"""),79.24)</f>
        <v>79.24</v>
      </c>
      <c r="C1505" s="19"/>
      <c r="D1505" s="19"/>
      <c r="E1505" s="22">
        <f>IFERROR(__xludf.DUMMYFUNCTION("""COMPUTED_VALUE"""),44319.66666666667)</f>
        <v>44319.66667</v>
      </c>
      <c r="F1505" s="23">
        <f>IFERROR(__xludf.DUMMYFUNCTION("""COMPUTED_VALUE"""),29.77)</f>
        <v>29.77</v>
      </c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</row>
    <row r="1506">
      <c r="A1506" s="22">
        <f>IFERROR(__xludf.DUMMYFUNCTION("""COMPUTED_VALUE"""),44134.66666666667)</f>
        <v>44134.66667</v>
      </c>
      <c r="B1506" s="23">
        <f>IFERROR(__xludf.DUMMYFUNCTION("""COMPUTED_VALUE"""),78.6)</f>
        <v>78.6</v>
      </c>
      <c r="C1506" s="19"/>
      <c r="D1506" s="19"/>
      <c r="E1506" s="22">
        <f>IFERROR(__xludf.DUMMYFUNCTION("""COMPUTED_VALUE"""),44320.66666666667)</f>
        <v>44320.66667</v>
      </c>
      <c r="F1506" s="23">
        <f>IFERROR(__xludf.DUMMYFUNCTION("""COMPUTED_VALUE"""),29.45)</f>
        <v>29.45</v>
      </c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</row>
    <row r="1507">
      <c r="A1507" s="22">
        <f>IFERROR(__xludf.DUMMYFUNCTION("""COMPUTED_VALUE"""),44137.66666666667)</f>
        <v>44137.66667</v>
      </c>
      <c r="B1507" s="23">
        <f>IFERROR(__xludf.DUMMYFUNCTION("""COMPUTED_VALUE"""),78.98)</f>
        <v>78.98</v>
      </c>
      <c r="C1507" s="19"/>
      <c r="D1507" s="19"/>
      <c r="E1507" s="22">
        <f>IFERROR(__xludf.DUMMYFUNCTION("""COMPUTED_VALUE"""),44321.66666666667)</f>
        <v>44321.66667</v>
      </c>
      <c r="F1507" s="23">
        <f>IFERROR(__xludf.DUMMYFUNCTION("""COMPUTED_VALUE"""),29.1)</f>
        <v>29.1</v>
      </c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</row>
    <row r="1508">
      <c r="A1508" s="22">
        <f>IFERROR(__xludf.DUMMYFUNCTION("""COMPUTED_VALUE"""),44138.66666666667)</f>
        <v>44138.66667</v>
      </c>
      <c r="B1508" s="23">
        <f>IFERROR(__xludf.DUMMYFUNCTION("""COMPUTED_VALUE"""),79.8)</f>
        <v>79.8</v>
      </c>
      <c r="C1508" s="19"/>
      <c r="D1508" s="19"/>
      <c r="E1508" s="22">
        <f>IFERROR(__xludf.DUMMYFUNCTION("""COMPUTED_VALUE"""),44322.66666666667)</f>
        <v>44322.66667</v>
      </c>
      <c r="F1508" s="23">
        <f>IFERROR(__xludf.DUMMYFUNCTION("""COMPUTED_VALUE"""),28.91)</f>
        <v>28.91</v>
      </c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</row>
    <row r="1509">
      <c r="A1509" s="22">
        <f>IFERROR(__xludf.DUMMYFUNCTION("""COMPUTED_VALUE"""),44139.66666666667)</f>
        <v>44139.66667</v>
      </c>
      <c r="B1509" s="23">
        <f>IFERROR(__xludf.DUMMYFUNCTION("""COMPUTED_VALUE"""),80.65)</f>
        <v>80.65</v>
      </c>
      <c r="C1509" s="19"/>
      <c r="D1509" s="19"/>
      <c r="E1509" s="22">
        <f>IFERROR(__xludf.DUMMYFUNCTION("""COMPUTED_VALUE"""),44323.66666666667)</f>
        <v>44323.66667</v>
      </c>
      <c r="F1509" s="23">
        <f>IFERROR(__xludf.DUMMYFUNCTION("""COMPUTED_VALUE"""),29.03)</f>
        <v>29.03</v>
      </c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</row>
    <row r="1510">
      <c r="A1510" s="22">
        <f>IFERROR(__xludf.DUMMYFUNCTION("""COMPUTED_VALUE"""),44140.66666666667)</f>
        <v>44140.66667</v>
      </c>
      <c r="B1510" s="23">
        <f>IFERROR(__xludf.DUMMYFUNCTION("""COMPUTED_VALUE"""),81.85)</f>
        <v>81.85</v>
      </c>
      <c r="C1510" s="19"/>
      <c r="D1510" s="19"/>
      <c r="E1510" s="22">
        <f>IFERROR(__xludf.DUMMYFUNCTION("""COMPUTED_VALUE"""),44326.66666666667)</f>
        <v>44326.66667</v>
      </c>
      <c r="F1510" s="23">
        <f>IFERROR(__xludf.DUMMYFUNCTION("""COMPUTED_VALUE"""),28.92)</f>
        <v>28.92</v>
      </c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</row>
    <row r="1511">
      <c r="A1511" s="22">
        <f>IFERROR(__xludf.DUMMYFUNCTION("""COMPUTED_VALUE"""),44141.66666666667)</f>
        <v>44141.66667</v>
      </c>
      <c r="B1511" s="23">
        <f>IFERROR(__xludf.DUMMYFUNCTION("""COMPUTED_VALUE"""),81.22)</f>
        <v>81.22</v>
      </c>
      <c r="C1511" s="19"/>
      <c r="D1511" s="19"/>
      <c r="E1511" s="22">
        <f>IFERROR(__xludf.DUMMYFUNCTION("""COMPUTED_VALUE"""),44327.66666666667)</f>
        <v>44327.66667</v>
      </c>
      <c r="F1511" s="23">
        <f>IFERROR(__xludf.DUMMYFUNCTION("""COMPUTED_VALUE"""),28.07)</f>
        <v>28.07</v>
      </c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</row>
    <row r="1512">
      <c r="A1512" s="22">
        <f>IFERROR(__xludf.DUMMYFUNCTION("""COMPUTED_VALUE"""),44144.66666666667)</f>
        <v>44144.66667</v>
      </c>
      <c r="B1512" s="23">
        <f>IFERROR(__xludf.DUMMYFUNCTION("""COMPUTED_VALUE"""),82.87)</f>
        <v>82.87</v>
      </c>
      <c r="C1512" s="19"/>
      <c r="D1512" s="19"/>
      <c r="E1512" s="22">
        <f>IFERROR(__xludf.DUMMYFUNCTION("""COMPUTED_VALUE"""),44328.66666666667)</f>
        <v>44328.66667</v>
      </c>
      <c r="F1512" s="23">
        <f>IFERROR(__xludf.DUMMYFUNCTION("""COMPUTED_VALUE"""),28.18)</f>
        <v>28.18</v>
      </c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</row>
    <row r="1513">
      <c r="A1513" s="22">
        <f>IFERROR(__xludf.DUMMYFUNCTION("""COMPUTED_VALUE"""),44145.66666666667)</f>
        <v>44145.66667</v>
      </c>
      <c r="B1513" s="23">
        <f>IFERROR(__xludf.DUMMYFUNCTION("""COMPUTED_VALUE"""),82.06)</f>
        <v>82.06</v>
      </c>
      <c r="C1513" s="19"/>
      <c r="D1513" s="19"/>
      <c r="E1513" s="22">
        <f>IFERROR(__xludf.DUMMYFUNCTION("""COMPUTED_VALUE"""),44329.66666666667)</f>
        <v>44329.66667</v>
      </c>
      <c r="F1513" s="23">
        <f>IFERROR(__xludf.DUMMYFUNCTION("""COMPUTED_VALUE"""),28.0)</f>
        <v>28</v>
      </c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</row>
    <row r="1514">
      <c r="A1514" s="22">
        <f>IFERROR(__xludf.DUMMYFUNCTION("""COMPUTED_VALUE"""),44146.66666666667)</f>
        <v>44146.66667</v>
      </c>
      <c r="B1514" s="23">
        <f>IFERROR(__xludf.DUMMYFUNCTION("""COMPUTED_VALUE"""),82.72)</f>
        <v>82.72</v>
      </c>
      <c r="C1514" s="19"/>
      <c r="D1514" s="19"/>
      <c r="E1514" s="22">
        <f>IFERROR(__xludf.DUMMYFUNCTION("""COMPUTED_VALUE"""),44330.66666666667)</f>
        <v>44330.66667</v>
      </c>
      <c r="F1514" s="23">
        <f>IFERROR(__xludf.DUMMYFUNCTION("""COMPUTED_VALUE"""),28.24)</f>
        <v>28.24</v>
      </c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</row>
    <row r="1515">
      <c r="A1515" s="22">
        <f>IFERROR(__xludf.DUMMYFUNCTION("""COMPUTED_VALUE"""),44147.66666666667)</f>
        <v>44147.66667</v>
      </c>
      <c r="B1515" s="23">
        <f>IFERROR(__xludf.DUMMYFUNCTION("""COMPUTED_VALUE"""),83.2)</f>
        <v>83.2</v>
      </c>
      <c r="C1515" s="19"/>
      <c r="D1515" s="19"/>
      <c r="E1515" s="22">
        <f>IFERROR(__xludf.DUMMYFUNCTION("""COMPUTED_VALUE"""),44333.66666666667)</f>
        <v>44333.66667</v>
      </c>
      <c r="F1515" s="23">
        <f>IFERROR(__xludf.DUMMYFUNCTION("""COMPUTED_VALUE"""),28.57)</f>
        <v>28.57</v>
      </c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</row>
    <row r="1516">
      <c r="A1516" s="22">
        <f>IFERROR(__xludf.DUMMYFUNCTION("""COMPUTED_VALUE"""),44148.66666666667)</f>
        <v>44148.66667</v>
      </c>
      <c r="B1516" s="23">
        <f>IFERROR(__xludf.DUMMYFUNCTION("""COMPUTED_VALUE"""),83.4)</f>
        <v>83.4</v>
      </c>
      <c r="C1516" s="19"/>
      <c r="D1516" s="19"/>
      <c r="E1516" s="22">
        <f>IFERROR(__xludf.DUMMYFUNCTION("""COMPUTED_VALUE"""),44334.66666666667)</f>
        <v>44334.66667</v>
      </c>
      <c r="F1516" s="23">
        <f>IFERROR(__xludf.DUMMYFUNCTION("""COMPUTED_VALUE"""),28.45)</f>
        <v>28.45</v>
      </c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</row>
    <row r="1517">
      <c r="A1517" s="22">
        <f>IFERROR(__xludf.DUMMYFUNCTION("""COMPUTED_VALUE"""),44151.66666666667)</f>
        <v>44151.66667</v>
      </c>
      <c r="B1517" s="23">
        <f>IFERROR(__xludf.DUMMYFUNCTION("""COMPUTED_VALUE"""),84.4)</f>
        <v>84.4</v>
      </c>
      <c r="C1517" s="19"/>
      <c r="D1517" s="19"/>
      <c r="E1517" s="22">
        <f>IFERROR(__xludf.DUMMYFUNCTION("""COMPUTED_VALUE"""),44335.66666666667)</f>
        <v>44335.66667</v>
      </c>
      <c r="F1517" s="23">
        <f>IFERROR(__xludf.DUMMYFUNCTION("""COMPUTED_VALUE"""),27.96)</f>
        <v>27.96</v>
      </c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</row>
    <row r="1518">
      <c r="A1518" s="22">
        <f>IFERROR(__xludf.DUMMYFUNCTION("""COMPUTED_VALUE"""),44152.66666666667)</f>
        <v>44152.66667</v>
      </c>
      <c r="B1518" s="23">
        <f>IFERROR(__xludf.DUMMYFUNCTION("""COMPUTED_VALUE"""),84.03)</f>
        <v>84.03</v>
      </c>
      <c r="C1518" s="19"/>
      <c r="D1518" s="19"/>
      <c r="E1518" s="22">
        <f>IFERROR(__xludf.DUMMYFUNCTION("""COMPUTED_VALUE"""),44336.66666666667)</f>
        <v>44336.66667</v>
      </c>
      <c r="F1518" s="23">
        <f>IFERROR(__xludf.DUMMYFUNCTION("""COMPUTED_VALUE"""),28.27)</f>
        <v>28.27</v>
      </c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</row>
    <row r="1519">
      <c r="A1519" s="22">
        <f>IFERROR(__xludf.DUMMYFUNCTION("""COMPUTED_VALUE"""),44153.66666666667)</f>
        <v>44153.66667</v>
      </c>
      <c r="B1519" s="23">
        <f>IFERROR(__xludf.DUMMYFUNCTION("""COMPUTED_VALUE"""),84.22)</f>
        <v>84.22</v>
      </c>
      <c r="C1519" s="19"/>
      <c r="D1519" s="19"/>
      <c r="E1519" s="22">
        <f>IFERROR(__xludf.DUMMYFUNCTION("""COMPUTED_VALUE"""),44337.66666666667)</f>
        <v>44337.66667</v>
      </c>
      <c r="F1519" s="23">
        <f>IFERROR(__xludf.DUMMYFUNCTION("""COMPUTED_VALUE"""),28.84)</f>
        <v>28.84</v>
      </c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</row>
    <row r="1520">
      <c r="A1520" s="22">
        <f>IFERROR(__xludf.DUMMYFUNCTION("""COMPUTED_VALUE"""),44154.66666666667)</f>
        <v>44154.66667</v>
      </c>
      <c r="B1520" s="23">
        <f>IFERROR(__xludf.DUMMYFUNCTION("""COMPUTED_VALUE"""),83.61)</f>
        <v>83.61</v>
      </c>
      <c r="C1520" s="19"/>
      <c r="D1520" s="19"/>
      <c r="E1520" s="22">
        <f>IFERROR(__xludf.DUMMYFUNCTION("""COMPUTED_VALUE"""),44340.66666666667)</f>
        <v>44340.66667</v>
      </c>
      <c r="F1520" s="23">
        <f>IFERROR(__xludf.DUMMYFUNCTION("""COMPUTED_VALUE"""),28.72)</f>
        <v>28.72</v>
      </c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</row>
    <row r="1521">
      <c r="A1521" s="22">
        <f>IFERROR(__xludf.DUMMYFUNCTION("""COMPUTED_VALUE"""),44155.66666666667)</f>
        <v>44155.66667</v>
      </c>
      <c r="B1521" s="23">
        <f>IFERROR(__xludf.DUMMYFUNCTION("""COMPUTED_VALUE"""),83.84)</f>
        <v>83.84</v>
      </c>
      <c r="C1521" s="19"/>
      <c r="D1521" s="19"/>
      <c r="E1521" s="22">
        <f>IFERROR(__xludf.DUMMYFUNCTION("""COMPUTED_VALUE"""),44341.66666666667)</f>
        <v>44341.66667</v>
      </c>
      <c r="F1521" s="23">
        <f>IFERROR(__xludf.DUMMYFUNCTION("""COMPUTED_VALUE"""),29.27)</f>
        <v>29.27</v>
      </c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</row>
    <row r="1522">
      <c r="A1522" s="22">
        <f>IFERROR(__xludf.DUMMYFUNCTION("""COMPUTED_VALUE"""),44158.66666666667)</f>
        <v>44158.66667</v>
      </c>
      <c r="B1522" s="23">
        <f>IFERROR(__xludf.DUMMYFUNCTION("""COMPUTED_VALUE"""),83.84)</f>
        <v>83.84</v>
      </c>
      <c r="C1522" s="19"/>
      <c r="D1522" s="19"/>
      <c r="E1522" s="22">
        <f>IFERROR(__xludf.DUMMYFUNCTION("""COMPUTED_VALUE"""),44342.66666666667)</f>
        <v>44342.66667</v>
      </c>
      <c r="F1522" s="23">
        <f>IFERROR(__xludf.DUMMYFUNCTION("""COMPUTED_VALUE"""),29.14)</f>
        <v>29.14</v>
      </c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</row>
    <row r="1523">
      <c r="A1523" s="22">
        <f>IFERROR(__xludf.DUMMYFUNCTION("""COMPUTED_VALUE"""),44159.66666666667)</f>
        <v>44159.66667</v>
      </c>
      <c r="B1523" s="23">
        <f>IFERROR(__xludf.DUMMYFUNCTION("""COMPUTED_VALUE"""),84.64)</f>
        <v>84.64</v>
      </c>
      <c r="C1523" s="19"/>
      <c r="D1523" s="19"/>
      <c r="E1523" s="22">
        <f>IFERROR(__xludf.DUMMYFUNCTION("""COMPUTED_VALUE"""),44343.66666666667)</f>
        <v>44343.66667</v>
      </c>
      <c r="F1523" s="23">
        <f>IFERROR(__xludf.DUMMYFUNCTION("""COMPUTED_VALUE"""),29.25)</f>
        <v>29.25</v>
      </c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</row>
    <row r="1524">
      <c r="A1524" s="22">
        <f>IFERROR(__xludf.DUMMYFUNCTION("""COMPUTED_VALUE"""),44160.66666666667)</f>
        <v>44160.66667</v>
      </c>
      <c r="B1524" s="23">
        <f>IFERROR(__xludf.DUMMYFUNCTION("""COMPUTED_VALUE"""),84.91)</f>
        <v>84.91</v>
      </c>
      <c r="C1524" s="19"/>
      <c r="D1524" s="19"/>
      <c r="E1524" s="22">
        <f>IFERROR(__xludf.DUMMYFUNCTION("""COMPUTED_VALUE"""),44344.66666666667)</f>
        <v>44344.66667</v>
      </c>
      <c r="F1524" s="23">
        <f>IFERROR(__xludf.DUMMYFUNCTION("""COMPUTED_VALUE"""),29.3)</f>
        <v>29.3</v>
      </c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</row>
    <row r="1525">
      <c r="A1525" s="22">
        <f>IFERROR(__xludf.DUMMYFUNCTION("""COMPUTED_VALUE"""),44161.66666666667)</f>
        <v>44161.66667</v>
      </c>
      <c r="B1525" s="23">
        <f>IFERROR(__xludf.DUMMYFUNCTION("""COMPUTED_VALUE"""),84.87)</f>
        <v>84.87</v>
      </c>
      <c r="C1525" s="19"/>
      <c r="D1525" s="19"/>
      <c r="E1525" s="22">
        <f>IFERROR(__xludf.DUMMYFUNCTION("""COMPUTED_VALUE"""),44347.66666666667)</f>
        <v>44347.66667</v>
      </c>
      <c r="F1525" s="23">
        <f>IFERROR(__xludf.DUMMYFUNCTION("""COMPUTED_VALUE"""),29.36)</f>
        <v>29.36</v>
      </c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</row>
    <row r="1526">
      <c r="A1526" s="22">
        <f>IFERROR(__xludf.DUMMYFUNCTION("""COMPUTED_VALUE"""),44162.66666666667)</f>
        <v>44162.66667</v>
      </c>
      <c r="B1526" s="23">
        <f>IFERROR(__xludf.DUMMYFUNCTION("""COMPUTED_VALUE"""),84.55)</f>
        <v>84.55</v>
      </c>
      <c r="C1526" s="19"/>
      <c r="D1526" s="19"/>
      <c r="E1526" s="22">
        <f>IFERROR(__xludf.DUMMYFUNCTION("""COMPUTED_VALUE"""),44348.66666666667)</f>
        <v>44348.66667</v>
      </c>
      <c r="F1526" s="23">
        <f>IFERROR(__xludf.DUMMYFUNCTION("""COMPUTED_VALUE"""),29.28)</f>
        <v>29.28</v>
      </c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</row>
    <row r="1527">
      <c r="A1527" s="22">
        <f>IFERROR(__xludf.DUMMYFUNCTION("""COMPUTED_VALUE"""),44165.66666666667)</f>
        <v>44165.66667</v>
      </c>
      <c r="B1527" s="23">
        <f>IFERROR(__xludf.DUMMYFUNCTION("""COMPUTED_VALUE"""),84.24)</f>
        <v>84.24</v>
      </c>
      <c r="C1527" s="19"/>
      <c r="D1527" s="19"/>
      <c r="E1527" s="22">
        <f>IFERROR(__xludf.DUMMYFUNCTION("""COMPUTED_VALUE"""),44349.66666666667)</f>
        <v>44349.66667</v>
      </c>
      <c r="F1527" s="23">
        <f>IFERROR(__xludf.DUMMYFUNCTION("""COMPUTED_VALUE"""),29.19)</f>
        <v>29.19</v>
      </c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</row>
    <row r="1528">
      <c r="A1528" s="22">
        <f>IFERROR(__xludf.DUMMYFUNCTION("""COMPUTED_VALUE"""),44166.66666666667)</f>
        <v>44166.66667</v>
      </c>
      <c r="B1528" s="23">
        <f>IFERROR(__xludf.DUMMYFUNCTION("""COMPUTED_VALUE"""),85.13)</f>
        <v>85.13</v>
      </c>
      <c r="C1528" s="19"/>
      <c r="D1528" s="19"/>
      <c r="E1528" s="22">
        <f>IFERROR(__xludf.DUMMYFUNCTION("""COMPUTED_VALUE"""),44350.66666666667)</f>
        <v>44350.66667</v>
      </c>
      <c r="F1528" s="23">
        <f>IFERROR(__xludf.DUMMYFUNCTION("""COMPUTED_VALUE"""),29.33)</f>
        <v>29.33</v>
      </c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</row>
    <row r="1529">
      <c r="A1529" s="22">
        <f>IFERROR(__xludf.DUMMYFUNCTION("""COMPUTED_VALUE"""),44167.66666666667)</f>
        <v>44167.66667</v>
      </c>
      <c r="B1529" s="23">
        <f>IFERROR(__xludf.DUMMYFUNCTION("""COMPUTED_VALUE"""),85.02)</f>
        <v>85.02</v>
      </c>
      <c r="C1529" s="19"/>
      <c r="D1529" s="19"/>
      <c r="E1529" s="22">
        <f>IFERROR(__xludf.DUMMYFUNCTION("""COMPUTED_VALUE"""),44351.66666666667)</f>
        <v>44351.66667</v>
      </c>
      <c r="F1529" s="23">
        <f>IFERROR(__xludf.DUMMYFUNCTION("""COMPUTED_VALUE"""),29.21)</f>
        <v>29.21</v>
      </c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</row>
    <row r="1530">
      <c r="A1530" s="22">
        <f>IFERROR(__xludf.DUMMYFUNCTION("""COMPUTED_VALUE"""),44168.66666666667)</f>
        <v>44168.66667</v>
      </c>
      <c r="B1530" s="23">
        <f>IFERROR(__xludf.DUMMYFUNCTION("""COMPUTED_VALUE"""),84.93)</f>
        <v>84.93</v>
      </c>
      <c r="C1530" s="19"/>
      <c r="D1530" s="19"/>
      <c r="E1530" s="22">
        <f>IFERROR(__xludf.DUMMYFUNCTION("""COMPUTED_VALUE"""),44354.66666666667)</f>
        <v>44354.66667</v>
      </c>
      <c r="F1530" s="23">
        <f>IFERROR(__xludf.DUMMYFUNCTION("""COMPUTED_VALUE"""),29.4)</f>
        <v>29.4</v>
      </c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</row>
    <row r="1531">
      <c r="A1531" s="22">
        <f>IFERROR(__xludf.DUMMYFUNCTION("""COMPUTED_VALUE"""),44169.66666666667)</f>
        <v>44169.66667</v>
      </c>
      <c r="B1531" s="23">
        <f>IFERROR(__xludf.DUMMYFUNCTION("""COMPUTED_VALUE"""),85.02)</f>
        <v>85.02</v>
      </c>
      <c r="C1531" s="19"/>
      <c r="D1531" s="19"/>
      <c r="E1531" s="22">
        <f>IFERROR(__xludf.DUMMYFUNCTION("""COMPUTED_VALUE"""),44355.66666666667)</f>
        <v>44355.66667</v>
      </c>
      <c r="F1531" s="23">
        <f>IFERROR(__xludf.DUMMYFUNCTION("""COMPUTED_VALUE"""),29.57)</f>
        <v>29.57</v>
      </c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</row>
    <row r="1532">
      <c r="A1532" s="22">
        <f>IFERROR(__xludf.DUMMYFUNCTION("""COMPUTED_VALUE"""),44172.66666666667)</f>
        <v>44172.66667</v>
      </c>
      <c r="B1532" s="23">
        <f>IFERROR(__xludf.DUMMYFUNCTION("""COMPUTED_VALUE"""),85.37)</f>
        <v>85.37</v>
      </c>
      <c r="C1532" s="19"/>
      <c r="D1532" s="19"/>
      <c r="E1532" s="22">
        <f>IFERROR(__xludf.DUMMYFUNCTION("""COMPUTED_VALUE"""),44356.66666666667)</f>
        <v>44356.66667</v>
      </c>
      <c r="F1532" s="23">
        <f>IFERROR(__xludf.DUMMYFUNCTION("""COMPUTED_VALUE"""),29.54)</f>
        <v>29.54</v>
      </c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</row>
    <row r="1533">
      <c r="A1533" s="22">
        <f>IFERROR(__xludf.DUMMYFUNCTION("""COMPUTED_VALUE"""),44173.66666666667)</f>
        <v>44173.66667</v>
      </c>
      <c r="B1533" s="23">
        <f>IFERROR(__xludf.DUMMYFUNCTION("""COMPUTED_VALUE"""),85.31)</f>
        <v>85.31</v>
      </c>
      <c r="C1533" s="19"/>
      <c r="D1533" s="19"/>
      <c r="E1533" s="22">
        <f>IFERROR(__xludf.DUMMYFUNCTION("""COMPUTED_VALUE"""),44357.66666666667)</f>
        <v>44357.66667</v>
      </c>
      <c r="F1533" s="23">
        <f>IFERROR(__xludf.DUMMYFUNCTION("""COMPUTED_VALUE"""),29.57)</f>
        <v>29.57</v>
      </c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</row>
    <row r="1534">
      <c r="A1534" s="22">
        <f>IFERROR(__xludf.DUMMYFUNCTION("""COMPUTED_VALUE"""),44174.66666666667)</f>
        <v>44174.66667</v>
      </c>
      <c r="B1534" s="23">
        <f>IFERROR(__xludf.DUMMYFUNCTION("""COMPUTED_VALUE"""),85.85)</f>
        <v>85.85</v>
      </c>
      <c r="C1534" s="19"/>
      <c r="D1534" s="19"/>
      <c r="E1534" s="22">
        <f>IFERROR(__xludf.DUMMYFUNCTION("""COMPUTED_VALUE"""),44358.66666666667)</f>
        <v>44358.66667</v>
      </c>
      <c r="F1534" s="23">
        <f>IFERROR(__xludf.DUMMYFUNCTION("""COMPUTED_VALUE"""),29.81)</f>
        <v>29.81</v>
      </c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</row>
    <row r="1535">
      <c r="A1535" s="22">
        <f>IFERROR(__xludf.DUMMYFUNCTION("""COMPUTED_VALUE"""),44175.66666666667)</f>
        <v>44175.66667</v>
      </c>
      <c r="B1535" s="23">
        <f>IFERROR(__xludf.DUMMYFUNCTION("""COMPUTED_VALUE"""),84.67)</f>
        <v>84.67</v>
      </c>
      <c r="C1535" s="19"/>
      <c r="D1535" s="19"/>
      <c r="E1535" s="22">
        <f>IFERROR(__xludf.DUMMYFUNCTION("""COMPUTED_VALUE"""),44362.66666666667)</f>
        <v>44362.66667</v>
      </c>
      <c r="F1535" s="23">
        <f>IFERROR(__xludf.DUMMYFUNCTION("""COMPUTED_VALUE"""),30.34)</f>
        <v>30.34</v>
      </c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</row>
    <row r="1536">
      <c r="A1536" s="22">
        <f>IFERROR(__xludf.DUMMYFUNCTION("""COMPUTED_VALUE"""),44176.66666666667)</f>
        <v>44176.66667</v>
      </c>
      <c r="B1536" s="23">
        <f>IFERROR(__xludf.DUMMYFUNCTION("""COMPUTED_VALUE"""),83.73)</f>
        <v>83.73</v>
      </c>
      <c r="C1536" s="19"/>
      <c r="D1536" s="19"/>
      <c r="E1536" s="22">
        <f>IFERROR(__xludf.DUMMYFUNCTION("""COMPUTED_VALUE"""),44363.66666666667)</f>
        <v>44363.66667</v>
      </c>
      <c r="F1536" s="23">
        <f>IFERROR(__xludf.DUMMYFUNCTION("""COMPUTED_VALUE"""),30.22)</f>
        <v>30.22</v>
      </c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</row>
    <row r="1537">
      <c r="A1537" s="22">
        <f>IFERROR(__xludf.DUMMYFUNCTION("""COMPUTED_VALUE"""),44179.66666666667)</f>
        <v>44179.66667</v>
      </c>
      <c r="B1537" s="23">
        <f>IFERROR(__xludf.DUMMYFUNCTION("""COMPUTED_VALUE"""),84.15)</f>
        <v>84.15</v>
      </c>
      <c r="C1537" s="19"/>
      <c r="D1537" s="19"/>
      <c r="E1537" s="22">
        <f>IFERROR(__xludf.DUMMYFUNCTION("""COMPUTED_VALUE"""),44364.66666666667)</f>
        <v>44364.66667</v>
      </c>
      <c r="F1537" s="23">
        <f>IFERROR(__xludf.DUMMYFUNCTION("""COMPUTED_VALUE"""),30.21)</f>
        <v>30.21</v>
      </c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</row>
    <row r="1538">
      <c r="A1538" s="22">
        <f>IFERROR(__xludf.DUMMYFUNCTION("""COMPUTED_VALUE"""),44180.66666666667)</f>
        <v>44180.66667</v>
      </c>
      <c r="B1538" s="23">
        <f>IFERROR(__xludf.DUMMYFUNCTION("""COMPUTED_VALUE"""),83.83)</f>
        <v>83.83</v>
      </c>
      <c r="C1538" s="19"/>
      <c r="D1538" s="19"/>
      <c r="E1538" s="22">
        <f>IFERROR(__xludf.DUMMYFUNCTION("""COMPUTED_VALUE"""),44365.66666666667)</f>
        <v>44365.66667</v>
      </c>
      <c r="F1538" s="23">
        <f>IFERROR(__xludf.DUMMYFUNCTION("""COMPUTED_VALUE"""),31.2)</f>
        <v>31.2</v>
      </c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</row>
    <row r="1539">
      <c r="A1539" s="22">
        <f>IFERROR(__xludf.DUMMYFUNCTION("""COMPUTED_VALUE"""),44181.66666666667)</f>
        <v>44181.66667</v>
      </c>
      <c r="B1539" s="23">
        <f>IFERROR(__xludf.DUMMYFUNCTION("""COMPUTED_VALUE"""),84.3)</f>
        <v>84.3</v>
      </c>
      <c r="C1539" s="19"/>
      <c r="D1539" s="19"/>
      <c r="E1539" s="22">
        <f>IFERROR(__xludf.DUMMYFUNCTION("""COMPUTED_VALUE"""),44368.66666666667)</f>
        <v>44368.66667</v>
      </c>
      <c r="F1539" s="23">
        <f>IFERROR(__xludf.DUMMYFUNCTION("""COMPUTED_VALUE"""),30.96)</f>
        <v>30.96</v>
      </c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</row>
    <row r="1540">
      <c r="A1540" s="22">
        <f>IFERROR(__xludf.DUMMYFUNCTION("""COMPUTED_VALUE"""),44182.66666666667)</f>
        <v>44182.66667</v>
      </c>
      <c r="B1540" s="23">
        <f>IFERROR(__xludf.DUMMYFUNCTION("""COMPUTED_VALUE"""),84.5)</f>
        <v>84.5</v>
      </c>
      <c r="C1540" s="19"/>
      <c r="D1540" s="19"/>
      <c r="E1540" s="22">
        <f>IFERROR(__xludf.DUMMYFUNCTION("""COMPUTED_VALUE"""),44369.66666666667)</f>
        <v>44369.66667</v>
      </c>
      <c r="F1540" s="23">
        <f>IFERROR(__xludf.DUMMYFUNCTION("""COMPUTED_VALUE"""),31.17)</f>
        <v>31.17</v>
      </c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</row>
    <row r="1541">
      <c r="A1541" s="22">
        <f>IFERROR(__xludf.DUMMYFUNCTION("""COMPUTED_VALUE"""),44183.66666666667)</f>
        <v>44183.66667</v>
      </c>
      <c r="B1541" s="23">
        <f>IFERROR(__xludf.DUMMYFUNCTION("""COMPUTED_VALUE"""),84.55)</f>
        <v>84.55</v>
      </c>
      <c r="C1541" s="19"/>
      <c r="D1541" s="19"/>
      <c r="E1541" s="22">
        <f>IFERROR(__xludf.DUMMYFUNCTION("""COMPUTED_VALUE"""),44370.66666666667)</f>
        <v>44370.66667</v>
      </c>
      <c r="F1541" s="23">
        <f>IFERROR(__xludf.DUMMYFUNCTION("""COMPUTED_VALUE"""),31.4)</f>
        <v>31.4</v>
      </c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</row>
    <row r="1542">
      <c r="A1542" s="22">
        <f>IFERROR(__xludf.DUMMYFUNCTION("""COMPUTED_VALUE"""),44186.66666666667)</f>
        <v>44186.66667</v>
      </c>
      <c r="B1542" s="23">
        <f>IFERROR(__xludf.DUMMYFUNCTION("""COMPUTED_VALUE"""),84.45)</f>
        <v>84.45</v>
      </c>
      <c r="C1542" s="19"/>
      <c r="D1542" s="19"/>
      <c r="E1542" s="22">
        <f>IFERROR(__xludf.DUMMYFUNCTION("""COMPUTED_VALUE"""),44371.66666666667)</f>
        <v>44371.66667</v>
      </c>
      <c r="F1542" s="23">
        <f>IFERROR(__xludf.DUMMYFUNCTION("""COMPUTED_VALUE"""),31.3)</f>
        <v>31.3</v>
      </c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</row>
    <row r="1543">
      <c r="A1543" s="22">
        <f>IFERROR(__xludf.DUMMYFUNCTION("""COMPUTED_VALUE"""),44187.66666666667)</f>
        <v>44187.66667</v>
      </c>
      <c r="B1543" s="23">
        <f>IFERROR(__xludf.DUMMYFUNCTION("""COMPUTED_VALUE"""),83.98)</f>
        <v>83.98</v>
      </c>
      <c r="C1543" s="19"/>
      <c r="D1543" s="19"/>
      <c r="E1543" s="22">
        <f>IFERROR(__xludf.DUMMYFUNCTION("""COMPUTED_VALUE"""),44372.66666666667)</f>
        <v>44372.66667</v>
      </c>
      <c r="F1543" s="23">
        <f>IFERROR(__xludf.DUMMYFUNCTION("""COMPUTED_VALUE"""),31.35)</f>
        <v>31.35</v>
      </c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</row>
    <row r="1544">
      <c r="A1544" s="22">
        <f>IFERROR(__xludf.DUMMYFUNCTION("""COMPUTED_VALUE"""),44188.66666666667)</f>
        <v>44188.66667</v>
      </c>
      <c r="B1544" s="23">
        <f>IFERROR(__xludf.DUMMYFUNCTION("""COMPUTED_VALUE"""),84.24)</f>
        <v>84.24</v>
      </c>
      <c r="C1544" s="19"/>
      <c r="D1544" s="19"/>
      <c r="E1544" s="22">
        <f>IFERROR(__xludf.DUMMYFUNCTION("""COMPUTED_VALUE"""),44375.66666666667)</f>
        <v>44375.66667</v>
      </c>
      <c r="F1544" s="23">
        <f>IFERROR(__xludf.DUMMYFUNCTION("""COMPUTED_VALUE"""),31.34)</f>
        <v>31.34</v>
      </c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</row>
    <row r="1545">
      <c r="A1545" s="22">
        <f>IFERROR(__xludf.DUMMYFUNCTION("""COMPUTED_VALUE"""),44189.66666666667)</f>
        <v>44189.66667</v>
      </c>
      <c r="B1545" s="23">
        <f>IFERROR(__xludf.DUMMYFUNCTION("""COMPUTED_VALUE"""),84.4)</f>
        <v>84.4</v>
      </c>
      <c r="C1545" s="19"/>
      <c r="D1545" s="19"/>
      <c r="E1545" s="22">
        <f>IFERROR(__xludf.DUMMYFUNCTION("""COMPUTED_VALUE"""),44376.66666666667)</f>
        <v>44376.66667</v>
      </c>
      <c r="F1545" s="23">
        <f>IFERROR(__xludf.DUMMYFUNCTION("""COMPUTED_VALUE"""),31.74)</f>
        <v>31.74</v>
      </c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</row>
    <row r="1546">
      <c r="A1546" s="22">
        <f>IFERROR(__xludf.DUMMYFUNCTION("""COMPUTED_VALUE"""),44194.66666666667)</f>
        <v>44194.66667</v>
      </c>
      <c r="B1546" s="23">
        <f>IFERROR(__xludf.DUMMYFUNCTION("""COMPUTED_VALUE"""),85.42)</f>
        <v>85.42</v>
      </c>
      <c r="C1546" s="19"/>
      <c r="D1546" s="19"/>
      <c r="E1546" s="22">
        <f>IFERROR(__xludf.DUMMYFUNCTION("""COMPUTED_VALUE"""),44377.66666666667)</f>
        <v>44377.66667</v>
      </c>
      <c r="F1546" s="23">
        <f>IFERROR(__xludf.DUMMYFUNCTION("""COMPUTED_VALUE"""),32.11)</f>
        <v>32.11</v>
      </c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</row>
    <row r="1547">
      <c r="A1547" s="22">
        <f>IFERROR(__xludf.DUMMYFUNCTION("""COMPUTED_VALUE"""),44195.66666666667)</f>
        <v>44195.66667</v>
      </c>
      <c r="B1547" s="23">
        <f>IFERROR(__xludf.DUMMYFUNCTION("""COMPUTED_VALUE"""),84.71)</f>
        <v>84.71</v>
      </c>
      <c r="C1547" s="19"/>
      <c r="D1547" s="19"/>
      <c r="E1547" s="22">
        <f>IFERROR(__xludf.DUMMYFUNCTION("""COMPUTED_VALUE"""),44378.66666666667)</f>
        <v>44378.66667</v>
      </c>
      <c r="F1547" s="23">
        <f>IFERROR(__xludf.DUMMYFUNCTION("""COMPUTED_VALUE"""),31.06)</f>
        <v>31.06</v>
      </c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</row>
    <row r="1548">
      <c r="A1548" s="22">
        <f>IFERROR(__xludf.DUMMYFUNCTION("""COMPUTED_VALUE"""),44196.66666666667)</f>
        <v>44196.66667</v>
      </c>
      <c r="B1548" s="23">
        <f>IFERROR(__xludf.DUMMYFUNCTION("""COMPUTED_VALUE"""),84.12)</f>
        <v>84.12</v>
      </c>
      <c r="C1548" s="19"/>
      <c r="D1548" s="19"/>
      <c r="E1548" s="22">
        <f>IFERROR(__xludf.DUMMYFUNCTION("""COMPUTED_VALUE"""),44379.66666666667)</f>
        <v>44379.66667</v>
      </c>
      <c r="F1548" s="23">
        <f>IFERROR(__xludf.DUMMYFUNCTION("""COMPUTED_VALUE"""),31.05)</f>
        <v>31.05</v>
      </c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</row>
    <row r="1549">
      <c r="A1549" s="22">
        <f>IFERROR(__xludf.DUMMYFUNCTION("""COMPUTED_VALUE"""),44200.66666666667)</f>
        <v>44200.66667</v>
      </c>
      <c r="B1549" s="23">
        <f>IFERROR(__xludf.DUMMYFUNCTION("""COMPUTED_VALUE"""),83.83)</f>
        <v>83.83</v>
      </c>
      <c r="C1549" s="19"/>
      <c r="D1549" s="19"/>
      <c r="E1549" s="22">
        <f>IFERROR(__xludf.DUMMYFUNCTION("""COMPUTED_VALUE"""),44382.66666666667)</f>
        <v>44382.66667</v>
      </c>
      <c r="F1549" s="23">
        <f>IFERROR(__xludf.DUMMYFUNCTION("""COMPUTED_VALUE"""),31.22)</f>
        <v>31.22</v>
      </c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</row>
    <row r="1550">
      <c r="A1550" s="22">
        <f>IFERROR(__xludf.DUMMYFUNCTION("""COMPUTED_VALUE"""),44201.66666666667)</f>
        <v>44201.66667</v>
      </c>
      <c r="B1550" s="23">
        <f>IFERROR(__xludf.DUMMYFUNCTION("""COMPUTED_VALUE"""),83.2)</f>
        <v>83.2</v>
      </c>
      <c r="C1550" s="19"/>
      <c r="D1550" s="19"/>
      <c r="E1550" s="22">
        <f>IFERROR(__xludf.DUMMYFUNCTION("""COMPUTED_VALUE"""),44383.66666666667)</f>
        <v>44383.66667</v>
      </c>
      <c r="F1550" s="23">
        <f>IFERROR(__xludf.DUMMYFUNCTION("""COMPUTED_VALUE"""),30.87)</f>
        <v>30.87</v>
      </c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</row>
    <row r="1551">
      <c r="A1551" s="22">
        <f>IFERROR(__xludf.DUMMYFUNCTION("""COMPUTED_VALUE"""),44202.66666666667)</f>
        <v>44202.66667</v>
      </c>
      <c r="B1551" s="23">
        <f>IFERROR(__xludf.DUMMYFUNCTION("""COMPUTED_VALUE"""),82.53)</f>
        <v>82.53</v>
      </c>
      <c r="C1551" s="19"/>
      <c r="D1551" s="19"/>
      <c r="E1551" s="22">
        <f>IFERROR(__xludf.DUMMYFUNCTION("""COMPUTED_VALUE"""),44384.66666666667)</f>
        <v>44384.66667</v>
      </c>
      <c r="F1551" s="23">
        <f>IFERROR(__xludf.DUMMYFUNCTION("""COMPUTED_VALUE"""),31.46)</f>
        <v>31.46</v>
      </c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</row>
    <row r="1552">
      <c r="A1552" s="22">
        <f>IFERROR(__xludf.DUMMYFUNCTION("""COMPUTED_VALUE"""),44203.66666666667)</f>
        <v>44203.66667</v>
      </c>
      <c r="B1552" s="23">
        <f>IFERROR(__xludf.DUMMYFUNCTION("""COMPUTED_VALUE"""),83.67)</f>
        <v>83.67</v>
      </c>
      <c r="C1552" s="19"/>
      <c r="D1552" s="19"/>
      <c r="E1552" s="22">
        <f>IFERROR(__xludf.DUMMYFUNCTION("""COMPUTED_VALUE"""),44385.66666666667)</f>
        <v>44385.66667</v>
      </c>
      <c r="F1552" s="23">
        <f>IFERROR(__xludf.DUMMYFUNCTION("""COMPUTED_VALUE"""),31.64)</f>
        <v>31.64</v>
      </c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</row>
    <row r="1553">
      <c r="A1553" s="22">
        <f>IFERROR(__xludf.DUMMYFUNCTION("""COMPUTED_VALUE"""),44204.66666666667)</f>
        <v>44204.66667</v>
      </c>
      <c r="B1553" s="23">
        <f>IFERROR(__xludf.DUMMYFUNCTION("""COMPUTED_VALUE"""),84.97)</f>
        <v>84.97</v>
      </c>
      <c r="C1553" s="19"/>
      <c r="D1553" s="19"/>
      <c r="E1553" s="22">
        <f>IFERROR(__xludf.DUMMYFUNCTION("""COMPUTED_VALUE"""),44386.66666666667)</f>
        <v>44386.66667</v>
      </c>
      <c r="F1553" s="23">
        <f>IFERROR(__xludf.DUMMYFUNCTION("""COMPUTED_VALUE"""),31.59)</f>
        <v>31.59</v>
      </c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</row>
    <row r="1554">
      <c r="A1554" s="22">
        <f>IFERROR(__xludf.DUMMYFUNCTION("""COMPUTED_VALUE"""),44207.66666666667)</f>
        <v>44207.66667</v>
      </c>
      <c r="B1554" s="23">
        <f>IFERROR(__xludf.DUMMYFUNCTION("""COMPUTED_VALUE"""),85.2)</f>
        <v>85.2</v>
      </c>
      <c r="C1554" s="19"/>
      <c r="D1554" s="19"/>
      <c r="E1554" s="22">
        <f>IFERROR(__xludf.DUMMYFUNCTION("""COMPUTED_VALUE"""),44389.66666666667)</f>
        <v>44389.66667</v>
      </c>
      <c r="F1554" s="23">
        <f>IFERROR(__xludf.DUMMYFUNCTION("""COMPUTED_VALUE"""),31.63)</f>
        <v>31.63</v>
      </c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</row>
    <row r="1555">
      <c r="A1555" s="22">
        <f>IFERROR(__xludf.DUMMYFUNCTION("""COMPUTED_VALUE"""),44208.66666666667)</f>
        <v>44208.66667</v>
      </c>
      <c r="B1555" s="23">
        <f>IFERROR(__xludf.DUMMYFUNCTION("""COMPUTED_VALUE"""),85.18)</f>
        <v>85.18</v>
      </c>
      <c r="C1555" s="19"/>
      <c r="D1555" s="19"/>
      <c r="E1555" s="22">
        <f>IFERROR(__xludf.DUMMYFUNCTION("""COMPUTED_VALUE"""),44390.66666666667)</f>
        <v>44390.66667</v>
      </c>
      <c r="F1555" s="23">
        <f>IFERROR(__xludf.DUMMYFUNCTION("""COMPUTED_VALUE"""),31.68)</f>
        <v>31.68</v>
      </c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</row>
    <row r="1556">
      <c r="A1556" s="22">
        <f>IFERROR(__xludf.DUMMYFUNCTION("""COMPUTED_VALUE"""),44209.66666666667)</f>
        <v>44209.66667</v>
      </c>
      <c r="B1556" s="23">
        <f>IFERROR(__xludf.DUMMYFUNCTION("""COMPUTED_VALUE"""),84.79)</f>
        <v>84.79</v>
      </c>
      <c r="C1556" s="19"/>
      <c r="D1556" s="19"/>
      <c r="E1556" s="22">
        <f>IFERROR(__xludf.DUMMYFUNCTION("""COMPUTED_VALUE"""),44391.66666666667)</f>
        <v>44391.66667</v>
      </c>
      <c r="F1556" s="23">
        <f>IFERROR(__xludf.DUMMYFUNCTION("""COMPUTED_VALUE"""),31.78)</f>
        <v>31.78</v>
      </c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</row>
    <row r="1557">
      <c r="A1557" s="22">
        <f>IFERROR(__xludf.DUMMYFUNCTION("""COMPUTED_VALUE"""),44210.66666666667)</f>
        <v>44210.66667</v>
      </c>
      <c r="B1557" s="23">
        <f>IFERROR(__xludf.DUMMYFUNCTION("""COMPUTED_VALUE"""),85.17)</f>
        <v>85.17</v>
      </c>
      <c r="C1557" s="19"/>
      <c r="D1557" s="19"/>
      <c r="E1557" s="22">
        <f>IFERROR(__xludf.DUMMYFUNCTION("""COMPUTED_VALUE"""),44392.66666666667)</f>
        <v>44392.66667</v>
      </c>
      <c r="F1557" s="23">
        <f>IFERROR(__xludf.DUMMYFUNCTION("""COMPUTED_VALUE"""),31.82)</f>
        <v>31.82</v>
      </c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</row>
    <row r="1558">
      <c r="A1558" s="22">
        <f>IFERROR(__xludf.DUMMYFUNCTION("""COMPUTED_VALUE"""),44211.66666666667)</f>
        <v>44211.66667</v>
      </c>
      <c r="B1558" s="23">
        <f>IFERROR(__xludf.DUMMYFUNCTION("""COMPUTED_VALUE"""),84.44)</f>
        <v>84.44</v>
      </c>
      <c r="C1558" s="19"/>
      <c r="D1558" s="19"/>
      <c r="E1558" s="22">
        <f>IFERROR(__xludf.DUMMYFUNCTION("""COMPUTED_VALUE"""),44393.66666666667)</f>
        <v>44393.66667</v>
      </c>
      <c r="F1558" s="23">
        <f>IFERROR(__xludf.DUMMYFUNCTION("""COMPUTED_VALUE"""),31.71)</f>
        <v>31.71</v>
      </c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</row>
    <row r="1559">
      <c r="A1559" s="22">
        <f>IFERROR(__xludf.DUMMYFUNCTION("""COMPUTED_VALUE"""),44214.66666666667)</f>
        <v>44214.66667</v>
      </c>
      <c r="B1559" s="23">
        <f>IFERROR(__xludf.DUMMYFUNCTION("""COMPUTED_VALUE"""),84.49)</f>
        <v>84.49</v>
      </c>
      <c r="C1559" s="19"/>
      <c r="D1559" s="19"/>
      <c r="E1559" s="22">
        <f>IFERROR(__xludf.DUMMYFUNCTION("""COMPUTED_VALUE"""),44396.66666666667)</f>
        <v>44396.66667</v>
      </c>
      <c r="F1559" s="23">
        <f>IFERROR(__xludf.DUMMYFUNCTION("""COMPUTED_VALUE"""),31.67)</f>
        <v>31.67</v>
      </c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</row>
    <row r="1560">
      <c r="A1560" s="22">
        <f>IFERROR(__xludf.DUMMYFUNCTION("""COMPUTED_VALUE"""),44215.66666666667)</f>
        <v>44215.66667</v>
      </c>
      <c r="B1560" s="23">
        <f>IFERROR(__xludf.DUMMYFUNCTION("""COMPUTED_VALUE"""),85.05)</f>
        <v>85.05</v>
      </c>
      <c r="C1560" s="19"/>
      <c r="D1560" s="19"/>
      <c r="E1560" s="22">
        <f>IFERROR(__xludf.DUMMYFUNCTION("""COMPUTED_VALUE"""),44397.66666666667)</f>
        <v>44397.66667</v>
      </c>
      <c r="F1560" s="23">
        <f>IFERROR(__xludf.DUMMYFUNCTION("""COMPUTED_VALUE"""),31.85)</f>
        <v>31.85</v>
      </c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</row>
    <row r="1561">
      <c r="A1561" s="22">
        <f>IFERROR(__xludf.DUMMYFUNCTION("""COMPUTED_VALUE"""),44216.66666666667)</f>
        <v>44216.66667</v>
      </c>
      <c r="B1561" s="23">
        <f>IFERROR(__xludf.DUMMYFUNCTION("""COMPUTED_VALUE"""),84.86)</f>
        <v>84.86</v>
      </c>
      <c r="C1561" s="19"/>
      <c r="D1561" s="19"/>
      <c r="E1561" s="22">
        <f>IFERROR(__xludf.DUMMYFUNCTION("""COMPUTED_VALUE"""),44398.66666666667)</f>
        <v>44398.66667</v>
      </c>
      <c r="F1561" s="23">
        <f>IFERROR(__xludf.DUMMYFUNCTION("""COMPUTED_VALUE"""),32.19)</f>
        <v>32.19</v>
      </c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</row>
    <row r="1562">
      <c r="A1562" s="22">
        <f>IFERROR(__xludf.DUMMYFUNCTION("""COMPUTED_VALUE"""),44217.66666666667)</f>
        <v>44217.66667</v>
      </c>
      <c r="B1562" s="23">
        <f>IFERROR(__xludf.DUMMYFUNCTION("""COMPUTED_VALUE"""),85.56)</f>
        <v>85.56</v>
      </c>
      <c r="C1562" s="19"/>
      <c r="D1562" s="19"/>
      <c r="E1562" s="22">
        <f>IFERROR(__xludf.DUMMYFUNCTION("""COMPUTED_VALUE"""),44399.66666666667)</f>
        <v>44399.66667</v>
      </c>
      <c r="F1562" s="23">
        <f>IFERROR(__xludf.DUMMYFUNCTION("""COMPUTED_VALUE"""),32.17)</f>
        <v>32.17</v>
      </c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</row>
    <row r="1563">
      <c r="A1563" s="22">
        <f>IFERROR(__xludf.DUMMYFUNCTION("""COMPUTED_VALUE"""),44218.66666666667)</f>
        <v>44218.66667</v>
      </c>
      <c r="B1563" s="23">
        <f>IFERROR(__xludf.DUMMYFUNCTION("""COMPUTED_VALUE"""),85.41)</f>
        <v>85.41</v>
      </c>
      <c r="C1563" s="19"/>
      <c r="D1563" s="19"/>
      <c r="E1563" s="22">
        <f>IFERROR(__xludf.DUMMYFUNCTION("""COMPUTED_VALUE"""),44400.66666666667)</f>
        <v>44400.66667</v>
      </c>
      <c r="F1563" s="23">
        <f>IFERROR(__xludf.DUMMYFUNCTION("""COMPUTED_VALUE"""),32.45)</f>
        <v>32.45</v>
      </c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</row>
    <row r="1564">
      <c r="A1564" s="22">
        <f>IFERROR(__xludf.DUMMYFUNCTION("""COMPUTED_VALUE"""),44221.66666666667)</f>
        <v>44221.66667</v>
      </c>
      <c r="B1564" s="23">
        <f>IFERROR(__xludf.DUMMYFUNCTION("""COMPUTED_VALUE"""),85.65)</f>
        <v>85.65</v>
      </c>
      <c r="C1564" s="19"/>
      <c r="D1564" s="19"/>
      <c r="E1564" s="22">
        <f>IFERROR(__xludf.DUMMYFUNCTION("""COMPUTED_VALUE"""),44403.66666666667)</f>
        <v>44403.66667</v>
      </c>
      <c r="F1564" s="23">
        <f>IFERROR(__xludf.DUMMYFUNCTION("""COMPUTED_VALUE"""),32.74)</f>
        <v>32.74</v>
      </c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</row>
    <row r="1565">
      <c r="A1565" s="22">
        <f>IFERROR(__xludf.DUMMYFUNCTION("""COMPUTED_VALUE"""),44223.66666666667)</f>
        <v>44223.66667</v>
      </c>
      <c r="B1565" s="23">
        <f>IFERROR(__xludf.DUMMYFUNCTION("""COMPUTED_VALUE"""),85.25)</f>
        <v>85.25</v>
      </c>
      <c r="C1565" s="19"/>
      <c r="D1565" s="19"/>
      <c r="E1565" s="22">
        <f>IFERROR(__xludf.DUMMYFUNCTION("""COMPUTED_VALUE"""),44404.66666666667)</f>
        <v>44404.66667</v>
      </c>
      <c r="F1565" s="23">
        <f>IFERROR(__xludf.DUMMYFUNCTION("""COMPUTED_VALUE"""),32.7)</f>
        <v>32.7</v>
      </c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</row>
    <row r="1566">
      <c r="A1566" s="22">
        <f>IFERROR(__xludf.DUMMYFUNCTION("""COMPUTED_VALUE"""),44224.66666666667)</f>
        <v>44224.66667</v>
      </c>
      <c r="B1566" s="23">
        <f>IFERROR(__xludf.DUMMYFUNCTION("""COMPUTED_VALUE"""),84.31)</f>
        <v>84.31</v>
      </c>
      <c r="C1566" s="19"/>
      <c r="D1566" s="19"/>
      <c r="E1566" s="22">
        <f>IFERROR(__xludf.DUMMYFUNCTION("""COMPUTED_VALUE"""),44405.66666666667)</f>
        <v>44405.66667</v>
      </c>
      <c r="F1566" s="23">
        <f>IFERROR(__xludf.DUMMYFUNCTION("""COMPUTED_VALUE"""),32.4)</f>
        <v>32.4</v>
      </c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</row>
    <row r="1567">
      <c r="A1567" s="22">
        <f>IFERROR(__xludf.DUMMYFUNCTION("""COMPUTED_VALUE"""),44225.66666666667)</f>
        <v>44225.66667</v>
      </c>
      <c r="B1567" s="23">
        <f>IFERROR(__xludf.DUMMYFUNCTION("""COMPUTED_VALUE"""),84.02)</f>
        <v>84.02</v>
      </c>
      <c r="C1567" s="19"/>
      <c r="D1567" s="19"/>
      <c r="E1567" s="22">
        <f>IFERROR(__xludf.DUMMYFUNCTION("""COMPUTED_VALUE"""),44406.66666666667)</f>
        <v>44406.66667</v>
      </c>
      <c r="F1567" s="23">
        <f>IFERROR(__xludf.DUMMYFUNCTION("""COMPUTED_VALUE"""),32.39)</f>
        <v>32.39</v>
      </c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</row>
    <row r="1568">
      <c r="A1568" s="22">
        <f>IFERROR(__xludf.DUMMYFUNCTION("""COMPUTED_VALUE"""),44228.66666666667)</f>
        <v>44228.66667</v>
      </c>
      <c r="B1568" s="23">
        <f>IFERROR(__xludf.DUMMYFUNCTION("""COMPUTED_VALUE"""),83.72)</f>
        <v>83.72</v>
      </c>
      <c r="C1568" s="19"/>
      <c r="D1568" s="19"/>
      <c r="E1568" s="22">
        <f>IFERROR(__xludf.DUMMYFUNCTION("""COMPUTED_VALUE"""),44407.66666666667)</f>
        <v>44407.66667</v>
      </c>
      <c r="F1568" s="23">
        <f>IFERROR(__xludf.DUMMYFUNCTION("""COMPUTED_VALUE"""),32.09)</f>
        <v>32.09</v>
      </c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</row>
    <row r="1569">
      <c r="A1569" s="22">
        <f>IFERROR(__xludf.DUMMYFUNCTION("""COMPUTED_VALUE"""),44229.66666666667)</f>
        <v>44229.66667</v>
      </c>
      <c r="B1569" s="23">
        <f>IFERROR(__xludf.DUMMYFUNCTION("""COMPUTED_VALUE"""),85.3)</f>
        <v>85.3</v>
      </c>
      <c r="C1569" s="19"/>
      <c r="D1569" s="19"/>
      <c r="E1569" s="22">
        <f>IFERROR(__xludf.DUMMYFUNCTION("""COMPUTED_VALUE"""),44410.66666666667)</f>
        <v>44410.66667</v>
      </c>
      <c r="F1569" s="23">
        <f>IFERROR(__xludf.DUMMYFUNCTION("""COMPUTED_VALUE"""),32.68)</f>
        <v>32.68</v>
      </c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</row>
    <row r="1570">
      <c r="A1570" s="22">
        <f>IFERROR(__xludf.DUMMYFUNCTION("""COMPUTED_VALUE"""),44230.66666666667)</f>
        <v>44230.66667</v>
      </c>
      <c r="B1570" s="23">
        <f>IFERROR(__xludf.DUMMYFUNCTION("""COMPUTED_VALUE"""),86.47)</f>
        <v>86.47</v>
      </c>
      <c r="C1570" s="19"/>
      <c r="D1570" s="19"/>
      <c r="E1570" s="22">
        <f>IFERROR(__xludf.DUMMYFUNCTION("""COMPUTED_VALUE"""),44411.66666666667)</f>
        <v>44411.66667</v>
      </c>
      <c r="F1570" s="23">
        <f>IFERROR(__xludf.DUMMYFUNCTION("""COMPUTED_VALUE"""),32.34)</f>
        <v>32.34</v>
      </c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</row>
    <row r="1571">
      <c r="A1571" s="22">
        <f>IFERROR(__xludf.DUMMYFUNCTION("""COMPUTED_VALUE"""),44231.66666666667)</f>
        <v>44231.66667</v>
      </c>
      <c r="B1571" s="23">
        <f>IFERROR(__xludf.DUMMYFUNCTION("""COMPUTED_VALUE"""),85.95)</f>
        <v>85.95</v>
      </c>
      <c r="C1571" s="19"/>
      <c r="D1571" s="19"/>
      <c r="E1571" s="22">
        <f>IFERROR(__xludf.DUMMYFUNCTION("""COMPUTED_VALUE"""),44412.66666666667)</f>
        <v>44412.66667</v>
      </c>
      <c r="F1571" s="23">
        <f>IFERROR(__xludf.DUMMYFUNCTION("""COMPUTED_VALUE"""),32.51)</f>
        <v>32.51</v>
      </c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</row>
    <row r="1572">
      <c r="A1572" s="22">
        <f>IFERROR(__xludf.DUMMYFUNCTION("""COMPUTED_VALUE"""),44232.66666666667)</f>
        <v>44232.66667</v>
      </c>
      <c r="B1572" s="23">
        <f>IFERROR(__xludf.DUMMYFUNCTION("""COMPUTED_VALUE"""),87.4)</f>
        <v>87.4</v>
      </c>
      <c r="C1572" s="19"/>
      <c r="D1572" s="19"/>
      <c r="E1572" s="22">
        <f>IFERROR(__xludf.DUMMYFUNCTION("""COMPUTED_VALUE"""),44413.66666666667)</f>
        <v>44413.66667</v>
      </c>
      <c r="F1572" s="23">
        <f>IFERROR(__xludf.DUMMYFUNCTION("""COMPUTED_VALUE"""),32.58)</f>
        <v>32.58</v>
      </c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</row>
    <row r="1573">
      <c r="A1573" s="22">
        <f>IFERROR(__xludf.DUMMYFUNCTION("""COMPUTED_VALUE"""),44235.66666666667)</f>
        <v>44235.66667</v>
      </c>
      <c r="B1573" s="23">
        <f>IFERROR(__xludf.DUMMYFUNCTION("""COMPUTED_VALUE"""),87.22)</f>
        <v>87.22</v>
      </c>
      <c r="C1573" s="19"/>
      <c r="D1573" s="19"/>
      <c r="E1573" s="22">
        <f>IFERROR(__xludf.DUMMYFUNCTION("""COMPUTED_VALUE"""),44414.66666666667)</f>
        <v>44414.66667</v>
      </c>
      <c r="F1573" s="23">
        <f>IFERROR(__xludf.DUMMYFUNCTION("""COMPUTED_VALUE"""),32.75)</f>
        <v>32.75</v>
      </c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</row>
    <row r="1574">
      <c r="A1574" s="22">
        <f>IFERROR(__xludf.DUMMYFUNCTION("""COMPUTED_VALUE"""),44236.66666666667)</f>
        <v>44236.66667</v>
      </c>
      <c r="B1574" s="23">
        <f>IFERROR(__xludf.DUMMYFUNCTION("""COMPUTED_VALUE"""),86.81)</f>
        <v>86.81</v>
      </c>
      <c r="C1574" s="19"/>
      <c r="D1574" s="19"/>
      <c r="E1574" s="22">
        <f>IFERROR(__xludf.DUMMYFUNCTION("""COMPUTED_VALUE"""),44417.66666666667)</f>
        <v>44417.66667</v>
      </c>
      <c r="F1574" s="23">
        <f>IFERROR(__xludf.DUMMYFUNCTION("""COMPUTED_VALUE"""),32.66)</f>
        <v>32.66</v>
      </c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</row>
    <row r="1575">
      <c r="A1575" s="22">
        <f>IFERROR(__xludf.DUMMYFUNCTION("""COMPUTED_VALUE"""),44237.66666666667)</f>
        <v>44237.66667</v>
      </c>
      <c r="B1575" s="23">
        <f>IFERROR(__xludf.DUMMYFUNCTION("""COMPUTED_VALUE"""),87.15)</f>
        <v>87.15</v>
      </c>
      <c r="C1575" s="19"/>
      <c r="D1575" s="19"/>
      <c r="E1575" s="22">
        <f>IFERROR(__xludf.DUMMYFUNCTION("""COMPUTED_VALUE"""),44418.66666666667)</f>
        <v>44418.66667</v>
      </c>
      <c r="F1575" s="23">
        <f>IFERROR(__xludf.DUMMYFUNCTION("""COMPUTED_VALUE"""),32.91)</f>
        <v>32.91</v>
      </c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</row>
    <row r="1576">
      <c r="A1576" s="22">
        <f>IFERROR(__xludf.DUMMYFUNCTION("""COMPUTED_VALUE"""),44238.66666666667)</f>
        <v>44238.66667</v>
      </c>
      <c r="B1576" s="23">
        <f>IFERROR(__xludf.DUMMYFUNCTION("""COMPUTED_VALUE"""),86.9)</f>
        <v>86.9</v>
      </c>
      <c r="C1576" s="19"/>
      <c r="D1576" s="19"/>
      <c r="E1576" s="22">
        <f>IFERROR(__xludf.DUMMYFUNCTION("""COMPUTED_VALUE"""),44419.66666666667)</f>
        <v>44419.66667</v>
      </c>
      <c r="F1576" s="23">
        <f>IFERROR(__xludf.DUMMYFUNCTION("""COMPUTED_VALUE"""),32.71)</f>
        <v>32.71</v>
      </c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</row>
    <row r="1577">
      <c r="A1577" s="22">
        <f>IFERROR(__xludf.DUMMYFUNCTION("""COMPUTED_VALUE"""),44239.66666666667)</f>
        <v>44239.66667</v>
      </c>
      <c r="B1577" s="23">
        <f>IFERROR(__xludf.DUMMYFUNCTION("""COMPUTED_VALUE"""),86.8)</f>
        <v>86.8</v>
      </c>
      <c r="C1577" s="19"/>
      <c r="D1577" s="19"/>
      <c r="E1577" s="22">
        <f>IFERROR(__xludf.DUMMYFUNCTION("""COMPUTED_VALUE"""),44420.66666666667)</f>
        <v>44420.66667</v>
      </c>
      <c r="F1577" s="23">
        <f>IFERROR(__xludf.DUMMYFUNCTION("""COMPUTED_VALUE"""),32.52)</f>
        <v>32.52</v>
      </c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</row>
    <row r="1578">
      <c r="A1578" s="22">
        <f>IFERROR(__xludf.DUMMYFUNCTION("""COMPUTED_VALUE"""),44242.66666666667)</f>
        <v>44242.66667</v>
      </c>
      <c r="B1578" s="23">
        <f>IFERROR(__xludf.DUMMYFUNCTION("""COMPUTED_VALUE"""),87.47)</f>
        <v>87.47</v>
      </c>
      <c r="C1578" s="19"/>
      <c r="D1578" s="19"/>
      <c r="E1578" s="22">
        <f>IFERROR(__xludf.DUMMYFUNCTION("""COMPUTED_VALUE"""),44421.66666666667)</f>
        <v>44421.66667</v>
      </c>
      <c r="F1578" s="23">
        <f>IFERROR(__xludf.DUMMYFUNCTION("""COMPUTED_VALUE"""),32.77)</f>
        <v>32.77</v>
      </c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</row>
    <row r="1579">
      <c r="A1579" s="22">
        <f>IFERROR(__xludf.DUMMYFUNCTION("""COMPUTED_VALUE"""),44243.66666666667)</f>
        <v>44243.66667</v>
      </c>
      <c r="B1579" s="23">
        <f>IFERROR(__xludf.DUMMYFUNCTION("""COMPUTED_VALUE"""),87.69)</f>
        <v>87.69</v>
      </c>
      <c r="C1579" s="19"/>
      <c r="D1579" s="19"/>
      <c r="E1579" s="22">
        <f>IFERROR(__xludf.DUMMYFUNCTION("""COMPUTED_VALUE"""),44424.66666666667)</f>
        <v>44424.66667</v>
      </c>
      <c r="F1579" s="23">
        <f>IFERROR(__xludf.DUMMYFUNCTION("""COMPUTED_VALUE"""),32.86)</f>
        <v>32.86</v>
      </c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</row>
    <row r="1580">
      <c r="A1580" s="22">
        <f>IFERROR(__xludf.DUMMYFUNCTION("""COMPUTED_VALUE"""),44244.66666666667)</f>
        <v>44244.66667</v>
      </c>
      <c r="B1580" s="23">
        <f>IFERROR(__xludf.DUMMYFUNCTION("""COMPUTED_VALUE"""),87.46)</f>
        <v>87.46</v>
      </c>
      <c r="C1580" s="19"/>
      <c r="D1580" s="19"/>
      <c r="E1580" s="22">
        <f>IFERROR(__xludf.DUMMYFUNCTION("""COMPUTED_VALUE"""),44425.66666666667)</f>
        <v>44425.66667</v>
      </c>
      <c r="F1580" s="23">
        <f>IFERROR(__xludf.DUMMYFUNCTION("""COMPUTED_VALUE"""),33.0)</f>
        <v>33</v>
      </c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</row>
    <row r="1581">
      <c r="A1581" s="22">
        <f>IFERROR(__xludf.DUMMYFUNCTION("""COMPUTED_VALUE"""),44245.66666666667)</f>
        <v>44245.66667</v>
      </c>
      <c r="B1581" s="23">
        <f>IFERROR(__xludf.DUMMYFUNCTION("""COMPUTED_VALUE"""),87.02)</f>
        <v>87.02</v>
      </c>
      <c r="C1581" s="19"/>
      <c r="D1581" s="19"/>
      <c r="E1581" s="22">
        <f>IFERROR(__xludf.DUMMYFUNCTION("""COMPUTED_VALUE"""),44426.66666666667)</f>
        <v>44426.66667</v>
      </c>
      <c r="F1581" s="23">
        <f>IFERROR(__xludf.DUMMYFUNCTION("""COMPUTED_VALUE"""),33.0)</f>
        <v>33</v>
      </c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</row>
    <row r="1582">
      <c r="A1582" s="22">
        <f>IFERROR(__xludf.DUMMYFUNCTION("""COMPUTED_VALUE"""),44246.66666666667)</f>
        <v>44246.66667</v>
      </c>
      <c r="B1582" s="23">
        <f>IFERROR(__xludf.DUMMYFUNCTION("""COMPUTED_VALUE"""),86.44)</f>
        <v>86.44</v>
      </c>
      <c r="C1582" s="19"/>
      <c r="D1582" s="19"/>
      <c r="E1582" s="22">
        <f>IFERROR(__xludf.DUMMYFUNCTION("""COMPUTED_VALUE"""),44427.66666666667)</f>
        <v>44427.66667</v>
      </c>
      <c r="F1582" s="23">
        <f>IFERROR(__xludf.DUMMYFUNCTION("""COMPUTED_VALUE"""),32.89)</f>
        <v>32.89</v>
      </c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</row>
    <row r="1583">
      <c r="A1583" s="22">
        <f>IFERROR(__xludf.DUMMYFUNCTION("""COMPUTED_VALUE"""),44249.66666666667)</f>
        <v>44249.66667</v>
      </c>
      <c r="B1583" s="23">
        <f>IFERROR(__xludf.DUMMYFUNCTION("""COMPUTED_VALUE"""),85.42)</f>
        <v>85.42</v>
      </c>
      <c r="C1583" s="19"/>
      <c r="D1583" s="19"/>
      <c r="E1583" s="22">
        <f>IFERROR(__xludf.DUMMYFUNCTION("""COMPUTED_VALUE"""),44428.66666666667)</f>
        <v>44428.66667</v>
      </c>
      <c r="F1583" s="23">
        <f>IFERROR(__xludf.DUMMYFUNCTION("""COMPUTED_VALUE"""),33.36)</f>
        <v>33.36</v>
      </c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</row>
    <row r="1584">
      <c r="A1584" s="22">
        <f>IFERROR(__xludf.DUMMYFUNCTION("""COMPUTED_VALUE"""),44250.66666666667)</f>
        <v>44250.66667</v>
      </c>
      <c r="B1584" s="23">
        <f>IFERROR(__xludf.DUMMYFUNCTION("""COMPUTED_VALUE"""),84.99)</f>
        <v>84.99</v>
      </c>
      <c r="C1584" s="19"/>
      <c r="D1584" s="19"/>
      <c r="E1584" s="22">
        <f>IFERROR(__xludf.DUMMYFUNCTION("""COMPUTED_VALUE"""),44431.66666666667)</f>
        <v>44431.66667</v>
      </c>
      <c r="F1584" s="23">
        <f>IFERROR(__xludf.DUMMYFUNCTION("""COMPUTED_VALUE"""),33.74)</f>
        <v>33.74</v>
      </c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</row>
    <row r="1585">
      <c r="A1585" s="22">
        <f>IFERROR(__xludf.DUMMYFUNCTION("""COMPUTED_VALUE"""),44251.66666666667)</f>
        <v>44251.66667</v>
      </c>
      <c r="B1585" s="23">
        <f>IFERROR(__xludf.DUMMYFUNCTION("""COMPUTED_VALUE"""),84.28)</f>
        <v>84.28</v>
      </c>
      <c r="C1585" s="19"/>
      <c r="D1585" s="19"/>
      <c r="E1585" s="22">
        <f>IFERROR(__xludf.DUMMYFUNCTION("""COMPUTED_VALUE"""),44432.66666666667)</f>
        <v>44432.66667</v>
      </c>
      <c r="F1585" s="23">
        <f>IFERROR(__xludf.DUMMYFUNCTION("""COMPUTED_VALUE"""),33.83)</f>
        <v>33.83</v>
      </c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</row>
    <row r="1586">
      <c r="A1586" s="22">
        <f>IFERROR(__xludf.DUMMYFUNCTION("""COMPUTED_VALUE"""),44252.66666666667)</f>
        <v>44252.66667</v>
      </c>
      <c r="B1586" s="23">
        <f>IFERROR(__xludf.DUMMYFUNCTION("""COMPUTED_VALUE"""),84.89)</f>
        <v>84.89</v>
      </c>
      <c r="C1586" s="19"/>
      <c r="D1586" s="19"/>
      <c r="E1586" s="22">
        <f>IFERROR(__xludf.DUMMYFUNCTION("""COMPUTED_VALUE"""),44433.66666666667)</f>
        <v>44433.66667</v>
      </c>
      <c r="F1586" s="23">
        <f>IFERROR(__xludf.DUMMYFUNCTION("""COMPUTED_VALUE"""),33.84)</f>
        <v>33.84</v>
      </c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</row>
    <row r="1587">
      <c r="A1587" s="22">
        <f>IFERROR(__xludf.DUMMYFUNCTION("""COMPUTED_VALUE"""),44253.66666666667)</f>
        <v>44253.66667</v>
      </c>
      <c r="B1587" s="23">
        <f>IFERROR(__xludf.DUMMYFUNCTION("""COMPUTED_VALUE"""),83.86)</f>
        <v>83.86</v>
      </c>
      <c r="C1587" s="19"/>
      <c r="D1587" s="19"/>
      <c r="E1587" s="22">
        <f>IFERROR(__xludf.DUMMYFUNCTION("""COMPUTED_VALUE"""),44434.66666666667)</f>
        <v>44434.66667</v>
      </c>
      <c r="F1587" s="23">
        <f>IFERROR(__xludf.DUMMYFUNCTION("""COMPUTED_VALUE"""),33.71)</f>
        <v>33.71</v>
      </c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</row>
    <row r="1588">
      <c r="A1588" s="22">
        <f>IFERROR(__xludf.DUMMYFUNCTION("""COMPUTED_VALUE"""),44256.66666666667)</f>
        <v>44256.66667</v>
      </c>
      <c r="B1588" s="23">
        <f>IFERROR(__xludf.DUMMYFUNCTION("""COMPUTED_VALUE"""),85.14)</f>
        <v>85.14</v>
      </c>
      <c r="C1588" s="19"/>
      <c r="D1588" s="19"/>
      <c r="E1588" s="22">
        <f>IFERROR(__xludf.DUMMYFUNCTION("""COMPUTED_VALUE"""),44435.66666666667)</f>
        <v>44435.66667</v>
      </c>
      <c r="F1588" s="23">
        <f>IFERROR(__xludf.DUMMYFUNCTION("""COMPUTED_VALUE"""),33.75)</f>
        <v>33.75</v>
      </c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</row>
    <row r="1589">
      <c r="A1589" s="22">
        <f>IFERROR(__xludf.DUMMYFUNCTION("""COMPUTED_VALUE"""),44257.66666666667)</f>
        <v>44257.66667</v>
      </c>
      <c r="B1589" s="23">
        <f>IFERROR(__xludf.DUMMYFUNCTION("""COMPUTED_VALUE"""),85.8)</f>
        <v>85.8</v>
      </c>
      <c r="C1589" s="19"/>
      <c r="D1589" s="19"/>
      <c r="E1589" s="22">
        <f>IFERROR(__xludf.DUMMYFUNCTION("""COMPUTED_VALUE"""),44438.66666666667)</f>
        <v>44438.66667</v>
      </c>
      <c r="F1589" s="23">
        <f>IFERROR(__xludf.DUMMYFUNCTION("""COMPUTED_VALUE"""),33.76)</f>
        <v>33.76</v>
      </c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</row>
    <row r="1590">
      <c r="A1590" s="22">
        <f>IFERROR(__xludf.DUMMYFUNCTION("""COMPUTED_VALUE"""),44258.66666666667)</f>
        <v>44258.66667</v>
      </c>
      <c r="B1590" s="23">
        <f>IFERROR(__xludf.DUMMYFUNCTION("""COMPUTED_VALUE"""),85.38)</f>
        <v>85.38</v>
      </c>
      <c r="C1590" s="19"/>
      <c r="D1590" s="19"/>
      <c r="E1590" s="22">
        <f>IFERROR(__xludf.DUMMYFUNCTION("""COMPUTED_VALUE"""),44439.66666666667)</f>
        <v>44439.66667</v>
      </c>
      <c r="F1590" s="23">
        <f>IFERROR(__xludf.DUMMYFUNCTION("""COMPUTED_VALUE"""),34.08)</f>
        <v>34.08</v>
      </c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</row>
    <row r="1591">
      <c r="A1591" s="22">
        <f>IFERROR(__xludf.DUMMYFUNCTION("""COMPUTED_VALUE"""),44259.66666666667)</f>
        <v>44259.66667</v>
      </c>
      <c r="B1591" s="23">
        <f>IFERROR(__xludf.DUMMYFUNCTION("""COMPUTED_VALUE"""),83.81)</f>
        <v>83.81</v>
      </c>
      <c r="C1591" s="19"/>
      <c r="D1591" s="19"/>
      <c r="E1591" s="22">
        <f>IFERROR(__xludf.DUMMYFUNCTION("""COMPUTED_VALUE"""),44440.66666666667)</f>
        <v>44440.66667</v>
      </c>
      <c r="F1591" s="23">
        <f>IFERROR(__xludf.DUMMYFUNCTION("""COMPUTED_VALUE"""),34.03)</f>
        <v>34.03</v>
      </c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</row>
    <row r="1592">
      <c r="A1592" s="22">
        <f>IFERROR(__xludf.DUMMYFUNCTION("""COMPUTED_VALUE"""),44260.66666666667)</f>
        <v>44260.66667</v>
      </c>
      <c r="B1592" s="23">
        <f>IFERROR(__xludf.DUMMYFUNCTION("""COMPUTED_VALUE"""),83.79)</f>
        <v>83.79</v>
      </c>
      <c r="C1592" s="19"/>
      <c r="D1592" s="19"/>
      <c r="E1592" s="22">
        <f>IFERROR(__xludf.DUMMYFUNCTION("""COMPUTED_VALUE"""),44441.66666666667)</f>
        <v>44441.66667</v>
      </c>
      <c r="F1592" s="23">
        <f>IFERROR(__xludf.DUMMYFUNCTION("""COMPUTED_VALUE"""),33.76)</f>
        <v>33.76</v>
      </c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</row>
    <row r="1593">
      <c r="A1593" s="22">
        <f>IFERROR(__xludf.DUMMYFUNCTION("""COMPUTED_VALUE"""),44263.66666666667)</f>
        <v>44263.66667</v>
      </c>
      <c r="B1593" s="23">
        <f>IFERROR(__xludf.DUMMYFUNCTION("""COMPUTED_VALUE"""),85.0)</f>
        <v>85</v>
      </c>
      <c r="C1593" s="19"/>
      <c r="D1593" s="19"/>
      <c r="E1593" s="22">
        <f>IFERROR(__xludf.DUMMYFUNCTION("""COMPUTED_VALUE"""),44442.66666666667)</f>
        <v>44442.66667</v>
      </c>
      <c r="F1593" s="23">
        <f>IFERROR(__xludf.DUMMYFUNCTION("""COMPUTED_VALUE"""),33.58)</f>
        <v>33.58</v>
      </c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</row>
    <row r="1594">
      <c r="A1594" s="22">
        <f>IFERROR(__xludf.DUMMYFUNCTION("""COMPUTED_VALUE"""),44264.66666666667)</f>
        <v>44264.66667</v>
      </c>
      <c r="B1594" s="23">
        <f>IFERROR(__xludf.DUMMYFUNCTION("""COMPUTED_VALUE"""),85.92)</f>
        <v>85.92</v>
      </c>
      <c r="C1594" s="19"/>
      <c r="D1594" s="19"/>
      <c r="E1594" s="22">
        <f>IFERROR(__xludf.DUMMYFUNCTION("""COMPUTED_VALUE"""),44445.66666666667)</f>
        <v>44445.66667</v>
      </c>
      <c r="F1594" s="23">
        <f>IFERROR(__xludf.DUMMYFUNCTION("""COMPUTED_VALUE"""),33.65)</f>
        <v>33.65</v>
      </c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</row>
    <row r="1595">
      <c r="A1595" s="22">
        <f>IFERROR(__xludf.DUMMYFUNCTION("""COMPUTED_VALUE"""),44265.66666666667)</f>
        <v>44265.66667</v>
      </c>
      <c r="B1595" s="23">
        <f>IFERROR(__xludf.DUMMYFUNCTION("""COMPUTED_VALUE"""),86.14)</f>
        <v>86.14</v>
      </c>
      <c r="C1595" s="19"/>
      <c r="D1595" s="19"/>
      <c r="E1595" s="22">
        <f>IFERROR(__xludf.DUMMYFUNCTION("""COMPUTED_VALUE"""),44446.66666666667)</f>
        <v>44446.66667</v>
      </c>
      <c r="F1595" s="23">
        <f>IFERROR(__xludf.DUMMYFUNCTION("""COMPUTED_VALUE"""),33.71)</f>
        <v>33.71</v>
      </c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</row>
    <row r="1596">
      <c r="A1596" s="22">
        <f>IFERROR(__xludf.DUMMYFUNCTION("""COMPUTED_VALUE"""),44266.66666666667)</f>
        <v>44266.66667</v>
      </c>
      <c r="B1596" s="23">
        <f>IFERROR(__xludf.DUMMYFUNCTION("""COMPUTED_VALUE"""),86.5)</f>
        <v>86.5</v>
      </c>
      <c r="C1596" s="19"/>
      <c r="D1596" s="19"/>
      <c r="E1596" s="22">
        <f>IFERROR(__xludf.DUMMYFUNCTION("""COMPUTED_VALUE"""),44447.66666666667)</f>
        <v>44447.66667</v>
      </c>
      <c r="F1596" s="23">
        <f>IFERROR(__xludf.DUMMYFUNCTION("""COMPUTED_VALUE"""),33.9)</f>
        <v>33.9</v>
      </c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</row>
    <row r="1597">
      <c r="A1597" s="22">
        <f>IFERROR(__xludf.DUMMYFUNCTION("""COMPUTED_VALUE"""),44267.66666666667)</f>
        <v>44267.66667</v>
      </c>
      <c r="B1597" s="23">
        <f>IFERROR(__xludf.DUMMYFUNCTION("""COMPUTED_VALUE"""),86.8)</f>
        <v>86.8</v>
      </c>
      <c r="C1597" s="19"/>
      <c r="D1597" s="19"/>
      <c r="E1597" s="22">
        <f>IFERROR(__xludf.DUMMYFUNCTION("""COMPUTED_VALUE"""),44448.66666666667)</f>
        <v>44448.66667</v>
      </c>
      <c r="F1597" s="23">
        <f>IFERROR(__xludf.DUMMYFUNCTION("""COMPUTED_VALUE"""),33.78)</f>
        <v>33.78</v>
      </c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</row>
    <row r="1598">
      <c r="A1598" s="22">
        <f>IFERROR(__xludf.DUMMYFUNCTION("""COMPUTED_VALUE"""),44270.66666666667)</f>
        <v>44270.66667</v>
      </c>
      <c r="B1598" s="23">
        <f>IFERROR(__xludf.DUMMYFUNCTION("""COMPUTED_VALUE"""),87.28)</f>
        <v>87.28</v>
      </c>
      <c r="C1598" s="19"/>
      <c r="D1598" s="19"/>
      <c r="E1598" s="22">
        <f>IFERROR(__xludf.DUMMYFUNCTION("""COMPUTED_VALUE"""),44449.66666666667)</f>
        <v>44449.66667</v>
      </c>
      <c r="F1598" s="23">
        <f>IFERROR(__xludf.DUMMYFUNCTION("""COMPUTED_VALUE"""),33.71)</f>
        <v>33.71</v>
      </c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</row>
    <row r="1599">
      <c r="A1599" s="22">
        <f>IFERROR(__xludf.DUMMYFUNCTION("""COMPUTED_VALUE"""),44271.66666666667)</f>
        <v>44271.66667</v>
      </c>
      <c r="B1599" s="23">
        <f>IFERROR(__xludf.DUMMYFUNCTION("""COMPUTED_VALUE"""),87.69)</f>
        <v>87.69</v>
      </c>
      <c r="C1599" s="19"/>
      <c r="D1599" s="19"/>
      <c r="E1599" s="22">
        <f>IFERROR(__xludf.DUMMYFUNCTION("""COMPUTED_VALUE"""),44452.66666666667)</f>
        <v>44452.66667</v>
      </c>
      <c r="F1599" s="23">
        <f>IFERROR(__xludf.DUMMYFUNCTION("""COMPUTED_VALUE"""),33.58)</f>
        <v>33.58</v>
      </c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</row>
    <row r="1600">
      <c r="A1600" s="22">
        <f>IFERROR(__xludf.DUMMYFUNCTION("""COMPUTED_VALUE"""),44272.66666666667)</f>
        <v>44272.66667</v>
      </c>
      <c r="B1600" s="23">
        <f>IFERROR(__xludf.DUMMYFUNCTION("""COMPUTED_VALUE"""),87.67)</f>
        <v>87.67</v>
      </c>
      <c r="C1600" s="19"/>
      <c r="D1600" s="19"/>
      <c r="E1600" s="22">
        <f>IFERROR(__xludf.DUMMYFUNCTION("""COMPUTED_VALUE"""),44453.66666666667)</f>
        <v>44453.66667</v>
      </c>
      <c r="F1600" s="23">
        <f>IFERROR(__xludf.DUMMYFUNCTION("""COMPUTED_VALUE"""),33.59)</f>
        <v>33.59</v>
      </c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</row>
    <row r="1601">
      <c r="A1601" s="22">
        <f>IFERROR(__xludf.DUMMYFUNCTION("""COMPUTED_VALUE"""),44273.66666666667)</f>
        <v>44273.66667</v>
      </c>
      <c r="B1601" s="23">
        <f>IFERROR(__xludf.DUMMYFUNCTION("""COMPUTED_VALUE"""),87.17)</f>
        <v>87.17</v>
      </c>
      <c r="C1601" s="19"/>
      <c r="D1601" s="19"/>
      <c r="E1601" s="22">
        <f>IFERROR(__xludf.DUMMYFUNCTION("""COMPUTED_VALUE"""),44454.66666666667)</f>
        <v>44454.66667</v>
      </c>
      <c r="F1601" s="23">
        <f>IFERROR(__xludf.DUMMYFUNCTION("""COMPUTED_VALUE"""),33.57)</f>
        <v>33.57</v>
      </c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</row>
    <row r="1602">
      <c r="A1602" s="22">
        <f>IFERROR(__xludf.DUMMYFUNCTION("""COMPUTED_VALUE"""),44274.66666666667)</f>
        <v>44274.66667</v>
      </c>
      <c r="B1602" s="23">
        <f>IFERROR(__xludf.DUMMYFUNCTION("""COMPUTED_VALUE"""),86.92)</f>
        <v>86.92</v>
      </c>
      <c r="C1602" s="19"/>
      <c r="D1602" s="19"/>
      <c r="E1602" s="22">
        <f>IFERROR(__xludf.DUMMYFUNCTION("""COMPUTED_VALUE"""),44455.66666666667)</f>
        <v>44455.66667</v>
      </c>
      <c r="F1602" s="23">
        <f>IFERROR(__xludf.DUMMYFUNCTION("""COMPUTED_VALUE"""),33.78)</f>
        <v>33.78</v>
      </c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</row>
    <row r="1603">
      <c r="A1603" s="22">
        <f>IFERROR(__xludf.DUMMYFUNCTION("""COMPUTED_VALUE"""),44277.66666666667)</f>
        <v>44277.66667</v>
      </c>
      <c r="B1603" s="23">
        <f>IFERROR(__xludf.DUMMYFUNCTION("""COMPUTED_VALUE"""),86.93)</f>
        <v>86.93</v>
      </c>
      <c r="C1603" s="19"/>
      <c r="D1603" s="19"/>
      <c r="E1603" s="22">
        <f>IFERROR(__xludf.DUMMYFUNCTION("""COMPUTED_VALUE"""),44456.66666666667)</f>
        <v>44456.66667</v>
      </c>
      <c r="F1603" s="23">
        <f>IFERROR(__xludf.DUMMYFUNCTION("""COMPUTED_VALUE"""),33.93)</f>
        <v>33.93</v>
      </c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</row>
    <row r="1604">
      <c r="A1604" s="22">
        <f>IFERROR(__xludf.DUMMYFUNCTION("""COMPUTED_VALUE"""),44278.66666666667)</f>
        <v>44278.66667</v>
      </c>
      <c r="B1604" s="23">
        <f>IFERROR(__xludf.DUMMYFUNCTION("""COMPUTED_VALUE"""),87.46)</f>
        <v>87.46</v>
      </c>
      <c r="C1604" s="19"/>
      <c r="D1604" s="19"/>
      <c r="E1604" s="22">
        <f>IFERROR(__xludf.DUMMYFUNCTION("""COMPUTED_VALUE"""),44459.66666666667)</f>
        <v>44459.66667</v>
      </c>
      <c r="F1604" s="23">
        <f>IFERROR(__xludf.DUMMYFUNCTION("""COMPUTED_VALUE"""),33.6)</f>
        <v>33.6</v>
      </c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</row>
    <row r="1605">
      <c r="A1605" s="22">
        <f>IFERROR(__xludf.DUMMYFUNCTION("""COMPUTED_VALUE"""),44279.66666666667)</f>
        <v>44279.66667</v>
      </c>
      <c r="B1605" s="23">
        <f>IFERROR(__xludf.DUMMYFUNCTION("""COMPUTED_VALUE"""),87.94)</f>
        <v>87.94</v>
      </c>
      <c r="C1605" s="19"/>
      <c r="D1605" s="19"/>
      <c r="E1605" s="22">
        <f>IFERROR(__xludf.DUMMYFUNCTION("""COMPUTED_VALUE"""),44460.66666666667)</f>
        <v>44460.66667</v>
      </c>
      <c r="F1605" s="23">
        <f>IFERROR(__xludf.DUMMYFUNCTION("""COMPUTED_VALUE"""),33.1)</f>
        <v>33.1</v>
      </c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</row>
    <row r="1606">
      <c r="A1606" s="22">
        <f>IFERROR(__xludf.DUMMYFUNCTION("""COMPUTED_VALUE"""),44280.66666666667)</f>
        <v>44280.66667</v>
      </c>
      <c r="B1606" s="23">
        <f>IFERROR(__xludf.DUMMYFUNCTION("""COMPUTED_VALUE"""),87.7)</f>
        <v>87.7</v>
      </c>
      <c r="C1606" s="19"/>
      <c r="D1606" s="19"/>
      <c r="E1606" s="22">
        <f>IFERROR(__xludf.DUMMYFUNCTION("""COMPUTED_VALUE"""),44461.66666666667)</f>
        <v>44461.66667</v>
      </c>
      <c r="F1606" s="23">
        <f>IFERROR(__xludf.DUMMYFUNCTION("""COMPUTED_VALUE"""),33.17)</f>
        <v>33.17</v>
      </c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</row>
    <row r="1607">
      <c r="A1607" s="22">
        <f>IFERROR(__xludf.DUMMYFUNCTION("""COMPUTED_VALUE"""),44281.66666666667)</f>
        <v>44281.66667</v>
      </c>
      <c r="B1607" s="23">
        <f>IFERROR(__xludf.DUMMYFUNCTION("""COMPUTED_VALUE"""),88.05)</f>
        <v>88.05</v>
      </c>
      <c r="C1607" s="19"/>
      <c r="D1607" s="19"/>
      <c r="E1607" s="22">
        <f>IFERROR(__xludf.DUMMYFUNCTION("""COMPUTED_VALUE"""),44462.66666666667)</f>
        <v>44462.66667</v>
      </c>
      <c r="F1607" s="23">
        <f>IFERROR(__xludf.DUMMYFUNCTION("""COMPUTED_VALUE"""),33.47)</f>
        <v>33.47</v>
      </c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</row>
    <row r="1608">
      <c r="A1608" s="22">
        <f>IFERROR(__xludf.DUMMYFUNCTION("""COMPUTED_VALUE"""),44284.66666666667)</f>
        <v>44284.66667</v>
      </c>
      <c r="B1608" s="23">
        <f>IFERROR(__xludf.DUMMYFUNCTION("""COMPUTED_VALUE"""),88.47)</f>
        <v>88.47</v>
      </c>
      <c r="C1608" s="19"/>
      <c r="D1608" s="19"/>
      <c r="E1608" s="22">
        <f>IFERROR(__xludf.DUMMYFUNCTION("""COMPUTED_VALUE"""),44463.66666666667)</f>
        <v>44463.66667</v>
      </c>
      <c r="F1608" s="23">
        <f>IFERROR(__xludf.DUMMYFUNCTION("""COMPUTED_VALUE"""),33.44)</f>
        <v>33.44</v>
      </c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</row>
    <row r="1609">
      <c r="A1609" s="22">
        <f>IFERROR(__xludf.DUMMYFUNCTION("""COMPUTED_VALUE"""),44285.66666666667)</f>
        <v>44285.66667</v>
      </c>
      <c r="B1609" s="23">
        <f>IFERROR(__xludf.DUMMYFUNCTION("""COMPUTED_VALUE"""),88.45)</f>
        <v>88.45</v>
      </c>
      <c r="C1609" s="19"/>
      <c r="D1609" s="19"/>
      <c r="E1609" s="22">
        <f>IFERROR(__xludf.DUMMYFUNCTION("""COMPUTED_VALUE"""),44466.66666666667)</f>
        <v>44466.66667</v>
      </c>
      <c r="F1609" s="23">
        <f>IFERROR(__xludf.DUMMYFUNCTION("""COMPUTED_VALUE"""),33.75)</f>
        <v>33.75</v>
      </c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</row>
    <row r="1610">
      <c r="A1610" s="22">
        <f>IFERROR(__xludf.DUMMYFUNCTION("""COMPUTED_VALUE"""),44286.66666666667)</f>
        <v>44286.66667</v>
      </c>
      <c r="B1610" s="23">
        <f>IFERROR(__xludf.DUMMYFUNCTION("""COMPUTED_VALUE"""),88.73)</f>
        <v>88.73</v>
      </c>
      <c r="C1610" s="19"/>
      <c r="D1610" s="19"/>
      <c r="E1610" s="22">
        <f>IFERROR(__xludf.DUMMYFUNCTION("""COMPUTED_VALUE"""),44467.66666666667)</f>
        <v>44467.66667</v>
      </c>
      <c r="F1610" s="23">
        <f>IFERROR(__xludf.DUMMYFUNCTION("""COMPUTED_VALUE"""),33.16)</f>
        <v>33.16</v>
      </c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</row>
    <row r="1611">
      <c r="A1611" s="22">
        <f>IFERROR(__xludf.DUMMYFUNCTION("""COMPUTED_VALUE"""),44287.66666666667)</f>
        <v>44287.66667</v>
      </c>
      <c r="B1611" s="23">
        <f>IFERROR(__xludf.DUMMYFUNCTION("""COMPUTED_VALUE"""),89.42)</f>
        <v>89.42</v>
      </c>
      <c r="C1611" s="19"/>
      <c r="D1611" s="19"/>
      <c r="E1611" s="22">
        <f>IFERROR(__xludf.DUMMYFUNCTION("""COMPUTED_VALUE"""),44468.66666666667)</f>
        <v>44468.66667</v>
      </c>
      <c r="F1611" s="23">
        <f>IFERROR(__xludf.DUMMYFUNCTION("""COMPUTED_VALUE"""),32.7)</f>
        <v>32.7</v>
      </c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</row>
    <row r="1612">
      <c r="A1612" s="22">
        <f>IFERROR(__xludf.DUMMYFUNCTION("""COMPUTED_VALUE"""),44292.66666666667)</f>
        <v>44292.66667</v>
      </c>
      <c r="B1612" s="23">
        <f>IFERROR(__xludf.DUMMYFUNCTION("""COMPUTED_VALUE"""),90.07)</f>
        <v>90.07</v>
      </c>
      <c r="C1612" s="19"/>
      <c r="D1612" s="19"/>
      <c r="E1612" s="22">
        <f>IFERROR(__xludf.DUMMYFUNCTION("""COMPUTED_VALUE"""),44469.66666666667)</f>
        <v>44469.66667</v>
      </c>
      <c r="F1612" s="23">
        <f>IFERROR(__xludf.DUMMYFUNCTION("""COMPUTED_VALUE"""),32.94)</f>
        <v>32.94</v>
      </c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</row>
    <row r="1613">
      <c r="A1613" s="22">
        <f>IFERROR(__xludf.DUMMYFUNCTION("""COMPUTED_VALUE"""),44293.66666666667)</f>
        <v>44293.66667</v>
      </c>
      <c r="B1613" s="23">
        <f>IFERROR(__xludf.DUMMYFUNCTION("""COMPUTED_VALUE"""),90.2)</f>
        <v>90.2</v>
      </c>
      <c r="C1613" s="19"/>
      <c r="D1613" s="19"/>
      <c r="E1613" s="22">
        <f>IFERROR(__xludf.DUMMYFUNCTION("""COMPUTED_VALUE"""),44470.66666666667)</f>
        <v>44470.66667</v>
      </c>
      <c r="F1613" s="23">
        <f>IFERROR(__xludf.DUMMYFUNCTION("""COMPUTED_VALUE"""),32.38)</f>
        <v>32.38</v>
      </c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</row>
    <row r="1614">
      <c r="A1614" s="22">
        <f>IFERROR(__xludf.DUMMYFUNCTION("""COMPUTED_VALUE"""),44294.66666666667)</f>
        <v>44294.66667</v>
      </c>
      <c r="B1614" s="23">
        <f>IFERROR(__xludf.DUMMYFUNCTION("""COMPUTED_VALUE"""),90.94)</f>
        <v>90.94</v>
      </c>
      <c r="C1614" s="19"/>
      <c r="D1614" s="19"/>
      <c r="E1614" s="22">
        <f>IFERROR(__xludf.DUMMYFUNCTION("""COMPUTED_VALUE"""),44473.66666666667)</f>
        <v>44473.66667</v>
      </c>
      <c r="F1614" s="23">
        <f>IFERROR(__xludf.DUMMYFUNCTION("""COMPUTED_VALUE"""),32.35)</f>
        <v>32.35</v>
      </c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</row>
    <row r="1615">
      <c r="A1615" s="22">
        <f>IFERROR(__xludf.DUMMYFUNCTION("""COMPUTED_VALUE"""),44295.66666666667)</f>
        <v>44295.66667</v>
      </c>
      <c r="B1615" s="23">
        <f>IFERROR(__xludf.DUMMYFUNCTION("""COMPUTED_VALUE"""),91.24)</f>
        <v>91.24</v>
      </c>
      <c r="C1615" s="19"/>
      <c r="D1615" s="19"/>
      <c r="E1615" s="22">
        <f>IFERROR(__xludf.DUMMYFUNCTION("""COMPUTED_VALUE"""),44474.66666666667)</f>
        <v>44474.66667</v>
      </c>
      <c r="F1615" s="23">
        <f>IFERROR(__xludf.DUMMYFUNCTION("""COMPUTED_VALUE"""),31.88)</f>
        <v>31.88</v>
      </c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</row>
    <row r="1616">
      <c r="A1616" s="22">
        <f>IFERROR(__xludf.DUMMYFUNCTION("""COMPUTED_VALUE"""),44298.66666666667)</f>
        <v>44298.66667</v>
      </c>
      <c r="B1616" s="23">
        <f>IFERROR(__xludf.DUMMYFUNCTION("""COMPUTED_VALUE"""),91.55)</f>
        <v>91.55</v>
      </c>
      <c r="C1616" s="19"/>
      <c r="D1616" s="19"/>
      <c r="E1616" s="22">
        <f>IFERROR(__xludf.DUMMYFUNCTION("""COMPUTED_VALUE"""),44475.66666666667)</f>
        <v>44475.66667</v>
      </c>
      <c r="F1616" s="23">
        <f>IFERROR(__xludf.DUMMYFUNCTION("""COMPUTED_VALUE"""),32.08)</f>
        <v>32.08</v>
      </c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</row>
    <row r="1617">
      <c r="A1617" s="22">
        <f>IFERROR(__xludf.DUMMYFUNCTION("""COMPUTED_VALUE"""),44299.66666666667)</f>
        <v>44299.66667</v>
      </c>
      <c r="B1617" s="23">
        <f>IFERROR(__xludf.DUMMYFUNCTION("""COMPUTED_VALUE"""),91.7)</f>
        <v>91.7</v>
      </c>
      <c r="C1617" s="19"/>
      <c r="D1617" s="19"/>
      <c r="E1617" s="22">
        <f>IFERROR(__xludf.DUMMYFUNCTION("""COMPUTED_VALUE"""),44476.66666666667)</f>
        <v>44476.66667</v>
      </c>
      <c r="F1617" s="23">
        <f>IFERROR(__xludf.DUMMYFUNCTION("""COMPUTED_VALUE"""),32.56)</f>
        <v>32.56</v>
      </c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</row>
    <row r="1618">
      <c r="A1618" s="22">
        <f>IFERROR(__xludf.DUMMYFUNCTION("""COMPUTED_VALUE"""),44300.66666666667)</f>
        <v>44300.66667</v>
      </c>
      <c r="B1618" s="23">
        <f>IFERROR(__xludf.DUMMYFUNCTION("""COMPUTED_VALUE"""),91.49)</f>
        <v>91.49</v>
      </c>
      <c r="C1618" s="19"/>
      <c r="D1618" s="19"/>
      <c r="E1618" s="22">
        <f>IFERROR(__xludf.DUMMYFUNCTION("""COMPUTED_VALUE"""),44477.66666666667)</f>
        <v>44477.66667</v>
      </c>
      <c r="F1618" s="23">
        <f>IFERROR(__xludf.DUMMYFUNCTION("""COMPUTED_VALUE"""),32.54)</f>
        <v>32.54</v>
      </c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</row>
    <row r="1619">
      <c r="A1619" s="22">
        <f>IFERROR(__xludf.DUMMYFUNCTION("""COMPUTED_VALUE"""),44301.66666666667)</f>
        <v>44301.66667</v>
      </c>
      <c r="B1619" s="23">
        <f>IFERROR(__xludf.DUMMYFUNCTION("""COMPUTED_VALUE"""),90.78)</f>
        <v>90.78</v>
      </c>
      <c r="C1619" s="19"/>
      <c r="D1619" s="19"/>
      <c r="E1619" s="22">
        <f>IFERROR(__xludf.DUMMYFUNCTION("""COMPUTED_VALUE"""),44480.66666666667)</f>
        <v>44480.66667</v>
      </c>
      <c r="F1619" s="23">
        <f>IFERROR(__xludf.DUMMYFUNCTION("""COMPUTED_VALUE"""),32.23)</f>
        <v>32.23</v>
      </c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</row>
    <row r="1620">
      <c r="A1620" s="22">
        <f>IFERROR(__xludf.DUMMYFUNCTION("""COMPUTED_VALUE"""),44302.66666666667)</f>
        <v>44302.66667</v>
      </c>
      <c r="B1620" s="23">
        <f>IFERROR(__xludf.DUMMYFUNCTION("""COMPUTED_VALUE"""),91.09)</f>
        <v>91.09</v>
      </c>
      <c r="C1620" s="19"/>
      <c r="D1620" s="19"/>
      <c r="E1620" s="22">
        <f>IFERROR(__xludf.DUMMYFUNCTION("""COMPUTED_VALUE"""),44481.66666666667)</f>
        <v>44481.66667</v>
      </c>
      <c r="F1620" s="23">
        <f>IFERROR(__xludf.DUMMYFUNCTION("""COMPUTED_VALUE"""),31.82)</f>
        <v>31.82</v>
      </c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</row>
    <row r="1621">
      <c r="A1621" s="22">
        <f>IFERROR(__xludf.DUMMYFUNCTION("""COMPUTED_VALUE"""),44305.66666666667)</f>
        <v>44305.66667</v>
      </c>
      <c r="B1621" s="23">
        <f>IFERROR(__xludf.DUMMYFUNCTION("""COMPUTED_VALUE"""),91.51)</f>
        <v>91.51</v>
      </c>
      <c r="C1621" s="19"/>
      <c r="D1621" s="19"/>
      <c r="E1621" s="22">
        <f>IFERROR(__xludf.DUMMYFUNCTION("""COMPUTED_VALUE"""),44482.66666666667)</f>
        <v>44482.66667</v>
      </c>
      <c r="F1621" s="23">
        <f>IFERROR(__xludf.DUMMYFUNCTION("""COMPUTED_VALUE"""),31.85)</f>
        <v>31.85</v>
      </c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</row>
    <row r="1622">
      <c r="A1622" s="22">
        <f>IFERROR(__xludf.DUMMYFUNCTION("""COMPUTED_VALUE"""),44306.66666666667)</f>
        <v>44306.66667</v>
      </c>
      <c r="B1622" s="23">
        <f>IFERROR(__xludf.DUMMYFUNCTION("""COMPUTED_VALUE"""),90.69)</f>
        <v>90.69</v>
      </c>
      <c r="C1622" s="19"/>
      <c r="D1622" s="19"/>
      <c r="E1622" s="22">
        <f>IFERROR(__xludf.DUMMYFUNCTION("""COMPUTED_VALUE"""),44483.66666666667)</f>
        <v>44483.66667</v>
      </c>
      <c r="F1622" s="23">
        <f>IFERROR(__xludf.DUMMYFUNCTION("""COMPUTED_VALUE"""),32.05)</f>
        <v>32.05</v>
      </c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</row>
    <row r="1623">
      <c r="A1623" s="22">
        <f>IFERROR(__xludf.DUMMYFUNCTION("""COMPUTED_VALUE"""),44307.66666666667)</f>
        <v>44307.66667</v>
      </c>
      <c r="B1623" s="23">
        <f>IFERROR(__xludf.DUMMYFUNCTION("""COMPUTED_VALUE"""),90.47)</f>
        <v>90.47</v>
      </c>
      <c r="C1623" s="19"/>
      <c r="D1623" s="19"/>
      <c r="E1623" s="22">
        <f>IFERROR(__xludf.DUMMYFUNCTION("""COMPUTED_VALUE"""),44484.66666666667)</f>
        <v>44484.66667</v>
      </c>
      <c r="F1623" s="23">
        <f>IFERROR(__xludf.DUMMYFUNCTION("""COMPUTED_VALUE"""),32.47)</f>
        <v>32.47</v>
      </c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</row>
    <row r="1624">
      <c r="A1624" s="22">
        <f>IFERROR(__xludf.DUMMYFUNCTION("""COMPUTED_VALUE"""),44308.66666666667)</f>
        <v>44308.66667</v>
      </c>
      <c r="B1624" s="23">
        <f>IFERROR(__xludf.DUMMYFUNCTION("""COMPUTED_VALUE"""),91.17)</f>
        <v>91.17</v>
      </c>
      <c r="C1624" s="19"/>
      <c r="D1624" s="19"/>
      <c r="E1624" s="22">
        <f>IFERROR(__xludf.DUMMYFUNCTION("""COMPUTED_VALUE"""),44487.66666666667)</f>
        <v>44487.66667</v>
      </c>
      <c r="F1624" s="23">
        <f>IFERROR(__xludf.DUMMYFUNCTION("""COMPUTED_VALUE"""),32.55)</f>
        <v>32.55</v>
      </c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</row>
    <row r="1625">
      <c r="A1625" s="22">
        <f>IFERROR(__xludf.DUMMYFUNCTION("""COMPUTED_VALUE"""),44309.66666666667)</f>
        <v>44309.66667</v>
      </c>
      <c r="B1625" s="23">
        <f>IFERROR(__xludf.DUMMYFUNCTION("""COMPUTED_VALUE"""),90.84)</f>
        <v>90.84</v>
      </c>
      <c r="C1625" s="19"/>
      <c r="D1625" s="19"/>
      <c r="E1625" s="22">
        <f>IFERROR(__xludf.DUMMYFUNCTION("""COMPUTED_VALUE"""),44488.66666666667)</f>
        <v>44488.66667</v>
      </c>
      <c r="F1625" s="23">
        <f>IFERROR(__xludf.DUMMYFUNCTION("""COMPUTED_VALUE"""),32.76)</f>
        <v>32.76</v>
      </c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</row>
    <row r="1626">
      <c r="A1626" s="22">
        <f>IFERROR(__xludf.DUMMYFUNCTION("""COMPUTED_VALUE"""),44312.66666666667)</f>
        <v>44312.66667</v>
      </c>
      <c r="B1626" s="23">
        <f>IFERROR(__xludf.DUMMYFUNCTION("""COMPUTED_VALUE"""),91.13)</f>
        <v>91.13</v>
      </c>
      <c r="C1626" s="19"/>
      <c r="D1626" s="19"/>
      <c r="E1626" s="22">
        <f>IFERROR(__xludf.DUMMYFUNCTION("""COMPUTED_VALUE"""),44489.66666666667)</f>
        <v>44489.66667</v>
      </c>
      <c r="F1626" s="23">
        <f>IFERROR(__xludf.DUMMYFUNCTION("""COMPUTED_VALUE"""),32.76)</f>
        <v>32.76</v>
      </c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</row>
    <row r="1627">
      <c r="A1627" s="22">
        <f>IFERROR(__xludf.DUMMYFUNCTION("""COMPUTED_VALUE"""),44313.66666666667)</f>
        <v>44313.66667</v>
      </c>
      <c r="B1627" s="23">
        <f>IFERROR(__xludf.DUMMYFUNCTION("""COMPUTED_VALUE"""),91.14)</f>
        <v>91.14</v>
      </c>
      <c r="C1627" s="19"/>
      <c r="D1627" s="19"/>
      <c r="E1627" s="22">
        <f>IFERROR(__xludf.DUMMYFUNCTION("""COMPUTED_VALUE"""),44490.66666666667)</f>
        <v>44490.66667</v>
      </c>
      <c r="F1627" s="23">
        <f>IFERROR(__xludf.DUMMYFUNCTION("""COMPUTED_VALUE"""),32.6)</f>
        <v>32.6</v>
      </c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</row>
    <row r="1628">
      <c r="A1628" s="22">
        <f>IFERROR(__xludf.DUMMYFUNCTION("""COMPUTED_VALUE"""),44314.66666666667)</f>
        <v>44314.66667</v>
      </c>
      <c r="B1628" s="23">
        <f>IFERROR(__xludf.DUMMYFUNCTION("""COMPUTED_VALUE"""),91.55)</f>
        <v>91.55</v>
      </c>
      <c r="C1628" s="19"/>
      <c r="D1628" s="19"/>
      <c r="E1628" s="22">
        <f>IFERROR(__xludf.DUMMYFUNCTION("""COMPUTED_VALUE"""),44491.66666666667)</f>
        <v>44491.66667</v>
      </c>
      <c r="F1628" s="23">
        <f>IFERROR(__xludf.DUMMYFUNCTION("""COMPUTED_VALUE"""),32.89)</f>
        <v>32.89</v>
      </c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</row>
    <row r="1629">
      <c r="A1629" s="22">
        <f>IFERROR(__xludf.DUMMYFUNCTION("""COMPUTED_VALUE"""),44315.66666666667)</f>
        <v>44315.66667</v>
      </c>
      <c r="B1629" s="23">
        <f>IFERROR(__xludf.DUMMYFUNCTION("""COMPUTED_VALUE"""),91.45)</f>
        <v>91.45</v>
      </c>
      <c r="C1629" s="19"/>
      <c r="D1629" s="19"/>
      <c r="E1629" s="22">
        <f>IFERROR(__xludf.DUMMYFUNCTION("""COMPUTED_VALUE"""),44494.66666666667)</f>
        <v>44494.66667</v>
      </c>
      <c r="F1629" s="23">
        <f>IFERROR(__xludf.DUMMYFUNCTION("""COMPUTED_VALUE"""),32.74)</f>
        <v>32.74</v>
      </c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</row>
    <row r="1630">
      <c r="A1630" s="22">
        <f>IFERROR(__xludf.DUMMYFUNCTION("""COMPUTED_VALUE"""),44316.66666666667)</f>
        <v>44316.66667</v>
      </c>
      <c r="B1630" s="23">
        <f>IFERROR(__xludf.DUMMYFUNCTION("""COMPUTED_VALUE"""),91.16)</f>
        <v>91.16</v>
      </c>
      <c r="C1630" s="19"/>
      <c r="D1630" s="19"/>
      <c r="E1630" s="22">
        <f>IFERROR(__xludf.DUMMYFUNCTION("""COMPUTED_VALUE"""),44495.66666666667)</f>
        <v>44495.66667</v>
      </c>
      <c r="F1630" s="23">
        <f>IFERROR(__xludf.DUMMYFUNCTION("""COMPUTED_VALUE"""),33.1)</f>
        <v>33.1</v>
      </c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</row>
    <row r="1631">
      <c r="A1631" s="22">
        <f>IFERROR(__xludf.DUMMYFUNCTION("""COMPUTED_VALUE"""),44319.66666666667)</f>
        <v>44319.66667</v>
      </c>
      <c r="B1631" s="23">
        <f>IFERROR(__xludf.DUMMYFUNCTION("""COMPUTED_VALUE"""),91.69)</f>
        <v>91.69</v>
      </c>
      <c r="C1631" s="19"/>
      <c r="D1631" s="19"/>
      <c r="E1631" s="22">
        <f>IFERROR(__xludf.DUMMYFUNCTION("""COMPUTED_VALUE"""),44496.66666666667)</f>
        <v>44496.66667</v>
      </c>
      <c r="F1631" s="23">
        <f>IFERROR(__xludf.DUMMYFUNCTION("""COMPUTED_VALUE"""),33.0)</f>
        <v>33</v>
      </c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</row>
    <row r="1632">
      <c r="A1632" s="22">
        <f>IFERROR(__xludf.DUMMYFUNCTION("""COMPUTED_VALUE"""),44320.66666666667)</f>
        <v>44320.66667</v>
      </c>
      <c r="B1632" s="23">
        <f>IFERROR(__xludf.DUMMYFUNCTION("""COMPUTED_VALUE"""),91.41)</f>
        <v>91.41</v>
      </c>
      <c r="C1632" s="19"/>
      <c r="D1632" s="19"/>
      <c r="E1632" s="22">
        <f>IFERROR(__xludf.DUMMYFUNCTION("""COMPUTED_VALUE"""),44497.66666666667)</f>
        <v>44497.66667</v>
      </c>
      <c r="F1632" s="23">
        <f>IFERROR(__xludf.DUMMYFUNCTION("""COMPUTED_VALUE"""),33.23)</f>
        <v>33.23</v>
      </c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</row>
    <row r="1633">
      <c r="A1633" s="22">
        <f>IFERROR(__xludf.DUMMYFUNCTION("""COMPUTED_VALUE"""),44321.66666666667)</f>
        <v>44321.66667</v>
      </c>
      <c r="B1633" s="23">
        <f>IFERROR(__xludf.DUMMYFUNCTION("""COMPUTED_VALUE"""),91.05)</f>
        <v>91.05</v>
      </c>
      <c r="C1633" s="19"/>
      <c r="D1633" s="19"/>
      <c r="E1633" s="22">
        <f>IFERROR(__xludf.DUMMYFUNCTION("""COMPUTED_VALUE"""),44498.66666666667)</f>
        <v>44498.66667</v>
      </c>
      <c r="F1633" s="23">
        <f>IFERROR(__xludf.DUMMYFUNCTION("""COMPUTED_VALUE"""),33.11)</f>
        <v>33.11</v>
      </c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</row>
    <row r="1634">
      <c r="A1634" s="22">
        <f>IFERROR(__xludf.DUMMYFUNCTION("""COMPUTED_VALUE"""),44322.66666666667)</f>
        <v>44322.66667</v>
      </c>
      <c r="B1634" s="23">
        <f>IFERROR(__xludf.DUMMYFUNCTION("""COMPUTED_VALUE"""),91.2)</f>
        <v>91.2</v>
      </c>
      <c r="C1634" s="19"/>
      <c r="D1634" s="19"/>
      <c r="E1634" s="22">
        <f>IFERROR(__xludf.DUMMYFUNCTION("""COMPUTED_VALUE"""),44501.66666666667)</f>
        <v>44501.66667</v>
      </c>
      <c r="F1634" s="23">
        <f>IFERROR(__xludf.DUMMYFUNCTION("""COMPUTED_VALUE"""),33.78)</f>
        <v>33.78</v>
      </c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</row>
    <row r="1635">
      <c r="A1635" s="22">
        <f>IFERROR(__xludf.DUMMYFUNCTION("""COMPUTED_VALUE"""),44323.66666666667)</f>
        <v>44323.66667</v>
      </c>
      <c r="B1635" s="23">
        <f>IFERROR(__xludf.DUMMYFUNCTION("""COMPUTED_VALUE"""),91.45)</f>
        <v>91.45</v>
      </c>
      <c r="C1635" s="19"/>
      <c r="D1635" s="19"/>
      <c r="E1635" s="22">
        <f>IFERROR(__xludf.DUMMYFUNCTION("""COMPUTED_VALUE"""),44502.66666666667)</f>
        <v>44502.66667</v>
      </c>
      <c r="F1635" s="23">
        <f>IFERROR(__xludf.DUMMYFUNCTION("""COMPUTED_VALUE"""),33.81)</f>
        <v>33.81</v>
      </c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</row>
    <row r="1636">
      <c r="A1636" s="22">
        <f>IFERROR(__xludf.DUMMYFUNCTION("""COMPUTED_VALUE"""),44326.66666666667)</f>
        <v>44326.66667</v>
      </c>
      <c r="B1636" s="23">
        <f>IFERROR(__xludf.DUMMYFUNCTION("""COMPUTED_VALUE"""),91.39)</f>
        <v>91.39</v>
      </c>
      <c r="C1636" s="19"/>
      <c r="D1636" s="19"/>
      <c r="E1636" s="22">
        <f>IFERROR(__xludf.DUMMYFUNCTION("""COMPUTED_VALUE"""),44503.66666666667)</f>
        <v>44503.66667</v>
      </c>
      <c r="F1636" s="23">
        <f>IFERROR(__xludf.DUMMYFUNCTION("""COMPUTED_VALUE"""),34.25)</f>
        <v>34.25</v>
      </c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</row>
    <row r="1637">
      <c r="A1637" s="22">
        <f>IFERROR(__xludf.DUMMYFUNCTION("""COMPUTED_VALUE"""),44327.66666666667)</f>
        <v>44327.66667</v>
      </c>
      <c r="B1637" s="23">
        <f>IFERROR(__xludf.DUMMYFUNCTION("""COMPUTED_VALUE"""),90.11)</f>
        <v>90.11</v>
      </c>
      <c r="C1637" s="19"/>
      <c r="D1637" s="19"/>
      <c r="E1637" s="22">
        <f>IFERROR(__xludf.DUMMYFUNCTION("""COMPUTED_VALUE"""),44504.66666666667)</f>
        <v>44504.66667</v>
      </c>
      <c r="F1637" s="23">
        <f>IFERROR(__xludf.DUMMYFUNCTION("""COMPUTED_VALUE"""),34.65)</f>
        <v>34.65</v>
      </c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</row>
    <row r="1638">
      <c r="A1638" s="22">
        <f>IFERROR(__xludf.DUMMYFUNCTION("""COMPUTED_VALUE"""),44328.66666666667)</f>
        <v>44328.66667</v>
      </c>
      <c r="B1638" s="23">
        <f>IFERROR(__xludf.DUMMYFUNCTION("""COMPUTED_VALUE"""),89.65)</f>
        <v>89.65</v>
      </c>
      <c r="C1638" s="19"/>
      <c r="D1638" s="19"/>
      <c r="E1638" s="22">
        <f>IFERROR(__xludf.DUMMYFUNCTION("""COMPUTED_VALUE"""),44505.66666666667)</f>
        <v>44505.66667</v>
      </c>
      <c r="F1638" s="23">
        <f>IFERROR(__xludf.DUMMYFUNCTION("""COMPUTED_VALUE"""),35.28)</f>
        <v>35.28</v>
      </c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</row>
    <row r="1639">
      <c r="A1639" s="22">
        <f>IFERROR(__xludf.DUMMYFUNCTION("""COMPUTED_VALUE"""),44329.66666666667)</f>
        <v>44329.66667</v>
      </c>
      <c r="B1639" s="23">
        <f>IFERROR(__xludf.DUMMYFUNCTION("""COMPUTED_VALUE"""),89.43)</f>
        <v>89.43</v>
      </c>
      <c r="C1639" s="19"/>
      <c r="D1639" s="19"/>
      <c r="E1639" s="22">
        <f>IFERROR(__xludf.DUMMYFUNCTION("""COMPUTED_VALUE"""),44508.66666666667)</f>
        <v>44508.66667</v>
      </c>
      <c r="F1639" s="23">
        <f>IFERROR(__xludf.DUMMYFUNCTION("""COMPUTED_VALUE"""),35.16)</f>
        <v>35.16</v>
      </c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</row>
    <row r="1640">
      <c r="A1640" s="22">
        <f>IFERROR(__xludf.DUMMYFUNCTION("""COMPUTED_VALUE"""),44330.66666666667)</f>
        <v>44330.66667</v>
      </c>
      <c r="B1640" s="23">
        <f>IFERROR(__xludf.DUMMYFUNCTION("""COMPUTED_VALUE"""),90.54)</f>
        <v>90.54</v>
      </c>
      <c r="C1640" s="19"/>
      <c r="D1640" s="19"/>
      <c r="E1640" s="22">
        <f>IFERROR(__xludf.DUMMYFUNCTION("""COMPUTED_VALUE"""),44509.66666666667)</f>
        <v>44509.66667</v>
      </c>
      <c r="F1640" s="23">
        <f>IFERROR(__xludf.DUMMYFUNCTION("""COMPUTED_VALUE"""),35.11)</f>
        <v>35.11</v>
      </c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</row>
    <row r="1641">
      <c r="A1641" s="22">
        <f>IFERROR(__xludf.DUMMYFUNCTION("""COMPUTED_VALUE"""),44333.66666666667)</f>
        <v>44333.66667</v>
      </c>
      <c r="B1641" s="23">
        <f>IFERROR(__xludf.DUMMYFUNCTION("""COMPUTED_VALUE"""),91.01)</f>
        <v>91.01</v>
      </c>
      <c r="C1641" s="19"/>
      <c r="D1641" s="19"/>
      <c r="E1641" s="22">
        <f>IFERROR(__xludf.DUMMYFUNCTION("""COMPUTED_VALUE"""),44510.66666666667)</f>
        <v>44510.66667</v>
      </c>
      <c r="F1641" s="23">
        <f>IFERROR(__xludf.DUMMYFUNCTION("""COMPUTED_VALUE"""),35.02)</f>
        <v>35.02</v>
      </c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</row>
    <row r="1642">
      <c r="A1642" s="22">
        <f>IFERROR(__xludf.DUMMYFUNCTION("""COMPUTED_VALUE"""),44334.66666666667)</f>
        <v>44334.66667</v>
      </c>
      <c r="B1642" s="23">
        <f>IFERROR(__xludf.DUMMYFUNCTION("""COMPUTED_VALUE"""),91.11)</f>
        <v>91.11</v>
      </c>
      <c r="C1642" s="19"/>
      <c r="D1642" s="19"/>
      <c r="E1642" s="22">
        <f>IFERROR(__xludf.DUMMYFUNCTION("""COMPUTED_VALUE"""),44511.66666666667)</f>
        <v>44511.66667</v>
      </c>
      <c r="F1642" s="23">
        <f>IFERROR(__xludf.DUMMYFUNCTION("""COMPUTED_VALUE"""),34.97)</f>
        <v>34.97</v>
      </c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</row>
    <row r="1643">
      <c r="A1643" s="22">
        <f>IFERROR(__xludf.DUMMYFUNCTION("""COMPUTED_VALUE"""),44335.66666666667)</f>
        <v>44335.66667</v>
      </c>
      <c r="B1643" s="23">
        <f>IFERROR(__xludf.DUMMYFUNCTION("""COMPUTED_VALUE"""),89.96)</f>
        <v>89.96</v>
      </c>
      <c r="C1643" s="19"/>
      <c r="D1643" s="19"/>
      <c r="E1643" s="22">
        <f>IFERROR(__xludf.DUMMYFUNCTION("""COMPUTED_VALUE"""),44512.66666666667)</f>
        <v>44512.66667</v>
      </c>
      <c r="F1643" s="23">
        <f>IFERROR(__xludf.DUMMYFUNCTION("""COMPUTED_VALUE"""),35.18)</f>
        <v>35.18</v>
      </c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</row>
    <row r="1644">
      <c r="A1644" s="22">
        <f>IFERROR(__xludf.DUMMYFUNCTION("""COMPUTED_VALUE"""),44336.66666666667)</f>
        <v>44336.66667</v>
      </c>
      <c r="B1644" s="23">
        <f>IFERROR(__xludf.DUMMYFUNCTION("""COMPUTED_VALUE"""),90.4)</f>
        <v>90.4</v>
      </c>
      <c r="C1644" s="19"/>
      <c r="D1644" s="19"/>
      <c r="E1644" s="22">
        <f>IFERROR(__xludf.DUMMYFUNCTION("""COMPUTED_VALUE"""),44515.66666666667)</f>
        <v>44515.66667</v>
      </c>
      <c r="F1644" s="23">
        <f>IFERROR(__xludf.DUMMYFUNCTION("""COMPUTED_VALUE"""),35.26)</f>
        <v>35.26</v>
      </c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</row>
    <row r="1645">
      <c r="A1645" s="22">
        <f>IFERROR(__xludf.DUMMYFUNCTION("""COMPUTED_VALUE"""),44337.66666666667)</f>
        <v>44337.66667</v>
      </c>
      <c r="B1645" s="23">
        <f>IFERROR(__xludf.DUMMYFUNCTION("""COMPUTED_VALUE"""),91.42)</f>
        <v>91.42</v>
      </c>
      <c r="C1645" s="19"/>
      <c r="D1645" s="19"/>
      <c r="E1645" s="22">
        <f>IFERROR(__xludf.DUMMYFUNCTION("""COMPUTED_VALUE"""),44516.66666666667)</f>
        <v>44516.66667</v>
      </c>
      <c r="F1645" s="23">
        <f>IFERROR(__xludf.DUMMYFUNCTION("""COMPUTED_VALUE"""),35.15)</f>
        <v>35.15</v>
      </c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</row>
    <row r="1646">
      <c r="A1646" s="22">
        <f>IFERROR(__xludf.DUMMYFUNCTION("""COMPUTED_VALUE"""),44340.66666666667)</f>
        <v>44340.66667</v>
      </c>
      <c r="B1646" s="23">
        <f>IFERROR(__xludf.DUMMYFUNCTION("""COMPUTED_VALUE"""),91.71)</f>
        <v>91.71</v>
      </c>
      <c r="C1646" s="19"/>
      <c r="D1646" s="19"/>
      <c r="E1646" s="22">
        <f>IFERROR(__xludf.DUMMYFUNCTION("""COMPUTED_VALUE"""),44517.66666666667)</f>
        <v>44517.66667</v>
      </c>
      <c r="F1646" s="23">
        <f>IFERROR(__xludf.DUMMYFUNCTION("""COMPUTED_VALUE"""),35.71)</f>
        <v>35.71</v>
      </c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</row>
    <row r="1647">
      <c r="A1647" s="22">
        <f>IFERROR(__xludf.DUMMYFUNCTION("""COMPUTED_VALUE"""),44341.66666666667)</f>
        <v>44341.66667</v>
      </c>
      <c r="B1647" s="23">
        <f>IFERROR(__xludf.DUMMYFUNCTION("""COMPUTED_VALUE"""),92.45)</f>
        <v>92.45</v>
      </c>
      <c r="C1647" s="19"/>
      <c r="D1647" s="19"/>
      <c r="E1647" s="22">
        <f>IFERROR(__xludf.DUMMYFUNCTION("""COMPUTED_VALUE"""),44518.66666666667)</f>
        <v>44518.66667</v>
      </c>
      <c r="F1647" s="23">
        <f>IFERROR(__xludf.DUMMYFUNCTION("""COMPUTED_VALUE"""),35.88)</f>
        <v>35.88</v>
      </c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</row>
    <row r="1648">
      <c r="A1648" s="22">
        <f>IFERROR(__xludf.DUMMYFUNCTION("""COMPUTED_VALUE"""),44342.66666666667)</f>
        <v>44342.66667</v>
      </c>
      <c r="B1648" s="23">
        <f>IFERROR(__xludf.DUMMYFUNCTION("""COMPUTED_VALUE"""),91.94)</f>
        <v>91.94</v>
      </c>
      <c r="C1648" s="19"/>
      <c r="D1648" s="19"/>
      <c r="E1648" s="22">
        <f>IFERROR(__xludf.DUMMYFUNCTION("""COMPUTED_VALUE"""),44519.66666666667)</f>
        <v>44519.66667</v>
      </c>
      <c r="F1648" s="23">
        <f>IFERROR(__xludf.DUMMYFUNCTION("""COMPUTED_VALUE"""),36.36)</f>
        <v>36.36</v>
      </c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</row>
    <row r="1649">
      <c r="A1649" s="22">
        <f>IFERROR(__xludf.DUMMYFUNCTION("""COMPUTED_VALUE"""),44343.66666666667)</f>
        <v>44343.66667</v>
      </c>
      <c r="B1649" s="23">
        <f>IFERROR(__xludf.DUMMYFUNCTION("""COMPUTED_VALUE"""),92.15)</f>
        <v>92.15</v>
      </c>
      <c r="C1649" s="19"/>
      <c r="D1649" s="19"/>
      <c r="E1649" s="22">
        <f>IFERROR(__xludf.DUMMYFUNCTION("""COMPUTED_VALUE"""),44522.66666666667)</f>
        <v>44522.66667</v>
      </c>
      <c r="F1649" s="23">
        <f>IFERROR(__xludf.DUMMYFUNCTION("""COMPUTED_VALUE"""),36.57)</f>
        <v>36.57</v>
      </c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</row>
    <row r="1650">
      <c r="A1650" s="22">
        <f>IFERROR(__xludf.DUMMYFUNCTION("""COMPUTED_VALUE"""),44344.66666666667)</f>
        <v>44344.66667</v>
      </c>
      <c r="B1650" s="23">
        <f>IFERROR(__xludf.DUMMYFUNCTION("""COMPUTED_VALUE"""),92.85)</f>
        <v>92.85</v>
      </c>
      <c r="C1650" s="19"/>
      <c r="D1650" s="19"/>
      <c r="E1650" s="22">
        <f>IFERROR(__xludf.DUMMYFUNCTION("""COMPUTED_VALUE"""),44523.66666666667)</f>
        <v>44523.66667</v>
      </c>
      <c r="F1650" s="23">
        <f>IFERROR(__xludf.DUMMYFUNCTION("""COMPUTED_VALUE"""),36.16)</f>
        <v>36.16</v>
      </c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</row>
    <row r="1651">
      <c r="A1651" s="22">
        <f>IFERROR(__xludf.DUMMYFUNCTION("""COMPUTED_VALUE"""),44347.66666666667)</f>
        <v>44347.66667</v>
      </c>
      <c r="B1651" s="23">
        <f>IFERROR(__xludf.DUMMYFUNCTION("""COMPUTED_VALUE"""),92.77)</f>
        <v>92.77</v>
      </c>
      <c r="C1651" s="19"/>
      <c r="D1651" s="19"/>
      <c r="E1651" s="22">
        <f>IFERROR(__xludf.DUMMYFUNCTION("""COMPUTED_VALUE"""),44524.66666666667)</f>
        <v>44524.66667</v>
      </c>
      <c r="F1651" s="23">
        <f>IFERROR(__xludf.DUMMYFUNCTION("""COMPUTED_VALUE"""),36.08)</f>
        <v>36.08</v>
      </c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</row>
    <row r="1652">
      <c r="A1652" s="22">
        <f>IFERROR(__xludf.DUMMYFUNCTION("""COMPUTED_VALUE"""),44348.66666666667)</f>
        <v>44348.66667</v>
      </c>
      <c r="B1652" s="23">
        <f>IFERROR(__xludf.DUMMYFUNCTION("""COMPUTED_VALUE"""),92.61)</f>
        <v>92.61</v>
      </c>
      <c r="C1652" s="19"/>
      <c r="D1652" s="19"/>
      <c r="E1652" s="22">
        <f>IFERROR(__xludf.DUMMYFUNCTION("""COMPUTED_VALUE"""),44525.66666666667)</f>
        <v>44525.66667</v>
      </c>
      <c r="F1652" s="23">
        <f>IFERROR(__xludf.DUMMYFUNCTION("""COMPUTED_VALUE"""),36.32)</f>
        <v>36.32</v>
      </c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</row>
    <row r="1653">
      <c r="A1653" s="22">
        <f>IFERROR(__xludf.DUMMYFUNCTION("""COMPUTED_VALUE"""),44349.66666666667)</f>
        <v>44349.66667</v>
      </c>
      <c r="B1653" s="23">
        <f>IFERROR(__xludf.DUMMYFUNCTION("""COMPUTED_VALUE"""),92.7)</f>
        <v>92.7</v>
      </c>
      <c r="C1653" s="19"/>
      <c r="D1653" s="19"/>
      <c r="E1653" s="22">
        <f>IFERROR(__xludf.DUMMYFUNCTION("""COMPUTED_VALUE"""),44526.66666666667)</f>
        <v>44526.66667</v>
      </c>
      <c r="F1653" s="23">
        <f>IFERROR(__xludf.DUMMYFUNCTION("""COMPUTED_VALUE"""),36.39)</f>
        <v>36.39</v>
      </c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</row>
    <row r="1654">
      <c r="A1654" s="22">
        <f>IFERROR(__xludf.DUMMYFUNCTION("""COMPUTED_VALUE"""),44350.66666666667)</f>
        <v>44350.66667</v>
      </c>
      <c r="B1654" s="23">
        <f>IFERROR(__xludf.DUMMYFUNCTION("""COMPUTED_VALUE"""),93.04)</f>
        <v>93.04</v>
      </c>
      <c r="C1654" s="19"/>
      <c r="D1654" s="19"/>
      <c r="E1654" s="22">
        <f>IFERROR(__xludf.DUMMYFUNCTION("""COMPUTED_VALUE"""),44529.66666666667)</f>
        <v>44529.66667</v>
      </c>
      <c r="F1654" s="23">
        <f>IFERROR(__xludf.DUMMYFUNCTION("""COMPUTED_VALUE"""),36.27)</f>
        <v>36.27</v>
      </c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</row>
    <row r="1655">
      <c r="A1655" s="22">
        <f>IFERROR(__xludf.DUMMYFUNCTION("""COMPUTED_VALUE"""),44351.66666666667)</f>
        <v>44351.66667</v>
      </c>
      <c r="B1655" s="23">
        <f>IFERROR(__xludf.DUMMYFUNCTION("""COMPUTED_VALUE"""),93.32)</f>
        <v>93.32</v>
      </c>
      <c r="C1655" s="19"/>
      <c r="D1655" s="19"/>
      <c r="E1655" s="22">
        <f>IFERROR(__xludf.DUMMYFUNCTION("""COMPUTED_VALUE"""),44530.66666666667)</f>
        <v>44530.66667</v>
      </c>
      <c r="F1655" s="23">
        <f>IFERROR(__xludf.DUMMYFUNCTION("""COMPUTED_VALUE"""),36.68)</f>
        <v>36.68</v>
      </c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</row>
    <row r="1656">
      <c r="A1656" s="22">
        <f>IFERROR(__xludf.DUMMYFUNCTION("""COMPUTED_VALUE"""),44354.66666666667)</f>
        <v>44354.66667</v>
      </c>
      <c r="B1656" s="23">
        <f>IFERROR(__xludf.DUMMYFUNCTION("""COMPUTED_VALUE"""),93.17)</f>
        <v>93.17</v>
      </c>
      <c r="C1656" s="19"/>
      <c r="D1656" s="19"/>
      <c r="E1656" s="22">
        <f>IFERROR(__xludf.DUMMYFUNCTION("""COMPUTED_VALUE"""),44531.66666666667)</f>
        <v>44531.66667</v>
      </c>
      <c r="F1656" s="23">
        <f>IFERROR(__xludf.DUMMYFUNCTION("""COMPUTED_VALUE"""),36.45)</f>
        <v>36.45</v>
      </c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</row>
    <row r="1657">
      <c r="A1657" s="22">
        <f>IFERROR(__xludf.DUMMYFUNCTION("""COMPUTED_VALUE"""),44355.66666666667)</f>
        <v>44355.66667</v>
      </c>
      <c r="B1657" s="23">
        <f>IFERROR(__xludf.DUMMYFUNCTION("""COMPUTED_VALUE"""),93.28)</f>
        <v>93.28</v>
      </c>
      <c r="C1657" s="19"/>
      <c r="D1657" s="19"/>
      <c r="E1657" s="22">
        <f>IFERROR(__xludf.DUMMYFUNCTION("""COMPUTED_VALUE"""),44532.66666666667)</f>
        <v>44532.66667</v>
      </c>
      <c r="F1657" s="23">
        <f>IFERROR(__xludf.DUMMYFUNCTION("""COMPUTED_VALUE"""),35.87)</f>
        <v>35.87</v>
      </c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</row>
    <row r="1658">
      <c r="A1658" s="22">
        <f>IFERROR(__xludf.DUMMYFUNCTION("""COMPUTED_VALUE"""),44356.66666666667)</f>
        <v>44356.66667</v>
      </c>
      <c r="B1658" s="23">
        <f>IFERROR(__xludf.DUMMYFUNCTION("""COMPUTED_VALUE"""),93.25)</f>
        <v>93.25</v>
      </c>
      <c r="C1658" s="19"/>
      <c r="D1658" s="19"/>
      <c r="E1658" s="22">
        <f>IFERROR(__xludf.DUMMYFUNCTION("""COMPUTED_VALUE"""),44533.66666666667)</f>
        <v>44533.66667</v>
      </c>
      <c r="F1658" s="23">
        <f>IFERROR(__xludf.DUMMYFUNCTION("""COMPUTED_VALUE"""),36.01)</f>
        <v>36.01</v>
      </c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</row>
    <row r="1659">
      <c r="A1659" s="22">
        <f>IFERROR(__xludf.DUMMYFUNCTION("""COMPUTED_VALUE"""),44357.66666666667)</f>
        <v>44357.66667</v>
      </c>
      <c r="B1659" s="23">
        <f>IFERROR(__xludf.DUMMYFUNCTION("""COMPUTED_VALUE"""),93.29)</f>
        <v>93.29</v>
      </c>
      <c r="C1659" s="19"/>
      <c r="D1659" s="19"/>
      <c r="E1659" s="22">
        <f>IFERROR(__xludf.DUMMYFUNCTION("""COMPUTED_VALUE"""),44536.66666666667)</f>
        <v>44536.66667</v>
      </c>
      <c r="F1659" s="23">
        <f>IFERROR(__xludf.DUMMYFUNCTION("""COMPUTED_VALUE"""),35.77)</f>
        <v>35.77</v>
      </c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</row>
    <row r="1660">
      <c r="A1660" s="22">
        <f>IFERROR(__xludf.DUMMYFUNCTION("""COMPUTED_VALUE"""),44358.66666666667)</f>
        <v>44358.66667</v>
      </c>
      <c r="B1660" s="23">
        <f>IFERROR(__xludf.DUMMYFUNCTION("""COMPUTED_VALUE"""),93.42)</f>
        <v>93.42</v>
      </c>
      <c r="C1660" s="19"/>
      <c r="D1660" s="19"/>
      <c r="E1660" s="22">
        <f>IFERROR(__xludf.DUMMYFUNCTION("""COMPUTED_VALUE"""),44537.66666666667)</f>
        <v>44537.66667</v>
      </c>
      <c r="F1660" s="23">
        <f>IFERROR(__xludf.DUMMYFUNCTION("""COMPUTED_VALUE"""),35.86)</f>
        <v>35.86</v>
      </c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</row>
    <row r="1661">
      <c r="A1661" s="22">
        <f>IFERROR(__xludf.DUMMYFUNCTION("""COMPUTED_VALUE"""),44362.66666666667)</f>
        <v>44362.66667</v>
      </c>
      <c r="B1661" s="23">
        <f>IFERROR(__xludf.DUMMYFUNCTION("""COMPUTED_VALUE"""),94.48)</f>
        <v>94.48</v>
      </c>
      <c r="C1661" s="19"/>
      <c r="D1661" s="19"/>
      <c r="E1661" s="22">
        <f>IFERROR(__xludf.DUMMYFUNCTION("""COMPUTED_VALUE"""),44538.66666666667)</f>
        <v>44538.66667</v>
      </c>
      <c r="F1661" s="23">
        <f>IFERROR(__xludf.DUMMYFUNCTION("""COMPUTED_VALUE"""),36.7)</f>
        <v>36.7</v>
      </c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</row>
    <row r="1662">
      <c r="A1662" s="22">
        <f>IFERROR(__xludf.DUMMYFUNCTION("""COMPUTED_VALUE"""),44363.66666666667)</f>
        <v>44363.66667</v>
      </c>
      <c r="B1662" s="23">
        <f>IFERROR(__xludf.DUMMYFUNCTION("""COMPUTED_VALUE"""),94.46)</f>
        <v>94.46</v>
      </c>
      <c r="C1662" s="19"/>
      <c r="D1662" s="19"/>
      <c r="E1662" s="22">
        <f>IFERROR(__xludf.DUMMYFUNCTION("""COMPUTED_VALUE"""),44539.66666666667)</f>
        <v>44539.66667</v>
      </c>
      <c r="F1662" s="23">
        <f>IFERROR(__xludf.DUMMYFUNCTION("""COMPUTED_VALUE"""),36.42)</f>
        <v>36.42</v>
      </c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</row>
    <row r="1663">
      <c r="A1663" s="22">
        <f>IFERROR(__xludf.DUMMYFUNCTION("""COMPUTED_VALUE"""),44364.66666666667)</f>
        <v>44364.66667</v>
      </c>
      <c r="B1663" s="23">
        <f>IFERROR(__xludf.DUMMYFUNCTION("""COMPUTED_VALUE"""),94.27)</f>
        <v>94.27</v>
      </c>
      <c r="C1663" s="19"/>
      <c r="D1663" s="19"/>
      <c r="E1663" s="22">
        <f>IFERROR(__xludf.DUMMYFUNCTION("""COMPUTED_VALUE"""),44540.66666666667)</f>
        <v>44540.66667</v>
      </c>
      <c r="F1663" s="23">
        <f>IFERROR(__xludf.DUMMYFUNCTION("""COMPUTED_VALUE"""),36.11)</f>
        <v>36.11</v>
      </c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</row>
    <row r="1664">
      <c r="A1664" s="22">
        <f>IFERROR(__xludf.DUMMYFUNCTION("""COMPUTED_VALUE"""),44365.66666666667)</f>
        <v>44365.66667</v>
      </c>
      <c r="B1664" s="23">
        <f>IFERROR(__xludf.DUMMYFUNCTION("""COMPUTED_VALUE"""),95.65)</f>
        <v>95.65</v>
      </c>
      <c r="C1664" s="19"/>
      <c r="D1664" s="19"/>
      <c r="E1664" s="22">
        <f>IFERROR(__xludf.DUMMYFUNCTION("""COMPUTED_VALUE"""),44543.66666666667)</f>
        <v>44543.66667</v>
      </c>
      <c r="F1664" s="23">
        <f>IFERROR(__xludf.DUMMYFUNCTION("""COMPUTED_VALUE"""),36.47)</f>
        <v>36.47</v>
      </c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</row>
    <row r="1665">
      <c r="A1665" s="22">
        <f>IFERROR(__xludf.DUMMYFUNCTION("""COMPUTED_VALUE"""),44368.66666666667)</f>
        <v>44368.66667</v>
      </c>
      <c r="B1665" s="23">
        <f>IFERROR(__xludf.DUMMYFUNCTION("""COMPUTED_VALUE"""),94.34)</f>
        <v>94.34</v>
      </c>
      <c r="C1665" s="19"/>
      <c r="D1665" s="19"/>
      <c r="E1665" s="22">
        <f>IFERROR(__xludf.DUMMYFUNCTION("""COMPUTED_VALUE"""),44544.66666666667)</f>
        <v>44544.66667</v>
      </c>
      <c r="F1665" s="23">
        <f>IFERROR(__xludf.DUMMYFUNCTION("""COMPUTED_VALUE"""),36.17)</f>
        <v>36.17</v>
      </c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</row>
    <row r="1666">
      <c r="A1666" s="22">
        <f>IFERROR(__xludf.DUMMYFUNCTION("""COMPUTED_VALUE"""),44369.66666666667)</f>
        <v>44369.66667</v>
      </c>
      <c r="B1666" s="23">
        <f>IFERROR(__xludf.DUMMYFUNCTION("""COMPUTED_VALUE"""),95.92)</f>
        <v>95.92</v>
      </c>
      <c r="C1666" s="19"/>
      <c r="D1666" s="19"/>
      <c r="E1666" s="22">
        <f>IFERROR(__xludf.DUMMYFUNCTION("""COMPUTED_VALUE"""),44545.66666666667)</f>
        <v>44545.66667</v>
      </c>
      <c r="F1666" s="23">
        <f>IFERROR(__xludf.DUMMYFUNCTION("""COMPUTED_VALUE"""),35.73)</f>
        <v>35.73</v>
      </c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</row>
    <row r="1667">
      <c r="A1667" s="22">
        <f>IFERROR(__xludf.DUMMYFUNCTION("""COMPUTED_VALUE"""),44370.66666666667)</f>
        <v>44370.66667</v>
      </c>
      <c r="B1667" s="23">
        <f>IFERROR(__xludf.DUMMYFUNCTION("""COMPUTED_VALUE"""),96.0)</f>
        <v>96</v>
      </c>
      <c r="C1667" s="19"/>
      <c r="D1667" s="19"/>
      <c r="E1667" s="22">
        <f>IFERROR(__xludf.DUMMYFUNCTION("""COMPUTED_VALUE"""),44546.66666666667)</f>
        <v>44546.66667</v>
      </c>
      <c r="F1667" s="23">
        <f>IFERROR(__xludf.DUMMYFUNCTION("""COMPUTED_VALUE"""),36.42)</f>
        <v>36.42</v>
      </c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</row>
    <row r="1668">
      <c r="A1668" s="22">
        <f>IFERROR(__xludf.DUMMYFUNCTION("""COMPUTED_VALUE"""),44371.66666666667)</f>
        <v>44371.66667</v>
      </c>
      <c r="B1668" s="23">
        <f>IFERROR(__xludf.DUMMYFUNCTION("""COMPUTED_VALUE"""),95.5)</f>
        <v>95.5</v>
      </c>
      <c r="C1668" s="19"/>
      <c r="D1668" s="19"/>
      <c r="E1668" s="22">
        <f>IFERROR(__xludf.DUMMYFUNCTION("""COMPUTED_VALUE"""),44547.66666666667)</f>
        <v>44547.66667</v>
      </c>
      <c r="F1668" s="23">
        <f>IFERROR(__xludf.DUMMYFUNCTION("""COMPUTED_VALUE"""),35.25)</f>
        <v>35.25</v>
      </c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</row>
    <row r="1669">
      <c r="A1669" s="22">
        <f>IFERROR(__xludf.DUMMYFUNCTION("""COMPUTED_VALUE"""),44372.66666666667)</f>
        <v>44372.66667</v>
      </c>
      <c r="B1669" s="23">
        <f>IFERROR(__xludf.DUMMYFUNCTION("""COMPUTED_VALUE"""),95.8)</f>
        <v>95.8</v>
      </c>
      <c r="C1669" s="19"/>
      <c r="D1669" s="19"/>
      <c r="E1669" s="22">
        <f>IFERROR(__xludf.DUMMYFUNCTION("""COMPUTED_VALUE"""),44550.66666666667)</f>
        <v>44550.66667</v>
      </c>
      <c r="F1669" s="23">
        <f>IFERROR(__xludf.DUMMYFUNCTION("""COMPUTED_VALUE"""),35.07)</f>
        <v>35.07</v>
      </c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</row>
    <row r="1670">
      <c r="A1670" s="22">
        <f>IFERROR(__xludf.DUMMYFUNCTION("""COMPUTED_VALUE"""),44375.66666666667)</f>
        <v>44375.66667</v>
      </c>
      <c r="B1670" s="23">
        <f>IFERROR(__xludf.DUMMYFUNCTION("""COMPUTED_VALUE"""),96.04)</f>
        <v>96.04</v>
      </c>
      <c r="C1670" s="19"/>
      <c r="D1670" s="19"/>
      <c r="E1670" s="22">
        <f>IFERROR(__xludf.DUMMYFUNCTION("""COMPUTED_VALUE"""),44551.66666666667)</f>
        <v>44551.66667</v>
      </c>
      <c r="F1670" s="23">
        <f>IFERROR(__xludf.DUMMYFUNCTION("""COMPUTED_VALUE"""),35.4)</f>
        <v>35.4</v>
      </c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</row>
    <row r="1671">
      <c r="A1671" s="22">
        <f>IFERROR(__xludf.DUMMYFUNCTION("""COMPUTED_VALUE"""),44376.66666666667)</f>
        <v>44376.66667</v>
      </c>
      <c r="B1671" s="23">
        <f>IFERROR(__xludf.DUMMYFUNCTION("""COMPUTED_VALUE"""),96.27)</f>
        <v>96.27</v>
      </c>
      <c r="C1671" s="19"/>
      <c r="D1671" s="19"/>
      <c r="E1671" s="22">
        <f>IFERROR(__xludf.DUMMYFUNCTION("""COMPUTED_VALUE"""),44552.66666666667)</f>
        <v>44552.66667</v>
      </c>
      <c r="F1671" s="23">
        <f>IFERROR(__xludf.DUMMYFUNCTION("""COMPUTED_VALUE"""),35.69)</f>
        <v>35.69</v>
      </c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</row>
    <row r="1672">
      <c r="A1672" s="22">
        <f>IFERROR(__xludf.DUMMYFUNCTION("""COMPUTED_VALUE"""),44377.66666666667)</f>
        <v>44377.66667</v>
      </c>
      <c r="B1672" s="23">
        <f>IFERROR(__xludf.DUMMYFUNCTION("""COMPUTED_VALUE"""),96.92)</f>
        <v>96.92</v>
      </c>
      <c r="C1672" s="19"/>
      <c r="D1672" s="19"/>
      <c r="E1672" s="22">
        <f>IFERROR(__xludf.DUMMYFUNCTION("""COMPUTED_VALUE"""),44553.66666666667)</f>
        <v>44553.66667</v>
      </c>
      <c r="F1672" s="23">
        <f>IFERROR(__xludf.DUMMYFUNCTION("""COMPUTED_VALUE"""),35.8)</f>
        <v>35.8</v>
      </c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</row>
    <row r="1673">
      <c r="A1673" s="22">
        <f>IFERROR(__xludf.DUMMYFUNCTION("""COMPUTED_VALUE"""),44378.66666666667)</f>
        <v>44378.66667</v>
      </c>
      <c r="B1673" s="23">
        <f>IFERROR(__xludf.DUMMYFUNCTION("""COMPUTED_VALUE"""),96.55)</f>
        <v>96.55</v>
      </c>
      <c r="C1673" s="19"/>
      <c r="D1673" s="19"/>
      <c r="E1673" s="22">
        <f>IFERROR(__xludf.DUMMYFUNCTION("""COMPUTED_VALUE"""),44554.59027777778)</f>
        <v>44554.59028</v>
      </c>
      <c r="F1673" s="23">
        <f>IFERROR(__xludf.DUMMYFUNCTION("""COMPUTED_VALUE"""),35.95)</f>
        <v>35.95</v>
      </c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</row>
    <row r="1674">
      <c r="A1674" s="22">
        <f>IFERROR(__xludf.DUMMYFUNCTION("""COMPUTED_VALUE"""),44379.66666666667)</f>
        <v>44379.66667</v>
      </c>
      <c r="B1674" s="23">
        <f>IFERROR(__xludf.DUMMYFUNCTION("""COMPUTED_VALUE"""),96.98)</f>
        <v>96.98</v>
      </c>
      <c r="C1674" s="19"/>
      <c r="D1674" s="19"/>
      <c r="E1674" s="22">
        <f>IFERROR(__xludf.DUMMYFUNCTION("""COMPUTED_VALUE"""),44559.66666666667)</f>
        <v>44559.66667</v>
      </c>
      <c r="F1674" s="23">
        <f>IFERROR(__xludf.DUMMYFUNCTION("""COMPUTED_VALUE"""),36.5)</f>
        <v>36.5</v>
      </c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</row>
    <row r="1675">
      <c r="A1675" s="22">
        <f>IFERROR(__xludf.DUMMYFUNCTION("""COMPUTED_VALUE"""),44382.66666666667)</f>
        <v>44382.66667</v>
      </c>
      <c r="B1675" s="23">
        <f>IFERROR(__xludf.DUMMYFUNCTION("""COMPUTED_VALUE"""),96.85)</f>
        <v>96.85</v>
      </c>
      <c r="C1675" s="19"/>
      <c r="D1675" s="19"/>
      <c r="E1675" s="22">
        <f>IFERROR(__xludf.DUMMYFUNCTION("""COMPUTED_VALUE"""),44560.66666666667)</f>
        <v>44560.66667</v>
      </c>
      <c r="F1675" s="23">
        <f>IFERROR(__xludf.DUMMYFUNCTION("""COMPUTED_VALUE"""),36.27)</f>
        <v>36.27</v>
      </c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</row>
    <row r="1676">
      <c r="A1676" s="22">
        <f>IFERROR(__xludf.DUMMYFUNCTION("""COMPUTED_VALUE"""),44383.66666666667)</f>
        <v>44383.66667</v>
      </c>
      <c r="B1676" s="23">
        <f>IFERROR(__xludf.DUMMYFUNCTION("""COMPUTED_VALUE"""),96.06)</f>
        <v>96.06</v>
      </c>
      <c r="C1676" s="19"/>
      <c r="D1676" s="19"/>
      <c r="E1676" s="22">
        <f>IFERROR(__xludf.DUMMYFUNCTION("""COMPUTED_VALUE"""),44561.59027777778)</f>
        <v>44561.59028</v>
      </c>
      <c r="F1676" s="23">
        <f>IFERROR(__xludf.DUMMYFUNCTION("""COMPUTED_VALUE"""),36.09)</f>
        <v>36.09</v>
      </c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</row>
    <row r="1677">
      <c r="A1677" s="22">
        <f>IFERROR(__xludf.DUMMYFUNCTION("""COMPUTED_VALUE"""),44384.66666666667)</f>
        <v>44384.66667</v>
      </c>
      <c r="B1677" s="23">
        <f>IFERROR(__xludf.DUMMYFUNCTION("""COMPUTED_VALUE"""),96.84)</f>
        <v>96.84</v>
      </c>
      <c r="C1677" s="19"/>
      <c r="D1677" s="19"/>
      <c r="E1677" s="22">
        <f>IFERROR(__xludf.DUMMYFUNCTION("""COMPUTED_VALUE"""),44565.66666666667)</f>
        <v>44565.66667</v>
      </c>
      <c r="F1677" s="23">
        <f>IFERROR(__xludf.DUMMYFUNCTION("""COMPUTED_VALUE"""),36.58)</f>
        <v>36.58</v>
      </c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</row>
    <row r="1678">
      <c r="A1678" s="22">
        <f>IFERROR(__xludf.DUMMYFUNCTION("""COMPUTED_VALUE"""),44385.66666666667)</f>
        <v>44385.66667</v>
      </c>
      <c r="B1678" s="23">
        <f>IFERROR(__xludf.DUMMYFUNCTION("""COMPUTED_VALUE"""),97.48)</f>
        <v>97.48</v>
      </c>
      <c r="C1678" s="19"/>
      <c r="D1678" s="19"/>
      <c r="E1678" s="22">
        <f>IFERROR(__xludf.DUMMYFUNCTION("""COMPUTED_VALUE"""),44566.66666666667)</f>
        <v>44566.66667</v>
      </c>
      <c r="F1678" s="23">
        <f>IFERROR(__xludf.DUMMYFUNCTION("""COMPUTED_VALUE"""),35.74)</f>
        <v>35.74</v>
      </c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</row>
    <row r="1679">
      <c r="A1679" s="22">
        <f>IFERROR(__xludf.DUMMYFUNCTION("""COMPUTED_VALUE"""),44386.66666666667)</f>
        <v>44386.66667</v>
      </c>
      <c r="B1679" s="23">
        <f>IFERROR(__xludf.DUMMYFUNCTION("""COMPUTED_VALUE"""),97.31)</f>
        <v>97.31</v>
      </c>
      <c r="C1679" s="19"/>
      <c r="D1679" s="19"/>
      <c r="E1679" s="22">
        <f>IFERROR(__xludf.DUMMYFUNCTION("""COMPUTED_VALUE"""),44567.66666666667)</f>
        <v>44567.66667</v>
      </c>
      <c r="F1679" s="23">
        <f>IFERROR(__xludf.DUMMYFUNCTION("""COMPUTED_VALUE"""),34.83)</f>
        <v>34.83</v>
      </c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</row>
    <row r="1680">
      <c r="A1680" s="22">
        <f>IFERROR(__xludf.DUMMYFUNCTION("""COMPUTED_VALUE"""),44389.66666666667)</f>
        <v>44389.66667</v>
      </c>
      <c r="B1680" s="23">
        <f>IFERROR(__xludf.DUMMYFUNCTION("""COMPUTED_VALUE"""),97.68)</f>
        <v>97.68</v>
      </c>
      <c r="C1680" s="19"/>
      <c r="D1680" s="19"/>
      <c r="E1680" s="22">
        <f>IFERROR(__xludf.DUMMYFUNCTION("""COMPUTED_VALUE"""),44568.66666666667)</f>
        <v>44568.66667</v>
      </c>
      <c r="F1680" s="23">
        <f>IFERROR(__xludf.DUMMYFUNCTION("""COMPUTED_VALUE"""),35.18)</f>
        <v>35.18</v>
      </c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</row>
    <row r="1681">
      <c r="A1681" s="22">
        <f>IFERROR(__xludf.DUMMYFUNCTION("""COMPUTED_VALUE"""),44390.66666666667)</f>
        <v>44390.66667</v>
      </c>
      <c r="B1681" s="23">
        <f>IFERROR(__xludf.DUMMYFUNCTION("""COMPUTED_VALUE"""),97.91)</f>
        <v>97.91</v>
      </c>
      <c r="C1681" s="19"/>
      <c r="D1681" s="19"/>
      <c r="E1681" s="22">
        <f>IFERROR(__xludf.DUMMYFUNCTION("""COMPUTED_VALUE"""),44571.66666666667)</f>
        <v>44571.66667</v>
      </c>
      <c r="F1681" s="23">
        <f>IFERROR(__xludf.DUMMYFUNCTION("""COMPUTED_VALUE"""),34.71)</f>
        <v>34.71</v>
      </c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</row>
    <row r="1682">
      <c r="A1682" s="22">
        <f>IFERROR(__xludf.DUMMYFUNCTION("""COMPUTED_VALUE"""),44391.66666666667)</f>
        <v>44391.66667</v>
      </c>
      <c r="B1682" s="23">
        <f>IFERROR(__xludf.DUMMYFUNCTION("""COMPUTED_VALUE"""),97.8)</f>
        <v>97.8</v>
      </c>
      <c r="C1682" s="19"/>
      <c r="D1682" s="19"/>
      <c r="E1682" s="22">
        <f>IFERROR(__xludf.DUMMYFUNCTION("""COMPUTED_VALUE"""),44572.66666666667)</f>
        <v>44572.66667</v>
      </c>
      <c r="F1682" s="23">
        <f>IFERROR(__xludf.DUMMYFUNCTION("""COMPUTED_VALUE"""),34.68)</f>
        <v>34.68</v>
      </c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</row>
    <row r="1683">
      <c r="A1683" s="22">
        <f>IFERROR(__xludf.DUMMYFUNCTION("""COMPUTED_VALUE"""),44392.66666666667)</f>
        <v>44392.66667</v>
      </c>
      <c r="B1683" s="23">
        <f>IFERROR(__xludf.DUMMYFUNCTION("""COMPUTED_VALUE"""),97.68)</f>
        <v>97.68</v>
      </c>
      <c r="C1683" s="19"/>
      <c r="D1683" s="19"/>
      <c r="E1683" s="22">
        <f>IFERROR(__xludf.DUMMYFUNCTION("""COMPUTED_VALUE"""),44573.66666666667)</f>
        <v>44573.66667</v>
      </c>
      <c r="F1683" s="23">
        <f>IFERROR(__xludf.DUMMYFUNCTION("""COMPUTED_VALUE"""),35.04)</f>
        <v>35.04</v>
      </c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</row>
    <row r="1684">
      <c r="A1684" s="22">
        <f>IFERROR(__xludf.DUMMYFUNCTION("""COMPUTED_VALUE"""),44393.66666666667)</f>
        <v>44393.66667</v>
      </c>
      <c r="B1684" s="23">
        <f>IFERROR(__xludf.DUMMYFUNCTION("""COMPUTED_VALUE"""),97.82)</f>
        <v>97.82</v>
      </c>
      <c r="C1684" s="19"/>
      <c r="D1684" s="19"/>
      <c r="E1684" s="22">
        <f>IFERROR(__xludf.DUMMYFUNCTION("""COMPUTED_VALUE"""),44574.66666666667)</f>
        <v>44574.66667</v>
      </c>
      <c r="F1684" s="23">
        <f>IFERROR(__xludf.DUMMYFUNCTION("""COMPUTED_VALUE"""),34.7)</f>
        <v>34.7</v>
      </c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</row>
    <row r="1685">
      <c r="A1685" s="22">
        <f>IFERROR(__xludf.DUMMYFUNCTION("""COMPUTED_VALUE"""),44396.66666666667)</f>
        <v>44396.66667</v>
      </c>
      <c r="B1685" s="23">
        <f>IFERROR(__xludf.DUMMYFUNCTION("""COMPUTED_VALUE"""),97.53)</f>
        <v>97.53</v>
      </c>
      <c r="C1685" s="19"/>
      <c r="D1685" s="19"/>
      <c r="E1685" s="22">
        <f>IFERROR(__xludf.DUMMYFUNCTION("""COMPUTED_VALUE"""),44575.66666666667)</f>
        <v>44575.66667</v>
      </c>
      <c r="F1685" s="23">
        <f>IFERROR(__xludf.DUMMYFUNCTION("""COMPUTED_VALUE"""),33.97)</f>
        <v>33.97</v>
      </c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</row>
    <row r="1686">
      <c r="A1686" s="22">
        <f>IFERROR(__xludf.DUMMYFUNCTION("""COMPUTED_VALUE"""),44397.66666666667)</f>
        <v>44397.66667</v>
      </c>
      <c r="B1686" s="23">
        <f>IFERROR(__xludf.DUMMYFUNCTION("""COMPUTED_VALUE"""),97.35)</f>
        <v>97.35</v>
      </c>
      <c r="C1686" s="19"/>
      <c r="D1686" s="19"/>
      <c r="E1686" s="22">
        <f>IFERROR(__xludf.DUMMYFUNCTION("""COMPUTED_VALUE"""),44578.66666666667)</f>
        <v>44578.66667</v>
      </c>
      <c r="F1686" s="23">
        <f>IFERROR(__xludf.DUMMYFUNCTION("""COMPUTED_VALUE"""),34.42)</f>
        <v>34.42</v>
      </c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</row>
    <row r="1687">
      <c r="A1687" s="22">
        <f>IFERROR(__xludf.DUMMYFUNCTION("""COMPUTED_VALUE"""),44398.66666666667)</f>
        <v>44398.66667</v>
      </c>
      <c r="B1687" s="23">
        <f>IFERROR(__xludf.DUMMYFUNCTION("""COMPUTED_VALUE"""),98.66)</f>
        <v>98.66</v>
      </c>
      <c r="C1687" s="19"/>
      <c r="D1687" s="19"/>
      <c r="E1687" s="22">
        <f>IFERROR(__xludf.DUMMYFUNCTION("""COMPUTED_VALUE"""),44579.66666666667)</f>
        <v>44579.66667</v>
      </c>
      <c r="F1687" s="23">
        <f>IFERROR(__xludf.DUMMYFUNCTION("""COMPUTED_VALUE"""),34.31)</f>
        <v>34.31</v>
      </c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</row>
    <row r="1688">
      <c r="A1688" s="22">
        <f>IFERROR(__xludf.DUMMYFUNCTION("""COMPUTED_VALUE"""),44399.66666666667)</f>
        <v>44399.66667</v>
      </c>
      <c r="B1688" s="23">
        <f>IFERROR(__xludf.DUMMYFUNCTION("""COMPUTED_VALUE"""),98.94)</f>
        <v>98.94</v>
      </c>
      <c r="C1688" s="19"/>
      <c r="D1688" s="19"/>
      <c r="E1688" s="22">
        <f>IFERROR(__xludf.DUMMYFUNCTION("""COMPUTED_VALUE"""),44580.66666666667)</f>
        <v>44580.66667</v>
      </c>
      <c r="F1688" s="23">
        <f>IFERROR(__xludf.DUMMYFUNCTION("""COMPUTED_VALUE"""),33.47)</f>
        <v>33.47</v>
      </c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</row>
    <row r="1689">
      <c r="A1689" s="22">
        <f>IFERROR(__xludf.DUMMYFUNCTION("""COMPUTED_VALUE"""),44400.66666666667)</f>
        <v>44400.66667</v>
      </c>
      <c r="B1689" s="23">
        <f>IFERROR(__xludf.DUMMYFUNCTION("""COMPUTED_VALUE"""),99.27)</f>
        <v>99.27</v>
      </c>
      <c r="C1689" s="19"/>
      <c r="D1689" s="19"/>
      <c r="E1689" s="22">
        <f>IFERROR(__xludf.DUMMYFUNCTION("""COMPUTED_VALUE"""),44581.66666666667)</f>
        <v>44581.66667</v>
      </c>
      <c r="F1689" s="23">
        <f>IFERROR(__xludf.DUMMYFUNCTION("""COMPUTED_VALUE"""),33.37)</f>
        <v>33.37</v>
      </c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</row>
    <row r="1690">
      <c r="A1690" s="22">
        <f>IFERROR(__xludf.DUMMYFUNCTION("""COMPUTED_VALUE"""),44403.66666666667)</f>
        <v>44403.66667</v>
      </c>
      <c r="B1690" s="23">
        <f>IFERROR(__xludf.DUMMYFUNCTION("""COMPUTED_VALUE"""),99.65)</f>
        <v>99.65</v>
      </c>
      <c r="C1690" s="19"/>
      <c r="D1690" s="19"/>
      <c r="E1690" s="22">
        <f>IFERROR(__xludf.DUMMYFUNCTION("""COMPUTED_VALUE"""),44582.66666666667)</f>
        <v>44582.66667</v>
      </c>
      <c r="F1690" s="23">
        <f>IFERROR(__xludf.DUMMYFUNCTION("""COMPUTED_VALUE"""),32.55)</f>
        <v>32.55</v>
      </c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</row>
    <row r="1691">
      <c r="A1691" s="22">
        <f>IFERROR(__xludf.DUMMYFUNCTION("""COMPUTED_VALUE"""),44404.66666666667)</f>
        <v>44404.66667</v>
      </c>
      <c r="B1691" s="23">
        <f>IFERROR(__xludf.DUMMYFUNCTION("""COMPUTED_VALUE"""),99.81)</f>
        <v>99.81</v>
      </c>
      <c r="C1691" s="19"/>
      <c r="D1691" s="19"/>
      <c r="E1691" s="22">
        <f>IFERROR(__xludf.DUMMYFUNCTION("""COMPUTED_VALUE"""),44585.66666666667)</f>
        <v>44585.66667</v>
      </c>
      <c r="F1691" s="23">
        <f>IFERROR(__xludf.DUMMYFUNCTION("""COMPUTED_VALUE"""),32.32)</f>
        <v>32.32</v>
      </c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</row>
    <row r="1692">
      <c r="A1692" s="22">
        <f>IFERROR(__xludf.DUMMYFUNCTION("""COMPUTED_VALUE"""),44405.66666666667)</f>
        <v>44405.66667</v>
      </c>
      <c r="B1692" s="23">
        <f>IFERROR(__xludf.DUMMYFUNCTION("""COMPUTED_VALUE"""),99.66)</f>
        <v>99.66</v>
      </c>
      <c r="C1692" s="19"/>
      <c r="D1692" s="19"/>
      <c r="E1692" s="22">
        <f>IFERROR(__xludf.DUMMYFUNCTION("""COMPUTED_VALUE"""),44586.66666666667)</f>
        <v>44586.66667</v>
      </c>
      <c r="F1692" s="23">
        <f>IFERROR(__xludf.DUMMYFUNCTION("""COMPUTED_VALUE"""),31.87)</f>
        <v>31.87</v>
      </c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</row>
    <row r="1693">
      <c r="A1693" s="22">
        <f>IFERROR(__xludf.DUMMYFUNCTION("""COMPUTED_VALUE"""),44406.66666666667)</f>
        <v>44406.66667</v>
      </c>
      <c r="B1693" s="23">
        <f>IFERROR(__xludf.DUMMYFUNCTION("""COMPUTED_VALUE"""),99.58)</f>
        <v>99.58</v>
      </c>
      <c r="C1693" s="19"/>
      <c r="D1693" s="19"/>
      <c r="E1693" s="22">
        <f>IFERROR(__xludf.DUMMYFUNCTION("""COMPUTED_VALUE"""),44588.66666666667)</f>
        <v>44588.66667</v>
      </c>
      <c r="F1693" s="23">
        <f>IFERROR(__xludf.DUMMYFUNCTION("""COMPUTED_VALUE"""),31.43)</f>
        <v>31.43</v>
      </c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</row>
    <row r="1694">
      <c r="A1694" s="22">
        <f>IFERROR(__xludf.DUMMYFUNCTION("""COMPUTED_VALUE"""),44407.66666666667)</f>
        <v>44407.66667</v>
      </c>
      <c r="B1694" s="23">
        <f>IFERROR(__xludf.DUMMYFUNCTION("""COMPUTED_VALUE"""),99.35)</f>
        <v>99.35</v>
      </c>
      <c r="C1694" s="19"/>
      <c r="D1694" s="19"/>
      <c r="E1694" s="22">
        <f>IFERROR(__xludf.DUMMYFUNCTION("""COMPUTED_VALUE"""),44589.66666666667)</f>
        <v>44589.66667</v>
      </c>
      <c r="F1694" s="23">
        <f>IFERROR(__xludf.DUMMYFUNCTION("""COMPUTED_VALUE"""),32.03)</f>
        <v>32.03</v>
      </c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</row>
    <row r="1695">
      <c r="A1695" s="22">
        <f>IFERROR(__xludf.DUMMYFUNCTION("""COMPUTED_VALUE"""),44410.66666666667)</f>
        <v>44410.66667</v>
      </c>
      <c r="B1695" s="23">
        <f>IFERROR(__xludf.DUMMYFUNCTION("""COMPUTED_VALUE"""),100.68)</f>
        <v>100.68</v>
      </c>
      <c r="C1695" s="19"/>
      <c r="D1695" s="19"/>
      <c r="E1695" s="22">
        <f>IFERROR(__xludf.DUMMYFUNCTION("""COMPUTED_VALUE"""),44592.66666666667)</f>
        <v>44592.66667</v>
      </c>
      <c r="F1695" s="23">
        <f>IFERROR(__xludf.DUMMYFUNCTION("""COMPUTED_VALUE"""),32.95)</f>
        <v>32.95</v>
      </c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</row>
    <row r="1696">
      <c r="A1696" s="22">
        <f>IFERROR(__xludf.DUMMYFUNCTION("""COMPUTED_VALUE"""),44411.66666666667)</f>
        <v>44411.66667</v>
      </c>
      <c r="B1696" s="23">
        <f>IFERROR(__xludf.DUMMYFUNCTION("""COMPUTED_VALUE"""),99.69)</f>
        <v>99.69</v>
      </c>
      <c r="C1696" s="19"/>
      <c r="D1696" s="19"/>
      <c r="E1696" s="22">
        <f>IFERROR(__xludf.DUMMYFUNCTION("""COMPUTED_VALUE"""),44593.66666666667)</f>
        <v>44593.66667</v>
      </c>
      <c r="F1696" s="23">
        <f>IFERROR(__xludf.DUMMYFUNCTION("""COMPUTED_VALUE"""),33.6)</f>
        <v>33.6</v>
      </c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</row>
    <row r="1697">
      <c r="A1697" s="22">
        <f>IFERROR(__xludf.DUMMYFUNCTION("""COMPUTED_VALUE"""),44412.66666666667)</f>
        <v>44412.66667</v>
      </c>
      <c r="B1697" s="23">
        <f>IFERROR(__xludf.DUMMYFUNCTION("""COMPUTED_VALUE"""),100.01)</f>
        <v>100.01</v>
      </c>
      <c r="C1697" s="19"/>
      <c r="D1697" s="19"/>
      <c r="E1697" s="22">
        <f>IFERROR(__xludf.DUMMYFUNCTION("""COMPUTED_VALUE"""),44594.66666666667)</f>
        <v>44594.66667</v>
      </c>
      <c r="F1697" s="23">
        <f>IFERROR(__xludf.DUMMYFUNCTION("""COMPUTED_VALUE"""),33.95)</f>
        <v>33.95</v>
      </c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</row>
    <row r="1698">
      <c r="A1698" s="22">
        <f>IFERROR(__xludf.DUMMYFUNCTION("""COMPUTED_VALUE"""),44413.66666666667)</f>
        <v>44413.66667</v>
      </c>
      <c r="B1698" s="23">
        <f>IFERROR(__xludf.DUMMYFUNCTION("""COMPUTED_VALUE"""),99.88)</f>
        <v>99.88</v>
      </c>
      <c r="C1698" s="19"/>
      <c r="D1698" s="19"/>
      <c r="E1698" s="22">
        <f>IFERROR(__xludf.DUMMYFUNCTION("""COMPUTED_VALUE"""),44595.66666666667)</f>
        <v>44595.66667</v>
      </c>
      <c r="F1698" s="23">
        <f>IFERROR(__xludf.DUMMYFUNCTION("""COMPUTED_VALUE"""),33.17)</f>
        <v>33.17</v>
      </c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</row>
    <row r="1699">
      <c r="A1699" s="22">
        <f>IFERROR(__xludf.DUMMYFUNCTION("""COMPUTED_VALUE"""),44414.66666666667)</f>
        <v>44414.66667</v>
      </c>
      <c r="B1699" s="23">
        <f>IFERROR(__xludf.DUMMYFUNCTION("""COMPUTED_VALUE"""),100.31)</f>
        <v>100.31</v>
      </c>
      <c r="C1699" s="19"/>
      <c r="D1699" s="19"/>
      <c r="E1699" s="22">
        <f>IFERROR(__xludf.DUMMYFUNCTION("""COMPUTED_VALUE"""),44596.66666666667)</f>
        <v>44596.66667</v>
      </c>
      <c r="F1699" s="23">
        <f>IFERROR(__xludf.DUMMYFUNCTION("""COMPUTED_VALUE"""),33.04)</f>
        <v>33.04</v>
      </c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</row>
    <row r="1700">
      <c r="A1700" s="22">
        <f>IFERROR(__xludf.DUMMYFUNCTION("""COMPUTED_VALUE"""),44417.66666666667)</f>
        <v>44417.66667</v>
      </c>
      <c r="B1700" s="23">
        <f>IFERROR(__xludf.DUMMYFUNCTION("""COMPUTED_VALUE"""),100.47)</f>
        <v>100.47</v>
      </c>
      <c r="C1700" s="19"/>
      <c r="D1700" s="19"/>
      <c r="E1700" s="22">
        <f>IFERROR(__xludf.DUMMYFUNCTION("""COMPUTED_VALUE"""),44599.66666666667)</f>
        <v>44599.66667</v>
      </c>
      <c r="F1700" s="23">
        <f>IFERROR(__xludf.DUMMYFUNCTION("""COMPUTED_VALUE"""),33.14)</f>
        <v>33.14</v>
      </c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</row>
    <row r="1701">
      <c r="A1701" s="22">
        <f>IFERROR(__xludf.DUMMYFUNCTION("""COMPUTED_VALUE"""),44418.66666666667)</f>
        <v>44418.66667</v>
      </c>
      <c r="B1701" s="23">
        <f>IFERROR(__xludf.DUMMYFUNCTION("""COMPUTED_VALUE"""),101.08)</f>
        <v>101.08</v>
      </c>
      <c r="C1701" s="19"/>
      <c r="D1701" s="19"/>
      <c r="E1701" s="22">
        <f>IFERROR(__xludf.DUMMYFUNCTION("""COMPUTED_VALUE"""),44600.66666666667)</f>
        <v>44600.66667</v>
      </c>
      <c r="F1701" s="23">
        <f>IFERROR(__xludf.DUMMYFUNCTION("""COMPUTED_VALUE"""),32.71)</f>
        <v>32.71</v>
      </c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</row>
    <row r="1702">
      <c r="A1702" s="22">
        <f>IFERROR(__xludf.DUMMYFUNCTION("""COMPUTED_VALUE"""),44419.66666666667)</f>
        <v>44419.66667</v>
      </c>
      <c r="B1702" s="23">
        <f>IFERROR(__xludf.DUMMYFUNCTION("""COMPUTED_VALUE"""),101.1)</f>
        <v>101.1</v>
      </c>
      <c r="C1702" s="19"/>
      <c r="D1702" s="19"/>
      <c r="E1702" s="22">
        <f>IFERROR(__xludf.DUMMYFUNCTION("""COMPUTED_VALUE"""),44601.66666666667)</f>
        <v>44601.66667</v>
      </c>
      <c r="F1702" s="23">
        <f>IFERROR(__xludf.DUMMYFUNCTION("""COMPUTED_VALUE"""),32.99)</f>
        <v>32.99</v>
      </c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</row>
    <row r="1703">
      <c r="A1703" s="22">
        <f>IFERROR(__xludf.DUMMYFUNCTION("""COMPUTED_VALUE"""),44420.66666666667)</f>
        <v>44420.66667</v>
      </c>
      <c r="B1703" s="23">
        <f>IFERROR(__xludf.DUMMYFUNCTION("""COMPUTED_VALUE"""),100.96)</f>
        <v>100.96</v>
      </c>
      <c r="C1703" s="19"/>
      <c r="D1703" s="19"/>
      <c r="E1703" s="22">
        <f>IFERROR(__xludf.DUMMYFUNCTION("""COMPUTED_VALUE"""),44602.66666666667)</f>
        <v>44602.66667</v>
      </c>
      <c r="F1703" s="23">
        <f>IFERROR(__xludf.DUMMYFUNCTION("""COMPUTED_VALUE"""),33.37)</f>
        <v>33.37</v>
      </c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</row>
    <row r="1704">
      <c r="A1704" s="22">
        <f>IFERROR(__xludf.DUMMYFUNCTION("""COMPUTED_VALUE"""),44421.66666666667)</f>
        <v>44421.66667</v>
      </c>
      <c r="B1704" s="23">
        <f>IFERROR(__xludf.DUMMYFUNCTION("""COMPUTED_VALUE"""),101.63)</f>
        <v>101.63</v>
      </c>
      <c r="C1704" s="19"/>
      <c r="D1704" s="19"/>
      <c r="E1704" s="22">
        <f>IFERROR(__xludf.DUMMYFUNCTION("""COMPUTED_VALUE"""),44603.66666666667)</f>
        <v>44603.66667</v>
      </c>
      <c r="F1704" s="23">
        <f>IFERROR(__xludf.DUMMYFUNCTION("""COMPUTED_VALUE"""),32.68)</f>
        <v>32.68</v>
      </c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</row>
    <row r="1705">
      <c r="A1705" s="22">
        <f>IFERROR(__xludf.DUMMYFUNCTION("""COMPUTED_VALUE"""),44424.66666666667)</f>
        <v>44424.66667</v>
      </c>
      <c r="B1705" s="23">
        <f>IFERROR(__xludf.DUMMYFUNCTION("""COMPUTED_VALUE"""),101.51)</f>
        <v>101.51</v>
      </c>
      <c r="C1705" s="19"/>
      <c r="D1705" s="19"/>
      <c r="E1705" s="22">
        <f>IFERROR(__xludf.DUMMYFUNCTION("""COMPUTED_VALUE"""),44606.66666666667)</f>
        <v>44606.66667</v>
      </c>
      <c r="F1705" s="23">
        <f>IFERROR(__xludf.DUMMYFUNCTION("""COMPUTED_VALUE"""),32.02)</f>
        <v>32.02</v>
      </c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</row>
    <row r="1706">
      <c r="A1706" s="22">
        <f>IFERROR(__xludf.DUMMYFUNCTION("""COMPUTED_VALUE"""),44425.66666666667)</f>
        <v>44425.66667</v>
      </c>
      <c r="B1706" s="23">
        <f>IFERROR(__xludf.DUMMYFUNCTION("""COMPUTED_VALUE"""),101.93)</f>
        <v>101.93</v>
      </c>
      <c r="C1706" s="19"/>
      <c r="D1706" s="19"/>
      <c r="E1706" s="22">
        <f>IFERROR(__xludf.DUMMYFUNCTION("""COMPUTED_VALUE"""),44607.66666666667)</f>
        <v>44607.66667</v>
      </c>
      <c r="F1706" s="23">
        <f>IFERROR(__xludf.DUMMYFUNCTION("""COMPUTED_VALUE"""),31.94)</f>
        <v>31.94</v>
      </c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</row>
    <row r="1707">
      <c r="A1707" s="22">
        <f>IFERROR(__xludf.DUMMYFUNCTION("""COMPUTED_VALUE"""),44426.66666666667)</f>
        <v>44426.66667</v>
      </c>
      <c r="B1707" s="23">
        <f>IFERROR(__xludf.DUMMYFUNCTION("""COMPUTED_VALUE"""),102.4)</f>
        <v>102.4</v>
      </c>
      <c r="C1707" s="19"/>
      <c r="D1707" s="19"/>
      <c r="E1707" s="22">
        <f>IFERROR(__xludf.DUMMYFUNCTION("""COMPUTED_VALUE"""),44608.66666666667)</f>
        <v>44608.66667</v>
      </c>
      <c r="F1707" s="23">
        <f>IFERROR(__xludf.DUMMYFUNCTION("""COMPUTED_VALUE"""),32.51)</f>
        <v>32.51</v>
      </c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</row>
    <row r="1708">
      <c r="A1708" s="22">
        <f>IFERROR(__xludf.DUMMYFUNCTION("""COMPUTED_VALUE"""),44427.66666666667)</f>
        <v>44427.66667</v>
      </c>
      <c r="B1708" s="23">
        <f>IFERROR(__xludf.DUMMYFUNCTION("""COMPUTED_VALUE"""),101.91)</f>
        <v>101.91</v>
      </c>
      <c r="C1708" s="19"/>
      <c r="D1708" s="19"/>
      <c r="E1708" s="22">
        <f>IFERROR(__xludf.DUMMYFUNCTION("""COMPUTED_VALUE"""),44609.66666666667)</f>
        <v>44609.66667</v>
      </c>
      <c r="F1708" s="23">
        <f>IFERROR(__xludf.DUMMYFUNCTION("""COMPUTED_VALUE"""),32.29)</f>
        <v>32.29</v>
      </c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</row>
    <row r="1709">
      <c r="A1709" s="22">
        <f>IFERROR(__xludf.DUMMYFUNCTION("""COMPUTED_VALUE"""),44428.66666666667)</f>
        <v>44428.66667</v>
      </c>
      <c r="B1709" s="23">
        <f>IFERROR(__xludf.DUMMYFUNCTION("""COMPUTED_VALUE"""),102.62)</f>
        <v>102.62</v>
      </c>
      <c r="C1709" s="19"/>
      <c r="D1709" s="19"/>
      <c r="E1709" s="22">
        <f>IFERROR(__xludf.DUMMYFUNCTION("""COMPUTED_VALUE"""),44610.66666666667)</f>
        <v>44610.66667</v>
      </c>
      <c r="F1709" s="23">
        <f>IFERROR(__xludf.DUMMYFUNCTION("""COMPUTED_VALUE"""),31.63)</f>
        <v>31.63</v>
      </c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</row>
    <row r="1710">
      <c r="A1710" s="22">
        <f>IFERROR(__xludf.DUMMYFUNCTION("""COMPUTED_VALUE"""),44431.66666666667)</f>
        <v>44431.66667</v>
      </c>
      <c r="B1710" s="23">
        <f>IFERROR(__xludf.DUMMYFUNCTION("""COMPUTED_VALUE"""),103.71)</f>
        <v>103.71</v>
      </c>
      <c r="C1710" s="19"/>
      <c r="D1710" s="19"/>
      <c r="E1710" s="22">
        <f>IFERROR(__xludf.DUMMYFUNCTION("""COMPUTED_VALUE"""),44613.66666666667)</f>
        <v>44613.66667</v>
      </c>
      <c r="F1710" s="23">
        <f>IFERROR(__xludf.DUMMYFUNCTION("""COMPUTED_VALUE"""),31.1)</f>
        <v>31.1</v>
      </c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</row>
    <row r="1711">
      <c r="A1711" s="22">
        <f>IFERROR(__xludf.DUMMYFUNCTION("""COMPUTED_VALUE"""),44432.66666666667)</f>
        <v>44432.66667</v>
      </c>
      <c r="B1711" s="23">
        <f>IFERROR(__xludf.DUMMYFUNCTION("""COMPUTED_VALUE"""),103.42)</f>
        <v>103.42</v>
      </c>
      <c r="C1711" s="19"/>
      <c r="D1711" s="19"/>
      <c r="E1711" s="22">
        <f>IFERROR(__xludf.DUMMYFUNCTION("""COMPUTED_VALUE"""),44614.66666666667)</f>
        <v>44614.66667</v>
      </c>
      <c r="F1711" s="23">
        <f>IFERROR(__xludf.DUMMYFUNCTION("""COMPUTED_VALUE"""),30.36)</f>
        <v>30.36</v>
      </c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</row>
    <row r="1712">
      <c r="A1712" s="22">
        <f>IFERROR(__xludf.DUMMYFUNCTION("""COMPUTED_VALUE"""),44433.66666666667)</f>
        <v>44433.66667</v>
      </c>
      <c r="B1712" s="23">
        <f>IFERROR(__xludf.DUMMYFUNCTION("""COMPUTED_VALUE"""),103.2)</f>
        <v>103.2</v>
      </c>
      <c r="C1712" s="19"/>
      <c r="D1712" s="19"/>
      <c r="E1712" s="22">
        <f>IFERROR(__xludf.DUMMYFUNCTION("""COMPUTED_VALUE"""),44615.66666666667)</f>
        <v>44615.66667</v>
      </c>
      <c r="F1712" s="23">
        <f>IFERROR(__xludf.DUMMYFUNCTION("""COMPUTED_VALUE"""),30.85)</f>
        <v>30.85</v>
      </c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</row>
    <row r="1713">
      <c r="A1713" s="22">
        <f>IFERROR(__xludf.DUMMYFUNCTION("""COMPUTED_VALUE"""),44434.66666666667)</f>
        <v>44434.66667</v>
      </c>
      <c r="B1713" s="23">
        <f>IFERROR(__xludf.DUMMYFUNCTION("""COMPUTED_VALUE"""),103.0)</f>
        <v>103</v>
      </c>
      <c r="C1713" s="19"/>
      <c r="D1713" s="19"/>
      <c r="E1713" s="22">
        <f>IFERROR(__xludf.DUMMYFUNCTION("""COMPUTED_VALUE"""),44616.66666666667)</f>
        <v>44616.66667</v>
      </c>
      <c r="F1713" s="23">
        <f>IFERROR(__xludf.DUMMYFUNCTION("""COMPUTED_VALUE"""),29.23)</f>
        <v>29.23</v>
      </c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</row>
    <row r="1714">
      <c r="A1714" s="22">
        <f>IFERROR(__xludf.DUMMYFUNCTION("""COMPUTED_VALUE"""),44435.66666666667)</f>
        <v>44435.66667</v>
      </c>
      <c r="B1714" s="23">
        <f>IFERROR(__xludf.DUMMYFUNCTION("""COMPUTED_VALUE"""),103.06)</f>
        <v>103.06</v>
      </c>
      <c r="C1714" s="19"/>
      <c r="D1714" s="19"/>
      <c r="E1714" s="22">
        <f>IFERROR(__xludf.DUMMYFUNCTION("""COMPUTED_VALUE"""),44617.66666666667)</f>
        <v>44617.66667</v>
      </c>
      <c r="F1714" s="23">
        <f>IFERROR(__xludf.DUMMYFUNCTION("""COMPUTED_VALUE"""),30.7)</f>
        <v>30.7</v>
      </c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</row>
    <row r="1715">
      <c r="A1715" s="22">
        <f>IFERROR(__xludf.DUMMYFUNCTION("""COMPUTED_VALUE"""),44438.66666666667)</f>
        <v>44438.66667</v>
      </c>
      <c r="B1715" s="23">
        <f>IFERROR(__xludf.DUMMYFUNCTION("""COMPUTED_VALUE"""),103.05)</f>
        <v>103.05</v>
      </c>
      <c r="C1715" s="19"/>
      <c r="D1715" s="19"/>
      <c r="E1715" s="22">
        <f>IFERROR(__xludf.DUMMYFUNCTION("""COMPUTED_VALUE"""),44620.66666666667)</f>
        <v>44620.66667</v>
      </c>
      <c r="F1715" s="23">
        <f>IFERROR(__xludf.DUMMYFUNCTION("""COMPUTED_VALUE"""),30.73)</f>
        <v>30.73</v>
      </c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</row>
    <row r="1716">
      <c r="A1716" s="22">
        <f>IFERROR(__xludf.DUMMYFUNCTION("""COMPUTED_VALUE"""),44439.66666666667)</f>
        <v>44439.66667</v>
      </c>
      <c r="B1716" s="23">
        <f>IFERROR(__xludf.DUMMYFUNCTION("""COMPUTED_VALUE"""),103.2)</f>
        <v>103.2</v>
      </c>
      <c r="C1716" s="19"/>
      <c r="D1716" s="19"/>
      <c r="E1716" s="22">
        <f>IFERROR(__xludf.DUMMYFUNCTION("""COMPUTED_VALUE"""),44621.66666666667)</f>
        <v>44621.66667</v>
      </c>
      <c r="F1716" s="23">
        <f>IFERROR(__xludf.DUMMYFUNCTION("""COMPUTED_VALUE"""),31.26)</f>
        <v>31.26</v>
      </c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</row>
    <row r="1717">
      <c r="A1717" s="22">
        <f>IFERROR(__xludf.DUMMYFUNCTION("""COMPUTED_VALUE"""),44440.66666666667)</f>
        <v>44440.66667</v>
      </c>
      <c r="B1717" s="23">
        <f>IFERROR(__xludf.DUMMYFUNCTION("""COMPUTED_VALUE"""),103.13)</f>
        <v>103.13</v>
      </c>
      <c r="C1717" s="19"/>
      <c r="D1717" s="19"/>
      <c r="E1717" s="22">
        <f>IFERROR(__xludf.DUMMYFUNCTION("""COMPUTED_VALUE"""),44622.66666666667)</f>
        <v>44622.66667</v>
      </c>
      <c r="F1717" s="23">
        <f>IFERROR(__xludf.DUMMYFUNCTION("""COMPUTED_VALUE"""),30.92)</f>
        <v>30.92</v>
      </c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</row>
    <row r="1718">
      <c r="A1718" s="22">
        <f>IFERROR(__xludf.DUMMYFUNCTION("""COMPUTED_VALUE"""),44441.66666666667)</f>
        <v>44441.66667</v>
      </c>
      <c r="B1718" s="23">
        <f>IFERROR(__xludf.DUMMYFUNCTION("""COMPUTED_VALUE"""),102.3)</f>
        <v>102.3</v>
      </c>
      <c r="C1718" s="19"/>
      <c r="D1718" s="19"/>
      <c r="E1718" s="22">
        <f>IFERROR(__xludf.DUMMYFUNCTION("""COMPUTED_VALUE"""),44623.66666666667)</f>
        <v>44623.66667</v>
      </c>
      <c r="F1718" s="23">
        <f>IFERROR(__xludf.DUMMYFUNCTION("""COMPUTED_VALUE"""),31.18)</f>
        <v>31.18</v>
      </c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</row>
    <row r="1719">
      <c r="A1719" s="22">
        <f>IFERROR(__xludf.DUMMYFUNCTION("""COMPUTED_VALUE"""),44442.66666666667)</f>
        <v>44442.66667</v>
      </c>
      <c r="B1719" s="23">
        <f>IFERROR(__xludf.DUMMYFUNCTION("""COMPUTED_VALUE"""),102.34)</f>
        <v>102.34</v>
      </c>
      <c r="C1719" s="19"/>
      <c r="D1719" s="19"/>
      <c r="E1719" s="22">
        <f>IFERROR(__xludf.DUMMYFUNCTION("""COMPUTED_VALUE"""),44624.66666666667)</f>
        <v>44624.66667</v>
      </c>
      <c r="F1719" s="23">
        <f>IFERROR(__xludf.DUMMYFUNCTION("""COMPUTED_VALUE"""),30.23)</f>
        <v>30.23</v>
      </c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</row>
    <row r="1720">
      <c r="A1720" s="22">
        <f>IFERROR(__xludf.DUMMYFUNCTION("""COMPUTED_VALUE"""),44445.66666666667)</f>
        <v>44445.66667</v>
      </c>
      <c r="B1720" s="23">
        <f>IFERROR(__xludf.DUMMYFUNCTION("""COMPUTED_VALUE"""),102.2)</f>
        <v>102.2</v>
      </c>
      <c r="C1720" s="19"/>
      <c r="D1720" s="19"/>
      <c r="E1720" s="22">
        <f>IFERROR(__xludf.DUMMYFUNCTION("""COMPUTED_VALUE"""),44627.66666666667)</f>
        <v>44627.66667</v>
      </c>
      <c r="F1720" s="23">
        <f>IFERROR(__xludf.DUMMYFUNCTION("""COMPUTED_VALUE"""),29.32)</f>
        <v>29.32</v>
      </c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</row>
    <row r="1721">
      <c r="A1721" s="22">
        <f>IFERROR(__xludf.DUMMYFUNCTION("""COMPUTED_VALUE"""),44446.66666666667)</f>
        <v>44446.66667</v>
      </c>
      <c r="B1721" s="23">
        <f>IFERROR(__xludf.DUMMYFUNCTION("""COMPUTED_VALUE"""),102.49)</f>
        <v>102.49</v>
      </c>
      <c r="C1721" s="19"/>
      <c r="D1721" s="19"/>
      <c r="E1721" s="22">
        <f>IFERROR(__xludf.DUMMYFUNCTION("""COMPUTED_VALUE"""),44628.66666666667)</f>
        <v>44628.66667</v>
      </c>
      <c r="F1721" s="23">
        <f>IFERROR(__xludf.DUMMYFUNCTION("""COMPUTED_VALUE"""),29.06)</f>
        <v>29.06</v>
      </c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</row>
    <row r="1722">
      <c r="A1722" s="22">
        <f>IFERROR(__xludf.DUMMYFUNCTION("""COMPUTED_VALUE"""),44447.66666666667)</f>
        <v>44447.66667</v>
      </c>
      <c r="B1722" s="23">
        <f>IFERROR(__xludf.DUMMYFUNCTION("""COMPUTED_VALUE"""),102.57)</f>
        <v>102.57</v>
      </c>
      <c r="C1722" s="19"/>
      <c r="D1722" s="19"/>
      <c r="E1722" s="22">
        <f>IFERROR(__xludf.DUMMYFUNCTION("""COMPUTED_VALUE"""),44629.66666666667)</f>
        <v>44629.66667</v>
      </c>
      <c r="F1722" s="23">
        <f>IFERROR(__xludf.DUMMYFUNCTION("""COMPUTED_VALUE"""),29.2)</f>
        <v>29.2</v>
      </c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</row>
    <row r="1723">
      <c r="A1723" s="22">
        <f>IFERROR(__xludf.DUMMYFUNCTION("""COMPUTED_VALUE"""),44448.66666666667)</f>
        <v>44448.66667</v>
      </c>
      <c r="B1723" s="23">
        <f>IFERROR(__xludf.DUMMYFUNCTION("""COMPUTED_VALUE"""),102.16)</f>
        <v>102.16</v>
      </c>
      <c r="C1723" s="19"/>
      <c r="D1723" s="19"/>
      <c r="E1723" s="22">
        <f>IFERROR(__xludf.DUMMYFUNCTION("""COMPUTED_VALUE"""),44630.66666666667)</f>
        <v>44630.66667</v>
      </c>
      <c r="F1723" s="23">
        <f>IFERROR(__xludf.DUMMYFUNCTION("""COMPUTED_VALUE"""),29.85)</f>
        <v>29.85</v>
      </c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</row>
    <row r="1724">
      <c r="A1724" s="22">
        <f>IFERROR(__xludf.DUMMYFUNCTION("""COMPUTED_VALUE"""),44449.66666666667)</f>
        <v>44449.66667</v>
      </c>
      <c r="B1724" s="23">
        <f>IFERROR(__xludf.DUMMYFUNCTION("""COMPUTED_VALUE"""),102.21)</f>
        <v>102.21</v>
      </c>
      <c r="C1724" s="19"/>
      <c r="D1724" s="19"/>
      <c r="E1724" s="22">
        <f>IFERROR(__xludf.DUMMYFUNCTION("""COMPUTED_VALUE"""),44631.66666666667)</f>
        <v>44631.66667</v>
      </c>
      <c r="F1724" s="23">
        <f>IFERROR(__xludf.DUMMYFUNCTION("""COMPUTED_VALUE"""),29.37)</f>
        <v>29.37</v>
      </c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</row>
    <row r="1725">
      <c r="A1725" s="22">
        <f>IFERROR(__xludf.DUMMYFUNCTION("""COMPUTED_VALUE"""),44452.66666666667)</f>
        <v>44452.66667</v>
      </c>
      <c r="B1725" s="23">
        <f>IFERROR(__xludf.DUMMYFUNCTION("""COMPUTED_VALUE"""),102.02)</f>
        <v>102.02</v>
      </c>
      <c r="C1725" s="19"/>
      <c r="D1725" s="19"/>
      <c r="E1725" s="22">
        <f>IFERROR(__xludf.DUMMYFUNCTION("""COMPUTED_VALUE"""),44634.66666666667)</f>
        <v>44634.66667</v>
      </c>
      <c r="F1725" s="23">
        <f>IFERROR(__xludf.DUMMYFUNCTION("""COMPUTED_VALUE"""),29.37)</f>
        <v>29.37</v>
      </c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</row>
    <row r="1726">
      <c r="A1726" s="22">
        <f>IFERROR(__xludf.DUMMYFUNCTION("""COMPUTED_VALUE"""),44453.66666666667)</f>
        <v>44453.66667</v>
      </c>
      <c r="B1726" s="23">
        <f>IFERROR(__xludf.DUMMYFUNCTION("""COMPUTED_VALUE"""),102.31)</f>
        <v>102.31</v>
      </c>
      <c r="C1726" s="19"/>
      <c r="D1726" s="19"/>
      <c r="E1726" s="22">
        <f>IFERROR(__xludf.DUMMYFUNCTION("""COMPUTED_VALUE"""),44635.66666666667)</f>
        <v>44635.66667</v>
      </c>
      <c r="F1726" s="23">
        <f>IFERROR(__xludf.DUMMYFUNCTION("""COMPUTED_VALUE"""),29.1)</f>
        <v>29.1</v>
      </c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</row>
    <row r="1727">
      <c r="A1727" s="22">
        <f>IFERROR(__xludf.DUMMYFUNCTION("""COMPUTED_VALUE"""),44454.66666666667)</f>
        <v>44454.66667</v>
      </c>
      <c r="B1727" s="23">
        <f>IFERROR(__xludf.DUMMYFUNCTION("""COMPUTED_VALUE"""),102.04)</f>
        <v>102.04</v>
      </c>
      <c r="C1727" s="19"/>
      <c r="D1727" s="19"/>
      <c r="E1727" s="22">
        <f>IFERROR(__xludf.DUMMYFUNCTION("""COMPUTED_VALUE"""),44636.66666666667)</f>
        <v>44636.66667</v>
      </c>
      <c r="F1727" s="23">
        <f>IFERROR(__xludf.DUMMYFUNCTION("""COMPUTED_VALUE"""),29.82)</f>
        <v>29.82</v>
      </c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</row>
    <row r="1728">
      <c r="A1728" s="22">
        <f>IFERROR(__xludf.DUMMYFUNCTION("""COMPUTED_VALUE"""),44455.66666666667)</f>
        <v>44455.66667</v>
      </c>
      <c r="B1728" s="23">
        <f>IFERROR(__xludf.DUMMYFUNCTION("""COMPUTED_VALUE"""),102.5)</f>
        <v>102.5</v>
      </c>
      <c r="C1728" s="19"/>
      <c r="D1728" s="19"/>
      <c r="E1728" s="22">
        <f>IFERROR(__xludf.DUMMYFUNCTION("""COMPUTED_VALUE"""),44637.66666666667)</f>
        <v>44637.66667</v>
      </c>
      <c r="F1728" s="23">
        <f>IFERROR(__xludf.DUMMYFUNCTION("""COMPUTED_VALUE"""),30.46)</f>
        <v>30.46</v>
      </c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</row>
    <row r="1729">
      <c r="A1729" s="22">
        <f>IFERROR(__xludf.DUMMYFUNCTION("""COMPUTED_VALUE"""),44456.66666666667)</f>
        <v>44456.66667</v>
      </c>
      <c r="B1729" s="23">
        <f>IFERROR(__xludf.DUMMYFUNCTION("""COMPUTED_VALUE"""),102.75)</f>
        <v>102.75</v>
      </c>
      <c r="C1729" s="19"/>
      <c r="D1729" s="19"/>
      <c r="E1729" s="22">
        <f>IFERROR(__xludf.DUMMYFUNCTION("""COMPUTED_VALUE"""),44638.66666666667)</f>
        <v>44638.66667</v>
      </c>
      <c r="F1729" s="23">
        <f>IFERROR(__xludf.DUMMYFUNCTION("""COMPUTED_VALUE"""),30.27)</f>
        <v>30.27</v>
      </c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</row>
    <row r="1730">
      <c r="A1730" s="22">
        <f>IFERROR(__xludf.DUMMYFUNCTION("""COMPUTED_VALUE"""),44459.66666666667)</f>
        <v>44459.66667</v>
      </c>
      <c r="B1730" s="23">
        <f>IFERROR(__xludf.DUMMYFUNCTION("""COMPUTED_VALUE"""),101.71)</f>
        <v>101.71</v>
      </c>
      <c r="C1730" s="19"/>
      <c r="D1730" s="19"/>
      <c r="E1730" s="22">
        <f>IFERROR(__xludf.DUMMYFUNCTION("""COMPUTED_VALUE"""),44641.66666666667)</f>
        <v>44641.66667</v>
      </c>
      <c r="F1730" s="23">
        <f>IFERROR(__xludf.DUMMYFUNCTION("""COMPUTED_VALUE"""),30.96)</f>
        <v>30.96</v>
      </c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</row>
    <row r="1731">
      <c r="A1731" s="22">
        <f>IFERROR(__xludf.DUMMYFUNCTION("""COMPUTED_VALUE"""),44460.66666666667)</f>
        <v>44460.66667</v>
      </c>
      <c r="B1731" s="23">
        <f>IFERROR(__xludf.DUMMYFUNCTION("""COMPUTED_VALUE"""),100.8)</f>
        <v>100.8</v>
      </c>
      <c r="C1731" s="19"/>
      <c r="D1731" s="19"/>
      <c r="E1731" s="22">
        <f>IFERROR(__xludf.DUMMYFUNCTION("""COMPUTED_VALUE"""),44642.66666666667)</f>
        <v>44642.66667</v>
      </c>
      <c r="F1731" s="23">
        <f>IFERROR(__xludf.DUMMYFUNCTION("""COMPUTED_VALUE"""),30.9)</f>
        <v>30.9</v>
      </c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</row>
    <row r="1732">
      <c r="A1732" s="22">
        <f>IFERROR(__xludf.DUMMYFUNCTION("""COMPUTED_VALUE"""),44461.66666666667)</f>
        <v>44461.66667</v>
      </c>
      <c r="B1732" s="23">
        <f>IFERROR(__xludf.DUMMYFUNCTION("""COMPUTED_VALUE"""),101.04)</f>
        <v>101.04</v>
      </c>
      <c r="C1732" s="19"/>
      <c r="D1732" s="19"/>
      <c r="E1732" s="22">
        <f>IFERROR(__xludf.DUMMYFUNCTION("""COMPUTED_VALUE"""),44643.66666666667)</f>
        <v>44643.66667</v>
      </c>
      <c r="F1732" s="23">
        <f>IFERROR(__xludf.DUMMYFUNCTION("""COMPUTED_VALUE"""),31.37)</f>
        <v>31.37</v>
      </c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</row>
    <row r="1733">
      <c r="A1733" s="22">
        <f>IFERROR(__xludf.DUMMYFUNCTION("""COMPUTED_VALUE"""),44462.66666666667)</f>
        <v>44462.66667</v>
      </c>
      <c r="B1733" s="23">
        <f>IFERROR(__xludf.DUMMYFUNCTION("""COMPUTED_VALUE"""),102.17)</f>
        <v>102.17</v>
      </c>
      <c r="C1733" s="19"/>
      <c r="D1733" s="19"/>
      <c r="E1733" s="22">
        <f>IFERROR(__xludf.DUMMYFUNCTION("""COMPUTED_VALUE"""),44644.66666666667)</f>
        <v>44644.66667</v>
      </c>
      <c r="F1733" s="23">
        <f>IFERROR(__xludf.DUMMYFUNCTION("""COMPUTED_VALUE"""),31.01)</f>
        <v>31.01</v>
      </c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</row>
    <row r="1734">
      <c r="A1734" s="22">
        <f>IFERROR(__xludf.DUMMYFUNCTION("""COMPUTED_VALUE"""),44463.66666666667)</f>
        <v>44463.66667</v>
      </c>
      <c r="B1734" s="23">
        <f>IFERROR(__xludf.DUMMYFUNCTION("""COMPUTED_VALUE"""),102.16)</f>
        <v>102.16</v>
      </c>
      <c r="C1734" s="19"/>
      <c r="D1734" s="19"/>
      <c r="E1734" s="22">
        <f>IFERROR(__xludf.DUMMYFUNCTION("""COMPUTED_VALUE"""),44645.66666666667)</f>
        <v>44645.66667</v>
      </c>
      <c r="F1734" s="23">
        <f>IFERROR(__xludf.DUMMYFUNCTION("""COMPUTED_VALUE"""),31.39)</f>
        <v>31.39</v>
      </c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</row>
    <row r="1735">
      <c r="A1735" s="22">
        <f>IFERROR(__xludf.DUMMYFUNCTION("""COMPUTED_VALUE"""),44466.66666666667)</f>
        <v>44466.66667</v>
      </c>
      <c r="B1735" s="23">
        <f>IFERROR(__xludf.DUMMYFUNCTION("""COMPUTED_VALUE"""),102.82)</f>
        <v>102.82</v>
      </c>
      <c r="C1735" s="19"/>
      <c r="D1735" s="19"/>
      <c r="E1735" s="22">
        <f>IFERROR(__xludf.DUMMYFUNCTION("""COMPUTED_VALUE"""),44648.66666666667)</f>
        <v>44648.66667</v>
      </c>
      <c r="F1735" s="23">
        <f>IFERROR(__xludf.DUMMYFUNCTION("""COMPUTED_VALUE"""),31.16)</f>
        <v>31.16</v>
      </c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</row>
    <row r="1736">
      <c r="A1736" s="22">
        <f>IFERROR(__xludf.DUMMYFUNCTION("""COMPUTED_VALUE"""),44467.66666666667)</f>
        <v>44467.66667</v>
      </c>
      <c r="B1736" s="23">
        <f>IFERROR(__xludf.DUMMYFUNCTION("""COMPUTED_VALUE"""),101.65)</f>
        <v>101.65</v>
      </c>
      <c r="C1736" s="19"/>
      <c r="D1736" s="19"/>
      <c r="E1736" s="22">
        <f>IFERROR(__xludf.DUMMYFUNCTION("""COMPUTED_VALUE"""),44649.66666666667)</f>
        <v>44649.66667</v>
      </c>
      <c r="F1736" s="23">
        <f>IFERROR(__xludf.DUMMYFUNCTION("""COMPUTED_VALUE"""),31.91)</f>
        <v>31.91</v>
      </c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</row>
    <row r="1737">
      <c r="A1737" s="22">
        <f>IFERROR(__xludf.DUMMYFUNCTION("""COMPUTED_VALUE"""),44468.66666666667)</f>
        <v>44468.66667</v>
      </c>
      <c r="B1737" s="23">
        <f>IFERROR(__xludf.DUMMYFUNCTION("""COMPUTED_VALUE"""),100.7)</f>
        <v>100.7</v>
      </c>
      <c r="C1737" s="19"/>
      <c r="D1737" s="19"/>
      <c r="E1737" s="22">
        <f>IFERROR(__xludf.DUMMYFUNCTION("""COMPUTED_VALUE"""),44650.66666666667)</f>
        <v>44650.66667</v>
      </c>
      <c r="F1737" s="23">
        <f>IFERROR(__xludf.DUMMYFUNCTION("""COMPUTED_VALUE"""),32.24)</f>
        <v>32.24</v>
      </c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</row>
    <row r="1738">
      <c r="A1738" s="22">
        <f>IFERROR(__xludf.DUMMYFUNCTION("""COMPUTED_VALUE"""),44469.66666666667)</f>
        <v>44469.66667</v>
      </c>
      <c r="B1738" s="23">
        <f>IFERROR(__xludf.DUMMYFUNCTION("""COMPUTED_VALUE"""),101.56)</f>
        <v>101.56</v>
      </c>
      <c r="C1738" s="19"/>
      <c r="D1738" s="19"/>
      <c r="E1738" s="22">
        <f>IFERROR(__xludf.DUMMYFUNCTION("""COMPUTED_VALUE"""),44651.66666666667)</f>
        <v>44651.66667</v>
      </c>
      <c r="F1738" s="23">
        <f>IFERROR(__xludf.DUMMYFUNCTION("""COMPUTED_VALUE"""),32.31)</f>
        <v>32.31</v>
      </c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</row>
    <row r="1739">
      <c r="A1739" s="22">
        <f>IFERROR(__xludf.DUMMYFUNCTION("""COMPUTED_VALUE"""),44470.66666666667)</f>
        <v>44470.66667</v>
      </c>
      <c r="B1739" s="23">
        <f>IFERROR(__xludf.DUMMYFUNCTION("""COMPUTED_VALUE"""),99.13)</f>
        <v>99.13</v>
      </c>
      <c r="C1739" s="19"/>
      <c r="D1739" s="19"/>
      <c r="E1739" s="22">
        <f>IFERROR(__xludf.DUMMYFUNCTION("""COMPUTED_VALUE"""),44652.66666666667)</f>
        <v>44652.66667</v>
      </c>
      <c r="F1739" s="23">
        <f>IFERROR(__xludf.DUMMYFUNCTION("""COMPUTED_VALUE"""),31.82)</f>
        <v>31.82</v>
      </c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</row>
    <row r="1740">
      <c r="A1740" s="22">
        <f>IFERROR(__xludf.DUMMYFUNCTION("""COMPUTED_VALUE"""),44473.66666666667)</f>
        <v>44473.66667</v>
      </c>
      <c r="B1740" s="23">
        <f>IFERROR(__xludf.DUMMYFUNCTION("""COMPUTED_VALUE"""),99.42)</f>
        <v>99.42</v>
      </c>
      <c r="C1740" s="19"/>
      <c r="D1740" s="19"/>
      <c r="E1740" s="22">
        <f>IFERROR(__xludf.DUMMYFUNCTION("""COMPUTED_VALUE"""),44655.66666666667)</f>
        <v>44655.66667</v>
      </c>
      <c r="F1740" s="23">
        <f>IFERROR(__xludf.DUMMYFUNCTION("""COMPUTED_VALUE"""),31.61)</f>
        <v>31.61</v>
      </c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</row>
    <row r="1741">
      <c r="A1741" s="22">
        <f>IFERROR(__xludf.DUMMYFUNCTION("""COMPUTED_VALUE"""),44474.66666666667)</f>
        <v>44474.66667</v>
      </c>
      <c r="B1741" s="23">
        <f>IFERROR(__xludf.DUMMYFUNCTION("""COMPUTED_VALUE"""),98.52)</f>
        <v>98.52</v>
      </c>
      <c r="C1741" s="19"/>
      <c r="D1741" s="19"/>
      <c r="E1741" s="22">
        <f>IFERROR(__xludf.DUMMYFUNCTION("""COMPUTED_VALUE"""),44656.66666666667)</f>
        <v>44656.66667</v>
      </c>
      <c r="F1741" s="23">
        <f>IFERROR(__xludf.DUMMYFUNCTION("""COMPUTED_VALUE"""),31.76)</f>
        <v>31.76</v>
      </c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</row>
    <row r="1742">
      <c r="A1742" s="22">
        <f>IFERROR(__xludf.DUMMYFUNCTION("""COMPUTED_VALUE"""),44475.66666666667)</f>
        <v>44475.66667</v>
      </c>
      <c r="B1742" s="23">
        <f>IFERROR(__xludf.DUMMYFUNCTION("""COMPUTED_VALUE"""),98.83)</f>
        <v>98.83</v>
      </c>
      <c r="C1742" s="19"/>
      <c r="D1742" s="19"/>
      <c r="E1742" s="22">
        <f>IFERROR(__xludf.DUMMYFUNCTION("""COMPUTED_VALUE"""),44657.66666666667)</f>
        <v>44657.66667</v>
      </c>
      <c r="F1742" s="23">
        <f>IFERROR(__xludf.DUMMYFUNCTION("""COMPUTED_VALUE"""),31.22)</f>
        <v>31.22</v>
      </c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</row>
    <row r="1743">
      <c r="A1743" s="22">
        <f>IFERROR(__xludf.DUMMYFUNCTION("""COMPUTED_VALUE"""),44476.66666666667)</f>
        <v>44476.66667</v>
      </c>
      <c r="B1743" s="23">
        <f>IFERROR(__xludf.DUMMYFUNCTION("""COMPUTED_VALUE"""),99.61)</f>
        <v>99.61</v>
      </c>
      <c r="C1743" s="19"/>
      <c r="D1743" s="19"/>
      <c r="E1743" s="22">
        <f>IFERROR(__xludf.DUMMYFUNCTION("""COMPUTED_VALUE"""),44658.66666666667)</f>
        <v>44658.66667</v>
      </c>
      <c r="F1743" s="23">
        <f>IFERROR(__xludf.DUMMYFUNCTION("""COMPUTED_VALUE"""),30.88)</f>
        <v>30.88</v>
      </c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</row>
    <row r="1744">
      <c r="A1744" s="22">
        <f>IFERROR(__xludf.DUMMYFUNCTION("""COMPUTED_VALUE"""),44477.66666666667)</f>
        <v>44477.66667</v>
      </c>
      <c r="B1744" s="23">
        <f>IFERROR(__xludf.DUMMYFUNCTION("""COMPUTED_VALUE"""),99.86)</f>
        <v>99.86</v>
      </c>
      <c r="C1744" s="19"/>
      <c r="D1744" s="19"/>
      <c r="E1744" s="22">
        <f>IFERROR(__xludf.DUMMYFUNCTION("""COMPUTED_VALUE"""),44659.66666666667)</f>
        <v>44659.66667</v>
      </c>
      <c r="F1744" s="23">
        <f>IFERROR(__xludf.DUMMYFUNCTION("""COMPUTED_VALUE"""),31.1)</f>
        <v>31.1</v>
      </c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</row>
    <row r="1745">
      <c r="A1745" s="22">
        <f>IFERROR(__xludf.DUMMYFUNCTION("""COMPUTED_VALUE"""),44480.66666666667)</f>
        <v>44480.66667</v>
      </c>
      <c r="B1745" s="23">
        <f>IFERROR(__xludf.DUMMYFUNCTION("""COMPUTED_VALUE"""),99.42)</f>
        <v>99.42</v>
      </c>
      <c r="C1745" s="19"/>
      <c r="D1745" s="19"/>
      <c r="E1745" s="22">
        <f>IFERROR(__xludf.DUMMYFUNCTION("""COMPUTED_VALUE"""),44662.66666666667)</f>
        <v>44662.66667</v>
      </c>
      <c r="F1745" s="23">
        <f>IFERROR(__xludf.DUMMYFUNCTION("""COMPUTED_VALUE"""),30.51)</f>
        <v>30.51</v>
      </c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</row>
    <row r="1746">
      <c r="A1746" s="22">
        <f>IFERROR(__xludf.DUMMYFUNCTION("""COMPUTED_VALUE"""),44481.66666666667)</f>
        <v>44481.66667</v>
      </c>
      <c r="B1746" s="23">
        <f>IFERROR(__xludf.DUMMYFUNCTION("""COMPUTED_VALUE"""),98.1)</f>
        <v>98.1</v>
      </c>
      <c r="C1746" s="19"/>
      <c r="D1746" s="19"/>
      <c r="E1746" s="22">
        <f>IFERROR(__xludf.DUMMYFUNCTION("""COMPUTED_VALUE"""),44663.66666666667)</f>
        <v>44663.66667</v>
      </c>
      <c r="F1746" s="23">
        <f>IFERROR(__xludf.DUMMYFUNCTION("""COMPUTED_VALUE"""),29.99)</f>
        <v>29.99</v>
      </c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</row>
    <row r="1747">
      <c r="A1747" s="22">
        <f>IFERROR(__xludf.DUMMYFUNCTION("""COMPUTED_VALUE"""),44482.66666666667)</f>
        <v>44482.66667</v>
      </c>
      <c r="B1747" s="23">
        <f>IFERROR(__xludf.DUMMYFUNCTION("""COMPUTED_VALUE"""),98.54)</f>
        <v>98.54</v>
      </c>
      <c r="C1747" s="19"/>
      <c r="D1747" s="19"/>
      <c r="E1747" s="22">
        <f>IFERROR(__xludf.DUMMYFUNCTION("""COMPUTED_VALUE"""),44664.66666666667)</f>
        <v>44664.66667</v>
      </c>
      <c r="F1747" s="23">
        <f>IFERROR(__xludf.DUMMYFUNCTION("""COMPUTED_VALUE"""),30.15)</f>
        <v>30.15</v>
      </c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</row>
    <row r="1748">
      <c r="A1748" s="22">
        <f>IFERROR(__xludf.DUMMYFUNCTION("""COMPUTED_VALUE"""),44483.66666666667)</f>
        <v>44483.66667</v>
      </c>
      <c r="B1748" s="23">
        <f>IFERROR(__xludf.DUMMYFUNCTION("""COMPUTED_VALUE"""),98.78)</f>
        <v>98.78</v>
      </c>
      <c r="C1748" s="19"/>
      <c r="D1748" s="19"/>
      <c r="E1748" s="22">
        <f>IFERROR(__xludf.DUMMYFUNCTION("""COMPUTED_VALUE"""),44665.66666666667)</f>
        <v>44665.66667</v>
      </c>
      <c r="F1748" s="23">
        <f>IFERROR(__xludf.DUMMYFUNCTION("""COMPUTED_VALUE"""),30.53)</f>
        <v>30.53</v>
      </c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</row>
    <row r="1749">
      <c r="A1749" s="22">
        <f>IFERROR(__xludf.DUMMYFUNCTION("""COMPUTED_VALUE"""),44484.66666666667)</f>
        <v>44484.66667</v>
      </c>
      <c r="B1749" s="23">
        <f>IFERROR(__xludf.DUMMYFUNCTION("""COMPUTED_VALUE"""),99.85)</f>
        <v>99.85</v>
      </c>
      <c r="C1749" s="19"/>
      <c r="D1749" s="19"/>
      <c r="E1749" s="22">
        <f>IFERROR(__xludf.DUMMYFUNCTION("""COMPUTED_VALUE"""),44670.66666666667)</f>
        <v>44670.66667</v>
      </c>
      <c r="F1749" s="23">
        <f>IFERROR(__xludf.DUMMYFUNCTION("""COMPUTED_VALUE"""),30.25)</f>
        <v>30.25</v>
      </c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</row>
    <row r="1750">
      <c r="A1750" s="22">
        <f>IFERROR(__xludf.DUMMYFUNCTION("""COMPUTED_VALUE"""),44487.66666666667)</f>
        <v>44487.66667</v>
      </c>
      <c r="B1750" s="23">
        <f>IFERROR(__xludf.DUMMYFUNCTION("""COMPUTED_VALUE"""),100.26)</f>
        <v>100.26</v>
      </c>
      <c r="C1750" s="19"/>
      <c r="D1750" s="19"/>
      <c r="E1750" s="22">
        <f>IFERROR(__xludf.DUMMYFUNCTION("""COMPUTED_VALUE"""),44671.66666666667)</f>
        <v>44671.66667</v>
      </c>
      <c r="F1750" s="23">
        <f>IFERROR(__xludf.DUMMYFUNCTION("""COMPUTED_VALUE"""),30.33)</f>
        <v>30.33</v>
      </c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</row>
    <row r="1751">
      <c r="A1751" s="22">
        <f>IFERROR(__xludf.DUMMYFUNCTION("""COMPUTED_VALUE"""),44488.66666666667)</f>
        <v>44488.66667</v>
      </c>
      <c r="B1751" s="23">
        <f>IFERROR(__xludf.DUMMYFUNCTION("""COMPUTED_VALUE"""),100.04)</f>
        <v>100.04</v>
      </c>
      <c r="C1751" s="19"/>
      <c r="D1751" s="19"/>
      <c r="E1751" s="22">
        <f>IFERROR(__xludf.DUMMYFUNCTION("""COMPUTED_VALUE"""),44672.66666666667)</f>
        <v>44672.66667</v>
      </c>
      <c r="F1751" s="23">
        <f>IFERROR(__xludf.DUMMYFUNCTION("""COMPUTED_VALUE"""),30.21)</f>
        <v>30.21</v>
      </c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</row>
    <row r="1752">
      <c r="A1752" s="22">
        <f>IFERROR(__xludf.DUMMYFUNCTION("""COMPUTED_VALUE"""),44489.66666666667)</f>
        <v>44489.66667</v>
      </c>
      <c r="B1752" s="23">
        <f>IFERROR(__xludf.DUMMYFUNCTION("""COMPUTED_VALUE"""),100.01)</f>
        <v>100.01</v>
      </c>
      <c r="C1752" s="19"/>
      <c r="D1752" s="19"/>
      <c r="E1752" s="22">
        <f>IFERROR(__xludf.DUMMYFUNCTION("""COMPUTED_VALUE"""),44673.66666666667)</f>
        <v>44673.66667</v>
      </c>
      <c r="F1752" s="23">
        <f>IFERROR(__xludf.DUMMYFUNCTION("""COMPUTED_VALUE"""),29.79)</f>
        <v>29.79</v>
      </c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</row>
    <row r="1753">
      <c r="A1753" s="22">
        <f>IFERROR(__xludf.DUMMYFUNCTION("""COMPUTED_VALUE"""),44490.66666666667)</f>
        <v>44490.66667</v>
      </c>
      <c r="B1753" s="23">
        <f>IFERROR(__xludf.DUMMYFUNCTION("""COMPUTED_VALUE"""),100.0)</f>
        <v>100</v>
      </c>
      <c r="C1753" s="19"/>
      <c r="D1753" s="19"/>
      <c r="E1753" s="22">
        <f>IFERROR(__xludf.DUMMYFUNCTION("""COMPUTED_VALUE"""),44677.66666666667)</f>
        <v>44677.66667</v>
      </c>
      <c r="F1753" s="23">
        <f>IFERROR(__xludf.DUMMYFUNCTION("""COMPUTED_VALUE"""),29.95)</f>
        <v>29.95</v>
      </c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</row>
    <row r="1754">
      <c r="A1754" s="22">
        <f>IFERROR(__xludf.DUMMYFUNCTION("""COMPUTED_VALUE"""),44491.66666666667)</f>
        <v>44491.66667</v>
      </c>
      <c r="B1754" s="23">
        <f>IFERROR(__xludf.DUMMYFUNCTION("""COMPUTED_VALUE"""),100.76)</f>
        <v>100.76</v>
      </c>
      <c r="C1754" s="19"/>
      <c r="D1754" s="19"/>
      <c r="E1754" s="22">
        <f>IFERROR(__xludf.DUMMYFUNCTION("""COMPUTED_VALUE"""),44678.66666666667)</f>
        <v>44678.66667</v>
      </c>
      <c r="F1754" s="23">
        <f>IFERROR(__xludf.DUMMYFUNCTION("""COMPUTED_VALUE"""),29.08)</f>
        <v>29.08</v>
      </c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</row>
    <row r="1755">
      <c r="A1755" s="22">
        <f>IFERROR(__xludf.DUMMYFUNCTION("""COMPUTED_VALUE"""),44494.66666666667)</f>
        <v>44494.66667</v>
      </c>
      <c r="B1755" s="23">
        <f>IFERROR(__xludf.DUMMYFUNCTION("""COMPUTED_VALUE"""),100.77)</f>
        <v>100.77</v>
      </c>
      <c r="C1755" s="19"/>
      <c r="D1755" s="19"/>
      <c r="E1755" s="22">
        <f>IFERROR(__xludf.DUMMYFUNCTION("""COMPUTED_VALUE"""),44679.66666666667)</f>
        <v>44679.66667</v>
      </c>
      <c r="F1755" s="23">
        <f>IFERROR(__xludf.DUMMYFUNCTION("""COMPUTED_VALUE"""),29.63)</f>
        <v>29.63</v>
      </c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</row>
    <row r="1756">
      <c r="A1756" s="22">
        <f>IFERROR(__xludf.DUMMYFUNCTION("""COMPUTED_VALUE"""),44495.66666666667)</f>
        <v>44495.66667</v>
      </c>
      <c r="B1756" s="23">
        <f>IFERROR(__xludf.DUMMYFUNCTION("""COMPUTED_VALUE"""),100.86)</f>
        <v>100.86</v>
      </c>
      <c r="C1756" s="19"/>
      <c r="D1756" s="19"/>
      <c r="E1756" s="22">
        <f>IFERROR(__xludf.DUMMYFUNCTION("""COMPUTED_VALUE"""),44680.66666666667)</f>
        <v>44680.66667</v>
      </c>
      <c r="F1756" s="23">
        <f>IFERROR(__xludf.DUMMYFUNCTION("""COMPUTED_VALUE"""),29.88)</f>
        <v>29.88</v>
      </c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</row>
    <row r="1757">
      <c r="A1757" s="22">
        <f>IFERROR(__xludf.DUMMYFUNCTION("""COMPUTED_VALUE"""),44496.66666666667)</f>
        <v>44496.66667</v>
      </c>
      <c r="B1757" s="23">
        <f>IFERROR(__xludf.DUMMYFUNCTION("""COMPUTED_VALUE"""),100.66)</f>
        <v>100.66</v>
      </c>
      <c r="C1757" s="19"/>
      <c r="D1757" s="19"/>
      <c r="E1757" s="22">
        <f>IFERROR(__xludf.DUMMYFUNCTION("""COMPUTED_VALUE"""),44683.66666666667)</f>
        <v>44683.66667</v>
      </c>
      <c r="F1757" s="23">
        <f>IFERROR(__xludf.DUMMYFUNCTION("""COMPUTED_VALUE"""),29.3)</f>
        <v>29.3</v>
      </c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</row>
    <row r="1758">
      <c r="A1758" s="22">
        <f>IFERROR(__xludf.DUMMYFUNCTION("""COMPUTED_VALUE"""),44497.66666666667)</f>
        <v>44497.66667</v>
      </c>
      <c r="B1758" s="23">
        <f>IFERROR(__xludf.DUMMYFUNCTION("""COMPUTED_VALUE"""),100.55)</f>
        <v>100.55</v>
      </c>
      <c r="C1758" s="19"/>
      <c r="D1758" s="19"/>
      <c r="E1758" s="22">
        <f>IFERROR(__xludf.DUMMYFUNCTION("""COMPUTED_VALUE"""),44684.66666666667)</f>
        <v>44684.66667</v>
      </c>
      <c r="F1758" s="23">
        <f>IFERROR(__xludf.DUMMYFUNCTION("""COMPUTED_VALUE"""),29.34)</f>
        <v>29.34</v>
      </c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</row>
    <row r="1759">
      <c r="A1759" s="22">
        <f>IFERROR(__xludf.DUMMYFUNCTION("""COMPUTED_VALUE"""),44498.66666666667)</f>
        <v>44498.66667</v>
      </c>
      <c r="B1759" s="23">
        <f>IFERROR(__xludf.DUMMYFUNCTION("""COMPUTED_VALUE"""),100.35)</f>
        <v>100.35</v>
      </c>
      <c r="C1759" s="19"/>
      <c r="D1759" s="19"/>
      <c r="E1759" s="22">
        <f>IFERROR(__xludf.DUMMYFUNCTION("""COMPUTED_VALUE"""),44685.66666666667)</f>
        <v>44685.66667</v>
      </c>
      <c r="F1759" s="23">
        <f>IFERROR(__xludf.DUMMYFUNCTION("""COMPUTED_VALUE"""),29.45)</f>
        <v>29.45</v>
      </c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</row>
    <row r="1760">
      <c r="A1760" s="22">
        <f>IFERROR(__xludf.DUMMYFUNCTION("""COMPUTED_VALUE"""),44501.66666666667)</f>
        <v>44501.66667</v>
      </c>
      <c r="B1760" s="23">
        <f>IFERROR(__xludf.DUMMYFUNCTION("""COMPUTED_VALUE"""),101.48)</f>
        <v>101.48</v>
      </c>
      <c r="C1760" s="19"/>
      <c r="D1760" s="19"/>
      <c r="E1760" s="22">
        <f>IFERROR(__xludf.DUMMYFUNCTION("""COMPUTED_VALUE"""),44686.66666666667)</f>
        <v>44686.66667</v>
      </c>
      <c r="F1760" s="23">
        <f>IFERROR(__xludf.DUMMYFUNCTION("""COMPUTED_VALUE"""),29.85)</f>
        <v>29.85</v>
      </c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</row>
    <row r="1761">
      <c r="A1761" s="22">
        <f>IFERROR(__xludf.DUMMYFUNCTION("""COMPUTED_VALUE"""),44502.66666666667)</f>
        <v>44502.66667</v>
      </c>
      <c r="B1761" s="23">
        <f>IFERROR(__xludf.DUMMYFUNCTION("""COMPUTED_VALUE"""),101.67)</f>
        <v>101.67</v>
      </c>
      <c r="C1761" s="19"/>
      <c r="D1761" s="19"/>
      <c r="E1761" s="22">
        <f>IFERROR(__xludf.DUMMYFUNCTION("""COMPUTED_VALUE"""),44687.66666666667)</f>
        <v>44687.66667</v>
      </c>
      <c r="F1761" s="23">
        <f>IFERROR(__xludf.DUMMYFUNCTION("""COMPUTED_VALUE"""),28.99)</f>
        <v>28.99</v>
      </c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</row>
    <row r="1762">
      <c r="A1762" s="22">
        <f>IFERROR(__xludf.DUMMYFUNCTION("""COMPUTED_VALUE"""),44503.66666666667)</f>
        <v>44503.66667</v>
      </c>
      <c r="B1762" s="23">
        <f>IFERROR(__xludf.DUMMYFUNCTION("""COMPUTED_VALUE"""),102.76)</f>
        <v>102.76</v>
      </c>
      <c r="C1762" s="19"/>
      <c r="D1762" s="19"/>
      <c r="E1762" s="22">
        <f>IFERROR(__xludf.DUMMYFUNCTION("""COMPUTED_VALUE"""),44690.66666666667)</f>
        <v>44690.66667</v>
      </c>
      <c r="F1762" s="23">
        <f>IFERROR(__xludf.DUMMYFUNCTION("""COMPUTED_VALUE"""),28.69)</f>
        <v>28.69</v>
      </c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</row>
    <row r="1763">
      <c r="A1763" s="22">
        <f>IFERROR(__xludf.DUMMYFUNCTION("""COMPUTED_VALUE"""),44504.66666666667)</f>
        <v>44504.66667</v>
      </c>
      <c r="B1763" s="23">
        <f>IFERROR(__xludf.DUMMYFUNCTION("""COMPUTED_VALUE"""),103.4)</f>
        <v>103.4</v>
      </c>
      <c r="C1763" s="19"/>
      <c r="D1763" s="19"/>
      <c r="E1763" s="22">
        <f>IFERROR(__xludf.DUMMYFUNCTION("""COMPUTED_VALUE"""),44691.66666666667)</f>
        <v>44691.66667</v>
      </c>
      <c r="F1763" s="23">
        <f>IFERROR(__xludf.DUMMYFUNCTION("""COMPUTED_VALUE"""),28.3)</f>
        <v>28.3</v>
      </c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</row>
    <row r="1764">
      <c r="A1764" s="22">
        <f>IFERROR(__xludf.DUMMYFUNCTION("""COMPUTED_VALUE"""),44505.66666666667)</f>
        <v>44505.66667</v>
      </c>
      <c r="B1764" s="23">
        <f>IFERROR(__xludf.DUMMYFUNCTION("""COMPUTED_VALUE"""),104.35)</f>
        <v>104.35</v>
      </c>
      <c r="C1764" s="19"/>
      <c r="D1764" s="19"/>
      <c r="E1764" s="22">
        <f>IFERROR(__xludf.DUMMYFUNCTION("""COMPUTED_VALUE"""),44692.66666666667)</f>
        <v>44692.66667</v>
      </c>
      <c r="F1764" s="23">
        <f>IFERROR(__xludf.DUMMYFUNCTION("""COMPUTED_VALUE"""),28.53)</f>
        <v>28.53</v>
      </c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</row>
    <row r="1765">
      <c r="A1765" s="22">
        <f>IFERROR(__xludf.DUMMYFUNCTION("""COMPUTED_VALUE"""),44508.66666666667)</f>
        <v>44508.66667</v>
      </c>
      <c r="B1765" s="23">
        <f>IFERROR(__xludf.DUMMYFUNCTION("""COMPUTED_VALUE"""),104.41)</f>
        <v>104.41</v>
      </c>
      <c r="C1765" s="19"/>
      <c r="D1765" s="19"/>
      <c r="E1765" s="22">
        <f>IFERROR(__xludf.DUMMYFUNCTION("""COMPUTED_VALUE"""),44693.66666666667)</f>
        <v>44693.66667</v>
      </c>
      <c r="F1765" s="23">
        <f>IFERROR(__xludf.DUMMYFUNCTION("""COMPUTED_VALUE"""),27.72)</f>
        <v>27.72</v>
      </c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</row>
    <row r="1766">
      <c r="A1766" s="22">
        <f>IFERROR(__xludf.DUMMYFUNCTION("""COMPUTED_VALUE"""),44509.66666666667)</f>
        <v>44509.66667</v>
      </c>
      <c r="B1766" s="23">
        <f>IFERROR(__xludf.DUMMYFUNCTION("""COMPUTED_VALUE"""),104.32)</f>
        <v>104.32</v>
      </c>
      <c r="C1766" s="19"/>
      <c r="D1766" s="19"/>
      <c r="E1766" s="22">
        <f>IFERROR(__xludf.DUMMYFUNCTION("""COMPUTED_VALUE"""),44694.66666666667)</f>
        <v>44694.66667</v>
      </c>
      <c r="F1766" s="23">
        <f>IFERROR(__xludf.DUMMYFUNCTION("""COMPUTED_VALUE"""),28.05)</f>
        <v>28.05</v>
      </c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</row>
    <row r="1767">
      <c r="A1767" s="22">
        <f>IFERROR(__xludf.DUMMYFUNCTION("""COMPUTED_VALUE"""),44510.66666666667)</f>
        <v>44510.66667</v>
      </c>
      <c r="B1767" s="23">
        <f>IFERROR(__xludf.DUMMYFUNCTION("""COMPUTED_VALUE"""),104.57)</f>
        <v>104.57</v>
      </c>
      <c r="C1767" s="19"/>
      <c r="D1767" s="19"/>
      <c r="E1767" s="22">
        <f>IFERROR(__xludf.DUMMYFUNCTION("""COMPUTED_VALUE"""),44697.66666666667)</f>
        <v>44697.66667</v>
      </c>
      <c r="F1767" s="23">
        <f>IFERROR(__xludf.DUMMYFUNCTION("""COMPUTED_VALUE"""),28.5)</f>
        <v>28.5</v>
      </c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</row>
    <row r="1768">
      <c r="A1768" s="22">
        <f>IFERROR(__xludf.DUMMYFUNCTION("""COMPUTED_VALUE"""),44511.66666666667)</f>
        <v>44511.66667</v>
      </c>
      <c r="B1768" s="23">
        <f>IFERROR(__xludf.DUMMYFUNCTION("""COMPUTED_VALUE"""),104.92)</f>
        <v>104.92</v>
      </c>
      <c r="C1768" s="19"/>
      <c r="D1768" s="19"/>
      <c r="E1768" s="22">
        <f>IFERROR(__xludf.DUMMYFUNCTION("""COMPUTED_VALUE"""),44698.66666666667)</f>
        <v>44698.66667</v>
      </c>
      <c r="F1768" s="23">
        <f>IFERROR(__xludf.DUMMYFUNCTION("""COMPUTED_VALUE"""),28.11)</f>
        <v>28.11</v>
      </c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</row>
    <row r="1769">
      <c r="A1769" s="22">
        <f>IFERROR(__xludf.DUMMYFUNCTION("""COMPUTED_VALUE"""),44512.66666666667)</f>
        <v>44512.66667</v>
      </c>
      <c r="B1769" s="23">
        <f>IFERROR(__xludf.DUMMYFUNCTION("""COMPUTED_VALUE"""),105.39)</f>
        <v>105.39</v>
      </c>
      <c r="C1769" s="19"/>
      <c r="D1769" s="19"/>
      <c r="E1769" s="22">
        <f>IFERROR(__xludf.DUMMYFUNCTION("""COMPUTED_VALUE"""),44699.66666666667)</f>
        <v>44699.66667</v>
      </c>
      <c r="F1769" s="23">
        <f>IFERROR(__xludf.DUMMYFUNCTION("""COMPUTED_VALUE"""),28.41)</f>
        <v>28.41</v>
      </c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</row>
    <row r="1770">
      <c r="A1770" s="22">
        <f>IFERROR(__xludf.DUMMYFUNCTION("""COMPUTED_VALUE"""),44515.66666666667)</f>
        <v>44515.66667</v>
      </c>
      <c r="B1770" s="23">
        <f>IFERROR(__xludf.DUMMYFUNCTION("""COMPUTED_VALUE"""),105.32)</f>
        <v>105.32</v>
      </c>
      <c r="C1770" s="19"/>
      <c r="D1770" s="19"/>
      <c r="E1770" s="22">
        <f>IFERROR(__xludf.DUMMYFUNCTION("""COMPUTED_VALUE"""),44700.66666666667)</f>
        <v>44700.66667</v>
      </c>
      <c r="F1770" s="23">
        <f>IFERROR(__xludf.DUMMYFUNCTION("""COMPUTED_VALUE"""),27.19)</f>
        <v>27.19</v>
      </c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</row>
    <row r="1771">
      <c r="A1771" s="22">
        <f>IFERROR(__xludf.DUMMYFUNCTION("""COMPUTED_VALUE"""),44516.66666666667)</f>
        <v>44516.66667</v>
      </c>
      <c r="B1771" s="23">
        <f>IFERROR(__xludf.DUMMYFUNCTION("""COMPUTED_VALUE"""),105.05)</f>
        <v>105.05</v>
      </c>
      <c r="C1771" s="19"/>
      <c r="D1771" s="19"/>
      <c r="E1771" s="22">
        <f>IFERROR(__xludf.DUMMYFUNCTION("""COMPUTED_VALUE"""),44701.66666666667)</f>
        <v>44701.66667</v>
      </c>
      <c r="F1771" s="23">
        <f>IFERROR(__xludf.DUMMYFUNCTION("""COMPUTED_VALUE"""),27.21)</f>
        <v>27.21</v>
      </c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</row>
    <row r="1772">
      <c r="A1772" s="22">
        <f>IFERROR(__xludf.DUMMYFUNCTION("""COMPUTED_VALUE"""),44517.66666666667)</f>
        <v>44517.66667</v>
      </c>
      <c r="B1772" s="23">
        <f>IFERROR(__xludf.DUMMYFUNCTION("""COMPUTED_VALUE"""),106.12)</f>
        <v>106.12</v>
      </c>
      <c r="C1772" s="19"/>
      <c r="D1772" s="19"/>
      <c r="E1772" s="22">
        <f>IFERROR(__xludf.DUMMYFUNCTION("""COMPUTED_VALUE"""),44704.66666666667)</f>
        <v>44704.66667</v>
      </c>
      <c r="F1772" s="23">
        <f>IFERROR(__xludf.DUMMYFUNCTION("""COMPUTED_VALUE"""),26.97)</f>
        <v>26.97</v>
      </c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</row>
    <row r="1773">
      <c r="A1773" s="22">
        <f>IFERROR(__xludf.DUMMYFUNCTION("""COMPUTED_VALUE"""),44518.66666666667)</f>
        <v>44518.66667</v>
      </c>
      <c r="B1773" s="23">
        <f>IFERROR(__xludf.DUMMYFUNCTION("""COMPUTED_VALUE"""),106.34)</f>
        <v>106.34</v>
      </c>
      <c r="C1773" s="19"/>
      <c r="D1773" s="19"/>
      <c r="E1773" s="22">
        <f>IFERROR(__xludf.DUMMYFUNCTION("""COMPUTED_VALUE"""),44705.66666666667)</f>
        <v>44705.66667</v>
      </c>
      <c r="F1773" s="23">
        <f>IFERROR(__xludf.DUMMYFUNCTION("""COMPUTED_VALUE"""),26.62)</f>
        <v>26.62</v>
      </c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</row>
    <row r="1774">
      <c r="A1774" s="22">
        <f>IFERROR(__xludf.DUMMYFUNCTION("""COMPUTED_VALUE"""),44519.66666666667)</f>
        <v>44519.66667</v>
      </c>
      <c r="B1774" s="23">
        <f>IFERROR(__xludf.DUMMYFUNCTION("""COMPUTED_VALUE"""),106.71)</f>
        <v>106.71</v>
      </c>
      <c r="C1774" s="19"/>
      <c r="D1774" s="19"/>
      <c r="E1774" s="22">
        <f>IFERROR(__xludf.DUMMYFUNCTION("""COMPUTED_VALUE"""),44706.66666666667)</f>
        <v>44706.66667</v>
      </c>
      <c r="F1774" s="23">
        <f>IFERROR(__xludf.DUMMYFUNCTION("""COMPUTED_VALUE"""),26.62)</f>
        <v>26.62</v>
      </c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</row>
    <row r="1775">
      <c r="A1775" s="22">
        <f>IFERROR(__xludf.DUMMYFUNCTION("""COMPUTED_VALUE"""),44522.66666666667)</f>
        <v>44522.66667</v>
      </c>
      <c r="B1775" s="23">
        <f>IFERROR(__xludf.DUMMYFUNCTION("""COMPUTED_VALUE"""),106.6)</f>
        <v>106.6</v>
      </c>
      <c r="C1775" s="19"/>
      <c r="D1775" s="19"/>
      <c r="E1775" s="22">
        <f>IFERROR(__xludf.DUMMYFUNCTION("""COMPUTED_VALUE"""),44707.66666666667)</f>
        <v>44707.66667</v>
      </c>
      <c r="F1775" s="23">
        <f>IFERROR(__xludf.DUMMYFUNCTION("""COMPUTED_VALUE"""),26.77)</f>
        <v>26.77</v>
      </c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</row>
    <row r="1776">
      <c r="A1776" s="22">
        <f>IFERROR(__xludf.DUMMYFUNCTION("""COMPUTED_VALUE"""),44523.66666666667)</f>
        <v>44523.66667</v>
      </c>
      <c r="B1776" s="23">
        <f>IFERROR(__xludf.DUMMYFUNCTION("""COMPUTED_VALUE"""),106.18)</f>
        <v>106.18</v>
      </c>
      <c r="C1776" s="19"/>
      <c r="D1776" s="19"/>
      <c r="E1776" s="22">
        <f>IFERROR(__xludf.DUMMYFUNCTION("""COMPUTED_VALUE"""),44708.66666666667)</f>
        <v>44708.66667</v>
      </c>
      <c r="F1776" s="23">
        <f>IFERROR(__xludf.DUMMYFUNCTION("""COMPUTED_VALUE"""),27.4)</f>
        <v>27.4</v>
      </c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</row>
    <row r="1777">
      <c r="A1777" s="22">
        <f>IFERROR(__xludf.DUMMYFUNCTION("""COMPUTED_VALUE"""),44524.66666666667)</f>
        <v>44524.66667</v>
      </c>
      <c r="B1777" s="23">
        <f>IFERROR(__xludf.DUMMYFUNCTION("""COMPUTED_VALUE"""),106.1)</f>
        <v>106.1</v>
      </c>
      <c r="C1777" s="19"/>
      <c r="D1777" s="19"/>
      <c r="E1777" s="22">
        <f>IFERROR(__xludf.DUMMYFUNCTION("""COMPUTED_VALUE"""),44711.66666666667)</f>
        <v>44711.66667</v>
      </c>
      <c r="F1777" s="23">
        <f>IFERROR(__xludf.DUMMYFUNCTION("""COMPUTED_VALUE"""),28.56)</f>
        <v>28.56</v>
      </c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</row>
    <row r="1778">
      <c r="A1778" s="22">
        <f>IFERROR(__xludf.DUMMYFUNCTION("""COMPUTED_VALUE"""),44525.66666666667)</f>
        <v>44525.66667</v>
      </c>
      <c r="B1778" s="23">
        <f>IFERROR(__xludf.DUMMYFUNCTION("""COMPUTED_VALUE"""),106.82)</f>
        <v>106.82</v>
      </c>
      <c r="C1778" s="19"/>
      <c r="D1778" s="19"/>
      <c r="E1778" s="22">
        <f>IFERROR(__xludf.DUMMYFUNCTION("""COMPUTED_VALUE"""),44712.66666666667)</f>
        <v>44712.66667</v>
      </c>
      <c r="F1778" s="23">
        <f>IFERROR(__xludf.DUMMYFUNCTION("""COMPUTED_VALUE"""),28.23)</f>
        <v>28.23</v>
      </c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</row>
    <row r="1779">
      <c r="A1779" s="22">
        <f>IFERROR(__xludf.DUMMYFUNCTION("""COMPUTED_VALUE"""),44526.66666666667)</f>
        <v>44526.66667</v>
      </c>
      <c r="B1779" s="23">
        <f>IFERROR(__xludf.DUMMYFUNCTION("""COMPUTED_VALUE"""),106.25)</f>
        <v>106.25</v>
      </c>
      <c r="C1779" s="19"/>
      <c r="D1779" s="19"/>
      <c r="E1779" s="22">
        <f>IFERROR(__xludf.DUMMYFUNCTION("""COMPUTED_VALUE"""),44713.66666666667)</f>
        <v>44713.66667</v>
      </c>
      <c r="F1779" s="23">
        <f>IFERROR(__xludf.DUMMYFUNCTION("""COMPUTED_VALUE"""),28.16)</f>
        <v>28.16</v>
      </c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</row>
    <row r="1780">
      <c r="A1780" s="22">
        <f>IFERROR(__xludf.DUMMYFUNCTION("""COMPUTED_VALUE"""),44529.66666666667)</f>
        <v>44529.66667</v>
      </c>
      <c r="B1780" s="23">
        <f>IFERROR(__xludf.DUMMYFUNCTION("""COMPUTED_VALUE"""),105.85)</f>
        <v>105.85</v>
      </c>
      <c r="C1780" s="19"/>
      <c r="D1780" s="19"/>
      <c r="E1780" s="22">
        <f>IFERROR(__xludf.DUMMYFUNCTION("""COMPUTED_VALUE"""),44714.66666666667)</f>
        <v>44714.66667</v>
      </c>
      <c r="F1780" s="23">
        <f>IFERROR(__xludf.DUMMYFUNCTION("""COMPUTED_VALUE"""),28.01)</f>
        <v>28.01</v>
      </c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</row>
    <row r="1781">
      <c r="A1781" s="22">
        <f>IFERROR(__xludf.DUMMYFUNCTION("""COMPUTED_VALUE"""),44530.66666666667)</f>
        <v>44530.66667</v>
      </c>
      <c r="B1781" s="23">
        <f>IFERROR(__xludf.DUMMYFUNCTION("""COMPUTED_VALUE"""),106.19)</f>
        <v>106.19</v>
      </c>
      <c r="C1781" s="19"/>
      <c r="D1781" s="19"/>
      <c r="E1781" s="22">
        <f>IFERROR(__xludf.DUMMYFUNCTION("""COMPUTED_VALUE"""),44715.66666666667)</f>
        <v>44715.66667</v>
      </c>
      <c r="F1781" s="23">
        <f>IFERROR(__xludf.DUMMYFUNCTION("""COMPUTED_VALUE"""),28.38)</f>
        <v>28.38</v>
      </c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</row>
    <row r="1782">
      <c r="A1782" s="22">
        <f>IFERROR(__xludf.DUMMYFUNCTION("""COMPUTED_VALUE"""),44531.66666666667)</f>
        <v>44531.66667</v>
      </c>
      <c r="B1782" s="23">
        <f>IFERROR(__xludf.DUMMYFUNCTION("""COMPUTED_VALUE"""),104.88)</f>
        <v>104.88</v>
      </c>
      <c r="C1782" s="19"/>
      <c r="D1782" s="19"/>
      <c r="E1782" s="22">
        <f>IFERROR(__xludf.DUMMYFUNCTION("""COMPUTED_VALUE"""),44718.66666666667)</f>
        <v>44718.66667</v>
      </c>
      <c r="F1782" s="23">
        <f>IFERROR(__xludf.DUMMYFUNCTION("""COMPUTED_VALUE"""),28.0)</f>
        <v>28</v>
      </c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</row>
    <row r="1783">
      <c r="A1783" s="22">
        <f>IFERROR(__xludf.DUMMYFUNCTION("""COMPUTED_VALUE"""),44532.66666666667)</f>
        <v>44532.66667</v>
      </c>
      <c r="B1783" s="23">
        <f>IFERROR(__xludf.DUMMYFUNCTION("""COMPUTED_VALUE"""),104.35)</f>
        <v>104.35</v>
      </c>
      <c r="C1783" s="19"/>
      <c r="D1783" s="19"/>
      <c r="E1783" s="22">
        <f>IFERROR(__xludf.DUMMYFUNCTION("""COMPUTED_VALUE"""),44719.66666666667)</f>
        <v>44719.66667</v>
      </c>
      <c r="F1783" s="23">
        <f>IFERROR(__xludf.DUMMYFUNCTION("""COMPUTED_VALUE"""),27.81)</f>
        <v>27.81</v>
      </c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</row>
    <row r="1784">
      <c r="A1784" s="22">
        <f>IFERROR(__xludf.DUMMYFUNCTION("""COMPUTED_VALUE"""),44533.66666666667)</f>
        <v>44533.66667</v>
      </c>
      <c r="B1784" s="23">
        <f>IFERROR(__xludf.DUMMYFUNCTION("""COMPUTED_VALUE"""),105.5)</f>
        <v>105.5</v>
      </c>
      <c r="C1784" s="19"/>
      <c r="D1784" s="19"/>
      <c r="E1784" s="22">
        <f>IFERROR(__xludf.DUMMYFUNCTION("""COMPUTED_VALUE"""),44720.66666666667)</f>
        <v>44720.66667</v>
      </c>
      <c r="F1784" s="23">
        <f>IFERROR(__xludf.DUMMYFUNCTION("""COMPUTED_VALUE"""),28.07)</f>
        <v>28.07</v>
      </c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</row>
    <row r="1785">
      <c r="A1785" s="22">
        <f>IFERROR(__xludf.DUMMYFUNCTION("""COMPUTED_VALUE"""),44536.66666666667)</f>
        <v>44536.66667</v>
      </c>
      <c r="B1785" s="23">
        <f>IFERROR(__xludf.DUMMYFUNCTION("""COMPUTED_VALUE"""),105.94)</f>
        <v>105.94</v>
      </c>
      <c r="C1785" s="19"/>
      <c r="D1785" s="19"/>
      <c r="E1785" s="22">
        <f>IFERROR(__xludf.DUMMYFUNCTION("""COMPUTED_VALUE"""),44721.66666666667)</f>
        <v>44721.66667</v>
      </c>
      <c r="F1785" s="23">
        <f>IFERROR(__xludf.DUMMYFUNCTION("""COMPUTED_VALUE"""),28.0)</f>
        <v>28</v>
      </c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</row>
    <row r="1786">
      <c r="A1786" s="22">
        <f>IFERROR(__xludf.DUMMYFUNCTION("""COMPUTED_VALUE"""),44537.66666666667)</f>
        <v>44537.66667</v>
      </c>
      <c r="B1786" s="23">
        <f>IFERROR(__xludf.DUMMYFUNCTION("""COMPUTED_VALUE"""),106.35)</f>
        <v>106.35</v>
      </c>
      <c r="C1786" s="19"/>
      <c r="D1786" s="19"/>
      <c r="E1786" s="22">
        <f>IFERROR(__xludf.DUMMYFUNCTION("""COMPUTED_VALUE"""),44722.66666666667)</f>
        <v>44722.66667</v>
      </c>
      <c r="F1786" s="23">
        <f>IFERROR(__xludf.DUMMYFUNCTION("""COMPUTED_VALUE"""),27.64)</f>
        <v>27.64</v>
      </c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</row>
    <row r="1787">
      <c r="A1787" s="22">
        <f>IFERROR(__xludf.DUMMYFUNCTION("""COMPUTED_VALUE"""),44538.66666666667)</f>
        <v>44538.66667</v>
      </c>
      <c r="B1787" s="23">
        <f>IFERROR(__xludf.DUMMYFUNCTION("""COMPUTED_VALUE"""),107.44)</f>
        <v>107.44</v>
      </c>
      <c r="C1787" s="19"/>
      <c r="D1787" s="19"/>
      <c r="E1787" s="22">
        <f>IFERROR(__xludf.DUMMYFUNCTION("""COMPUTED_VALUE"""),44726.66666666667)</f>
        <v>44726.66667</v>
      </c>
      <c r="F1787" s="23">
        <f>IFERROR(__xludf.DUMMYFUNCTION("""COMPUTED_VALUE"""),26.35)</f>
        <v>26.35</v>
      </c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</row>
    <row r="1788">
      <c r="A1788" s="22">
        <f>IFERROR(__xludf.DUMMYFUNCTION("""COMPUTED_VALUE"""),44539.66666666667)</f>
        <v>44539.66667</v>
      </c>
      <c r="B1788" s="23">
        <f>IFERROR(__xludf.DUMMYFUNCTION("""COMPUTED_VALUE"""),106.76)</f>
        <v>106.76</v>
      </c>
      <c r="C1788" s="19"/>
      <c r="D1788" s="19"/>
      <c r="E1788" s="22">
        <f>IFERROR(__xludf.DUMMYFUNCTION("""COMPUTED_VALUE"""),44727.66666666667)</f>
        <v>44727.66667</v>
      </c>
      <c r="F1788" s="23">
        <f>IFERROR(__xludf.DUMMYFUNCTION("""COMPUTED_VALUE"""),26.32)</f>
        <v>26.32</v>
      </c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</row>
    <row r="1789">
      <c r="A1789" s="22">
        <f>IFERROR(__xludf.DUMMYFUNCTION("""COMPUTED_VALUE"""),44540.66666666667)</f>
        <v>44540.66667</v>
      </c>
      <c r="B1789" s="23">
        <f>IFERROR(__xludf.DUMMYFUNCTION("""COMPUTED_VALUE"""),106.48)</f>
        <v>106.48</v>
      </c>
      <c r="C1789" s="19"/>
      <c r="D1789" s="19"/>
      <c r="E1789" s="22">
        <f>IFERROR(__xludf.DUMMYFUNCTION("""COMPUTED_VALUE"""),44728.66666666667)</f>
        <v>44728.66667</v>
      </c>
      <c r="F1789" s="23">
        <f>IFERROR(__xludf.DUMMYFUNCTION("""COMPUTED_VALUE"""),26.31)</f>
        <v>26.31</v>
      </c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</row>
    <row r="1790">
      <c r="A1790" s="22">
        <f>IFERROR(__xludf.DUMMYFUNCTION("""COMPUTED_VALUE"""),44543.66666666667)</f>
        <v>44543.66667</v>
      </c>
      <c r="B1790" s="23">
        <f>IFERROR(__xludf.DUMMYFUNCTION("""COMPUTED_VALUE"""),106.95)</f>
        <v>106.95</v>
      </c>
      <c r="C1790" s="19"/>
      <c r="D1790" s="19"/>
      <c r="E1790" s="22">
        <f>IFERROR(__xludf.DUMMYFUNCTION("""COMPUTED_VALUE"""),44729.66666666667)</f>
        <v>44729.66667</v>
      </c>
      <c r="F1790" s="23">
        <f>IFERROR(__xludf.DUMMYFUNCTION("""COMPUTED_VALUE"""),25.51)</f>
        <v>25.51</v>
      </c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</row>
    <row r="1791">
      <c r="A1791" s="22">
        <f>IFERROR(__xludf.DUMMYFUNCTION("""COMPUTED_VALUE"""),44544.66666666667)</f>
        <v>44544.66667</v>
      </c>
      <c r="B1791" s="23">
        <f>IFERROR(__xludf.DUMMYFUNCTION("""COMPUTED_VALUE"""),106.89)</f>
        <v>106.89</v>
      </c>
      <c r="C1791" s="19"/>
      <c r="D1791" s="19"/>
      <c r="E1791" s="22">
        <f>IFERROR(__xludf.DUMMYFUNCTION("""COMPUTED_VALUE"""),44732.66666666667)</f>
        <v>44732.66667</v>
      </c>
      <c r="F1791" s="23">
        <f>IFERROR(__xludf.DUMMYFUNCTION("""COMPUTED_VALUE"""),25.96)</f>
        <v>25.96</v>
      </c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</row>
    <row r="1792">
      <c r="A1792" s="22">
        <f>IFERROR(__xludf.DUMMYFUNCTION("""COMPUTED_VALUE"""),44545.66666666667)</f>
        <v>44545.66667</v>
      </c>
      <c r="B1792" s="23">
        <f>IFERROR(__xludf.DUMMYFUNCTION("""COMPUTED_VALUE"""),106.01)</f>
        <v>106.01</v>
      </c>
      <c r="C1792" s="19"/>
      <c r="D1792" s="19"/>
      <c r="E1792" s="22">
        <f>IFERROR(__xludf.DUMMYFUNCTION("""COMPUTED_VALUE"""),44733.66666666667)</f>
        <v>44733.66667</v>
      </c>
      <c r="F1792" s="23">
        <f>IFERROR(__xludf.DUMMYFUNCTION("""COMPUTED_VALUE"""),26.23)</f>
        <v>26.23</v>
      </c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</row>
    <row r="1793">
      <c r="A1793" s="22">
        <f>IFERROR(__xludf.DUMMYFUNCTION("""COMPUTED_VALUE"""),44546.66666666667)</f>
        <v>44546.66667</v>
      </c>
      <c r="B1793" s="23">
        <f>IFERROR(__xludf.DUMMYFUNCTION("""COMPUTED_VALUE"""),106.92)</f>
        <v>106.92</v>
      </c>
      <c r="C1793" s="19"/>
      <c r="D1793" s="19"/>
      <c r="E1793" s="22">
        <f>IFERROR(__xludf.DUMMYFUNCTION("""COMPUTED_VALUE"""),44734.66666666667)</f>
        <v>44734.66667</v>
      </c>
      <c r="F1793" s="23">
        <f>IFERROR(__xludf.DUMMYFUNCTION("""COMPUTED_VALUE"""),26.31)</f>
        <v>26.31</v>
      </c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</row>
    <row r="1794">
      <c r="A1794" s="22">
        <f>IFERROR(__xludf.DUMMYFUNCTION("""COMPUTED_VALUE"""),44547.66666666667)</f>
        <v>44547.66667</v>
      </c>
      <c r="B1794" s="23">
        <f>IFERROR(__xludf.DUMMYFUNCTION("""COMPUTED_VALUE"""),105.72)</f>
        <v>105.72</v>
      </c>
      <c r="C1794" s="19"/>
      <c r="D1794" s="19"/>
      <c r="E1794" s="22">
        <f>IFERROR(__xludf.DUMMYFUNCTION("""COMPUTED_VALUE"""),44735.66666666667)</f>
        <v>44735.66667</v>
      </c>
      <c r="F1794" s="23">
        <f>IFERROR(__xludf.DUMMYFUNCTION("""COMPUTED_VALUE"""),26.68)</f>
        <v>26.68</v>
      </c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</row>
    <row r="1795">
      <c r="A1795" s="22">
        <f>IFERROR(__xludf.DUMMYFUNCTION("""COMPUTED_VALUE"""),44550.66666666667)</f>
        <v>44550.66667</v>
      </c>
      <c r="B1795" s="23">
        <f>IFERROR(__xludf.DUMMYFUNCTION("""COMPUTED_VALUE"""),104.73)</f>
        <v>104.73</v>
      </c>
      <c r="C1795" s="19"/>
      <c r="D1795" s="19"/>
      <c r="E1795" s="22">
        <f>IFERROR(__xludf.DUMMYFUNCTION("""COMPUTED_VALUE"""),44736.66666666667)</f>
        <v>44736.66667</v>
      </c>
      <c r="F1795" s="23">
        <f>IFERROR(__xludf.DUMMYFUNCTION("""COMPUTED_VALUE"""),27.29)</f>
        <v>27.29</v>
      </c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</row>
    <row r="1796">
      <c r="A1796" s="22">
        <f>IFERROR(__xludf.DUMMYFUNCTION("""COMPUTED_VALUE"""),44551.66666666667)</f>
        <v>44551.66667</v>
      </c>
      <c r="B1796" s="23">
        <f>IFERROR(__xludf.DUMMYFUNCTION("""COMPUTED_VALUE"""),105.24)</f>
        <v>105.24</v>
      </c>
      <c r="C1796" s="19"/>
      <c r="D1796" s="19"/>
      <c r="E1796" s="22">
        <f>IFERROR(__xludf.DUMMYFUNCTION("""COMPUTED_VALUE"""),44739.66666666667)</f>
        <v>44739.66667</v>
      </c>
      <c r="F1796" s="23">
        <f>IFERROR(__xludf.DUMMYFUNCTION("""COMPUTED_VALUE"""),27.92)</f>
        <v>27.92</v>
      </c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</row>
    <row r="1797">
      <c r="A1797" s="22">
        <f>IFERROR(__xludf.DUMMYFUNCTION("""COMPUTED_VALUE"""),44552.66666666667)</f>
        <v>44552.66667</v>
      </c>
      <c r="B1797" s="23">
        <f>IFERROR(__xludf.DUMMYFUNCTION("""COMPUTED_VALUE"""),105.87)</f>
        <v>105.87</v>
      </c>
      <c r="C1797" s="19"/>
      <c r="D1797" s="19"/>
      <c r="E1797" s="22">
        <f>IFERROR(__xludf.DUMMYFUNCTION("""COMPUTED_VALUE"""),44740.66666666667)</f>
        <v>44740.66667</v>
      </c>
      <c r="F1797" s="23">
        <f>IFERROR(__xludf.DUMMYFUNCTION("""COMPUTED_VALUE"""),27.74)</f>
        <v>27.74</v>
      </c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</row>
    <row r="1798">
      <c r="A1798" s="22">
        <f>IFERROR(__xludf.DUMMYFUNCTION("""COMPUTED_VALUE"""),44553.66666666667)</f>
        <v>44553.66667</v>
      </c>
      <c r="B1798" s="23">
        <f>IFERROR(__xludf.DUMMYFUNCTION("""COMPUTED_VALUE"""),106.07)</f>
        <v>106.07</v>
      </c>
      <c r="C1798" s="19"/>
      <c r="D1798" s="19"/>
      <c r="E1798" s="22">
        <f>IFERROR(__xludf.DUMMYFUNCTION("""COMPUTED_VALUE"""),44741.66666666667)</f>
        <v>44741.66667</v>
      </c>
      <c r="F1798" s="23">
        <f>IFERROR(__xludf.DUMMYFUNCTION("""COMPUTED_VALUE"""),27.0)</f>
        <v>27</v>
      </c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</row>
    <row r="1799">
      <c r="A1799" s="22">
        <f>IFERROR(__xludf.DUMMYFUNCTION("""COMPUTED_VALUE"""),44554.59027777778)</f>
        <v>44554.59028</v>
      </c>
      <c r="B1799" s="23">
        <f>IFERROR(__xludf.DUMMYFUNCTION("""COMPUTED_VALUE"""),106.35)</f>
        <v>106.35</v>
      </c>
      <c r="C1799" s="19"/>
      <c r="D1799" s="19"/>
      <c r="E1799" s="22">
        <f>IFERROR(__xludf.DUMMYFUNCTION("""COMPUTED_VALUE"""),44742.66666666667)</f>
        <v>44742.66667</v>
      </c>
      <c r="F1799" s="23">
        <f>IFERROR(__xludf.DUMMYFUNCTION("""COMPUTED_VALUE"""),26.71)</f>
        <v>26.71</v>
      </c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</row>
    <row r="1800">
      <c r="A1800" s="22">
        <f>IFERROR(__xludf.DUMMYFUNCTION("""COMPUTED_VALUE"""),44559.66666666667)</f>
        <v>44559.66667</v>
      </c>
      <c r="B1800" s="23">
        <f>IFERROR(__xludf.DUMMYFUNCTION("""COMPUTED_VALUE"""),107.6)</f>
        <v>107.6</v>
      </c>
      <c r="C1800" s="19"/>
      <c r="D1800" s="19"/>
      <c r="E1800" s="22">
        <f>IFERROR(__xludf.DUMMYFUNCTION("""COMPUTED_VALUE"""),44743.66666666667)</f>
        <v>44743.66667</v>
      </c>
      <c r="F1800" s="23">
        <f>IFERROR(__xludf.DUMMYFUNCTION("""COMPUTED_VALUE"""),25.76)</f>
        <v>25.76</v>
      </c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</row>
    <row r="1801">
      <c r="A1801" s="22">
        <f>IFERROR(__xludf.DUMMYFUNCTION("""COMPUTED_VALUE"""),44560.66666666667)</f>
        <v>44560.66667</v>
      </c>
      <c r="B1801" s="23">
        <f>IFERROR(__xludf.DUMMYFUNCTION("""COMPUTED_VALUE"""),107.2)</f>
        <v>107.2</v>
      </c>
      <c r="C1801" s="19"/>
      <c r="D1801" s="19"/>
      <c r="E1801" s="22">
        <f>IFERROR(__xludf.DUMMYFUNCTION("""COMPUTED_VALUE"""),44746.66666666667)</f>
        <v>44746.66667</v>
      </c>
      <c r="F1801" s="23">
        <f>IFERROR(__xludf.DUMMYFUNCTION("""COMPUTED_VALUE"""),26.1)</f>
        <v>26.1</v>
      </c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</row>
    <row r="1802">
      <c r="A1802" s="22">
        <f>IFERROR(__xludf.DUMMYFUNCTION("""COMPUTED_VALUE"""),44561.59027777778)</f>
        <v>44561.59028</v>
      </c>
      <c r="B1802" s="23">
        <f>IFERROR(__xludf.DUMMYFUNCTION("""COMPUTED_VALUE"""),106.9)</f>
        <v>106.9</v>
      </c>
      <c r="C1802" s="19"/>
      <c r="D1802" s="19"/>
      <c r="E1802" s="22">
        <f>IFERROR(__xludf.DUMMYFUNCTION("""COMPUTED_VALUE"""),44747.66666666667)</f>
        <v>44747.66667</v>
      </c>
      <c r="F1802" s="23">
        <f>IFERROR(__xludf.DUMMYFUNCTION("""COMPUTED_VALUE"""),26.29)</f>
        <v>26.29</v>
      </c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</row>
    <row r="1803">
      <c r="A1803" s="22">
        <f>IFERROR(__xludf.DUMMYFUNCTION("""COMPUTED_VALUE"""),44565.66666666667)</f>
        <v>44565.66667</v>
      </c>
      <c r="B1803" s="23">
        <f>IFERROR(__xludf.DUMMYFUNCTION("""COMPUTED_VALUE"""),107.94)</f>
        <v>107.94</v>
      </c>
      <c r="C1803" s="19"/>
      <c r="D1803" s="19"/>
      <c r="E1803" s="22">
        <f>IFERROR(__xludf.DUMMYFUNCTION("""COMPUTED_VALUE"""),44748.66666666667)</f>
        <v>44748.66667</v>
      </c>
      <c r="F1803" s="23">
        <f>IFERROR(__xludf.DUMMYFUNCTION("""COMPUTED_VALUE"""),26.74)</f>
        <v>26.74</v>
      </c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</row>
    <row r="1804">
      <c r="A1804" s="22">
        <f>IFERROR(__xludf.DUMMYFUNCTION("""COMPUTED_VALUE"""),44566.66666666667)</f>
        <v>44566.66667</v>
      </c>
      <c r="B1804" s="23">
        <f>IFERROR(__xludf.DUMMYFUNCTION("""COMPUTED_VALUE"""),107.03)</f>
        <v>107.03</v>
      </c>
      <c r="C1804" s="19"/>
      <c r="D1804" s="19"/>
      <c r="E1804" s="22">
        <f>IFERROR(__xludf.DUMMYFUNCTION("""COMPUTED_VALUE"""),44749.66666666667)</f>
        <v>44749.66667</v>
      </c>
      <c r="F1804" s="23">
        <f>IFERROR(__xludf.DUMMYFUNCTION("""COMPUTED_VALUE"""),27.02)</f>
        <v>27.02</v>
      </c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</row>
    <row r="1805">
      <c r="A1805" s="22">
        <f>IFERROR(__xludf.DUMMYFUNCTION("""COMPUTED_VALUE"""),44567.66666666667)</f>
        <v>44567.66667</v>
      </c>
      <c r="B1805" s="23">
        <f>IFERROR(__xludf.DUMMYFUNCTION("""COMPUTED_VALUE"""),105.74)</f>
        <v>105.74</v>
      </c>
      <c r="C1805" s="19"/>
      <c r="D1805" s="19"/>
      <c r="E1805" s="22">
        <f>IFERROR(__xludf.DUMMYFUNCTION("""COMPUTED_VALUE"""),44750.66666666667)</f>
        <v>44750.66667</v>
      </c>
      <c r="F1805" s="23">
        <f>IFERROR(__xludf.DUMMYFUNCTION("""COMPUTED_VALUE"""),27.34)</f>
        <v>27.34</v>
      </c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</row>
    <row r="1806">
      <c r="A1806" s="22">
        <f>IFERROR(__xludf.DUMMYFUNCTION("""COMPUTED_VALUE"""),44568.66666666667)</f>
        <v>44568.66667</v>
      </c>
      <c r="B1806" s="23">
        <f>IFERROR(__xludf.DUMMYFUNCTION("""COMPUTED_VALUE"""),106.51)</f>
        <v>106.51</v>
      </c>
      <c r="C1806" s="19"/>
      <c r="D1806" s="19"/>
      <c r="E1806" s="22">
        <f>IFERROR(__xludf.DUMMYFUNCTION("""COMPUTED_VALUE"""),44753.66666666667)</f>
        <v>44753.66667</v>
      </c>
      <c r="F1806" s="23">
        <f>IFERROR(__xludf.DUMMYFUNCTION("""COMPUTED_VALUE"""),27.21)</f>
        <v>27.21</v>
      </c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</row>
    <row r="1807">
      <c r="A1807" s="22">
        <f>IFERROR(__xludf.DUMMYFUNCTION("""COMPUTED_VALUE"""),44571.66666666667)</f>
        <v>44571.66667</v>
      </c>
      <c r="B1807" s="23">
        <f>IFERROR(__xludf.DUMMYFUNCTION("""COMPUTED_VALUE"""),105.73)</f>
        <v>105.73</v>
      </c>
      <c r="C1807" s="19"/>
      <c r="D1807" s="19"/>
      <c r="E1807" s="22">
        <f>IFERROR(__xludf.DUMMYFUNCTION("""COMPUTED_VALUE"""),44754.66666666667)</f>
        <v>44754.66667</v>
      </c>
      <c r="F1807" s="23">
        <f>IFERROR(__xludf.DUMMYFUNCTION("""COMPUTED_VALUE"""),27.08)</f>
        <v>27.08</v>
      </c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</row>
    <row r="1808">
      <c r="A1808" s="22">
        <f>IFERROR(__xludf.DUMMYFUNCTION("""COMPUTED_VALUE"""),44572.66666666667)</f>
        <v>44572.66667</v>
      </c>
      <c r="B1808" s="23">
        <f>IFERROR(__xludf.DUMMYFUNCTION("""COMPUTED_VALUE"""),105.48)</f>
        <v>105.48</v>
      </c>
      <c r="C1808" s="19"/>
      <c r="D1808" s="19"/>
      <c r="E1808" s="22">
        <f>IFERROR(__xludf.DUMMYFUNCTION("""COMPUTED_VALUE"""),44755.66666666667)</f>
        <v>44755.66667</v>
      </c>
      <c r="F1808" s="23">
        <f>IFERROR(__xludf.DUMMYFUNCTION("""COMPUTED_VALUE"""),26.93)</f>
        <v>26.93</v>
      </c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</row>
    <row r="1809">
      <c r="A1809" s="22">
        <f>IFERROR(__xludf.DUMMYFUNCTION("""COMPUTED_VALUE"""),44573.66666666667)</f>
        <v>44573.66667</v>
      </c>
      <c r="B1809" s="23">
        <f>IFERROR(__xludf.DUMMYFUNCTION("""COMPUTED_VALUE"""),106.15)</f>
        <v>106.15</v>
      </c>
      <c r="C1809" s="19"/>
      <c r="D1809" s="19"/>
      <c r="E1809" s="22">
        <f>IFERROR(__xludf.DUMMYFUNCTION("""COMPUTED_VALUE"""),44756.66666666667)</f>
        <v>44756.66667</v>
      </c>
      <c r="F1809" s="23">
        <f>IFERROR(__xludf.DUMMYFUNCTION("""COMPUTED_VALUE"""),26.75)</f>
        <v>26.75</v>
      </c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</row>
    <row r="1810">
      <c r="A1810" s="22">
        <f>IFERROR(__xludf.DUMMYFUNCTION("""COMPUTED_VALUE"""),44574.66666666667)</f>
        <v>44574.66667</v>
      </c>
      <c r="B1810" s="23">
        <f>IFERROR(__xludf.DUMMYFUNCTION("""COMPUTED_VALUE"""),105.3)</f>
        <v>105.3</v>
      </c>
      <c r="C1810" s="19"/>
      <c r="D1810" s="19"/>
      <c r="E1810" s="22">
        <f>IFERROR(__xludf.DUMMYFUNCTION("""COMPUTED_VALUE"""),44757.66666666667)</f>
        <v>44757.66667</v>
      </c>
      <c r="F1810" s="23">
        <f>IFERROR(__xludf.DUMMYFUNCTION("""COMPUTED_VALUE"""),27.11)</f>
        <v>27.11</v>
      </c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</row>
    <row r="1811">
      <c r="A1811" s="22">
        <f>IFERROR(__xludf.DUMMYFUNCTION("""COMPUTED_VALUE"""),44575.66666666667)</f>
        <v>44575.66667</v>
      </c>
      <c r="B1811" s="23">
        <f>IFERROR(__xludf.DUMMYFUNCTION("""COMPUTED_VALUE"""),104.3)</f>
        <v>104.3</v>
      </c>
      <c r="C1811" s="19"/>
      <c r="D1811" s="19"/>
      <c r="E1811" s="22">
        <f>IFERROR(__xludf.DUMMYFUNCTION("""COMPUTED_VALUE"""),44760.66666666667)</f>
        <v>44760.66667</v>
      </c>
      <c r="F1811" s="23">
        <f>IFERROR(__xludf.DUMMYFUNCTION("""COMPUTED_VALUE"""),27.5)</f>
        <v>27.5</v>
      </c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</row>
    <row r="1812">
      <c r="A1812" s="22">
        <f>IFERROR(__xludf.DUMMYFUNCTION("""COMPUTED_VALUE"""),44578.66666666667)</f>
        <v>44578.66667</v>
      </c>
      <c r="B1812" s="23">
        <f>IFERROR(__xludf.DUMMYFUNCTION("""COMPUTED_VALUE"""),105.04)</f>
        <v>105.04</v>
      </c>
      <c r="C1812" s="19"/>
      <c r="D1812" s="19"/>
      <c r="E1812" s="22">
        <f>IFERROR(__xludf.DUMMYFUNCTION("""COMPUTED_VALUE"""),44761.66666666667)</f>
        <v>44761.66667</v>
      </c>
      <c r="F1812" s="23">
        <f>IFERROR(__xludf.DUMMYFUNCTION("""COMPUTED_VALUE"""),26.89)</f>
        <v>26.89</v>
      </c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</row>
    <row r="1813">
      <c r="A1813" s="22">
        <f>IFERROR(__xludf.DUMMYFUNCTION("""COMPUTED_VALUE"""),44579.66666666667)</f>
        <v>44579.66667</v>
      </c>
      <c r="B1813" s="23">
        <f>IFERROR(__xludf.DUMMYFUNCTION("""COMPUTED_VALUE"""),105.11)</f>
        <v>105.11</v>
      </c>
      <c r="C1813" s="19"/>
      <c r="D1813" s="19"/>
      <c r="E1813" s="22">
        <f>IFERROR(__xludf.DUMMYFUNCTION("""COMPUTED_VALUE"""),44762.66666666667)</f>
        <v>44762.66667</v>
      </c>
      <c r="F1813" s="23">
        <f>IFERROR(__xludf.DUMMYFUNCTION("""COMPUTED_VALUE"""),27.55)</f>
        <v>27.55</v>
      </c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</row>
    <row r="1814">
      <c r="A1814" s="22">
        <f>IFERROR(__xludf.DUMMYFUNCTION("""COMPUTED_VALUE"""),44580.66666666667)</f>
        <v>44580.66667</v>
      </c>
      <c r="B1814" s="23">
        <f>IFERROR(__xludf.DUMMYFUNCTION("""COMPUTED_VALUE"""),103.24)</f>
        <v>103.24</v>
      </c>
      <c r="C1814" s="19"/>
      <c r="D1814" s="19"/>
      <c r="E1814" s="22">
        <f>IFERROR(__xludf.DUMMYFUNCTION("""COMPUTED_VALUE"""),44763.66666666667)</f>
        <v>44763.66667</v>
      </c>
      <c r="F1814" s="23">
        <f>IFERROR(__xludf.DUMMYFUNCTION("""COMPUTED_VALUE"""),27.88)</f>
        <v>27.88</v>
      </c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</row>
    <row r="1815">
      <c r="A1815" s="22">
        <f>IFERROR(__xludf.DUMMYFUNCTION("""COMPUTED_VALUE"""),44581.66666666667)</f>
        <v>44581.66667</v>
      </c>
      <c r="B1815" s="23">
        <f>IFERROR(__xludf.DUMMYFUNCTION("""COMPUTED_VALUE"""),102.83)</f>
        <v>102.83</v>
      </c>
      <c r="C1815" s="19"/>
      <c r="D1815" s="19"/>
      <c r="E1815" s="22">
        <f>IFERROR(__xludf.DUMMYFUNCTION("""COMPUTED_VALUE"""),44764.66666666667)</f>
        <v>44764.66667</v>
      </c>
      <c r="F1815" s="23">
        <f>IFERROR(__xludf.DUMMYFUNCTION("""COMPUTED_VALUE"""),28.02)</f>
        <v>28.02</v>
      </c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</row>
    <row r="1816">
      <c r="A1816" s="22">
        <f>IFERROR(__xludf.DUMMYFUNCTION("""COMPUTED_VALUE"""),44582.66666666667)</f>
        <v>44582.66667</v>
      </c>
      <c r="B1816" s="23">
        <f>IFERROR(__xludf.DUMMYFUNCTION("""COMPUTED_VALUE"""),101.44)</f>
        <v>101.44</v>
      </c>
      <c r="C1816" s="19"/>
      <c r="D1816" s="19"/>
      <c r="E1816" s="22">
        <f>IFERROR(__xludf.DUMMYFUNCTION("""COMPUTED_VALUE"""),44767.66666666667)</f>
        <v>44767.66667</v>
      </c>
      <c r="F1816" s="23">
        <f>IFERROR(__xludf.DUMMYFUNCTION("""COMPUTED_VALUE"""),27.73)</f>
        <v>27.73</v>
      </c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</row>
    <row r="1817">
      <c r="A1817" s="22">
        <f>IFERROR(__xludf.DUMMYFUNCTION("""COMPUTED_VALUE"""),44585.66666666667)</f>
        <v>44585.66667</v>
      </c>
      <c r="B1817" s="23">
        <f>IFERROR(__xludf.DUMMYFUNCTION("""COMPUTED_VALUE"""),101.1)</f>
        <v>101.1</v>
      </c>
      <c r="C1817" s="19"/>
      <c r="D1817" s="19"/>
      <c r="E1817" s="22">
        <f>IFERROR(__xludf.DUMMYFUNCTION("""COMPUTED_VALUE"""),44768.66666666667)</f>
        <v>44768.66667</v>
      </c>
      <c r="F1817" s="23">
        <f>IFERROR(__xludf.DUMMYFUNCTION("""COMPUTED_VALUE"""),27.3)</f>
        <v>27.3</v>
      </c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</row>
    <row r="1818">
      <c r="A1818" s="22">
        <f>IFERROR(__xludf.DUMMYFUNCTION("""COMPUTED_VALUE"""),44586.66666666667)</f>
        <v>44586.66667</v>
      </c>
      <c r="B1818" s="23">
        <f>IFERROR(__xludf.DUMMYFUNCTION("""COMPUTED_VALUE"""),99.78)</f>
        <v>99.78</v>
      </c>
      <c r="C1818" s="19"/>
      <c r="D1818" s="19"/>
      <c r="E1818" s="22">
        <f>IFERROR(__xludf.DUMMYFUNCTION("""COMPUTED_VALUE"""),44769.66666666667)</f>
        <v>44769.66667</v>
      </c>
      <c r="F1818" s="23">
        <f>IFERROR(__xludf.DUMMYFUNCTION("""COMPUTED_VALUE"""),27.34)</f>
        <v>27.34</v>
      </c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</row>
    <row r="1819">
      <c r="A1819" s="22">
        <f>IFERROR(__xludf.DUMMYFUNCTION("""COMPUTED_VALUE"""),44588.66666666667)</f>
        <v>44588.66667</v>
      </c>
      <c r="B1819" s="23">
        <f>IFERROR(__xludf.DUMMYFUNCTION("""COMPUTED_VALUE"""),98.87)</f>
        <v>98.87</v>
      </c>
      <c r="C1819" s="19"/>
      <c r="D1819" s="19"/>
      <c r="E1819" s="22">
        <f>IFERROR(__xludf.DUMMYFUNCTION("""COMPUTED_VALUE"""),44770.66666666667)</f>
        <v>44770.66667</v>
      </c>
      <c r="F1819" s="23">
        <f>IFERROR(__xludf.DUMMYFUNCTION("""COMPUTED_VALUE"""),27.74)</f>
        <v>27.74</v>
      </c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</row>
    <row r="1820">
      <c r="A1820" s="22">
        <f>IFERROR(__xludf.DUMMYFUNCTION("""COMPUTED_VALUE"""),44589.66666666667)</f>
        <v>44589.66667</v>
      </c>
      <c r="B1820" s="23">
        <f>IFERROR(__xludf.DUMMYFUNCTION("""COMPUTED_VALUE"""),100.88)</f>
        <v>100.88</v>
      </c>
      <c r="C1820" s="19"/>
      <c r="D1820" s="19"/>
      <c r="E1820" s="22">
        <f>IFERROR(__xludf.DUMMYFUNCTION("""COMPUTED_VALUE"""),44771.66666666667)</f>
        <v>44771.66667</v>
      </c>
      <c r="F1820" s="23">
        <f>IFERROR(__xludf.DUMMYFUNCTION("""COMPUTED_VALUE"""),28.45)</f>
        <v>28.45</v>
      </c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</row>
    <row r="1821">
      <c r="A1821" s="22">
        <f>IFERROR(__xludf.DUMMYFUNCTION("""COMPUTED_VALUE"""),44592.66666666667)</f>
        <v>44592.66667</v>
      </c>
      <c r="B1821" s="23">
        <f>IFERROR(__xludf.DUMMYFUNCTION("""COMPUTED_VALUE"""),102.84)</f>
        <v>102.84</v>
      </c>
      <c r="C1821" s="19"/>
      <c r="D1821" s="19"/>
      <c r="E1821" s="22">
        <f>IFERROR(__xludf.DUMMYFUNCTION("""COMPUTED_VALUE"""),44774.66666666667)</f>
        <v>44774.66667</v>
      </c>
      <c r="F1821" s="23">
        <f>IFERROR(__xludf.DUMMYFUNCTION("""COMPUTED_VALUE"""),28.55)</f>
        <v>28.55</v>
      </c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</row>
    <row r="1822">
      <c r="A1822" s="22">
        <f>IFERROR(__xludf.DUMMYFUNCTION("""COMPUTED_VALUE"""),44593.66666666667)</f>
        <v>44593.66667</v>
      </c>
      <c r="B1822" s="23">
        <f>IFERROR(__xludf.DUMMYFUNCTION("""COMPUTED_VALUE"""),103.53)</f>
        <v>103.53</v>
      </c>
      <c r="C1822" s="19"/>
      <c r="D1822" s="19"/>
      <c r="E1822" s="22">
        <f>IFERROR(__xludf.DUMMYFUNCTION("""COMPUTED_VALUE"""),44775.66666666667)</f>
        <v>44775.66667</v>
      </c>
      <c r="F1822" s="23">
        <f>IFERROR(__xludf.DUMMYFUNCTION("""COMPUTED_VALUE"""),28.66)</f>
        <v>28.66</v>
      </c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</row>
    <row r="1823">
      <c r="A1823" s="22">
        <f>IFERROR(__xludf.DUMMYFUNCTION("""COMPUTED_VALUE"""),44594.66666666667)</f>
        <v>44594.66667</v>
      </c>
      <c r="B1823" s="23">
        <f>IFERROR(__xludf.DUMMYFUNCTION("""COMPUTED_VALUE"""),104.28)</f>
        <v>104.28</v>
      </c>
      <c r="C1823" s="19"/>
      <c r="D1823" s="19"/>
      <c r="E1823" s="22">
        <f>IFERROR(__xludf.DUMMYFUNCTION("""COMPUTED_VALUE"""),44776.66666666667)</f>
        <v>44776.66667</v>
      </c>
      <c r="F1823" s="23">
        <f>IFERROR(__xludf.DUMMYFUNCTION("""COMPUTED_VALUE"""),28.83)</f>
        <v>28.83</v>
      </c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</row>
    <row r="1824">
      <c r="A1824" s="22">
        <f>IFERROR(__xludf.DUMMYFUNCTION("""COMPUTED_VALUE"""),44595.66666666667)</f>
        <v>44595.66667</v>
      </c>
      <c r="B1824" s="23">
        <f>IFERROR(__xludf.DUMMYFUNCTION("""COMPUTED_VALUE"""),103.78)</f>
        <v>103.78</v>
      </c>
      <c r="C1824" s="19"/>
      <c r="D1824" s="19"/>
      <c r="E1824" s="22">
        <f>IFERROR(__xludf.DUMMYFUNCTION("""COMPUTED_VALUE"""),44777.66666666667)</f>
        <v>44777.66667</v>
      </c>
      <c r="F1824" s="23">
        <f>IFERROR(__xludf.DUMMYFUNCTION("""COMPUTED_VALUE"""),29.37)</f>
        <v>29.37</v>
      </c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</row>
    <row r="1825">
      <c r="A1825" s="22">
        <f>IFERROR(__xludf.DUMMYFUNCTION("""COMPUTED_VALUE"""),44596.66666666667)</f>
        <v>44596.66667</v>
      </c>
      <c r="B1825" s="23">
        <f>IFERROR(__xludf.DUMMYFUNCTION("""COMPUTED_VALUE"""),103.06)</f>
        <v>103.06</v>
      </c>
      <c r="C1825" s="19"/>
      <c r="D1825" s="19"/>
      <c r="E1825" s="22">
        <f>IFERROR(__xludf.DUMMYFUNCTION("""COMPUTED_VALUE"""),44778.66666666667)</f>
        <v>44778.66667</v>
      </c>
      <c r="F1825" s="23">
        <f>IFERROR(__xludf.DUMMYFUNCTION("""COMPUTED_VALUE"""),29.64)</f>
        <v>29.64</v>
      </c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</row>
    <row r="1826">
      <c r="A1826" s="22">
        <f>IFERROR(__xludf.DUMMYFUNCTION("""COMPUTED_VALUE"""),44599.66666666667)</f>
        <v>44599.66667</v>
      </c>
      <c r="B1826" s="23">
        <f>IFERROR(__xludf.DUMMYFUNCTION("""COMPUTED_VALUE"""),103.43)</f>
        <v>103.43</v>
      </c>
      <c r="C1826" s="19"/>
      <c r="D1826" s="19"/>
      <c r="E1826" s="22">
        <f>IFERROR(__xludf.DUMMYFUNCTION("""COMPUTED_VALUE"""),44781.66666666667)</f>
        <v>44781.66667</v>
      </c>
      <c r="F1826" s="23">
        <f>IFERROR(__xludf.DUMMYFUNCTION("""COMPUTED_VALUE"""),29.5)</f>
        <v>29.5</v>
      </c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</row>
    <row r="1827">
      <c r="A1827" s="22">
        <f>IFERROR(__xludf.DUMMYFUNCTION("""COMPUTED_VALUE"""),44600.66666666667)</f>
        <v>44600.66667</v>
      </c>
      <c r="B1827" s="23">
        <f>IFERROR(__xludf.DUMMYFUNCTION("""COMPUTED_VALUE"""),102.85)</f>
        <v>102.85</v>
      </c>
      <c r="C1827" s="19"/>
      <c r="D1827" s="19"/>
      <c r="E1827" s="22">
        <f>IFERROR(__xludf.DUMMYFUNCTION("""COMPUTED_VALUE"""),44782.66666666667)</f>
        <v>44782.66667</v>
      </c>
      <c r="F1827" s="23">
        <f>IFERROR(__xludf.DUMMYFUNCTION("""COMPUTED_VALUE"""),29.23)</f>
        <v>29.23</v>
      </c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</row>
    <row r="1828">
      <c r="A1828" s="22">
        <f>IFERROR(__xludf.DUMMYFUNCTION("""COMPUTED_VALUE"""),44601.66666666667)</f>
        <v>44601.66667</v>
      </c>
      <c r="B1828" s="23">
        <f>IFERROR(__xludf.DUMMYFUNCTION("""COMPUTED_VALUE"""),103.45)</f>
        <v>103.45</v>
      </c>
      <c r="C1828" s="19"/>
      <c r="D1828" s="19"/>
      <c r="E1828" s="22">
        <f>IFERROR(__xludf.DUMMYFUNCTION("""COMPUTED_VALUE"""),44783.66666666667)</f>
        <v>44783.66667</v>
      </c>
      <c r="F1828" s="23">
        <f>IFERROR(__xludf.DUMMYFUNCTION("""COMPUTED_VALUE"""),28.88)</f>
        <v>28.88</v>
      </c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</row>
    <row r="1829">
      <c r="A1829" s="22">
        <f>IFERROR(__xludf.DUMMYFUNCTION("""COMPUTED_VALUE"""),44602.66666666667)</f>
        <v>44602.66667</v>
      </c>
      <c r="B1829" s="23">
        <f>IFERROR(__xludf.DUMMYFUNCTION("""COMPUTED_VALUE"""),104.0)</f>
        <v>104</v>
      </c>
      <c r="C1829" s="19"/>
      <c r="D1829" s="19"/>
      <c r="E1829" s="22">
        <f>IFERROR(__xludf.DUMMYFUNCTION("""COMPUTED_VALUE"""),44784.66666666667)</f>
        <v>44784.66667</v>
      </c>
      <c r="F1829" s="23">
        <f>IFERROR(__xludf.DUMMYFUNCTION("""COMPUTED_VALUE"""),29.3)</f>
        <v>29.3</v>
      </c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</row>
    <row r="1830">
      <c r="A1830" s="22">
        <f>IFERROR(__xludf.DUMMYFUNCTION("""COMPUTED_VALUE"""),44603.66666666667)</f>
        <v>44603.66667</v>
      </c>
      <c r="B1830" s="23">
        <f>IFERROR(__xludf.DUMMYFUNCTION("""COMPUTED_VALUE"""),102.58)</f>
        <v>102.58</v>
      </c>
      <c r="C1830" s="19"/>
      <c r="D1830" s="19"/>
      <c r="E1830" s="22">
        <f>IFERROR(__xludf.DUMMYFUNCTION("""COMPUTED_VALUE"""),44785.66666666667)</f>
        <v>44785.66667</v>
      </c>
      <c r="F1830" s="23">
        <f>IFERROR(__xludf.DUMMYFUNCTION("""COMPUTED_VALUE"""),28.97)</f>
        <v>28.97</v>
      </c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</row>
    <row r="1831">
      <c r="A1831" s="22">
        <f>IFERROR(__xludf.DUMMYFUNCTION("""COMPUTED_VALUE"""),44606.66666666667)</f>
        <v>44606.66667</v>
      </c>
      <c r="B1831" s="23">
        <f>IFERROR(__xludf.DUMMYFUNCTION("""COMPUTED_VALUE"""),101.84)</f>
        <v>101.84</v>
      </c>
      <c r="C1831" s="19"/>
      <c r="D1831" s="19"/>
      <c r="E1831" s="22">
        <f>IFERROR(__xludf.DUMMYFUNCTION("""COMPUTED_VALUE"""),44788.66666666667)</f>
        <v>44788.66667</v>
      </c>
      <c r="F1831" s="23">
        <f>IFERROR(__xludf.DUMMYFUNCTION("""COMPUTED_VALUE"""),29.55)</f>
        <v>29.55</v>
      </c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</row>
    <row r="1832">
      <c r="A1832" s="22">
        <f>IFERROR(__xludf.DUMMYFUNCTION("""COMPUTED_VALUE"""),44607.66666666667)</f>
        <v>44607.66667</v>
      </c>
      <c r="B1832" s="23">
        <f>IFERROR(__xludf.DUMMYFUNCTION("""COMPUTED_VALUE"""),100.92)</f>
        <v>100.92</v>
      </c>
      <c r="C1832" s="19"/>
      <c r="D1832" s="19"/>
      <c r="E1832" s="22">
        <f>IFERROR(__xludf.DUMMYFUNCTION("""COMPUTED_VALUE"""),44789.66666666667)</f>
        <v>44789.66667</v>
      </c>
      <c r="F1832" s="23">
        <f>IFERROR(__xludf.DUMMYFUNCTION("""COMPUTED_VALUE"""),30.03)</f>
        <v>30.03</v>
      </c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</row>
    <row r="1833">
      <c r="A1833" s="22">
        <f>IFERROR(__xludf.DUMMYFUNCTION("""COMPUTED_VALUE"""),44608.66666666667)</f>
        <v>44608.66667</v>
      </c>
      <c r="B1833" s="23">
        <f>IFERROR(__xludf.DUMMYFUNCTION("""COMPUTED_VALUE"""),102.04)</f>
        <v>102.04</v>
      </c>
      <c r="C1833" s="19"/>
      <c r="D1833" s="19"/>
      <c r="E1833" s="22">
        <f>IFERROR(__xludf.DUMMYFUNCTION("""COMPUTED_VALUE"""),44790.66666666667)</f>
        <v>44790.66667</v>
      </c>
      <c r="F1833" s="23">
        <f>IFERROR(__xludf.DUMMYFUNCTION("""COMPUTED_VALUE"""),30.09)</f>
        <v>30.09</v>
      </c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</row>
    <row r="1834">
      <c r="A1834" s="22">
        <f>IFERROR(__xludf.DUMMYFUNCTION("""COMPUTED_VALUE"""),44609.66666666667)</f>
        <v>44609.66667</v>
      </c>
      <c r="B1834" s="23">
        <f>IFERROR(__xludf.DUMMYFUNCTION("""COMPUTED_VALUE"""),101.39)</f>
        <v>101.39</v>
      </c>
      <c r="C1834" s="19"/>
      <c r="D1834" s="19"/>
      <c r="E1834" s="22">
        <f>IFERROR(__xludf.DUMMYFUNCTION("""COMPUTED_VALUE"""),44791.66666666667)</f>
        <v>44791.66667</v>
      </c>
      <c r="F1834" s="23">
        <f>IFERROR(__xludf.DUMMYFUNCTION("""COMPUTED_VALUE"""),30.03)</f>
        <v>30.03</v>
      </c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</row>
    <row r="1835">
      <c r="A1835" s="22">
        <f>IFERROR(__xludf.DUMMYFUNCTION("""COMPUTED_VALUE"""),44610.66666666667)</f>
        <v>44610.66667</v>
      </c>
      <c r="B1835" s="23">
        <f>IFERROR(__xludf.DUMMYFUNCTION("""COMPUTED_VALUE"""),100.27)</f>
        <v>100.27</v>
      </c>
      <c r="C1835" s="19"/>
      <c r="D1835" s="19"/>
      <c r="E1835" s="22">
        <f>IFERROR(__xludf.DUMMYFUNCTION("""COMPUTED_VALUE"""),44792.66666666667)</f>
        <v>44792.66667</v>
      </c>
      <c r="F1835" s="23">
        <f>IFERROR(__xludf.DUMMYFUNCTION("""COMPUTED_VALUE"""),30.13)</f>
        <v>30.13</v>
      </c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</row>
    <row r="1836">
      <c r="A1836" s="22">
        <f>IFERROR(__xludf.DUMMYFUNCTION("""COMPUTED_VALUE"""),44613.66666666667)</f>
        <v>44613.66667</v>
      </c>
      <c r="B1836" s="23">
        <f>IFERROR(__xludf.DUMMYFUNCTION("""COMPUTED_VALUE"""),99.28)</f>
        <v>99.28</v>
      </c>
      <c r="C1836" s="19"/>
      <c r="D1836" s="19"/>
      <c r="E1836" s="22">
        <f>IFERROR(__xludf.DUMMYFUNCTION("""COMPUTED_VALUE"""),44795.66666666667)</f>
        <v>44795.66667</v>
      </c>
      <c r="F1836" s="23">
        <f>IFERROR(__xludf.DUMMYFUNCTION("""COMPUTED_VALUE"""),29.53)</f>
        <v>29.53</v>
      </c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</row>
    <row r="1837">
      <c r="A1837" s="22">
        <f>IFERROR(__xludf.DUMMYFUNCTION("""COMPUTED_VALUE"""),44614.66666666667)</f>
        <v>44614.66667</v>
      </c>
      <c r="B1837" s="23">
        <f>IFERROR(__xludf.DUMMYFUNCTION("""COMPUTED_VALUE"""),97.26)</f>
        <v>97.26</v>
      </c>
      <c r="C1837" s="19"/>
      <c r="D1837" s="19"/>
      <c r="E1837" s="22">
        <f>IFERROR(__xludf.DUMMYFUNCTION("""COMPUTED_VALUE"""),44796.66666666667)</f>
        <v>44796.66667</v>
      </c>
      <c r="F1837" s="23">
        <f>IFERROR(__xludf.DUMMYFUNCTION("""COMPUTED_VALUE"""),28.98)</f>
        <v>28.98</v>
      </c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</row>
    <row r="1838">
      <c r="A1838" s="22">
        <f>IFERROR(__xludf.DUMMYFUNCTION("""COMPUTED_VALUE"""),44615.66666666667)</f>
        <v>44615.66667</v>
      </c>
      <c r="B1838" s="23">
        <f>IFERROR(__xludf.DUMMYFUNCTION("""COMPUTED_VALUE"""),98.04)</f>
        <v>98.04</v>
      </c>
      <c r="C1838" s="19"/>
      <c r="D1838" s="19"/>
      <c r="E1838" s="22">
        <f>IFERROR(__xludf.DUMMYFUNCTION("""COMPUTED_VALUE"""),44797.66666666667)</f>
        <v>44797.66667</v>
      </c>
      <c r="F1838" s="23">
        <f>IFERROR(__xludf.DUMMYFUNCTION("""COMPUTED_VALUE"""),28.86)</f>
        <v>28.86</v>
      </c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</row>
    <row r="1839">
      <c r="A1839" s="22">
        <f>IFERROR(__xludf.DUMMYFUNCTION("""COMPUTED_VALUE"""),44616.66666666667)</f>
        <v>44616.66667</v>
      </c>
      <c r="B1839" s="23">
        <f>IFERROR(__xludf.DUMMYFUNCTION("""COMPUTED_VALUE"""),94.67)</f>
        <v>94.67</v>
      </c>
      <c r="C1839" s="19"/>
      <c r="D1839" s="19"/>
      <c r="E1839" s="22">
        <f>IFERROR(__xludf.DUMMYFUNCTION("""COMPUTED_VALUE"""),44798.66666666667)</f>
        <v>44798.66667</v>
      </c>
      <c r="F1839" s="23">
        <f>IFERROR(__xludf.DUMMYFUNCTION("""COMPUTED_VALUE"""),28.84)</f>
        <v>28.84</v>
      </c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</row>
    <row r="1840">
      <c r="A1840" s="22">
        <f>IFERROR(__xludf.DUMMYFUNCTION("""COMPUTED_VALUE"""),44617.66666666667)</f>
        <v>44617.66667</v>
      </c>
      <c r="B1840" s="23">
        <f>IFERROR(__xludf.DUMMYFUNCTION("""COMPUTED_VALUE"""),96.77)</f>
        <v>96.77</v>
      </c>
      <c r="C1840" s="19"/>
      <c r="D1840" s="19"/>
      <c r="E1840" s="22">
        <f>IFERROR(__xludf.DUMMYFUNCTION("""COMPUTED_VALUE"""),44799.66666666667)</f>
        <v>44799.66667</v>
      </c>
      <c r="F1840" s="23">
        <f>IFERROR(__xludf.DUMMYFUNCTION("""COMPUTED_VALUE"""),29.14)</f>
        <v>29.14</v>
      </c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</row>
    <row r="1841">
      <c r="A1841" s="22">
        <f>IFERROR(__xludf.DUMMYFUNCTION("""COMPUTED_VALUE"""),44620.66666666667)</f>
        <v>44620.66667</v>
      </c>
      <c r="B1841" s="23">
        <f>IFERROR(__xludf.DUMMYFUNCTION("""COMPUTED_VALUE"""),97.05)</f>
        <v>97.05</v>
      </c>
      <c r="C1841" s="19"/>
      <c r="D1841" s="19"/>
      <c r="E1841" s="22">
        <f>IFERROR(__xludf.DUMMYFUNCTION("""COMPUTED_VALUE"""),44802.66666666667)</f>
        <v>44802.66667</v>
      </c>
      <c r="F1841" s="23">
        <f>IFERROR(__xludf.DUMMYFUNCTION("""COMPUTED_VALUE"""),28.1)</f>
        <v>28.1</v>
      </c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</row>
    <row r="1842">
      <c r="A1842" s="22">
        <f>IFERROR(__xludf.DUMMYFUNCTION("""COMPUTED_VALUE"""),44621.66666666667)</f>
        <v>44621.66667</v>
      </c>
      <c r="B1842" s="23">
        <f>IFERROR(__xludf.DUMMYFUNCTION("""COMPUTED_VALUE"""),98.05)</f>
        <v>98.05</v>
      </c>
      <c r="C1842" s="19"/>
      <c r="D1842" s="19"/>
      <c r="E1842" s="22">
        <f>IFERROR(__xludf.DUMMYFUNCTION("""COMPUTED_VALUE"""),44803.66666666667)</f>
        <v>44803.66667</v>
      </c>
      <c r="F1842" s="23">
        <f>IFERROR(__xludf.DUMMYFUNCTION("""COMPUTED_VALUE"""),28.09)</f>
        <v>28.09</v>
      </c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</row>
    <row r="1843">
      <c r="A1843" s="22">
        <f>IFERROR(__xludf.DUMMYFUNCTION("""COMPUTED_VALUE"""),44622.66666666667)</f>
        <v>44622.66667</v>
      </c>
      <c r="B1843" s="23">
        <f>IFERROR(__xludf.DUMMYFUNCTION("""COMPUTED_VALUE"""),96.58)</f>
        <v>96.58</v>
      </c>
      <c r="C1843" s="19"/>
      <c r="D1843" s="19"/>
      <c r="E1843" s="22">
        <f>IFERROR(__xludf.DUMMYFUNCTION("""COMPUTED_VALUE"""),44804.66666666667)</f>
        <v>44804.66667</v>
      </c>
      <c r="F1843" s="23">
        <f>IFERROR(__xludf.DUMMYFUNCTION("""COMPUTED_VALUE"""),27.92)</f>
        <v>27.92</v>
      </c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</row>
    <row r="1844">
      <c r="A1844" s="22">
        <f>IFERROR(__xludf.DUMMYFUNCTION("""COMPUTED_VALUE"""),44623.66666666667)</f>
        <v>44623.66667</v>
      </c>
      <c r="B1844" s="23">
        <f>IFERROR(__xludf.DUMMYFUNCTION("""COMPUTED_VALUE"""),97.41)</f>
        <v>97.41</v>
      </c>
      <c r="C1844" s="19"/>
      <c r="D1844" s="19"/>
      <c r="E1844" s="22">
        <f>IFERROR(__xludf.DUMMYFUNCTION("""COMPUTED_VALUE"""),44805.66666666667)</f>
        <v>44805.66667</v>
      </c>
      <c r="F1844" s="23">
        <f>IFERROR(__xludf.DUMMYFUNCTION("""COMPUTED_VALUE"""),27.47)</f>
        <v>27.47</v>
      </c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</row>
    <row r="1845">
      <c r="A1845" s="22">
        <f>IFERROR(__xludf.DUMMYFUNCTION("""COMPUTED_VALUE"""),44624.66666666667)</f>
        <v>44624.66667</v>
      </c>
      <c r="B1845" s="23">
        <f>IFERROR(__xludf.DUMMYFUNCTION("""COMPUTED_VALUE"""),94.66)</f>
        <v>94.66</v>
      </c>
      <c r="C1845" s="19"/>
      <c r="D1845" s="19"/>
      <c r="E1845" s="22">
        <f>IFERROR(__xludf.DUMMYFUNCTION("""COMPUTED_VALUE"""),44806.66666666667)</f>
        <v>44806.66667</v>
      </c>
      <c r="F1845" s="23">
        <f>IFERROR(__xludf.DUMMYFUNCTION("""COMPUTED_VALUE"""),27.92)</f>
        <v>27.92</v>
      </c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</row>
    <row r="1846">
      <c r="A1846" s="22">
        <f>IFERROR(__xludf.DUMMYFUNCTION("""COMPUTED_VALUE"""),44627.66666666667)</f>
        <v>44627.66667</v>
      </c>
      <c r="B1846" s="23">
        <f>IFERROR(__xludf.DUMMYFUNCTION("""COMPUTED_VALUE"""),92.0)</f>
        <v>92</v>
      </c>
      <c r="C1846" s="19"/>
      <c r="D1846" s="19"/>
      <c r="E1846" s="22">
        <f>IFERROR(__xludf.DUMMYFUNCTION("""COMPUTED_VALUE"""),44809.66666666667)</f>
        <v>44809.66667</v>
      </c>
      <c r="F1846" s="23">
        <f>IFERROR(__xludf.DUMMYFUNCTION("""COMPUTED_VALUE"""),27.59)</f>
        <v>27.59</v>
      </c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</row>
    <row r="1847">
      <c r="A1847" s="22">
        <f>IFERROR(__xludf.DUMMYFUNCTION("""COMPUTED_VALUE"""),44628.66666666667)</f>
        <v>44628.66667</v>
      </c>
      <c r="B1847" s="23">
        <f>IFERROR(__xludf.DUMMYFUNCTION("""COMPUTED_VALUE"""),91.78)</f>
        <v>91.78</v>
      </c>
      <c r="C1847" s="19"/>
      <c r="D1847" s="19"/>
      <c r="E1847" s="22">
        <f>IFERROR(__xludf.DUMMYFUNCTION("""COMPUTED_VALUE"""),44810.66666666667)</f>
        <v>44810.66667</v>
      </c>
      <c r="F1847" s="23">
        <f>IFERROR(__xludf.DUMMYFUNCTION("""COMPUTED_VALUE"""),27.7)</f>
        <v>27.7</v>
      </c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</row>
    <row r="1848">
      <c r="A1848" s="22">
        <f>IFERROR(__xludf.DUMMYFUNCTION("""COMPUTED_VALUE"""),44629.66666666667)</f>
        <v>44629.66667</v>
      </c>
      <c r="B1848" s="23">
        <f>IFERROR(__xludf.DUMMYFUNCTION("""COMPUTED_VALUE"""),92.53)</f>
        <v>92.53</v>
      </c>
      <c r="C1848" s="19"/>
      <c r="D1848" s="19"/>
      <c r="E1848" s="22">
        <f>IFERROR(__xludf.DUMMYFUNCTION("""COMPUTED_VALUE"""),44811.66666666667)</f>
        <v>44811.66667</v>
      </c>
      <c r="F1848" s="23">
        <f>IFERROR(__xludf.DUMMYFUNCTION("""COMPUTED_VALUE"""),27.6)</f>
        <v>27.6</v>
      </c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</row>
    <row r="1849">
      <c r="A1849" s="22">
        <f>IFERROR(__xludf.DUMMYFUNCTION("""COMPUTED_VALUE"""),44630.66666666667)</f>
        <v>44630.66667</v>
      </c>
      <c r="B1849" s="23">
        <f>IFERROR(__xludf.DUMMYFUNCTION("""COMPUTED_VALUE"""),94.19)</f>
        <v>94.19</v>
      </c>
      <c r="C1849" s="19"/>
      <c r="D1849" s="19"/>
      <c r="E1849" s="22">
        <f>IFERROR(__xludf.DUMMYFUNCTION("""COMPUTED_VALUE"""),44812.66666666667)</f>
        <v>44812.66667</v>
      </c>
      <c r="F1849" s="23">
        <f>IFERROR(__xludf.DUMMYFUNCTION("""COMPUTED_VALUE"""),28.19)</f>
        <v>28.19</v>
      </c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</row>
    <row r="1850">
      <c r="A1850" s="22">
        <f>IFERROR(__xludf.DUMMYFUNCTION("""COMPUTED_VALUE"""),44631.66666666667)</f>
        <v>44631.66667</v>
      </c>
      <c r="B1850" s="23">
        <f>IFERROR(__xludf.DUMMYFUNCTION("""COMPUTED_VALUE"""),92.91)</f>
        <v>92.91</v>
      </c>
      <c r="C1850" s="19"/>
      <c r="D1850" s="19"/>
      <c r="E1850" s="22">
        <f>IFERROR(__xludf.DUMMYFUNCTION("""COMPUTED_VALUE"""),44813.66666666667)</f>
        <v>44813.66667</v>
      </c>
      <c r="F1850" s="23">
        <f>IFERROR(__xludf.DUMMYFUNCTION("""COMPUTED_VALUE"""),28.05)</f>
        <v>28.05</v>
      </c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</row>
    <row r="1851">
      <c r="A1851" s="22">
        <f>IFERROR(__xludf.DUMMYFUNCTION("""COMPUTED_VALUE"""),44634.66666666667)</f>
        <v>44634.66667</v>
      </c>
      <c r="B1851" s="23">
        <f>IFERROR(__xludf.DUMMYFUNCTION("""COMPUTED_VALUE"""),94.0)</f>
        <v>94</v>
      </c>
      <c r="C1851" s="19"/>
      <c r="D1851" s="19"/>
      <c r="E1851" s="22">
        <f>IFERROR(__xludf.DUMMYFUNCTION("""COMPUTED_VALUE"""),44816.66666666667)</f>
        <v>44816.66667</v>
      </c>
      <c r="F1851" s="23">
        <f>IFERROR(__xludf.DUMMYFUNCTION("""COMPUTED_VALUE"""),28.45)</f>
        <v>28.45</v>
      </c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</row>
    <row r="1852">
      <c r="A1852" s="22">
        <f>IFERROR(__xludf.DUMMYFUNCTION("""COMPUTED_VALUE"""),44635.66666666667)</f>
        <v>44635.66667</v>
      </c>
      <c r="B1852" s="23">
        <f>IFERROR(__xludf.DUMMYFUNCTION("""COMPUTED_VALUE"""),94.13)</f>
        <v>94.13</v>
      </c>
      <c r="C1852" s="19"/>
      <c r="D1852" s="19"/>
      <c r="E1852" s="22">
        <f>IFERROR(__xludf.DUMMYFUNCTION("""COMPUTED_VALUE"""),44817.66666666667)</f>
        <v>44817.66667</v>
      </c>
      <c r="F1852" s="23">
        <f>IFERROR(__xludf.DUMMYFUNCTION("""COMPUTED_VALUE"""),28.75)</f>
        <v>28.75</v>
      </c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</row>
    <row r="1853">
      <c r="A1853" s="22">
        <f>IFERROR(__xludf.DUMMYFUNCTION("""COMPUTED_VALUE"""),44636.66666666667)</f>
        <v>44636.66667</v>
      </c>
      <c r="B1853" s="23">
        <f>IFERROR(__xludf.DUMMYFUNCTION("""COMPUTED_VALUE"""),95.34)</f>
        <v>95.34</v>
      </c>
      <c r="C1853" s="19"/>
      <c r="D1853" s="19"/>
      <c r="E1853" s="22">
        <f>IFERROR(__xludf.DUMMYFUNCTION("""COMPUTED_VALUE"""),44818.66666666667)</f>
        <v>44818.66667</v>
      </c>
      <c r="F1853" s="23">
        <f>IFERROR(__xludf.DUMMYFUNCTION("""COMPUTED_VALUE"""),27.72)</f>
        <v>27.72</v>
      </c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</row>
    <row r="1854">
      <c r="A1854" s="22">
        <f>IFERROR(__xludf.DUMMYFUNCTION("""COMPUTED_VALUE"""),44637.66666666667)</f>
        <v>44637.66667</v>
      </c>
      <c r="B1854" s="23">
        <f>IFERROR(__xludf.DUMMYFUNCTION("""COMPUTED_VALUE"""),96.31)</f>
        <v>96.31</v>
      </c>
      <c r="C1854" s="19"/>
      <c r="D1854" s="19"/>
      <c r="E1854" s="22">
        <f>IFERROR(__xludf.DUMMYFUNCTION("""COMPUTED_VALUE"""),44819.66666666667)</f>
        <v>44819.66667</v>
      </c>
      <c r="F1854" s="23">
        <f>IFERROR(__xludf.DUMMYFUNCTION("""COMPUTED_VALUE"""),27.83)</f>
        <v>27.83</v>
      </c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</row>
    <row r="1855">
      <c r="A1855" s="22">
        <f>IFERROR(__xludf.DUMMYFUNCTION("""COMPUTED_VALUE"""),44638.66666666667)</f>
        <v>44638.66667</v>
      </c>
      <c r="B1855" s="23">
        <f>IFERROR(__xludf.DUMMYFUNCTION("""COMPUTED_VALUE"""),96.09)</f>
        <v>96.09</v>
      </c>
      <c r="C1855" s="19"/>
      <c r="D1855" s="19"/>
      <c r="E1855" s="22">
        <f>IFERROR(__xludf.DUMMYFUNCTION("""COMPUTED_VALUE"""),44820.66666666667)</f>
        <v>44820.66667</v>
      </c>
      <c r="F1855" s="23">
        <f>IFERROR(__xludf.DUMMYFUNCTION("""COMPUTED_VALUE"""),27.3)</f>
        <v>27.3</v>
      </c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</row>
    <row r="1856">
      <c r="A1856" s="22">
        <f>IFERROR(__xludf.DUMMYFUNCTION("""COMPUTED_VALUE"""),44641.66666666667)</f>
        <v>44641.66667</v>
      </c>
      <c r="B1856" s="23">
        <f>IFERROR(__xludf.DUMMYFUNCTION("""COMPUTED_VALUE"""),97.03)</f>
        <v>97.03</v>
      </c>
      <c r="C1856" s="19"/>
      <c r="D1856" s="19"/>
      <c r="E1856" s="22">
        <f>IFERROR(__xludf.DUMMYFUNCTION("""COMPUTED_VALUE"""),44823.66666666667)</f>
        <v>44823.66667</v>
      </c>
      <c r="F1856" s="23">
        <f>IFERROR(__xludf.DUMMYFUNCTION("""COMPUTED_VALUE"""),27.21)</f>
        <v>27.21</v>
      </c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</row>
    <row r="1857">
      <c r="A1857" s="22">
        <f>IFERROR(__xludf.DUMMYFUNCTION("""COMPUTED_VALUE"""),44642.66666666667)</f>
        <v>44642.66667</v>
      </c>
      <c r="B1857" s="23">
        <f>IFERROR(__xludf.DUMMYFUNCTION("""COMPUTED_VALUE"""),97.09)</f>
        <v>97.09</v>
      </c>
      <c r="C1857" s="19"/>
      <c r="D1857" s="19"/>
      <c r="E1857" s="22">
        <f>IFERROR(__xludf.DUMMYFUNCTION("""COMPUTED_VALUE"""),44824.66666666667)</f>
        <v>44824.66667</v>
      </c>
      <c r="F1857" s="23">
        <f>IFERROR(__xludf.DUMMYFUNCTION("""COMPUTED_VALUE"""),27.59)</f>
        <v>27.59</v>
      </c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</row>
    <row r="1858">
      <c r="A1858" s="22">
        <f>IFERROR(__xludf.DUMMYFUNCTION("""COMPUTED_VALUE"""),44643.66666666667)</f>
        <v>44643.66667</v>
      </c>
      <c r="B1858" s="23">
        <f>IFERROR(__xludf.DUMMYFUNCTION("""COMPUTED_VALUE"""),97.82)</f>
        <v>97.82</v>
      </c>
      <c r="C1858" s="19"/>
      <c r="D1858" s="19"/>
      <c r="E1858" s="22">
        <f>IFERROR(__xludf.DUMMYFUNCTION("""COMPUTED_VALUE"""),44825.66666666667)</f>
        <v>44825.66667</v>
      </c>
      <c r="F1858" s="23">
        <f>IFERROR(__xludf.DUMMYFUNCTION("""COMPUTED_VALUE"""),27.52)</f>
        <v>27.52</v>
      </c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</row>
    <row r="1859">
      <c r="A1859" s="22">
        <f>IFERROR(__xludf.DUMMYFUNCTION("""COMPUTED_VALUE"""),44644.66666666667)</f>
        <v>44644.66667</v>
      </c>
      <c r="B1859" s="23">
        <f>IFERROR(__xludf.DUMMYFUNCTION("""COMPUTED_VALUE"""),96.51)</f>
        <v>96.51</v>
      </c>
      <c r="C1859" s="19"/>
      <c r="D1859" s="19"/>
      <c r="E1859" s="22">
        <f>IFERROR(__xludf.DUMMYFUNCTION("""COMPUTED_VALUE"""),44827.66666666667)</f>
        <v>44827.66667</v>
      </c>
      <c r="F1859" s="23">
        <f>IFERROR(__xludf.DUMMYFUNCTION("""COMPUTED_VALUE"""),26.83)</f>
        <v>26.83</v>
      </c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</row>
    <row r="1860">
      <c r="A1860" s="22">
        <f>IFERROR(__xludf.DUMMYFUNCTION("""COMPUTED_VALUE"""),44645.66666666667)</f>
        <v>44645.66667</v>
      </c>
      <c r="B1860" s="23">
        <f>IFERROR(__xludf.DUMMYFUNCTION("""COMPUTED_VALUE"""),97.0)</f>
        <v>97</v>
      </c>
      <c r="C1860" s="19"/>
      <c r="D1860" s="19"/>
      <c r="E1860" s="22">
        <f>IFERROR(__xludf.DUMMYFUNCTION("""COMPUTED_VALUE"""),44830.66666666667)</f>
        <v>44830.66667</v>
      </c>
      <c r="F1860" s="23">
        <f>IFERROR(__xludf.DUMMYFUNCTION("""COMPUTED_VALUE"""),26.73)</f>
        <v>26.73</v>
      </c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</row>
    <row r="1861">
      <c r="A1861" s="22">
        <f>IFERROR(__xludf.DUMMYFUNCTION("""COMPUTED_VALUE"""),44648.66666666667)</f>
        <v>44648.66667</v>
      </c>
      <c r="B1861" s="23">
        <f>IFERROR(__xludf.DUMMYFUNCTION("""COMPUTED_VALUE"""),96.59)</f>
        <v>96.59</v>
      </c>
      <c r="C1861" s="19"/>
      <c r="D1861" s="19"/>
      <c r="E1861" s="22">
        <f>IFERROR(__xludf.DUMMYFUNCTION("""COMPUTED_VALUE"""),44831.66666666667)</f>
        <v>44831.66667</v>
      </c>
      <c r="F1861" s="23">
        <f>IFERROR(__xludf.DUMMYFUNCTION("""COMPUTED_VALUE"""),27.03)</f>
        <v>27.03</v>
      </c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</row>
    <row r="1862">
      <c r="A1862" s="22">
        <f>IFERROR(__xludf.DUMMYFUNCTION("""COMPUTED_VALUE"""),44649.66666666667)</f>
        <v>44649.66667</v>
      </c>
      <c r="B1862" s="23">
        <f>IFERROR(__xludf.DUMMYFUNCTION("""COMPUTED_VALUE"""),98.15)</f>
        <v>98.15</v>
      </c>
      <c r="C1862" s="19"/>
      <c r="D1862" s="19"/>
      <c r="E1862" s="22">
        <f>IFERROR(__xludf.DUMMYFUNCTION("""COMPUTED_VALUE"""),44832.66666666667)</f>
        <v>44832.66667</v>
      </c>
      <c r="F1862" s="23">
        <f>IFERROR(__xludf.DUMMYFUNCTION("""COMPUTED_VALUE"""),27.09)</f>
        <v>27.09</v>
      </c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</row>
    <row r="1863">
      <c r="A1863" s="22">
        <f>IFERROR(__xludf.DUMMYFUNCTION("""COMPUTED_VALUE"""),44650.66666666667)</f>
        <v>44650.66667</v>
      </c>
      <c r="B1863" s="23">
        <f>IFERROR(__xludf.DUMMYFUNCTION("""COMPUTED_VALUE"""),98.68)</f>
        <v>98.68</v>
      </c>
      <c r="C1863" s="19"/>
      <c r="D1863" s="19"/>
      <c r="E1863" s="22">
        <f>IFERROR(__xludf.DUMMYFUNCTION("""COMPUTED_VALUE"""),44833.66666666667)</f>
        <v>44833.66667</v>
      </c>
      <c r="F1863" s="23">
        <f>IFERROR(__xludf.DUMMYFUNCTION("""COMPUTED_VALUE"""),27.31)</f>
        <v>27.31</v>
      </c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</row>
    <row r="1864">
      <c r="A1864" s="22">
        <f>IFERROR(__xludf.DUMMYFUNCTION("""COMPUTED_VALUE"""),44651.66666666667)</f>
        <v>44651.66667</v>
      </c>
      <c r="B1864" s="23">
        <f>IFERROR(__xludf.DUMMYFUNCTION("""COMPUTED_VALUE"""),99.09)</f>
        <v>99.09</v>
      </c>
      <c r="C1864" s="19"/>
      <c r="D1864" s="19"/>
      <c r="E1864" s="22">
        <f>IFERROR(__xludf.DUMMYFUNCTION("""COMPUTED_VALUE"""),44834.66666666667)</f>
        <v>44834.66667</v>
      </c>
      <c r="F1864" s="23">
        <f>IFERROR(__xludf.DUMMYFUNCTION("""COMPUTED_VALUE"""),26.67)</f>
        <v>26.67</v>
      </c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</row>
    <row r="1865">
      <c r="A1865" s="22">
        <f>IFERROR(__xludf.DUMMYFUNCTION("""COMPUTED_VALUE"""),44652.66666666667)</f>
        <v>44652.66667</v>
      </c>
      <c r="B1865" s="23">
        <f>IFERROR(__xludf.DUMMYFUNCTION("""COMPUTED_VALUE"""),97.46)</f>
        <v>97.46</v>
      </c>
      <c r="C1865" s="19"/>
      <c r="D1865" s="19"/>
      <c r="E1865" s="22">
        <f>IFERROR(__xludf.DUMMYFUNCTION("""COMPUTED_VALUE"""),44837.66666666667)</f>
        <v>44837.66667</v>
      </c>
      <c r="F1865" s="23">
        <f>IFERROR(__xludf.DUMMYFUNCTION("""COMPUTED_VALUE"""),26.27)</f>
        <v>26.27</v>
      </c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</row>
    <row r="1866">
      <c r="A1866" s="22">
        <f>IFERROR(__xludf.DUMMYFUNCTION("""COMPUTED_VALUE"""),44655.66666666667)</f>
        <v>44655.66667</v>
      </c>
      <c r="B1866" s="23">
        <f>IFERROR(__xludf.DUMMYFUNCTION("""COMPUTED_VALUE"""),97.23)</f>
        <v>97.23</v>
      </c>
      <c r="C1866" s="19"/>
      <c r="D1866" s="19"/>
      <c r="E1866" s="22">
        <f>IFERROR(__xludf.DUMMYFUNCTION("""COMPUTED_VALUE"""),44838.66666666667)</f>
        <v>44838.66667</v>
      </c>
      <c r="F1866" s="23">
        <f>IFERROR(__xludf.DUMMYFUNCTION("""COMPUTED_VALUE"""),27.11)</f>
        <v>27.11</v>
      </c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</row>
    <row r="1867">
      <c r="A1867" s="22">
        <f>IFERROR(__xludf.DUMMYFUNCTION("""COMPUTED_VALUE"""),44656.66666666667)</f>
        <v>44656.66667</v>
      </c>
      <c r="B1867" s="23">
        <f>IFERROR(__xludf.DUMMYFUNCTION("""COMPUTED_VALUE"""),96.44)</f>
        <v>96.44</v>
      </c>
      <c r="C1867" s="19"/>
      <c r="D1867" s="19"/>
      <c r="E1867" s="22">
        <f>IFERROR(__xludf.DUMMYFUNCTION("""COMPUTED_VALUE"""),44839.66666666667)</f>
        <v>44839.66667</v>
      </c>
      <c r="F1867" s="23">
        <f>IFERROR(__xludf.DUMMYFUNCTION("""COMPUTED_VALUE"""),27.47)</f>
        <v>27.47</v>
      </c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</row>
    <row r="1868">
      <c r="A1868" s="22">
        <f>IFERROR(__xludf.DUMMYFUNCTION("""COMPUTED_VALUE"""),44657.66666666667)</f>
        <v>44657.66667</v>
      </c>
      <c r="B1868" s="23">
        <f>IFERROR(__xludf.DUMMYFUNCTION("""COMPUTED_VALUE"""),95.75)</f>
        <v>95.75</v>
      </c>
      <c r="C1868" s="19"/>
      <c r="D1868" s="19"/>
      <c r="E1868" s="22">
        <f>IFERROR(__xludf.DUMMYFUNCTION("""COMPUTED_VALUE"""),44840.66666666667)</f>
        <v>44840.66667</v>
      </c>
      <c r="F1868" s="23">
        <f>IFERROR(__xludf.DUMMYFUNCTION("""COMPUTED_VALUE"""),27.6)</f>
        <v>27.6</v>
      </c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</row>
    <row r="1869">
      <c r="A1869" s="22">
        <f>IFERROR(__xludf.DUMMYFUNCTION("""COMPUTED_VALUE"""),44658.66666666667)</f>
        <v>44658.66667</v>
      </c>
      <c r="B1869" s="23">
        <f>IFERROR(__xludf.DUMMYFUNCTION("""COMPUTED_VALUE"""),95.57)</f>
        <v>95.57</v>
      </c>
      <c r="C1869" s="19"/>
      <c r="D1869" s="19"/>
      <c r="E1869" s="22">
        <f>IFERROR(__xludf.DUMMYFUNCTION("""COMPUTED_VALUE"""),44841.66666666667)</f>
        <v>44841.66667</v>
      </c>
      <c r="F1869" s="23">
        <f>IFERROR(__xludf.DUMMYFUNCTION("""COMPUTED_VALUE"""),27.66)</f>
        <v>27.66</v>
      </c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</row>
    <row r="1870">
      <c r="A1870" s="22">
        <f>IFERROR(__xludf.DUMMYFUNCTION("""COMPUTED_VALUE"""),44659.66666666667)</f>
        <v>44659.66667</v>
      </c>
      <c r="B1870" s="23">
        <f>IFERROR(__xludf.DUMMYFUNCTION("""COMPUTED_VALUE"""),96.36)</f>
        <v>96.36</v>
      </c>
      <c r="C1870" s="19"/>
      <c r="D1870" s="19"/>
      <c r="E1870" s="22">
        <f>IFERROR(__xludf.DUMMYFUNCTION("""COMPUTED_VALUE"""),44844.66666666667)</f>
        <v>44844.66667</v>
      </c>
      <c r="F1870" s="23">
        <f>IFERROR(__xludf.DUMMYFUNCTION("""COMPUTED_VALUE"""),26.89)</f>
        <v>26.89</v>
      </c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</row>
    <row r="1871">
      <c r="A1871" s="22">
        <f>IFERROR(__xludf.DUMMYFUNCTION("""COMPUTED_VALUE"""),44662.66666666667)</f>
        <v>44662.66667</v>
      </c>
      <c r="B1871" s="23">
        <f>IFERROR(__xludf.DUMMYFUNCTION("""COMPUTED_VALUE"""),95.84)</f>
        <v>95.84</v>
      </c>
      <c r="C1871" s="19"/>
      <c r="D1871" s="19"/>
      <c r="E1871" s="22">
        <f>IFERROR(__xludf.DUMMYFUNCTION("""COMPUTED_VALUE"""),44845.66666666667)</f>
        <v>44845.66667</v>
      </c>
      <c r="F1871" s="23">
        <f>IFERROR(__xludf.DUMMYFUNCTION("""COMPUTED_VALUE"""),26.91)</f>
        <v>26.91</v>
      </c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</row>
    <row r="1872">
      <c r="A1872" s="22">
        <f>IFERROR(__xludf.DUMMYFUNCTION("""COMPUTED_VALUE"""),44663.66666666667)</f>
        <v>44663.66667</v>
      </c>
      <c r="B1872" s="23">
        <f>IFERROR(__xludf.DUMMYFUNCTION("""COMPUTED_VALUE"""),94.79)</f>
        <v>94.79</v>
      </c>
      <c r="C1872" s="19"/>
      <c r="D1872" s="19"/>
      <c r="E1872" s="22">
        <f>IFERROR(__xludf.DUMMYFUNCTION("""COMPUTED_VALUE"""),44846.66666666667)</f>
        <v>44846.66667</v>
      </c>
      <c r="F1872" s="23">
        <f>IFERROR(__xludf.DUMMYFUNCTION("""COMPUTED_VALUE"""),26.78)</f>
        <v>26.78</v>
      </c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</row>
    <row r="1873">
      <c r="A1873" s="22">
        <f>IFERROR(__xludf.DUMMYFUNCTION("""COMPUTED_VALUE"""),44664.66666666667)</f>
        <v>44664.66667</v>
      </c>
      <c r="B1873" s="23">
        <f>IFERROR(__xludf.DUMMYFUNCTION("""COMPUTED_VALUE"""),95.22)</f>
        <v>95.22</v>
      </c>
      <c r="C1873" s="19"/>
      <c r="D1873" s="19"/>
      <c r="E1873" s="22">
        <f>IFERROR(__xludf.DUMMYFUNCTION("""COMPUTED_VALUE"""),44847.66666666667)</f>
        <v>44847.66667</v>
      </c>
      <c r="F1873" s="23">
        <f>IFERROR(__xludf.DUMMYFUNCTION("""COMPUTED_VALUE"""),26.6)</f>
        <v>26.6</v>
      </c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</row>
    <row r="1874">
      <c r="A1874" s="22">
        <f>IFERROR(__xludf.DUMMYFUNCTION("""COMPUTED_VALUE"""),44665.66666666667)</f>
        <v>44665.66667</v>
      </c>
      <c r="B1874" s="23">
        <f>IFERROR(__xludf.DUMMYFUNCTION("""COMPUTED_VALUE"""),95.84)</f>
        <v>95.84</v>
      </c>
      <c r="C1874" s="19"/>
      <c r="D1874" s="19"/>
      <c r="E1874" s="22">
        <f>IFERROR(__xludf.DUMMYFUNCTION("""COMPUTED_VALUE"""),44848.66666666667)</f>
        <v>44848.66667</v>
      </c>
      <c r="F1874" s="23">
        <f>IFERROR(__xludf.DUMMYFUNCTION("""COMPUTED_VALUE"""),27.14)</f>
        <v>27.14</v>
      </c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</row>
    <row r="1875">
      <c r="A1875" s="22">
        <f>IFERROR(__xludf.DUMMYFUNCTION("""COMPUTED_VALUE"""),44670.66666666667)</f>
        <v>44670.66667</v>
      </c>
      <c r="B1875" s="23">
        <f>IFERROR(__xludf.DUMMYFUNCTION("""COMPUTED_VALUE"""),95.68)</f>
        <v>95.68</v>
      </c>
      <c r="C1875" s="19"/>
      <c r="D1875" s="19"/>
      <c r="E1875" s="22">
        <f>IFERROR(__xludf.DUMMYFUNCTION("""COMPUTED_VALUE"""),44851.66666666667)</f>
        <v>44851.66667</v>
      </c>
      <c r="F1875" s="23">
        <f>IFERROR(__xludf.DUMMYFUNCTION("""COMPUTED_VALUE"""),26.68)</f>
        <v>26.68</v>
      </c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</row>
    <row r="1876">
      <c r="A1876" s="22">
        <f>IFERROR(__xludf.DUMMYFUNCTION("""COMPUTED_VALUE"""),44671.66666666667)</f>
        <v>44671.66667</v>
      </c>
      <c r="B1876" s="23">
        <f>IFERROR(__xludf.DUMMYFUNCTION("""COMPUTED_VALUE"""),95.8)</f>
        <v>95.8</v>
      </c>
      <c r="C1876" s="19"/>
      <c r="D1876" s="19"/>
      <c r="E1876" s="22">
        <f>IFERROR(__xludf.DUMMYFUNCTION("""COMPUTED_VALUE"""),44852.66666666667)</f>
        <v>44852.66667</v>
      </c>
      <c r="F1876" s="23">
        <f>IFERROR(__xludf.DUMMYFUNCTION("""COMPUTED_VALUE"""),27.59)</f>
        <v>27.59</v>
      </c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</row>
    <row r="1877">
      <c r="A1877" s="22">
        <f>IFERROR(__xludf.DUMMYFUNCTION("""COMPUTED_VALUE"""),44672.66666666667)</f>
        <v>44672.66667</v>
      </c>
      <c r="B1877" s="23">
        <f>IFERROR(__xludf.DUMMYFUNCTION("""COMPUTED_VALUE"""),96.3)</f>
        <v>96.3</v>
      </c>
      <c r="C1877" s="19"/>
      <c r="D1877" s="19"/>
      <c r="E1877" s="22">
        <f>IFERROR(__xludf.DUMMYFUNCTION("""COMPUTED_VALUE"""),44853.66666666667)</f>
        <v>44853.66667</v>
      </c>
      <c r="F1877" s="23">
        <f>IFERROR(__xludf.DUMMYFUNCTION("""COMPUTED_VALUE"""),27.6)</f>
        <v>27.6</v>
      </c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</row>
    <row r="1878">
      <c r="A1878" s="22">
        <f>IFERROR(__xludf.DUMMYFUNCTION("""COMPUTED_VALUE"""),44673.66666666667)</f>
        <v>44673.66667</v>
      </c>
      <c r="B1878" s="23">
        <f>IFERROR(__xludf.DUMMYFUNCTION("""COMPUTED_VALUE"""),95.68)</f>
        <v>95.68</v>
      </c>
      <c r="C1878" s="19"/>
      <c r="D1878" s="19"/>
      <c r="E1878" s="22">
        <f>IFERROR(__xludf.DUMMYFUNCTION("""COMPUTED_VALUE"""),44854.66666666667)</f>
        <v>44854.66667</v>
      </c>
      <c r="F1878" s="23">
        <f>IFERROR(__xludf.DUMMYFUNCTION("""COMPUTED_VALUE"""),27.31)</f>
        <v>27.31</v>
      </c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</row>
    <row r="1879">
      <c r="A1879" s="22">
        <f>IFERROR(__xludf.DUMMYFUNCTION("""COMPUTED_VALUE"""),44677.66666666667)</f>
        <v>44677.66667</v>
      </c>
      <c r="B1879" s="23">
        <f>IFERROR(__xludf.DUMMYFUNCTION("""COMPUTED_VALUE"""),95.39)</f>
        <v>95.39</v>
      </c>
      <c r="C1879" s="19"/>
      <c r="D1879" s="19"/>
      <c r="E1879" s="22">
        <f>IFERROR(__xludf.DUMMYFUNCTION("""COMPUTED_VALUE"""),44855.66666666667)</f>
        <v>44855.66667</v>
      </c>
      <c r="F1879" s="23">
        <f>IFERROR(__xludf.DUMMYFUNCTION("""COMPUTED_VALUE"""),27.13)</f>
        <v>27.13</v>
      </c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</row>
    <row r="1880">
      <c r="A1880" s="22">
        <f>IFERROR(__xludf.DUMMYFUNCTION("""COMPUTED_VALUE"""),44678.66666666667)</f>
        <v>44678.66667</v>
      </c>
      <c r="B1880" s="23">
        <f>IFERROR(__xludf.DUMMYFUNCTION("""COMPUTED_VALUE"""),93.71)</f>
        <v>93.71</v>
      </c>
      <c r="C1880" s="19"/>
      <c r="D1880" s="19"/>
      <c r="E1880" s="22">
        <f>IFERROR(__xludf.DUMMYFUNCTION("""COMPUTED_VALUE"""),44858.66666666667)</f>
        <v>44858.66667</v>
      </c>
      <c r="F1880" s="23">
        <f>IFERROR(__xludf.DUMMYFUNCTION("""COMPUTED_VALUE"""),27.69)</f>
        <v>27.69</v>
      </c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</row>
    <row r="1881">
      <c r="A1881" s="22">
        <f>IFERROR(__xludf.DUMMYFUNCTION("""COMPUTED_VALUE"""),44679.66666666667)</f>
        <v>44679.66667</v>
      </c>
      <c r="B1881" s="23">
        <f>IFERROR(__xludf.DUMMYFUNCTION("""COMPUTED_VALUE"""),95.06)</f>
        <v>95.06</v>
      </c>
      <c r="C1881" s="19"/>
      <c r="D1881" s="19"/>
      <c r="E1881" s="22">
        <f>IFERROR(__xludf.DUMMYFUNCTION("""COMPUTED_VALUE"""),44859.66666666667)</f>
        <v>44859.66667</v>
      </c>
      <c r="F1881" s="23">
        <f>IFERROR(__xludf.DUMMYFUNCTION("""COMPUTED_VALUE"""),27.97)</f>
        <v>27.97</v>
      </c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</row>
    <row r="1882">
      <c r="A1882" s="22">
        <f>IFERROR(__xludf.DUMMYFUNCTION("""COMPUTED_VALUE"""),44680.66666666667)</f>
        <v>44680.66667</v>
      </c>
      <c r="B1882" s="23">
        <f>IFERROR(__xludf.DUMMYFUNCTION("""COMPUTED_VALUE"""),95.74)</f>
        <v>95.74</v>
      </c>
      <c r="C1882" s="19"/>
      <c r="D1882" s="19"/>
      <c r="E1882" s="22">
        <f>IFERROR(__xludf.DUMMYFUNCTION("""COMPUTED_VALUE"""),44860.66666666667)</f>
        <v>44860.66667</v>
      </c>
      <c r="F1882" s="23">
        <f>IFERROR(__xludf.DUMMYFUNCTION("""COMPUTED_VALUE"""),27.68)</f>
        <v>27.68</v>
      </c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</row>
    <row r="1883">
      <c r="A1883" s="22">
        <f>IFERROR(__xludf.DUMMYFUNCTION("""COMPUTED_VALUE"""),44683.66666666667)</f>
        <v>44683.66667</v>
      </c>
      <c r="B1883" s="23">
        <f>IFERROR(__xludf.DUMMYFUNCTION("""COMPUTED_VALUE"""),94.49)</f>
        <v>94.49</v>
      </c>
      <c r="C1883" s="19"/>
      <c r="D1883" s="19"/>
      <c r="E1883" s="22">
        <f>IFERROR(__xludf.DUMMYFUNCTION("""COMPUTED_VALUE"""),44861.66666666667)</f>
        <v>44861.66667</v>
      </c>
      <c r="F1883" s="23">
        <f>IFERROR(__xludf.DUMMYFUNCTION("""COMPUTED_VALUE"""),27.21)</f>
        <v>27.21</v>
      </c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</row>
    <row r="1884">
      <c r="A1884" s="22">
        <f>IFERROR(__xludf.DUMMYFUNCTION("""COMPUTED_VALUE"""),44684.66666666667)</f>
        <v>44684.66667</v>
      </c>
      <c r="B1884" s="23">
        <f>IFERROR(__xludf.DUMMYFUNCTION("""COMPUTED_VALUE"""),93.89)</f>
        <v>93.89</v>
      </c>
      <c r="C1884" s="19"/>
      <c r="D1884" s="19"/>
      <c r="E1884" s="22">
        <f>IFERROR(__xludf.DUMMYFUNCTION("""COMPUTED_VALUE"""),44862.66666666667)</f>
        <v>44862.66667</v>
      </c>
      <c r="F1884" s="23">
        <f>IFERROR(__xludf.DUMMYFUNCTION("""COMPUTED_VALUE"""),26.58)</f>
        <v>26.58</v>
      </c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</row>
    <row r="1885">
      <c r="A1885" s="22">
        <f>IFERROR(__xludf.DUMMYFUNCTION("""COMPUTED_VALUE"""),44685.66666666667)</f>
        <v>44685.66667</v>
      </c>
      <c r="B1885" s="23">
        <f>IFERROR(__xludf.DUMMYFUNCTION("""COMPUTED_VALUE"""),94.35)</f>
        <v>94.35</v>
      </c>
      <c r="C1885" s="19"/>
      <c r="D1885" s="19"/>
      <c r="E1885" s="22">
        <f>IFERROR(__xludf.DUMMYFUNCTION("""COMPUTED_VALUE"""),44865.66666666667)</f>
        <v>44865.66667</v>
      </c>
      <c r="F1885" s="23">
        <f>IFERROR(__xludf.DUMMYFUNCTION("""COMPUTED_VALUE"""),27.77)</f>
        <v>27.77</v>
      </c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</row>
    <row r="1886">
      <c r="A1886" s="22">
        <f>IFERROR(__xludf.DUMMYFUNCTION("""COMPUTED_VALUE"""),44686.66666666667)</f>
        <v>44686.66667</v>
      </c>
      <c r="B1886" s="23">
        <f>IFERROR(__xludf.DUMMYFUNCTION("""COMPUTED_VALUE"""),95.0)</f>
        <v>95</v>
      </c>
      <c r="C1886" s="19"/>
      <c r="D1886" s="19"/>
      <c r="E1886" s="22">
        <f>IFERROR(__xludf.DUMMYFUNCTION("""COMPUTED_VALUE"""),44866.66666666667)</f>
        <v>44866.66667</v>
      </c>
      <c r="F1886" s="23">
        <f>IFERROR(__xludf.DUMMYFUNCTION("""COMPUTED_VALUE"""),27.59)</f>
        <v>27.59</v>
      </c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</row>
    <row r="1887">
      <c r="A1887" s="22">
        <f>IFERROR(__xludf.DUMMYFUNCTION("""COMPUTED_VALUE"""),44687.66666666667)</f>
        <v>44687.66667</v>
      </c>
      <c r="B1887" s="23">
        <f>IFERROR(__xludf.DUMMYFUNCTION("""COMPUTED_VALUE"""),93.69)</f>
        <v>93.69</v>
      </c>
      <c r="C1887" s="19"/>
      <c r="D1887" s="19"/>
      <c r="E1887" s="22">
        <f>IFERROR(__xludf.DUMMYFUNCTION("""COMPUTED_VALUE"""),44867.66666666667)</f>
        <v>44867.66667</v>
      </c>
      <c r="F1887" s="23">
        <f>IFERROR(__xludf.DUMMYFUNCTION("""COMPUTED_VALUE"""),27.34)</f>
        <v>27.34</v>
      </c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</row>
    <row r="1888">
      <c r="A1888" s="22">
        <f>IFERROR(__xludf.DUMMYFUNCTION("""COMPUTED_VALUE"""),44690.66666666667)</f>
        <v>44690.66667</v>
      </c>
      <c r="B1888" s="23">
        <f>IFERROR(__xludf.DUMMYFUNCTION("""COMPUTED_VALUE"""),93.03)</f>
        <v>93.03</v>
      </c>
      <c r="C1888" s="19"/>
      <c r="D1888" s="19"/>
      <c r="E1888" s="22">
        <f>IFERROR(__xludf.DUMMYFUNCTION("""COMPUTED_VALUE"""),44868.66666666667)</f>
        <v>44868.66667</v>
      </c>
      <c r="F1888" s="23">
        <f>IFERROR(__xludf.DUMMYFUNCTION("""COMPUTED_VALUE"""),26.61)</f>
        <v>26.61</v>
      </c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</row>
    <row r="1889">
      <c r="A1889" s="22">
        <f>IFERROR(__xludf.DUMMYFUNCTION("""COMPUTED_VALUE"""),44691.66666666667)</f>
        <v>44691.66667</v>
      </c>
      <c r="B1889" s="23">
        <f>IFERROR(__xludf.DUMMYFUNCTION("""COMPUTED_VALUE"""),92.0)</f>
        <v>92</v>
      </c>
      <c r="C1889" s="19"/>
      <c r="D1889" s="19"/>
      <c r="E1889" s="22">
        <f>IFERROR(__xludf.DUMMYFUNCTION("""COMPUTED_VALUE"""),44869.66666666667)</f>
        <v>44869.66667</v>
      </c>
      <c r="F1889" s="23">
        <f>IFERROR(__xludf.DUMMYFUNCTION("""COMPUTED_VALUE"""),26.2)</f>
        <v>26.2</v>
      </c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</row>
    <row r="1890">
      <c r="A1890" s="22">
        <f>IFERROR(__xludf.DUMMYFUNCTION("""COMPUTED_VALUE"""),44692.66666666667)</f>
        <v>44692.66667</v>
      </c>
      <c r="B1890" s="23">
        <f>IFERROR(__xludf.DUMMYFUNCTION("""COMPUTED_VALUE"""),92.19)</f>
        <v>92.19</v>
      </c>
      <c r="C1890" s="19"/>
      <c r="D1890" s="19"/>
      <c r="E1890" s="22">
        <f>IFERROR(__xludf.DUMMYFUNCTION("""COMPUTED_VALUE"""),44872.66666666667)</f>
        <v>44872.66667</v>
      </c>
      <c r="F1890" s="23">
        <f>IFERROR(__xludf.DUMMYFUNCTION("""COMPUTED_VALUE"""),26.09)</f>
        <v>26.09</v>
      </c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</row>
    <row r="1891">
      <c r="A1891" s="22">
        <f>IFERROR(__xludf.DUMMYFUNCTION("""COMPUTED_VALUE"""),44693.66666666667)</f>
        <v>44693.66667</v>
      </c>
      <c r="B1891" s="23">
        <f>IFERROR(__xludf.DUMMYFUNCTION("""COMPUTED_VALUE"""),91.3)</f>
        <v>91.3</v>
      </c>
      <c r="C1891" s="19"/>
      <c r="D1891" s="19"/>
      <c r="E1891" s="22">
        <f>IFERROR(__xludf.DUMMYFUNCTION("""COMPUTED_VALUE"""),44873.66666666667)</f>
        <v>44873.66667</v>
      </c>
      <c r="F1891" s="23">
        <f>IFERROR(__xludf.DUMMYFUNCTION("""COMPUTED_VALUE"""),26.26)</f>
        <v>26.26</v>
      </c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</row>
    <row r="1892">
      <c r="A1892" s="22">
        <f>IFERROR(__xludf.DUMMYFUNCTION("""COMPUTED_VALUE"""),44694.66666666667)</f>
        <v>44694.66667</v>
      </c>
      <c r="B1892" s="23">
        <f>IFERROR(__xludf.DUMMYFUNCTION("""COMPUTED_VALUE"""),92.48)</f>
        <v>92.48</v>
      </c>
      <c r="C1892" s="19"/>
      <c r="D1892" s="19"/>
      <c r="E1892" s="22">
        <f>IFERROR(__xludf.DUMMYFUNCTION("""COMPUTED_VALUE"""),44874.66666666667)</f>
        <v>44874.66667</v>
      </c>
      <c r="F1892" s="23">
        <f>IFERROR(__xludf.DUMMYFUNCTION("""COMPUTED_VALUE"""),26.41)</f>
        <v>26.41</v>
      </c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</row>
    <row r="1893">
      <c r="A1893" s="22">
        <f>IFERROR(__xludf.DUMMYFUNCTION("""COMPUTED_VALUE"""),44697.66666666667)</f>
        <v>44697.66667</v>
      </c>
      <c r="B1893" s="23">
        <f>IFERROR(__xludf.DUMMYFUNCTION("""COMPUTED_VALUE"""),93.2)</f>
        <v>93.2</v>
      </c>
      <c r="C1893" s="19"/>
      <c r="D1893" s="19"/>
      <c r="E1893" s="22">
        <f>IFERROR(__xludf.DUMMYFUNCTION("""COMPUTED_VALUE"""),44875.66666666667)</f>
        <v>44875.66667</v>
      </c>
      <c r="F1893" s="23">
        <f>IFERROR(__xludf.DUMMYFUNCTION("""COMPUTED_VALUE"""),26.17)</f>
        <v>26.17</v>
      </c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</row>
    <row r="1894">
      <c r="A1894" s="22">
        <f>IFERROR(__xludf.DUMMYFUNCTION("""COMPUTED_VALUE"""),44698.66666666667)</f>
        <v>44698.66667</v>
      </c>
      <c r="B1894" s="23">
        <f>IFERROR(__xludf.DUMMYFUNCTION("""COMPUTED_VALUE"""),92.44)</f>
        <v>92.44</v>
      </c>
      <c r="C1894" s="19"/>
      <c r="D1894" s="19"/>
      <c r="E1894" s="22">
        <f>IFERROR(__xludf.DUMMYFUNCTION("""COMPUTED_VALUE"""),44876.66666666667)</f>
        <v>44876.66667</v>
      </c>
      <c r="F1894" s="23">
        <f>IFERROR(__xludf.DUMMYFUNCTION("""COMPUTED_VALUE"""),27.17)</f>
        <v>27.17</v>
      </c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</row>
    <row r="1895">
      <c r="A1895" s="22">
        <f>IFERROR(__xludf.DUMMYFUNCTION("""COMPUTED_VALUE"""),44699.66666666667)</f>
        <v>44699.66667</v>
      </c>
      <c r="B1895" s="23">
        <f>IFERROR(__xludf.DUMMYFUNCTION("""COMPUTED_VALUE"""),93.3)</f>
        <v>93.3</v>
      </c>
      <c r="C1895" s="19"/>
      <c r="D1895" s="19"/>
      <c r="E1895" s="22">
        <f>IFERROR(__xludf.DUMMYFUNCTION("""COMPUTED_VALUE"""),44879.66666666667)</f>
        <v>44879.66667</v>
      </c>
      <c r="F1895" s="23">
        <f>IFERROR(__xludf.DUMMYFUNCTION("""COMPUTED_VALUE"""),27.23)</f>
        <v>27.23</v>
      </c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</row>
    <row r="1896">
      <c r="A1896" s="22">
        <f>IFERROR(__xludf.DUMMYFUNCTION("""COMPUTED_VALUE"""),44700.66666666667)</f>
        <v>44700.66667</v>
      </c>
      <c r="B1896" s="23">
        <f>IFERROR(__xludf.DUMMYFUNCTION("""COMPUTED_VALUE"""),90.61)</f>
        <v>90.61</v>
      </c>
      <c r="C1896" s="19"/>
      <c r="D1896" s="19"/>
      <c r="E1896" s="22">
        <f>IFERROR(__xludf.DUMMYFUNCTION("""COMPUTED_VALUE"""),44880.66666666667)</f>
        <v>44880.66667</v>
      </c>
      <c r="F1896" s="23">
        <f>IFERROR(__xludf.DUMMYFUNCTION("""COMPUTED_VALUE"""),27.21)</f>
        <v>27.21</v>
      </c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</row>
    <row r="1897">
      <c r="A1897" s="22">
        <f>IFERROR(__xludf.DUMMYFUNCTION("""COMPUTED_VALUE"""),44701.66666666667)</f>
        <v>44701.66667</v>
      </c>
      <c r="B1897" s="23">
        <f>IFERROR(__xludf.DUMMYFUNCTION("""COMPUTED_VALUE"""),90.62)</f>
        <v>90.62</v>
      </c>
      <c r="C1897" s="19"/>
      <c r="D1897" s="19"/>
      <c r="E1897" s="22">
        <f>IFERROR(__xludf.DUMMYFUNCTION("""COMPUTED_VALUE"""),44881.66666666667)</f>
        <v>44881.66667</v>
      </c>
      <c r="F1897" s="23">
        <f>IFERROR(__xludf.DUMMYFUNCTION("""COMPUTED_VALUE"""),27.16)</f>
        <v>27.16</v>
      </c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</row>
    <row r="1898">
      <c r="A1898" s="22">
        <f>IFERROR(__xludf.DUMMYFUNCTION("""COMPUTED_VALUE"""),44704.66666666667)</f>
        <v>44704.66667</v>
      </c>
      <c r="B1898" s="23">
        <f>IFERROR(__xludf.DUMMYFUNCTION("""COMPUTED_VALUE"""),90.39)</f>
        <v>90.39</v>
      </c>
      <c r="C1898" s="19"/>
      <c r="D1898" s="19"/>
      <c r="E1898" s="22">
        <f>IFERROR(__xludf.DUMMYFUNCTION("""COMPUTED_VALUE"""),44882.66666666667)</f>
        <v>44882.66667</v>
      </c>
      <c r="F1898" s="23">
        <f>IFERROR(__xludf.DUMMYFUNCTION("""COMPUTED_VALUE"""),27.06)</f>
        <v>27.06</v>
      </c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</row>
    <row r="1899">
      <c r="A1899" s="22">
        <f>IFERROR(__xludf.DUMMYFUNCTION("""COMPUTED_VALUE"""),44705.66666666667)</f>
        <v>44705.66667</v>
      </c>
      <c r="B1899" s="23">
        <f>IFERROR(__xludf.DUMMYFUNCTION("""COMPUTED_VALUE"""),90.21)</f>
        <v>90.21</v>
      </c>
      <c r="C1899" s="19"/>
      <c r="D1899" s="19"/>
      <c r="E1899" s="22">
        <f>IFERROR(__xludf.DUMMYFUNCTION("""COMPUTED_VALUE"""),44883.66666666667)</f>
        <v>44883.66667</v>
      </c>
      <c r="F1899" s="23">
        <f>IFERROR(__xludf.DUMMYFUNCTION("""COMPUTED_VALUE"""),27.01)</f>
        <v>27.01</v>
      </c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</row>
    <row r="1900">
      <c r="A1900" s="22">
        <f>IFERROR(__xludf.DUMMYFUNCTION("""COMPUTED_VALUE"""),44706.66666666667)</f>
        <v>44706.66667</v>
      </c>
      <c r="B1900" s="23">
        <f>IFERROR(__xludf.DUMMYFUNCTION("""COMPUTED_VALUE"""),90.52)</f>
        <v>90.52</v>
      </c>
      <c r="C1900" s="19"/>
      <c r="D1900" s="19"/>
      <c r="E1900" s="22">
        <f>IFERROR(__xludf.DUMMYFUNCTION("""COMPUTED_VALUE"""),44886.66666666667)</f>
        <v>44886.66667</v>
      </c>
      <c r="F1900" s="23">
        <f>IFERROR(__xludf.DUMMYFUNCTION("""COMPUTED_VALUE"""),27.15)</f>
        <v>27.15</v>
      </c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</row>
    <row r="1901">
      <c r="A1901" s="22">
        <f>IFERROR(__xludf.DUMMYFUNCTION("""COMPUTED_VALUE"""),44707.66666666667)</f>
        <v>44707.66667</v>
      </c>
      <c r="B1901" s="23">
        <f>IFERROR(__xludf.DUMMYFUNCTION("""COMPUTED_VALUE"""),90.98)</f>
        <v>90.98</v>
      </c>
      <c r="C1901" s="19"/>
      <c r="D1901" s="19"/>
      <c r="E1901" s="22">
        <f>IFERROR(__xludf.DUMMYFUNCTION("""COMPUTED_VALUE"""),44887.66666666667)</f>
        <v>44887.66667</v>
      </c>
      <c r="F1901" s="23">
        <f>IFERROR(__xludf.DUMMYFUNCTION("""COMPUTED_VALUE"""),27.08)</f>
        <v>27.08</v>
      </c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</row>
    <row r="1902">
      <c r="A1902" s="22">
        <f>IFERROR(__xludf.DUMMYFUNCTION("""COMPUTED_VALUE"""),44708.66666666667)</f>
        <v>44708.66667</v>
      </c>
      <c r="B1902" s="23">
        <f>IFERROR(__xludf.DUMMYFUNCTION("""COMPUTED_VALUE"""),92.0)</f>
        <v>92</v>
      </c>
      <c r="C1902" s="19"/>
      <c r="D1902" s="19"/>
      <c r="E1902" s="22">
        <f>IFERROR(__xludf.DUMMYFUNCTION("""COMPUTED_VALUE"""),44888.66666666667)</f>
        <v>44888.66667</v>
      </c>
      <c r="F1902" s="23">
        <f>IFERROR(__xludf.DUMMYFUNCTION("""COMPUTED_VALUE"""),27.3)</f>
        <v>27.3</v>
      </c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</row>
    <row r="1903">
      <c r="A1903" s="22">
        <f>IFERROR(__xludf.DUMMYFUNCTION("""COMPUTED_VALUE"""),44711.66666666667)</f>
        <v>44711.66667</v>
      </c>
      <c r="B1903" s="23">
        <f>IFERROR(__xludf.DUMMYFUNCTION("""COMPUTED_VALUE"""),94.14)</f>
        <v>94.14</v>
      </c>
      <c r="C1903" s="19"/>
      <c r="D1903" s="19"/>
      <c r="E1903" s="22">
        <f>IFERROR(__xludf.DUMMYFUNCTION("""COMPUTED_VALUE"""),44889.66666666667)</f>
        <v>44889.66667</v>
      </c>
      <c r="F1903" s="23">
        <f>IFERROR(__xludf.DUMMYFUNCTION("""COMPUTED_VALUE"""),27.18)</f>
        <v>27.18</v>
      </c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</row>
    <row r="1904">
      <c r="A1904" s="22">
        <f>IFERROR(__xludf.DUMMYFUNCTION("""COMPUTED_VALUE"""),44712.66666666667)</f>
        <v>44712.66667</v>
      </c>
      <c r="B1904" s="23">
        <f>IFERROR(__xludf.DUMMYFUNCTION("""COMPUTED_VALUE"""),93.5)</f>
        <v>93.5</v>
      </c>
      <c r="C1904" s="19"/>
      <c r="D1904" s="19"/>
      <c r="E1904" s="22">
        <f>IFERROR(__xludf.DUMMYFUNCTION("""COMPUTED_VALUE"""),44890.66666666667)</f>
        <v>44890.66667</v>
      </c>
      <c r="F1904" s="23">
        <f>IFERROR(__xludf.DUMMYFUNCTION("""COMPUTED_VALUE"""),27.18)</f>
        <v>27.18</v>
      </c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</row>
    <row r="1905">
      <c r="A1905" s="22">
        <f>IFERROR(__xludf.DUMMYFUNCTION("""COMPUTED_VALUE"""),44713.66666666667)</f>
        <v>44713.66667</v>
      </c>
      <c r="B1905" s="23">
        <f>IFERROR(__xludf.DUMMYFUNCTION("""COMPUTED_VALUE"""),93.33)</f>
        <v>93.33</v>
      </c>
      <c r="C1905" s="19"/>
      <c r="D1905" s="19"/>
      <c r="E1905" s="22">
        <f>IFERROR(__xludf.DUMMYFUNCTION("""COMPUTED_VALUE"""),44893.66666666667)</f>
        <v>44893.66667</v>
      </c>
      <c r="F1905" s="23">
        <f>IFERROR(__xludf.DUMMYFUNCTION("""COMPUTED_VALUE"""),26.99)</f>
        <v>26.99</v>
      </c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</row>
    <row r="1906">
      <c r="A1906" s="22">
        <f>IFERROR(__xludf.DUMMYFUNCTION("""COMPUTED_VALUE"""),44714.66666666667)</f>
        <v>44714.66667</v>
      </c>
      <c r="B1906" s="23">
        <f>IFERROR(__xludf.DUMMYFUNCTION("""COMPUTED_VALUE"""),92.56)</f>
        <v>92.56</v>
      </c>
      <c r="C1906" s="19"/>
      <c r="D1906" s="19"/>
      <c r="E1906" s="22">
        <f>IFERROR(__xludf.DUMMYFUNCTION("""COMPUTED_VALUE"""),44894.66666666667)</f>
        <v>44894.66667</v>
      </c>
      <c r="F1906" s="23">
        <f>IFERROR(__xludf.DUMMYFUNCTION("""COMPUTED_VALUE"""),26.9)</f>
        <v>26.9</v>
      </c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</row>
    <row r="1907">
      <c r="A1907" s="22">
        <f>IFERROR(__xludf.DUMMYFUNCTION("""COMPUTED_VALUE"""),44715.66666666667)</f>
        <v>44715.66667</v>
      </c>
      <c r="B1907" s="23">
        <f>IFERROR(__xludf.DUMMYFUNCTION("""COMPUTED_VALUE"""),93.1)</f>
        <v>93.1</v>
      </c>
      <c r="C1907" s="19"/>
      <c r="D1907" s="19"/>
      <c r="E1907" s="22">
        <f>IFERROR(__xludf.DUMMYFUNCTION("""COMPUTED_VALUE"""),44895.66666666667)</f>
        <v>44895.66667</v>
      </c>
      <c r="F1907" s="23">
        <f>IFERROR(__xludf.DUMMYFUNCTION("""COMPUTED_VALUE"""),26.64)</f>
        <v>26.64</v>
      </c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</row>
    <row r="1908">
      <c r="A1908" s="22">
        <f>IFERROR(__xludf.DUMMYFUNCTION("""COMPUTED_VALUE"""),44718.66666666667)</f>
        <v>44718.66667</v>
      </c>
      <c r="B1908" s="23">
        <f>IFERROR(__xludf.DUMMYFUNCTION("""COMPUTED_VALUE"""),92.77)</f>
        <v>92.77</v>
      </c>
      <c r="C1908" s="19"/>
      <c r="D1908" s="19"/>
      <c r="E1908" s="22">
        <f>IFERROR(__xludf.DUMMYFUNCTION("""COMPUTED_VALUE"""),44896.66666666667)</f>
        <v>44896.66667</v>
      </c>
      <c r="F1908" s="23">
        <f>IFERROR(__xludf.DUMMYFUNCTION("""COMPUTED_VALUE"""),27.41)</f>
        <v>27.41</v>
      </c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</row>
    <row r="1909">
      <c r="A1909" s="22">
        <f>IFERROR(__xludf.DUMMYFUNCTION("""COMPUTED_VALUE"""),44719.66666666667)</f>
        <v>44719.66667</v>
      </c>
      <c r="B1909" s="23">
        <f>IFERROR(__xludf.DUMMYFUNCTION("""COMPUTED_VALUE"""),92.26)</f>
        <v>92.26</v>
      </c>
      <c r="C1909" s="19"/>
      <c r="D1909" s="19"/>
      <c r="E1909" s="22">
        <f>IFERROR(__xludf.DUMMYFUNCTION("""COMPUTED_VALUE"""),44897.66666666667)</f>
        <v>44897.66667</v>
      </c>
      <c r="F1909" s="23">
        <f>IFERROR(__xludf.DUMMYFUNCTION("""COMPUTED_VALUE"""),27.3)</f>
        <v>27.3</v>
      </c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</row>
    <row r="1910">
      <c r="A1910" s="22">
        <f>IFERROR(__xludf.DUMMYFUNCTION("""COMPUTED_VALUE"""),44720.66666666667)</f>
        <v>44720.66667</v>
      </c>
      <c r="B1910" s="23">
        <f>IFERROR(__xludf.DUMMYFUNCTION("""COMPUTED_VALUE"""),93.1)</f>
        <v>93.1</v>
      </c>
      <c r="C1910" s="19"/>
      <c r="D1910" s="19"/>
      <c r="E1910" s="22">
        <f>IFERROR(__xludf.DUMMYFUNCTION("""COMPUTED_VALUE"""),44900.66666666667)</f>
        <v>44900.66667</v>
      </c>
      <c r="F1910" s="23">
        <f>IFERROR(__xludf.DUMMYFUNCTION("""COMPUTED_VALUE"""),27.13)</f>
        <v>27.13</v>
      </c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</row>
    <row r="1911">
      <c r="A1911" s="22">
        <f>IFERROR(__xludf.DUMMYFUNCTION("""COMPUTED_VALUE"""),44721.66666666667)</f>
        <v>44721.66667</v>
      </c>
      <c r="B1911" s="23">
        <f>IFERROR(__xludf.DUMMYFUNCTION("""COMPUTED_VALUE"""),92.6)</f>
        <v>92.6</v>
      </c>
      <c r="C1911" s="19"/>
      <c r="D1911" s="19"/>
      <c r="E1911" s="22">
        <f>IFERROR(__xludf.DUMMYFUNCTION("""COMPUTED_VALUE"""),44901.66666666667)</f>
        <v>44901.66667</v>
      </c>
      <c r="F1911" s="23">
        <f>IFERROR(__xludf.DUMMYFUNCTION("""COMPUTED_VALUE"""),27.15)</f>
        <v>27.15</v>
      </c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</row>
    <row r="1912">
      <c r="A1912" s="22">
        <f>IFERROR(__xludf.DUMMYFUNCTION("""COMPUTED_VALUE"""),44722.66666666667)</f>
        <v>44722.66667</v>
      </c>
      <c r="B1912" s="23">
        <f>IFERROR(__xludf.DUMMYFUNCTION("""COMPUTED_VALUE"""),91.41)</f>
        <v>91.41</v>
      </c>
      <c r="C1912" s="19"/>
      <c r="D1912" s="19"/>
      <c r="E1912" s="22">
        <f>IFERROR(__xludf.DUMMYFUNCTION("""COMPUTED_VALUE"""),44902.66666666667)</f>
        <v>44902.66667</v>
      </c>
      <c r="F1912" s="23">
        <f>IFERROR(__xludf.DUMMYFUNCTION("""COMPUTED_VALUE"""),26.78)</f>
        <v>26.78</v>
      </c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</row>
    <row r="1913">
      <c r="A1913" s="22">
        <f>IFERROR(__xludf.DUMMYFUNCTION("""COMPUTED_VALUE"""),44726.66666666667)</f>
        <v>44726.66667</v>
      </c>
      <c r="B1913" s="23">
        <f>IFERROR(__xludf.DUMMYFUNCTION("""COMPUTED_VALUE"""),88.5)</f>
        <v>88.5</v>
      </c>
      <c r="C1913" s="19"/>
      <c r="D1913" s="19"/>
      <c r="E1913" s="22">
        <f>IFERROR(__xludf.DUMMYFUNCTION("""COMPUTED_VALUE"""),44903.66666666667)</f>
        <v>44903.66667</v>
      </c>
      <c r="F1913" s="23">
        <f>IFERROR(__xludf.DUMMYFUNCTION("""COMPUTED_VALUE"""),26.49)</f>
        <v>26.49</v>
      </c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</row>
    <row r="1914">
      <c r="A1914" s="22">
        <f>IFERROR(__xludf.DUMMYFUNCTION("""COMPUTED_VALUE"""),44727.66666666667)</f>
        <v>44727.66667</v>
      </c>
      <c r="B1914" s="23">
        <f>IFERROR(__xludf.DUMMYFUNCTION("""COMPUTED_VALUE"""),88.0)</f>
        <v>88</v>
      </c>
      <c r="C1914" s="19"/>
      <c r="D1914" s="19"/>
      <c r="E1914" s="22">
        <f>IFERROR(__xludf.DUMMYFUNCTION("""COMPUTED_VALUE"""),44904.66666666667)</f>
        <v>44904.66667</v>
      </c>
      <c r="F1914" s="23">
        <f>IFERROR(__xludf.DUMMYFUNCTION("""COMPUTED_VALUE"""),26.59)</f>
        <v>26.59</v>
      </c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</row>
    <row r="1915">
      <c r="A1915" s="22">
        <f>IFERROR(__xludf.DUMMYFUNCTION("""COMPUTED_VALUE"""),44728.66666666667)</f>
        <v>44728.66667</v>
      </c>
      <c r="B1915" s="23">
        <f>IFERROR(__xludf.DUMMYFUNCTION("""COMPUTED_VALUE"""),87.48)</f>
        <v>87.48</v>
      </c>
      <c r="C1915" s="19"/>
      <c r="D1915" s="19"/>
      <c r="E1915" s="22">
        <f>IFERROR(__xludf.DUMMYFUNCTION("""COMPUTED_VALUE"""),44907.66666666667)</f>
        <v>44907.66667</v>
      </c>
      <c r="F1915" s="23">
        <f>IFERROR(__xludf.DUMMYFUNCTION("""COMPUTED_VALUE"""),26.4)</f>
        <v>26.4</v>
      </c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</row>
    <row r="1916">
      <c r="A1916" s="22">
        <f>IFERROR(__xludf.DUMMYFUNCTION("""COMPUTED_VALUE"""),44729.66666666667)</f>
        <v>44729.66667</v>
      </c>
      <c r="B1916" s="23">
        <f>IFERROR(__xludf.DUMMYFUNCTION("""COMPUTED_VALUE"""),85.43)</f>
        <v>85.43</v>
      </c>
      <c r="C1916" s="19"/>
      <c r="D1916" s="19"/>
      <c r="E1916" s="22">
        <f>IFERROR(__xludf.DUMMYFUNCTION("""COMPUTED_VALUE"""),44908.66666666667)</f>
        <v>44908.66667</v>
      </c>
      <c r="F1916" s="23">
        <f>IFERROR(__xludf.DUMMYFUNCTION("""COMPUTED_VALUE"""),26.8)</f>
        <v>26.8</v>
      </c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</row>
    <row r="1917">
      <c r="A1917" s="22">
        <f>IFERROR(__xludf.DUMMYFUNCTION("""COMPUTED_VALUE"""),44732.66666666667)</f>
        <v>44732.66667</v>
      </c>
      <c r="B1917" s="23">
        <f>IFERROR(__xludf.DUMMYFUNCTION("""COMPUTED_VALUE"""),85.74)</f>
        <v>85.74</v>
      </c>
      <c r="C1917" s="19"/>
      <c r="D1917" s="19"/>
      <c r="E1917" s="22">
        <f>IFERROR(__xludf.DUMMYFUNCTION("""COMPUTED_VALUE"""),44909.66666666667)</f>
        <v>44909.66667</v>
      </c>
      <c r="F1917" s="23">
        <f>IFERROR(__xludf.DUMMYFUNCTION("""COMPUTED_VALUE"""),26.9)</f>
        <v>26.9</v>
      </c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</row>
    <row r="1918">
      <c r="A1918" s="22">
        <f>IFERROR(__xludf.DUMMYFUNCTION("""COMPUTED_VALUE"""),44733.66666666667)</f>
        <v>44733.66667</v>
      </c>
      <c r="B1918" s="23">
        <f>IFERROR(__xludf.DUMMYFUNCTION("""COMPUTED_VALUE"""),86.82)</f>
        <v>86.82</v>
      </c>
      <c r="C1918" s="19"/>
      <c r="D1918" s="19"/>
      <c r="E1918" s="22">
        <f>IFERROR(__xludf.DUMMYFUNCTION("""COMPUTED_VALUE"""),44910.66666666667)</f>
        <v>44910.66667</v>
      </c>
      <c r="F1918" s="23">
        <f>IFERROR(__xludf.DUMMYFUNCTION("""COMPUTED_VALUE"""),26.64)</f>
        <v>26.64</v>
      </c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</row>
    <row r="1919">
      <c r="A1919" s="22">
        <f>IFERROR(__xludf.DUMMYFUNCTION("""COMPUTED_VALUE"""),44734.66666666667)</f>
        <v>44734.66667</v>
      </c>
      <c r="B1919" s="23">
        <f>IFERROR(__xludf.DUMMYFUNCTION("""COMPUTED_VALUE"""),86.92)</f>
        <v>86.92</v>
      </c>
      <c r="C1919" s="19"/>
      <c r="D1919" s="19"/>
      <c r="E1919" s="22">
        <f>IFERROR(__xludf.DUMMYFUNCTION("""COMPUTED_VALUE"""),44911.66666666667)</f>
        <v>44911.66667</v>
      </c>
      <c r="F1919" s="23">
        <f>IFERROR(__xludf.DUMMYFUNCTION("""COMPUTED_VALUE"""),26.2)</f>
        <v>26.2</v>
      </c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</row>
    <row r="1920">
      <c r="A1920" s="22">
        <f>IFERROR(__xludf.DUMMYFUNCTION("""COMPUTED_VALUE"""),44735.66666666667)</f>
        <v>44735.66667</v>
      </c>
      <c r="B1920" s="23">
        <f>IFERROR(__xludf.DUMMYFUNCTION("""COMPUTED_VALUE"""),87.99)</f>
        <v>87.99</v>
      </c>
      <c r="C1920" s="19"/>
      <c r="D1920" s="19"/>
      <c r="E1920" s="22">
        <f>IFERROR(__xludf.DUMMYFUNCTION("""COMPUTED_VALUE"""),44914.66666666667)</f>
        <v>44914.66667</v>
      </c>
      <c r="F1920" s="23">
        <f>IFERROR(__xludf.DUMMYFUNCTION("""COMPUTED_VALUE"""),25.99)</f>
        <v>25.99</v>
      </c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</row>
    <row r="1921">
      <c r="A1921" s="22">
        <f>IFERROR(__xludf.DUMMYFUNCTION("""COMPUTED_VALUE"""),44736.66666666667)</f>
        <v>44736.66667</v>
      </c>
      <c r="B1921" s="23">
        <f>IFERROR(__xludf.DUMMYFUNCTION("""COMPUTED_VALUE"""),89.05)</f>
        <v>89.05</v>
      </c>
      <c r="C1921" s="19"/>
      <c r="D1921" s="19"/>
      <c r="E1921" s="22">
        <f>IFERROR(__xludf.DUMMYFUNCTION("""COMPUTED_VALUE"""),44915.66666666667)</f>
        <v>44915.66667</v>
      </c>
      <c r="F1921" s="23">
        <f>IFERROR(__xludf.DUMMYFUNCTION("""COMPUTED_VALUE"""),25.59)</f>
        <v>25.59</v>
      </c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</row>
    <row r="1922">
      <c r="A1922" s="22">
        <f>IFERROR(__xludf.DUMMYFUNCTION("""COMPUTED_VALUE"""),44739.66666666667)</f>
        <v>44739.66667</v>
      </c>
      <c r="B1922" s="23">
        <f>IFERROR(__xludf.DUMMYFUNCTION("""COMPUTED_VALUE"""),90.9)</f>
        <v>90.9</v>
      </c>
      <c r="C1922" s="19"/>
      <c r="D1922" s="19"/>
      <c r="E1922" s="22">
        <f>IFERROR(__xludf.DUMMYFUNCTION("""COMPUTED_VALUE"""),44916.66666666667)</f>
        <v>44916.66667</v>
      </c>
      <c r="F1922" s="23">
        <f>IFERROR(__xludf.DUMMYFUNCTION("""COMPUTED_VALUE"""),25.84)</f>
        <v>25.84</v>
      </c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</row>
    <row r="1923">
      <c r="A1923" s="22">
        <f>IFERROR(__xludf.DUMMYFUNCTION("""COMPUTED_VALUE"""),44740.66666666667)</f>
        <v>44740.66667</v>
      </c>
      <c r="B1923" s="23">
        <f>IFERROR(__xludf.DUMMYFUNCTION("""COMPUTED_VALUE"""),90.87)</f>
        <v>90.87</v>
      </c>
      <c r="C1923" s="19"/>
      <c r="D1923" s="19"/>
      <c r="E1923" s="22">
        <f>IFERROR(__xludf.DUMMYFUNCTION("""COMPUTED_VALUE"""),44917.66666666667)</f>
        <v>44917.66667</v>
      </c>
      <c r="F1923" s="23">
        <f>IFERROR(__xludf.DUMMYFUNCTION("""COMPUTED_VALUE"""),25.84)</f>
        <v>25.84</v>
      </c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</row>
    <row r="1924">
      <c r="A1924" s="22">
        <f>IFERROR(__xludf.DUMMYFUNCTION("""COMPUTED_VALUE"""),44741.66666666667)</f>
        <v>44741.66667</v>
      </c>
      <c r="B1924" s="23">
        <f>IFERROR(__xludf.DUMMYFUNCTION("""COMPUTED_VALUE"""),89.66)</f>
        <v>89.66</v>
      </c>
      <c r="C1924" s="19"/>
      <c r="D1924" s="19"/>
      <c r="E1924" s="22">
        <f>IFERROR(__xludf.DUMMYFUNCTION("""COMPUTED_VALUE"""),44918.66666666667)</f>
        <v>44918.66667</v>
      </c>
      <c r="F1924" s="23">
        <f>IFERROR(__xludf.DUMMYFUNCTION("""COMPUTED_VALUE"""),25.47)</f>
        <v>25.47</v>
      </c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</row>
    <row r="1925">
      <c r="A1925" s="22">
        <f>IFERROR(__xludf.DUMMYFUNCTION("""COMPUTED_VALUE"""),44742.66666666667)</f>
        <v>44742.66667</v>
      </c>
      <c r="B1925" s="23">
        <f>IFERROR(__xludf.DUMMYFUNCTION("""COMPUTED_VALUE"""),88.61)</f>
        <v>88.61</v>
      </c>
      <c r="C1925" s="19"/>
      <c r="D1925" s="19"/>
      <c r="E1925" s="22">
        <f>IFERROR(__xludf.DUMMYFUNCTION("""COMPUTED_VALUE"""),44923.66666666667)</f>
        <v>44923.66667</v>
      </c>
      <c r="F1925" s="23">
        <f>IFERROR(__xludf.DUMMYFUNCTION("""COMPUTED_VALUE"""),24.88)</f>
        <v>24.88</v>
      </c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</row>
    <row r="1926">
      <c r="A1926" s="22">
        <f>IFERROR(__xludf.DUMMYFUNCTION("""COMPUTED_VALUE"""),44743.66666666667)</f>
        <v>44743.66667</v>
      </c>
      <c r="B1926" s="23">
        <f>IFERROR(__xludf.DUMMYFUNCTION("""COMPUTED_VALUE"""),88.08)</f>
        <v>88.08</v>
      </c>
      <c r="C1926" s="19"/>
      <c r="D1926" s="19"/>
      <c r="E1926" s="22">
        <f>IFERROR(__xludf.DUMMYFUNCTION("""COMPUTED_VALUE"""),44924.66666666667)</f>
        <v>44924.66667</v>
      </c>
      <c r="F1926" s="23">
        <f>IFERROR(__xludf.DUMMYFUNCTION("""COMPUTED_VALUE"""),24.6)</f>
        <v>24.6</v>
      </c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</row>
    <row r="1927">
      <c r="A1927" s="22">
        <f>IFERROR(__xludf.DUMMYFUNCTION("""COMPUTED_VALUE"""),44746.66666666667)</f>
        <v>44746.66667</v>
      </c>
      <c r="B1927" s="23">
        <f>IFERROR(__xludf.DUMMYFUNCTION("""COMPUTED_VALUE"""),89.24)</f>
        <v>89.24</v>
      </c>
      <c r="C1927" s="19"/>
      <c r="D1927" s="19"/>
      <c r="E1927" s="22">
        <f>IFERROR(__xludf.DUMMYFUNCTION("""COMPUTED_VALUE"""),44925.66666666667)</f>
        <v>44925.66667</v>
      </c>
      <c r="F1927" s="23">
        <f>IFERROR(__xludf.DUMMYFUNCTION("""COMPUTED_VALUE"""),25.02)</f>
        <v>25.02</v>
      </c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</row>
    <row r="1928">
      <c r="A1928" s="22">
        <f>IFERROR(__xludf.DUMMYFUNCTION("""COMPUTED_VALUE"""),44747.66666666667)</f>
        <v>44747.66667</v>
      </c>
      <c r="B1928" s="23">
        <f>IFERROR(__xludf.DUMMYFUNCTION("""COMPUTED_VALUE"""),89.4)</f>
        <v>89.4</v>
      </c>
      <c r="C1928" s="19"/>
      <c r="D1928" s="19"/>
      <c r="E1928" s="22">
        <f>IFERROR(__xludf.DUMMYFUNCTION("""COMPUTED_VALUE"""),44929.66666666667)</f>
        <v>44929.66667</v>
      </c>
      <c r="F1928" s="23">
        <f>IFERROR(__xludf.DUMMYFUNCTION("""COMPUTED_VALUE"""),24.82)</f>
        <v>24.82</v>
      </c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</row>
    <row r="1929">
      <c r="A1929" s="22">
        <f>IFERROR(__xludf.DUMMYFUNCTION("""COMPUTED_VALUE"""),44748.66666666667)</f>
        <v>44748.66667</v>
      </c>
      <c r="B1929" s="23">
        <f>IFERROR(__xludf.DUMMYFUNCTION("""COMPUTED_VALUE"""),89.43)</f>
        <v>89.43</v>
      </c>
      <c r="C1929" s="19"/>
      <c r="D1929" s="19"/>
      <c r="E1929" s="22">
        <f>IFERROR(__xludf.DUMMYFUNCTION("""COMPUTED_VALUE"""),44930.66666666667)</f>
        <v>44930.66667</v>
      </c>
      <c r="F1929" s="23">
        <f>IFERROR(__xludf.DUMMYFUNCTION("""COMPUTED_VALUE"""),24.81)</f>
        <v>24.81</v>
      </c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</row>
    <row r="1930">
      <c r="A1930" s="22">
        <f>IFERROR(__xludf.DUMMYFUNCTION("""COMPUTED_VALUE"""),44749.66666666667)</f>
        <v>44749.66667</v>
      </c>
      <c r="B1930" s="23">
        <f>IFERROR(__xludf.DUMMYFUNCTION("""COMPUTED_VALUE"""),90.1)</f>
        <v>90.1</v>
      </c>
      <c r="C1930" s="19"/>
      <c r="D1930" s="19"/>
      <c r="E1930" s="22">
        <f>IFERROR(__xludf.DUMMYFUNCTION("""COMPUTED_VALUE"""),44931.66666666667)</f>
        <v>44931.66667</v>
      </c>
      <c r="F1930" s="23">
        <f>IFERROR(__xludf.DUMMYFUNCTION("""COMPUTED_VALUE"""),24.78)</f>
        <v>24.78</v>
      </c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</row>
    <row r="1931">
      <c r="A1931" s="22">
        <f>IFERROR(__xludf.DUMMYFUNCTION("""COMPUTED_VALUE"""),44750.66666666667)</f>
        <v>44750.66667</v>
      </c>
      <c r="B1931" s="23">
        <f>IFERROR(__xludf.DUMMYFUNCTION("""COMPUTED_VALUE"""),90.54)</f>
        <v>90.54</v>
      </c>
      <c r="C1931" s="19"/>
      <c r="D1931" s="19"/>
      <c r="E1931" s="22">
        <f>IFERROR(__xludf.DUMMYFUNCTION("""COMPUTED_VALUE"""),44932.66666666667)</f>
        <v>44932.66667</v>
      </c>
      <c r="F1931" s="23">
        <f>IFERROR(__xludf.DUMMYFUNCTION("""COMPUTED_VALUE"""),24.71)</f>
        <v>24.71</v>
      </c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</row>
    <row r="1932">
      <c r="A1932" s="22">
        <f>IFERROR(__xludf.DUMMYFUNCTION("""COMPUTED_VALUE"""),44753.66666666667)</f>
        <v>44753.66667</v>
      </c>
      <c r="B1932" s="23">
        <f>IFERROR(__xludf.DUMMYFUNCTION("""COMPUTED_VALUE"""),90.17)</f>
        <v>90.17</v>
      </c>
      <c r="C1932" s="19"/>
      <c r="D1932" s="19"/>
      <c r="E1932" s="22">
        <f>IFERROR(__xludf.DUMMYFUNCTION("""COMPUTED_VALUE"""),44935.66666666667)</f>
        <v>44935.66667</v>
      </c>
      <c r="F1932" s="23">
        <f>IFERROR(__xludf.DUMMYFUNCTION("""COMPUTED_VALUE"""),24.78)</f>
        <v>24.78</v>
      </c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</row>
    <row r="1933">
      <c r="A1933" s="22">
        <f>IFERROR(__xludf.DUMMYFUNCTION("""COMPUTED_VALUE"""),44754.66666666667)</f>
        <v>44754.66667</v>
      </c>
      <c r="B1933" s="23">
        <f>IFERROR(__xludf.DUMMYFUNCTION("""COMPUTED_VALUE"""),90.41)</f>
        <v>90.41</v>
      </c>
      <c r="C1933" s="19"/>
      <c r="D1933" s="19"/>
      <c r="E1933" s="22">
        <f>IFERROR(__xludf.DUMMYFUNCTION("""COMPUTED_VALUE"""),44936.66666666667)</f>
        <v>44936.66667</v>
      </c>
      <c r="F1933" s="23">
        <f>IFERROR(__xludf.DUMMYFUNCTION("""COMPUTED_VALUE"""),24.79)</f>
        <v>24.79</v>
      </c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</row>
    <row r="1934">
      <c r="A1934" s="22">
        <f>IFERROR(__xludf.DUMMYFUNCTION("""COMPUTED_VALUE"""),44755.66666666667)</f>
        <v>44755.66667</v>
      </c>
      <c r="B1934" s="23">
        <f>IFERROR(__xludf.DUMMYFUNCTION("""COMPUTED_VALUE"""),90.05)</f>
        <v>90.05</v>
      </c>
      <c r="C1934" s="19"/>
      <c r="D1934" s="19"/>
      <c r="E1934" s="22">
        <f>IFERROR(__xludf.DUMMYFUNCTION("""COMPUTED_VALUE"""),44937.66666666667)</f>
        <v>44937.66667</v>
      </c>
      <c r="F1934" s="23">
        <f>IFERROR(__xludf.DUMMYFUNCTION("""COMPUTED_VALUE"""),25.08)</f>
        <v>25.08</v>
      </c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</row>
    <row r="1935">
      <c r="A1935" s="22">
        <f>IFERROR(__xludf.DUMMYFUNCTION("""COMPUTED_VALUE"""),44756.66666666667)</f>
        <v>44756.66667</v>
      </c>
      <c r="B1935" s="23">
        <f>IFERROR(__xludf.DUMMYFUNCTION("""COMPUTED_VALUE"""),89.38)</f>
        <v>89.38</v>
      </c>
      <c r="C1935" s="19"/>
      <c r="D1935" s="19"/>
      <c r="E1935" s="22">
        <f>IFERROR(__xludf.DUMMYFUNCTION("""COMPUTED_VALUE"""),44938.66666666667)</f>
        <v>44938.66667</v>
      </c>
      <c r="F1935" s="23">
        <f>IFERROR(__xludf.DUMMYFUNCTION("""COMPUTED_VALUE"""),25.54)</f>
        <v>25.54</v>
      </c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</row>
    <row r="1936">
      <c r="A1936" s="22">
        <f>IFERROR(__xludf.DUMMYFUNCTION("""COMPUTED_VALUE"""),44757.66666666667)</f>
        <v>44757.66667</v>
      </c>
      <c r="B1936" s="23">
        <f>IFERROR(__xludf.DUMMYFUNCTION("""COMPUTED_VALUE"""),89.61)</f>
        <v>89.61</v>
      </c>
      <c r="C1936" s="19"/>
      <c r="D1936" s="19"/>
      <c r="E1936" s="22">
        <f>IFERROR(__xludf.DUMMYFUNCTION("""COMPUTED_VALUE"""),44939.66666666667)</f>
        <v>44939.66667</v>
      </c>
      <c r="F1936" s="23">
        <f>IFERROR(__xludf.DUMMYFUNCTION("""COMPUTED_VALUE"""),25.42)</f>
        <v>25.42</v>
      </c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</row>
    <row r="1937">
      <c r="A1937" s="22">
        <f>IFERROR(__xludf.DUMMYFUNCTION("""COMPUTED_VALUE"""),44760.66666666667)</f>
        <v>44760.66667</v>
      </c>
      <c r="B1937" s="23">
        <f>IFERROR(__xludf.DUMMYFUNCTION("""COMPUTED_VALUE"""),90.7)</f>
        <v>90.7</v>
      </c>
      <c r="C1937" s="19"/>
      <c r="D1937" s="19"/>
      <c r="E1937" s="22">
        <f>IFERROR(__xludf.DUMMYFUNCTION("""COMPUTED_VALUE"""),44942.66666666667)</f>
        <v>44942.66667</v>
      </c>
      <c r="F1937" s="23">
        <f>IFERROR(__xludf.DUMMYFUNCTION("""COMPUTED_VALUE"""),25.58)</f>
        <v>25.58</v>
      </c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</row>
    <row r="1938">
      <c r="A1938" s="22">
        <f>IFERROR(__xludf.DUMMYFUNCTION("""COMPUTED_VALUE"""),44761.66666666667)</f>
        <v>44761.66667</v>
      </c>
      <c r="B1938" s="23">
        <f>IFERROR(__xludf.DUMMYFUNCTION("""COMPUTED_VALUE"""),89.4)</f>
        <v>89.4</v>
      </c>
      <c r="C1938" s="19"/>
      <c r="D1938" s="19"/>
      <c r="E1938" s="22">
        <f>IFERROR(__xludf.DUMMYFUNCTION("""COMPUTED_VALUE"""),44943.66666666667)</f>
        <v>44943.66667</v>
      </c>
      <c r="F1938" s="23">
        <f>IFERROR(__xludf.DUMMYFUNCTION("""COMPUTED_VALUE"""),25.49)</f>
        <v>25.49</v>
      </c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</row>
    <row r="1939">
      <c r="A1939" s="22">
        <f>IFERROR(__xludf.DUMMYFUNCTION("""COMPUTED_VALUE"""),44762.66666666667)</f>
        <v>44762.66667</v>
      </c>
      <c r="B1939" s="23">
        <f>IFERROR(__xludf.DUMMYFUNCTION("""COMPUTED_VALUE"""),91.12)</f>
        <v>91.12</v>
      </c>
      <c r="C1939" s="19"/>
      <c r="D1939" s="19"/>
      <c r="E1939" s="22">
        <f>IFERROR(__xludf.DUMMYFUNCTION("""COMPUTED_VALUE"""),44944.66666666667)</f>
        <v>44944.66667</v>
      </c>
      <c r="F1939" s="23">
        <f>IFERROR(__xludf.DUMMYFUNCTION("""COMPUTED_VALUE"""),25.62)</f>
        <v>25.62</v>
      </c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</row>
    <row r="1940">
      <c r="A1940" s="22">
        <f>IFERROR(__xludf.DUMMYFUNCTION("""COMPUTED_VALUE"""),44763.66666666667)</f>
        <v>44763.66667</v>
      </c>
      <c r="B1940" s="23">
        <f>IFERROR(__xludf.DUMMYFUNCTION("""COMPUTED_VALUE"""),91.45)</f>
        <v>91.45</v>
      </c>
      <c r="C1940" s="19"/>
      <c r="D1940" s="19"/>
      <c r="E1940" s="22">
        <f>IFERROR(__xludf.DUMMYFUNCTION("""COMPUTED_VALUE"""),44945.66666666667)</f>
        <v>44945.66667</v>
      </c>
      <c r="F1940" s="23">
        <f>IFERROR(__xludf.DUMMYFUNCTION("""COMPUTED_VALUE"""),25.59)</f>
        <v>25.59</v>
      </c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</row>
    <row r="1941">
      <c r="A1941" s="22">
        <f>IFERROR(__xludf.DUMMYFUNCTION("""COMPUTED_VALUE"""),44764.66666666667)</f>
        <v>44764.66667</v>
      </c>
      <c r="B1941" s="23">
        <f>IFERROR(__xludf.DUMMYFUNCTION("""COMPUTED_VALUE"""),91.58)</f>
        <v>91.58</v>
      </c>
      <c r="C1941" s="19"/>
      <c r="D1941" s="19"/>
      <c r="E1941" s="22">
        <f>IFERROR(__xludf.DUMMYFUNCTION("""COMPUTED_VALUE"""),44946.66666666667)</f>
        <v>44946.66667</v>
      </c>
      <c r="F1941" s="23">
        <f>IFERROR(__xludf.DUMMYFUNCTION("""COMPUTED_VALUE"""),25.38)</f>
        <v>25.38</v>
      </c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</row>
    <row r="1942">
      <c r="A1942" s="22">
        <f>IFERROR(__xludf.DUMMYFUNCTION("""COMPUTED_VALUE"""),44767.66666666667)</f>
        <v>44767.66667</v>
      </c>
      <c r="B1942" s="23">
        <f>IFERROR(__xludf.DUMMYFUNCTION("""COMPUTED_VALUE"""),91.16)</f>
        <v>91.16</v>
      </c>
      <c r="C1942" s="19"/>
      <c r="D1942" s="19"/>
      <c r="E1942" s="22">
        <f>IFERROR(__xludf.DUMMYFUNCTION("""COMPUTED_VALUE"""),44949.66666666667)</f>
        <v>44949.66667</v>
      </c>
      <c r="F1942" s="23">
        <f>IFERROR(__xludf.DUMMYFUNCTION("""COMPUTED_VALUE"""),25.73)</f>
        <v>25.73</v>
      </c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</row>
    <row r="1943">
      <c r="A1943" s="22">
        <f>IFERROR(__xludf.DUMMYFUNCTION("""COMPUTED_VALUE"""),44768.66666666667)</f>
        <v>44768.66667</v>
      </c>
      <c r="B1943" s="23">
        <f>IFERROR(__xludf.DUMMYFUNCTION("""COMPUTED_VALUE"""),90.65)</f>
        <v>90.65</v>
      </c>
      <c r="C1943" s="19"/>
      <c r="D1943" s="19"/>
      <c r="E1943" s="22">
        <f>IFERROR(__xludf.DUMMYFUNCTION("""COMPUTED_VALUE"""),44950.66666666667)</f>
        <v>44950.66667</v>
      </c>
      <c r="F1943" s="23">
        <f>IFERROR(__xludf.DUMMYFUNCTION("""COMPUTED_VALUE"""),26.13)</f>
        <v>26.13</v>
      </c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</row>
    <row r="1944">
      <c r="A1944" s="22">
        <f>IFERROR(__xludf.DUMMYFUNCTION("""COMPUTED_VALUE"""),44769.66666666667)</f>
        <v>44769.66667</v>
      </c>
      <c r="B1944" s="23">
        <f>IFERROR(__xludf.DUMMYFUNCTION("""COMPUTED_VALUE"""),90.71)</f>
        <v>90.71</v>
      </c>
      <c r="C1944" s="19"/>
      <c r="D1944" s="19"/>
      <c r="E1944" s="22">
        <f>IFERROR(__xludf.DUMMYFUNCTION("""COMPUTED_VALUE"""),44951.66666666667)</f>
        <v>44951.66667</v>
      </c>
      <c r="F1944" s="23">
        <f>IFERROR(__xludf.DUMMYFUNCTION("""COMPUTED_VALUE"""),25.64)</f>
        <v>25.64</v>
      </c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</row>
    <row r="1945">
      <c r="A1945" s="22">
        <f>IFERROR(__xludf.DUMMYFUNCTION("""COMPUTED_VALUE"""),44770.66666666667)</f>
        <v>44770.66667</v>
      </c>
      <c r="B1945" s="23">
        <f>IFERROR(__xludf.DUMMYFUNCTION("""COMPUTED_VALUE"""),91.42)</f>
        <v>91.42</v>
      </c>
      <c r="C1945" s="19"/>
      <c r="D1945" s="19"/>
      <c r="E1945" s="22">
        <f>IFERROR(__xludf.DUMMYFUNCTION("""COMPUTED_VALUE"""),44953.66666666667)</f>
        <v>44953.66667</v>
      </c>
      <c r="F1945" s="23">
        <f>IFERROR(__xludf.DUMMYFUNCTION("""COMPUTED_VALUE"""),26.08)</f>
        <v>26.08</v>
      </c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</row>
    <row r="1946">
      <c r="A1946" s="22">
        <f>IFERROR(__xludf.DUMMYFUNCTION("""COMPUTED_VALUE"""),44771.66666666667)</f>
        <v>44771.66667</v>
      </c>
      <c r="B1946" s="23">
        <f>IFERROR(__xludf.DUMMYFUNCTION("""COMPUTED_VALUE"""),92.85)</f>
        <v>92.85</v>
      </c>
      <c r="C1946" s="19"/>
      <c r="D1946" s="19"/>
      <c r="E1946" s="22">
        <f>IFERROR(__xludf.DUMMYFUNCTION("""COMPUTED_VALUE"""),44956.66666666667)</f>
        <v>44956.66667</v>
      </c>
      <c r="F1946" s="23">
        <f>IFERROR(__xludf.DUMMYFUNCTION("""COMPUTED_VALUE"""),26.45)</f>
        <v>26.45</v>
      </c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</row>
    <row r="1947">
      <c r="A1947" s="22">
        <f>IFERROR(__xludf.DUMMYFUNCTION("""COMPUTED_VALUE"""),44774.66666666667)</f>
        <v>44774.66667</v>
      </c>
      <c r="B1947" s="23">
        <f>IFERROR(__xludf.DUMMYFUNCTION("""COMPUTED_VALUE"""),93.57)</f>
        <v>93.57</v>
      </c>
      <c r="C1947" s="19"/>
      <c r="D1947" s="19"/>
      <c r="E1947" s="22">
        <f>IFERROR(__xludf.DUMMYFUNCTION("""COMPUTED_VALUE"""),44957.66666666667)</f>
        <v>44957.66667</v>
      </c>
      <c r="F1947" s="23">
        <f>IFERROR(__xludf.DUMMYFUNCTION("""COMPUTED_VALUE"""),26.14)</f>
        <v>26.14</v>
      </c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</row>
    <row r="1948">
      <c r="A1948" s="22">
        <f>IFERROR(__xludf.DUMMYFUNCTION("""COMPUTED_VALUE"""),44775.66666666667)</f>
        <v>44775.66667</v>
      </c>
      <c r="B1948" s="23">
        <f>IFERROR(__xludf.DUMMYFUNCTION("""COMPUTED_VALUE"""),93.66)</f>
        <v>93.66</v>
      </c>
      <c r="C1948" s="19"/>
      <c r="D1948" s="19"/>
      <c r="E1948" s="22">
        <f>IFERROR(__xludf.DUMMYFUNCTION("""COMPUTED_VALUE"""),44958.66666666667)</f>
        <v>44958.66667</v>
      </c>
      <c r="F1948" s="23">
        <f>IFERROR(__xludf.DUMMYFUNCTION("""COMPUTED_VALUE"""),26.4)</f>
        <v>26.4</v>
      </c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</row>
    <row r="1949">
      <c r="A1949" s="22">
        <f>IFERROR(__xludf.DUMMYFUNCTION("""COMPUTED_VALUE"""),44776.66666666667)</f>
        <v>44776.66667</v>
      </c>
      <c r="B1949" s="23">
        <f>IFERROR(__xludf.DUMMYFUNCTION("""COMPUTED_VALUE"""),93.98)</f>
        <v>93.98</v>
      </c>
      <c r="C1949" s="19"/>
      <c r="D1949" s="19"/>
      <c r="E1949" s="22">
        <f>IFERROR(__xludf.DUMMYFUNCTION("""COMPUTED_VALUE"""),44959.66666666667)</f>
        <v>44959.66667</v>
      </c>
      <c r="F1949" s="23">
        <f>IFERROR(__xludf.DUMMYFUNCTION("""COMPUTED_VALUE"""),27.05)</f>
        <v>27.05</v>
      </c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</row>
    <row r="1950">
      <c r="A1950" s="22">
        <f>IFERROR(__xludf.DUMMYFUNCTION("""COMPUTED_VALUE"""),44777.66666666667)</f>
        <v>44777.66667</v>
      </c>
      <c r="B1950" s="23">
        <f>IFERROR(__xludf.DUMMYFUNCTION("""COMPUTED_VALUE"""),94.39)</f>
        <v>94.39</v>
      </c>
      <c r="C1950" s="19"/>
      <c r="D1950" s="19"/>
      <c r="E1950" s="22">
        <f>IFERROR(__xludf.DUMMYFUNCTION("""COMPUTED_VALUE"""),44960.66666666667)</f>
        <v>44960.66667</v>
      </c>
      <c r="F1950" s="23">
        <f>IFERROR(__xludf.DUMMYFUNCTION("""COMPUTED_VALUE"""),27.63)</f>
        <v>27.63</v>
      </c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</row>
    <row r="1951">
      <c r="A1951" s="22">
        <f>IFERROR(__xludf.DUMMYFUNCTION("""COMPUTED_VALUE"""),44778.66666666667)</f>
        <v>44778.66667</v>
      </c>
      <c r="B1951" s="23">
        <f>IFERROR(__xludf.DUMMYFUNCTION("""COMPUTED_VALUE"""),94.81)</f>
        <v>94.81</v>
      </c>
      <c r="C1951" s="19"/>
      <c r="D1951" s="19"/>
      <c r="E1951" s="22">
        <f>IFERROR(__xludf.DUMMYFUNCTION("""COMPUTED_VALUE"""),44963.66666666667)</f>
        <v>44963.66667</v>
      </c>
      <c r="F1951" s="23">
        <f>IFERROR(__xludf.DUMMYFUNCTION("""COMPUTED_VALUE"""),27.92)</f>
        <v>27.92</v>
      </c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</row>
    <row r="1952">
      <c r="A1952" s="22">
        <f>IFERROR(__xludf.DUMMYFUNCTION("""COMPUTED_VALUE"""),44781.66666666667)</f>
        <v>44781.66667</v>
      </c>
      <c r="B1952" s="23">
        <f>IFERROR(__xludf.DUMMYFUNCTION("""COMPUTED_VALUE"""),94.8)</f>
        <v>94.8</v>
      </c>
      <c r="C1952" s="19"/>
      <c r="D1952" s="19"/>
      <c r="E1952" s="22">
        <f>IFERROR(__xludf.DUMMYFUNCTION("""COMPUTED_VALUE"""),44964.66666666667)</f>
        <v>44964.66667</v>
      </c>
      <c r="F1952" s="23">
        <f>IFERROR(__xludf.DUMMYFUNCTION("""COMPUTED_VALUE"""),27.88)</f>
        <v>27.88</v>
      </c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</row>
    <row r="1953">
      <c r="A1953" s="22">
        <f>IFERROR(__xludf.DUMMYFUNCTION("""COMPUTED_VALUE"""),44782.66666666667)</f>
        <v>44782.66667</v>
      </c>
      <c r="B1953" s="23">
        <f>IFERROR(__xludf.DUMMYFUNCTION("""COMPUTED_VALUE"""),94.36)</f>
        <v>94.36</v>
      </c>
      <c r="C1953" s="19"/>
      <c r="D1953" s="19"/>
      <c r="E1953" s="22">
        <f>IFERROR(__xludf.DUMMYFUNCTION("""COMPUTED_VALUE"""),44965.66666666667)</f>
        <v>44965.66667</v>
      </c>
      <c r="F1953" s="23">
        <f>IFERROR(__xludf.DUMMYFUNCTION("""COMPUTED_VALUE"""),28.32)</f>
        <v>28.32</v>
      </c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</row>
    <row r="1954">
      <c r="A1954" s="22">
        <f>IFERROR(__xludf.DUMMYFUNCTION("""COMPUTED_VALUE"""),44783.66666666667)</f>
        <v>44783.66667</v>
      </c>
      <c r="B1954" s="23">
        <f>IFERROR(__xludf.DUMMYFUNCTION("""COMPUTED_VALUE"""),93.91)</f>
        <v>93.91</v>
      </c>
      <c r="C1954" s="19"/>
      <c r="D1954" s="19"/>
      <c r="E1954" s="22">
        <f>IFERROR(__xludf.DUMMYFUNCTION("""COMPUTED_VALUE"""),44966.66666666667)</f>
        <v>44966.66667</v>
      </c>
      <c r="F1954" s="23">
        <f>IFERROR(__xludf.DUMMYFUNCTION("""COMPUTED_VALUE"""),27.92)</f>
        <v>27.92</v>
      </c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</row>
    <row r="1955">
      <c r="A1955" s="22">
        <f>IFERROR(__xludf.DUMMYFUNCTION("""COMPUTED_VALUE"""),44784.66666666667)</f>
        <v>44784.66667</v>
      </c>
      <c r="B1955" s="23">
        <f>IFERROR(__xludf.DUMMYFUNCTION("""COMPUTED_VALUE"""),94.55)</f>
        <v>94.55</v>
      </c>
      <c r="C1955" s="19"/>
      <c r="D1955" s="19"/>
      <c r="E1955" s="22">
        <f>IFERROR(__xludf.DUMMYFUNCTION("""COMPUTED_VALUE"""),44967.66666666667)</f>
        <v>44967.66667</v>
      </c>
      <c r="F1955" s="23">
        <f>IFERROR(__xludf.DUMMYFUNCTION("""COMPUTED_VALUE"""),27.62)</f>
        <v>27.62</v>
      </c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</row>
    <row r="1956">
      <c r="A1956" s="22">
        <f>IFERROR(__xludf.DUMMYFUNCTION("""COMPUTED_VALUE"""),44785.66666666667)</f>
        <v>44785.66667</v>
      </c>
      <c r="B1956" s="23">
        <f>IFERROR(__xludf.DUMMYFUNCTION("""COMPUTED_VALUE"""),94.13)</f>
        <v>94.13</v>
      </c>
      <c r="C1956" s="19"/>
      <c r="D1956" s="19"/>
      <c r="E1956" s="22">
        <f>IFERROR(__xludf.DUMMYFUNCTION("""COMPUTED_VALUE"""),44970.66666666667)</f>
        <v>44970.66667</v>
      </c>
      <c r="F1956" s="23">
        <f>IFERROR(__xludf.DUMMYFUNCTION("""COMPUTED_VALUE"""),27.45)</f>
        <v>27.45</v>
      </c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</row>
    <row r="1957">
      <c r="A1957" s="22">
        <f>IFERROR(__xludf.DUMMYFUNCTION("""COMPUTED_VALUE"""),44788.66666666667)</f>
        <v>44788.66667</v>
      </c>
      <c r="B1957" s="23">
        <f>IFERROR(__xludf.DUMMYFUNCTION("""COMPUTED_VALUE"""),95.5)</f>
        <v>95.5</v>
      </c>
      <c r="C1957" s="19"/>
      <c r="D1957" s="19"/>
      <c r="E1957" s="22">
        <f>IFERROR(__xludf.DUMMYFUNCTION("""COMPUTED_VALUE"""),44971.66666666667)</f>
        <v>44971.66667</v>
      </c>
      <c r="F1957" s="23">
        <f>IFERROR(__xludf.DUMMYFUNCTION("""COMPUTED_VALUE"""),27.73)</f>
        <v>27.73</v>
      </c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</row>
    <row r="1958">
      <c r="A1958" s="22">
        <f>IFERROR(__xludf.DUMMYFUNCTION("""COMPUTED_VALUE"""),44789.66666666667)</f>
        <v>44789.66667</v>
      </c>
      <c r="B1958" s="23">
        <f>IFERROR(__xludf.DUMMYFUNCTION("""COMPUTED_VALUE"""),96.3)</f>
        <v>96.3</v>
      </c>
      <c r="C1958" s="19"/>
      <c r="D1958" s="19"/>
      <c r="E1958" s="22">
        <f>IFERROR(__xludf.DUMMYFUNCTION("""COMPUTED_VALUE"""),44972.66666666667)</f>
        <v>44972.66667</v>
      </c>
      <c r="F1958" s="23">
        <f>IFERROR(__xludf.DUMMYFUNCTION("""COMPUTED_VALUE"""),27.95)</f>
        <v>27.95</v>
      </c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</row>
    <row r="1959">
      <c r="A1959" s="22">
        <f>IFERROR(__xludf.DUMMYFUNCTION("""COMPUTED_VALUE"""),44790.66666666667)</f>
        <v>44790.66667</v>
      </c>
      <c r="B1959" s="23">
        <f>IFERROR(__xludf.DUMMYFUNCTION("""COMPUTED_VALUE"""),97.06)</f>
        <v>97.06</v>
      </c>
      <c r="C1959" s="19"/>
      <c r="D1959" s="19"/>
      <c r="E1959" s="22">
        <f>IFERROR(__xludf.DUMMYFUNCTION("""COMPUTED_VALUE"""),44973.66666666667)</f>
        <v>44973.66667</v>
      </c>
      <c r="F1959" s="23">
        <f>IFERROR(__xludf.DUMMYFUNCTION("""COMPUTED_VALUE"""),28.49)</f>
        <v>28.49</v>
      </c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</row>
    <row r="1960">
      <c r="A1960" s="22">
        <f>IFERROR(__xludf.DUMMYFUNCTION("""COMPUTED_VALUE"""),44791.66666666667)</f>
        <v>44791.66667</v>
      </c>
      <c r="B1960" s="23">
        <f>IFERROR(__xludf.DUMMYFUNCTION("""COMPUTED_VALUE"""),97.16)</f>
        <v>97.16</v>
      </c>
      <c r="C1960" s="19"/>
      <c r="D1960" s="19"/>
      <c r="E1960" s="22">
        <f>IFERROR(__xludf.DUMMYFUNCTION("""COMPUTED_VALUE"""),44974.66666666667)</f>
        <v>44974.66667</v>
      </c>
      <c r="F1960" s="23">
        <f>IFERROR(__xludf.DUMMYFUNCTION("""COMPUTED_VALUE"""),27.98)</f>
        <v>27.98</v>
      </c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</row>
    <row r="1961">
      <c r="A1961" s="22">
        <f>IFERROR(__xludf.DUMMYFUNCTION("""COMPUTED_VALUE"""),44792.66666666667)</f>
        <v>44792.66667</v>
      </c>
      <c r="B1961" s="23">
        <f>IFERROR(__xludf.DUMMYFUNCTION("""COMPUTED_VALUE"""),97.29)</f>
        <v>97.29</v>
      </c>
      <c r="C1961" s="19"/>
      <c r="D1961" s="19"/>
      <c r="E1961" s="22">
        <f>IFERROR(__xludf.DUMMYFUNCTION("""COMPUTED_VALUE"""),44977.66666666667)</f>
        <v>44977.66667</v>
      </c>
      <c r="F1961" s="23">
        <f>IFERROR(__xludf.DUMMYFUNCTION("""COMPUTED_VALUE"""),27.77)</f>
        <v>27.77</v>
      </c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</row>
    <row r="1962">
      <c r="A1962" s="22">
        <f>IFERROR(__xludf.DUMMYFUNCTION("""COMPUTED_VALUE"""),44795.66666666667)</f>
        <v>44795.66667</v>
      </c>
      <c r="B1962" s="23">
        <f>IFERROR(__xludf.DUMMYFUNCTION("""COMPUTED_VALUE"""),96.09)</f>
        <v>96.09</v>
      </c>
      <c r="C1962" s="19"/>
      <c r="D1962" s="19"/>
      <c r="E1962" s="22">
        <f>IFERROR(__xludf.DUMMYFUNCTION("""COMPUTED_VALUE"""),44978.66666666667)</f>
        <v>44978.66667</v>
      </c>
      <c r="F1962" s="23">
        <f>IFERROR(__xludf.DUMMYFUNCTION("""COMPUTED_VALUE"""),27.64)</f>
        <v>27.64</v>
      </c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</row>
    <row r="1963">
      <c r="A1963" s="22">
        <f>IFERROR(__xludf.DUMMYFUNCTION("""COMPUTED_VALUE"""),44796.66666666667)</f>
        <v>44796.66667</v>
      </c>
      <c r="B1963" s="23">
        <f>IFERROR(__xludf.DUMMYFUNCTION("""COMPUTED_VALUE"""),94.78)</f>
        <v>94.78</v>
      </c>
      <c r="C1963" s="19"/>
      <c r="D1963" s="19"/>
      <c r="E1963" s="22">
        <f>IFERROR(__xludf.DUMMYFUNCTION("""COMPUTED_VALUE"""),44979.66666666667)</f>
        <v>44979.66667</v>
      </c>
      <c r="F1963" s="23">
        <f>IFERROR(__xludf.DUMMYFUNCTION("""COMPUTED_VALUE"""),27.41)</f>
        <v>27.41</v>
      </c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</row>
    <row r="1964">
      <c r="A1964" s="22">
        <f>IFERROR(__xludf.DUMMYFUNCTION("""COMPUTED_VALUE"""),44797.66666666667)</f>
        <v>44797.66667</v>
      </c>
      <c r="B1964" s="23">
        <f>IFERROR(__xludf.DUMMYFUNCTION("""COMPUTED_VALUE"""),94.14)</f>
        <v>94.14</v>
      </c>
      <c r="C1964" s="19"/>
      <c r="D1964" s="19"/>
      <c r="E1964" s="22">
        <f>IFERROR(__xludf.DUMMYFUNCTION("""COMPUTED_VALUE"""),44980.66666666667)</f>
        <v>44980.66667</v>
      </c>
      <c r="F1964" s="23">
        <f>IFERROR(__xludf.DUMMYFUNCTION("""COMPUTED_VALUE"""),27.61)</f>
        <v>27.61</v>
      </c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</row>
    <row r="1965">
      <c r="A1965" s="22">
        <f>IFERROR(__xludf.DUMMYFUNCTION("""COMPUTED_VALUE"""),44798.66666666667)</f>
        <v>44798.66667</v>
      </c>
      <c r="B1965" s="23">
        <f>IFERROR(__xludf.DUMMYFUNCTION("""COMPUTED_VALUE"""),94.34)</f>
        <v>94.34</v>
      </c>
      <c r="C1965" s="19"/>
      <c r="D1965" s="19"/>
      <c r="E1965" s="22">
        <f>IFERROR(__xludf.DUMMYFUNCTION("""COMPUTED_VALUE"""),44981.66666666667)</f>
        <v>44981.66667</v>
      </c>
      <c r="F1965" s="23">
        <f>IFERROR(__xludf.DUMMYFUNCTION("""COMPUTED_VALUE"""),27.61)</f>
        <v>27.61</v>
      </c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</row>
    <row r="1966">
      <c r="A1966" s="22">
        <f>IFERROR(__xludf.DUMMYFUNCTION("""COMPUTED_VALUE"""),44799.66666666667)</f>
        <v>44799.66667</v>
      </c>
      <c r="B1966" s="23">
        <f>IFERROR(__xludf.DUMMYFUNCTION("""COMPUTED_VALUE"""),94.92)</f>
        <v>94.92</v>
      </c>
      <c r="C1966" s="19"/>
      <c r="D1966" s="19"/>
      <c r="E1966" s="22">
        <f>IFERROR(__xludf.DUMMYFUNCTION("""COMPUTED_VALUE"""),44984.66666666667)</f>
        <v>44984.66667</v>
      </c>
      <c r="F1966" s="23">
        <f>IFERROR(__xludf.DUMMYFUNCTION("""COMPUTED_VALUE"""),27.7)</f>
        <v>27.7</v>
      </c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</row>
    <row r="1967">
      <c r="A1967" s="22">
        <f>IFERROR(__xludf.DUMMYFUNCTION("""COMPUTED_VALUE"""),44802.66666666667)</f>
        <v>44802.66667</v>
      </c>
      <c r="B1967" s="23">
        <f>IFERROR(__xludf.DUMMYFUNCTION("""COMPUTED_VALUE"""),92.72)</f>
        <v>92.72</v>
      </c>
      <c r="C1967" s="19"/>
      <c r="D1967" s="19"/>
      <c r="E1967" s="22">
        <f>IFERROR(__xludf.DUMMYFUNCTION("""COMPUTED_VALUE"""),44985.66666666667)</f>
        <v>44985.66667</v>
      </c>
      <c r="F1967" s="23">
        <f>IFERROR(__xludf.DUMMYFUNCTION("""COMPUTED_VALUE"""),27.8)</f>
        <v>27.8</v>
      </c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</row>
    <row r="1968">
      <c r="A1968" s="22">
        <f>IFERROR(__xludf.DUMMYFUNCTION("""COMPUTED_VALUE"""),44803.66666666667)</f>
        <v>44803.66667</v>
      </c>
      <c r="B1968" s="23">
        <f>IFERROR(__xludf.DUMMYFUNCTION("""COMPUTED_VALUE"""),92.67)</f>
        <v>92.67</v>
      </c>
      <c r="C1968" s="19"/>
      <c r="D1968" s="19"/>
      <c r="E1968" s="22">
        <f>IFERROR(__xludf.DUMMYFUNCTION("""COMPUTED_VALUE"""),44986.66666666667)</f>
        <v>44986.66667</v>
      </c>
      <c r="F1968" s="23">
        <f>IFERROR(__xludf.DUMMYFUNCTION("""COMPUTED_VALUE"""),27.62)</f>
        <v>27.62</v>
      </c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</row>
    <row r="1969">
      <c r="A1969" s="22">
        <f>IFERROR(__xludf.DUMMYFUNCTION("""COMPUTED_VALUE"""),44804.66666666667)</f>
        <v>44804.66667</v>
      </c>
      <c r="B1969" s="23">
        <f>IFERROR(__xludf.DUMMYFUNCTION("""COMPUTED_VALUE"""),92.12)</f>
        <v>92.12</v>
      </c>
      <c r="C1969" s="19"/>
      <c r="D1969" s="19"/>
      <c r="E1969" s="22">
        <f>IFERROR(__xludf.DUMMYFUNCTION("""COMPUTED_VALUE"""),44987.66666666667)</f>
        <v>44987.66667</v>
      </c>
      <c r="F1969" s="23">
        <f>IFERROR(__xludf.DUMMYFUNCTION("""COMPUTED_VALUE"""),27.29)</f>
        <v>27.29</v>
      </c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</row>
    <row r="1970">
      <c r="A1970" s="22">
        <f>IFERROR(__xludf.DUMMYFUNCTION("""COMPUTED_VALUE"""),44805.66666666667)</f>
        <v>44805.66667</v>
      </c>
      <c r="B1970" s="23">
        <f>IFERROR(__xludf.DUMMYFUNCTION("""COMPUTED_VALUE"""),91.0)</f>
        <v>91</v>
      </c>
      <c r="C1970" s="19"/>
      <c r="D1970" s="19"/>
      <c r="E1970" s="22">
        <f>IFERROR(__xludf.DUMMYFUNCTION("""COMPUTED_VALUE"""),44988.66666666667)</f>
        <v>44988.66667</v>
      </c>
      <c r="F1970" s="23">
        <f>IFERROR(__xludf.DUMMYFUNCTION("""COMPUTED_VALUE"""),27.58)</f>
        <v>27.58</v>
      </c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</row>
    <row r="1971">
      <c r="A1971" s="22">
        <f>IFERROR(__xludf.DUMMYFUNCTION("""COMPUTED_VALUE"""),44806.66666666667)</f>
        <v>44806.66667</v>
      </c>
      <c r="B1971" s="23">
        <f>IFERROR(__xludf.DUMMYFUNCTION("""COMPUTED_VALUE"""),91.75)</f>
        <v>91.75</v>
      </c>
      <c r="C1971" s="19"/>
      <c r="D1971" s="19"/>
      <c r="E1971" s="22">
        <f>IFERROR(__xludf.DUMMYFUNCTION("""COMPUTED_VALUE"""),44991.66666666667)</f>
        <v>44991.66667</v>
      </c>
      <c r="F1971" s="23">
        <f>IFERROR(__xludf.DUMMYFUNCTION("""COMPUTED_VALUE"""),28.25)</f>
        <v>28.25</v>
      </c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</row>
    <row r="1972">
      <c r="A1972" s="22">
        <f>IFERROR(__xludf.DUMMYFUNCTION("""COMPUTED_VALUE"""),44809.66666666667)</f>
        <v>44809.66667</v>
      </c>
      <c r="B1972" s="23">
        <f>IFERROR(__xludf.DUMMYFUNCTION("""COMPUTED_VALUE"""),91.06)</f>
        <v>91.06</v>
      </c>
      <c r="C1972" s="19"/>
      <c r="D1972" s="19"/>
      <c r="E1972" s="22">
        <f>IFERROR(__xludf.DUMMYFUNCTION("""COMPUTED_VALUE"""),44992.66666666667)</f>
        <v>44992.66667</v>
      </c>
      <c r="F1972" s="23">
        <f>IFERROR(__xludf.DUMMYFUNCTION("""COMPUTED_VALUE"""),28.5)</f>
        <v>28.5</v>
      </c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</row>
    <row r="1973">
      <c r="A1973" s="22">
        <f>IFERROR(__xludf.DUMMYFUNCTION("""COMPUTED_VALUE"""),44810.66666666667)</f>
        <v>44810.66667</v>
      </c>
      <c r="B1973" s="23">
        <f>IFERROR(__xludf.DUMMYFUNCTION("""COMPUTED_VALUE"""),91.44)</f>
        <v>91.44</v>
      </c>
      <c r="C1973" s="19"/>
      <c r="D1973" s="19"/>
      <c r="E1973" s="22">
        <f>IFERROR(__xludf.DUMMYFUNCTION("""COMPUTED_VALUE"""),44993.66666666667)</f>
        <v>44993.66667</v>
      </c>
      <c r="F1973" s="23">
        <f>IFERROR(__xludf.DUMMYFUNCTION("""COMPUTED_VALUE"""),28.54)</f>
        <v>28.54</v>
      </c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</row>
    <row r="1974">
      <c r="A1974" s="22">
        <f>IFERROR(__xludf.DUMMYFUNCTION("""COMPUTED_VALUE"""),44811.66666666667)</f>
        <v>44811.66667</v>
      </c>
      <c r="B1974" s="23">
        <f>IFERROR(__xludf.DUMMYFUNCTION("""COMPUTED_VALUE"""),91.44)</f>
        <v>91.44</v>
      </c>
      <c r="C1974" s="19"/>
      <c r="D1974" s="19"/>
      <c r="E1974" s="22">
        <f>IFERROR(__xludf.DUMMYFUNCTION("""COMPUTED_VALUE"""),44994.66666666667)</f>
        <v>44994.66667</v>
      </c>
      <c r="F1974" s="23">
        <f>IFERROR(__xludf.DUMMYFUNCTION("""COMPUTED_VALUE"""),28.55)</f>
        <v>28.55</v>
      </c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</row>
    <row r="1975">
      <c r="A1975" s="22">
        <f>IFERROR(__xludf.DUMMYFUNCTION("""COMPUTED_VALUE"""),44812.66666666667)</f>
        <v>44812.66667</v>
      </c>
      <c r="B1975" s="23">
        <f>IFERROR(__xludf.DUMMYFUNCTION("""COMPUTED_VALUE"""),93.19)</f>
        <v>93.19</v>
      </c>
      <c r="C1975" s="19"/>
      <c r="D1975" s="19"/>
      <c r="E1975" s="22">
        <f>IFERROR(__xludf.DUMMYFUNCTION("""COMPUTED_VALUE"""),44995.66666666667)</f>
        <v>44995.66667</v>
      </c>
      <c r="F1975" s="23">
        <f>IFERROR(__xludf.DUMMYFUNCTION("""COMPUTED_VALUE"""),27.97)</f>
        <v>27.97</v>
      </c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</row>
    <row r="1976">
      <c r="A1976" s="22">
        <f>IFERROR(__xludf.DUMMYFUNCTION("""COMPUTED_VALUE"""),44813.66666666667)</f>
        <v>44813.66667</v>
      </c>
      <c r="B1976" s="23">
        <f>IFERROR(__xludf.DUMMYFUNCTION("""COMPUTED_VALUE"""),92.76)</f>
        <v>92.76</v>
      </c>
      <c r="C1976" s="19"/>
      <c r="D1976" s="19"/>
      <c r="E1976" s="22">
        <f>IFERROR(__xludf.DUMMYFUNCTION("""COMPUTED_VALUE"""),44998.66666666667)</f>
        <v>44998.66667</v>
      </c>
      <c r="F1976" s="23">
        <f>IFERROR(__xludf.DUMMYFUNCTION("""COMPUTED_VALUE"""),27.95)</f>
        <v>27.95</v>
      </c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</row>
    <row r="1977">
      <c r="A1977" s="22">
        <f>IFERROR(__xludf.DUMMYFUNCTION("""COMPUTED_VALUE"""),44816.66666666667)</f>
        <v>44816.66667</v>
      </c>
      <c r="B1977" s="23">
        <f>IFERROR(__xludf.DUMMYFUNCTION("""COMPUTED_VALUE"""),93.85)</f>
        <v>93.85</v>
      </c>
      <c r="C1977" s="19"/>
      <c r="D1977" s="19"/>
      <c r="E1977" s="22">
        <f>IFERROR(__xludf.DUMMYFUNCTION("""COMPUTED_VALUE"""),44999.66666666667)</f>
        <v>44999.66667</v>
      </c>
      <c r="F1977" s="23">
        <f>IFERROR(__xludf.DUMMYFUNCTION("""COMPUTED_VALUE"""),27.88)</f>
        <v>27.88</v>
      </c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</row>
    <row r="1978">
      <c r="A1978" s="22">
        <f>IFERROR(__xludf.DUMMYFUNCTION("""COMPUTED_VALUE"""),44817.66666666667)</f>
        <v>44817.66667</v>
      </c>
      <c r="B1978" s="23">
        <f>IFERROR(__xludf.DUMMYFUNCTION("""COMPUTED_VALUE"""),94.75)</f>
        <v>94.75</v>
      </c>
      <c r="C1978" s="19"/>
      <c r="D1978" s="19"/>
      <c r="E1978" s="22">
        <f>IFERROR(__xludf.DUMMYFUNCTION("""COMPUTED_VALUE"""),45000.66666666667)</f>
        <v>45000.66667</v>
      </c>
      <c r="F1978" s="23">
        <f>IFERROR(__xludf.DUMMYFUNCTION("""COMPUTED_VALUE"""),28.25)</f>
        <v>28.25</v>
      </c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</row>
    <row r="1979">
      <c r="A1979" s="22">
        <f>IFERROR(__xludf.DUMMYFUNCTION("""COMPUTED_VALUE"""),44818.66666666667)</f>
        <v>44818.66667</v>
      </c>
      <c r="B1979" s="23">
        <f>IFERROR(__xludf.DUMMYFUNCTION("""COMPUTED_VALUE"""),92.73)</f>
        <v>92.73</v>
      </c>
      <c r="C1979" s="19"/>
      <c r="D1979" s="19"/>
      <c r="E1979" s="22">
        <f>IFERROR(__xludf.DUMMYFUNCTION("""COMPUTED_VALUE"""),45001.66666666667)</f>
        <v>45001.66667</v>
      </c>
      <c r="F1979" s="23">
        <f>IFERROR(__xludf.DUMMYFUNCTION("""COMPUTED_VALUE"""),28.72)</f>
        <v>28.72</v>
      </c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</row>
    <row r="1980">
      <c r="A1980" s="22">
        <f>IFERROR(__xludf.DUMMYFUNCTION("""COMPUTED_VALUE"""),44819.66666666667)</f>
        <v>44819.66667</v>
      </c>
      <c r="B1980" s="23">
        <f>IFERROR(__xludf.DUMMYFUNCTION("""COMPUTED_VALUE"""),92.65)</f>
        <v>92.65</v>
      </c>
      <c r="C1980" s="19"/>
      <c r="D1980" s="19"/>
      <c r="E1980" s="24">
        <f>IFERROR(__xludf.DUMMYFUNCTION("""COMPUTED_VALUE"""),45002.66666666667)</f>
        <v>45002.66667</v>
      </c>
      <c r="F1980" s="19">
        <f>IFERROR(__xludf.DUMMYFUNCTION("""COMPUTED_VALUE"""),29.06)</f>
        <v>29.06</v>
      </c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</row>
    <row r="1981">
      <c r="A1981" s="22">
        <f>IFERROR(__xludf.DUMMYFUNCTION("""COMPUTED_VALUE"""),44820.66666666667)</f>
        <v>44820.66667</v>
      </c>
      <c r="B1981" s="23">
        <f>IFERROR(__xludf.DUMMYFUNCTION("""COMPUTED_VALUE"""),91.79)</f>
        <v>91.79</v>
      </c>
      <c r="C1981" s="19"/>
      <c r="D1981" s="19"/>
      <c r="E1981" s="24">
        <f>IFERROR(__xludf.DUMMYFUNCTION("""COMPUTED_VALUE"""),45005.66666666667)</f>
        <v>45005.66667</v>
      </c>
      <c r="F1981" s="19">
        <f>IFERROR(__xludf.DUMMYFUNCTION("""COMPUTED_VALUE"""),29.0)</f>
        <v>29</v>
      </c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</row>
    <row r="1982">
      <c r="A1982" s="22">
        <f>IFERROR(__xludf.DUMMYFUNCTION("""COMPUTED_VALUE"""),44823.66666666667)</f>
        <v>44823.66667</v>
      </c>
      <c r="B1982" s="23">
        <f>IFERROR(__xludf.DUMMYFUNCTION("""COMPUTED_VALUE"""),91.33)</f>
        <v>91.33</v>
      </c>
      <c r="C1982" s="19"/>
      <c r="D1982" s="19"/>
      <c r="E1982" s="24">
        <f>IFERROR(__xludf.DUMMYFUNCTION("""COMPUTED_VALUE"""),45006.66666666667)</f>
        <v>45006.66667</v>
      </c>
      <c r="F1982" s="19">
        <f>IFERROR(__xludf.DUMMYFUNCTION("""COMPUTED_VALUE"""),29.09)</f>
        <v>29.09</v>
      </c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</row>
    <row r="1983">
      <c r="A1983" s="22">
        <f>IFERROR(__xludf.DUMMYFUNCTION("""COMPUTED_VALUE"""),44824.66666666667)</f>
        <v>44824.66667</v>
      </c>
      <c r="B1983" s="23">
        <f>IFERROR(__xludf.DUMMYFUNCTION("""COMPUTED_VALUE"""),92.24)</f>
        <v>92.24</v>
      </c>
      <c r="C1983" s="19"/>
      <c r="D1983" s="19"/>
      <c r="E1983" s="24">
        <f>IFERROR(__xludf.DUMMYFUNCTION("""COMPUTED_VALUE"""),45007.66666666667)</f>
        <v>45007.66667</v>
      </c>
      <c r="F1983" s="19">
        <f>IFERROR(__xludf.DUMMYFUNCTION("""COMPUTED_VALUE"""),29.46)</f>
        <v>29.46</v>
      </c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</row>
    <row r="1984">
      <c r="A1984" s="22">
        <f>IFERROR(__xludf.DUMMYFUNCTION("""COMPUTED_VALUE"""),44825.66666666667)</f>
        <v>44825.66667</v>
      </c>
      <c r="B1984" s="23">
        <f>IFERROR(__xludf.DUMMYFUNCTION("""COMPUTED_VALUE"""),91.45)</f>
        <v>91.45</v>
      </c>
      <c r="C1984" s="19"/>
      <c r="D1984" s="19"/>
      <c r="E1984" s="24">
        <f>IFERROR(__xludf.DUMMYFUNCTION("""COMPUTED_VALUE"""),45008.66666666667)</f>
        <v>45008.66667</v>
      </c>
      <c r="F1984" s="19">
        <f>IFERROR(__xludf.DUMMYFUNCTION("""COMPUTED_VALUE"""),29.03)</f>
        <v>29.03</v>
      </c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</row>
    <row r="1985">
      <c r="A1985" s="22">
        <f>IFERROR(__xludf.DUMMYFUNCTION("""COMPUTED_VALUE"""),44827.66666666667)</f>
        <v>44827.66667</v>
      </c>
      <c r="B1985" s="23">
        <f>IFERROR(__xludf.DUMMYFUNCTION("""COMPUTED_VALUE"""),89.75)</f>
        <v>89.75</v>
      </c>
      <c r="C1985" s="19"/>
      <c r="D1985" s="19"/>
      <c r="E1985" s="24">
        <f>IFERROR(__xludf.DUMMYFUNCTION("""COMPUTED_VALUE"""),45009.66666666667)</f>
        <v>45009.66667</v>
      </c>
      <c r="F1985" s="19">
        <f>IFERROR(__xludf.DUMMYFUNCTION("""COMPUTED_VALUE"""),29.48)</f>
        <v>29.48</v>
      </c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</row>
    <row r="1986">
      <c r="A1986" s="22">
        <f>IFERROR(__xludf.DUMMYFUNCTION("""COMPUTED_VALUE"""),44830.66666666667)</f>
        <v>44830.66667</v>
      </c>
      <c r="B1986" s="23">
        <f>IFERROR(__xludf.DUMMYFUNCTION("""COMPUTED_VALUE"""),88.82)</f>
        <v>88.82</v>
      </c>
      <c r="C1986" s="19"/>
      <c r="D1986" s="19"/>
      <c r="E1986" s="24">
        <f>IFERROR(__xludf.DUMMYFUNCTION("""COMPUTED_VALUE"""),45012.66666666667)</f>
        <v>45012.66667</v>
      </c>
      <c r="F1986" s="19">
        <f>IFERROR(__xludf.DUMMYFUNCTION("""COMPUTED_VALUE"""),29.84)</f>
        <v>29.84</v>
      </c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</row>
    <row r="1987">
      <c r="A1987" s="22">
        <f>IFERROR(__xludf.DUMMYFUNCTION("""COMPUTED_VALUE"""),44831.66666666667)</f>
        <v>44831.66667</v>
      </c>
      <c r="B1987" s="23">
        <f>IFERROR(__xludf.DUMMYFUNCTION("""COMPUTED_VALUE"""),89.33)</f>
        <v>89.33</v>
      </c>
      <c r="C1987" s="19"/>
      <c r="D1987" s="19"/>
      <c r="E1987" s="24">
        <f>IFERROR(__xludf.DUMMYFUNCTION("""COMPUTED_VALUE"""),45013.66666666667)</f>
        <v>45013.66667</v>
      </c>
      <c r="F1987" s="19">
        <f>IFERROR(__xludf.DUMMYFUNCTION("""COMPUTED_VALUE"""),29.32)</f>
        <v>29.32</v>
      </c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</row>
    <row r="1988">
      <c r="A1988" s="22">
        <f>IFERROR(__xludf.DUMMYFUNCTION("""COMPUTED_VALUE"""),44832.66666666667)</f>
        <v>44832.66667</v>
      </c>
      <c r="B1988" s="23">
        <f>IFERROR(__xludf.DUMMYFUNCTION("""COMPUTED_VALUE"""),89.31)</f>
        <v>89.31</v>
      </c>
      <c r="C1988" s="19"/>
      <c r="D1988" s="19"/>
      <c r="E1988" s="24">
        <f>IFERROR(__xludf.DUMMYFUNCTION("""COMPUTED_VALUE"""),45014.66666666667)</f>
        <v>45014.66667</v>
      </c>
      <c r="F1988" s="19">
        <f>IFERROR(__xludf.DUMMYFUNCTION("""COMPUTED_VALUE"""),29.28)</f>
        <v>29.28</v>
      </c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</row>
    <row r="1989">
      <c r="A1989" s="22">
        <f>IFERROR(__xludf.DUMMYFUNCTION("""COMPUTED_VALUE"""),44833.66666666667)</f>
        <v>44833.66667</v>
      </c>
      <c r="B1989" s="23">
        <f>IFERROR(__xludf.DUMMYFUNCTION("""COMPUTED_VALUE"""),90.22)</f>
        <v>90.22</v>
      </c>
      <c r="C1989" s="19"/>
      <c r="D1989" s="19"/>
      <c r="E1989" s="24">
        <f>IFERROR(__xludf.DUMMYFUNCTION("""COMPUTED_VALUE"""),45015.66666666667)</f>
        <v>45015.66667</v>
      </c>
      <c r="F1989" s="19">
        <f>IFERROR(__xludf.DUMMYFUNCTION("""COMPUTED_VALUE"""),29.74)</f>
        <v>29.74</v>
      </c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</row>
    <row r="1990">
      <c r="A1990" s="22">
        <f>IFERROR(__xludf.DUMMYFUNCTION("""COMPUTED_VALUE"""),44834.66666666667)</f>
        <v>44834.66667</v>
      </c>
      <c r="B1990" s="23">
        <f>IFERROR(__xludf.DUMMYFUNCTION("""COMPUTED_VALUE"""),88.49)</f>
        <v>88.49</v>
      </c>
      <c r="C1990" s="19"/>
      <c r="D1990" s="19"/>
      <c r="E1990" s="24">
        <f>IFERROR(__xludf.DUMMYFUNCTION("""COMPUTED_VALUE"""),45016.66666666667)</f>
        <v>45016.66667</v>
      </c>
      <c r="F1990" s="19">
        <f>IFERROR(__xludf.DUMMYFUNCTION("""COMPUTED_VALUE"""),29.99)</f>
        <v>29.99</v>
      </c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</row>
    <row r="1991">
      <c r="A1991" s="22">
        <f>IFERROR(__xludf.DUMMYFUNCTION("""COMPUTED_VALUE"""),44837.66666666667)</f>
        <v>44837.66667</v>
      </c>
      <c r="B1991" s="23">
        <f>IFERROR(__xludf.DUMMYFUNCTION("""COMPUTED_VALUE"""),87.88)</f>
        <v>87.88</v>
      </c>
      <c r="C1991" s="19"/>
      <c r="D1991" s="19"/>
      <c r="E1991" s="24">
        <f>IFERROR(__xludf.DUMMYFUNCTION("""COMPUTED_VALUE"""),45019.66666666667)</f>
        <v>45019.66667</v>
      </c>
      <c r="F1991" s="19">
        <f>IFERROR(__xludf.DUMMYFUNCTION("""COMPUTED_VALUE"""),30.43)</f>
        <v>30.43</v>
      </c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</row>
    <row r="1992">
      <c r="A1992" s="22">
        <f>IFERROR(__xludf.DUMMYFUNCTION("""COMPUTED_VALUE"""),44838.66666666667)</f>
        <v>44838.66667</v>
      </c>
      <c r="B1992" s="23">
        <f>IFERROR(__xludf.DUMMYFUNCTION("""COMPUTED_VALUE"""),90.39)</f>
        <v>90.39</v>
      </c>
      <c r="C1992" s="19"/>
      <c r="D1992" s="19"/>
      <c r="E1992" s="24">
        <f>IFERROR(__xludf.DUMMYFUNCTION("""COMPUTED_VALUE"""),45020.66666666667)</f>
        <v>45020.66667</v>
      </c>
      <c r="F1992" s="19">
        <f>IFERROR(__xludf.DUMMYFUNCTION("""COMPUTED_VALUE"""),30.05)</f>
        <v>30.05</v>
      </c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</row>
    <row r="1993">
      <c r="A1993" s="22">
        <f>IFERROR(__xludf.DUMMYFUNCTION("""COMPUTED_VALUE"""),44839.66666666667)</f>
        <v>44839.66667</v>
      </c>
      <c r="B1993" s="23">
        <f>IFERROR(__xludf.DUMMYFUNCTION("""COMPUTED_VALUE"""),91.91)</f>
        <v>91.91</v>
      </c>
      <c r="C1993" s="19"/>
      <c r="D1993" s="19"/>
      <c r="E1993" s="24">
        <f>IFERROR(__xludf.DUMMYFUNCTION("""COMPUTED_VALUE"""),45021.66666666667)</f>
        <v>45021.66667</v>
      </c>
      <c r="F1993" s="19">
        <f>IFERROR(__xludf.DUMMYFUNCTION("""COMPUTED_VALUE"""),30.13)</f>
        <v>30.13</v>
      </c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</row>
    <row r="1994">
      <c r="A1994" s="22">
        <f>IFERROR(__xludf.DUMMYFUNCTION("""COMPUTED_VALUE"""),44840.66666666667)</f>
        <v>44840.66667</v>
      </c>
      <c r="B1994" s="23">
        <f>IFERROR(__xludf.DUMMYFUNCTION("""COMPUTED_VALUE"""),91.92)</f>
        <v>91.92</v>
      </c>
      <c r="C1994" s="19"/>
      <c r="D1994" s="19"/>
      <c r="E1994" s="24">
        <f>IFERROR(__xludf.DUMMYFUNCTION("""COMPUTED_VALUE"""),45022.66666666667)</f>
        <v>45022.66667</v>
      </c>
      <c r="F1994" s="19">
        <f>IFERROR(__xludf.DUMMYFUNCTION("""COMPUTED_VALUE"""),29.89)</f>
        <v>29.89</v>
      </c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</row>
    <row r="1995">
      <c r="A1995" s="22">
        <f>IFERROR(__xludf.DUMMYFUNCTION("""COMPUTED_VALUE"""),44841.66666666667)</f>
        <v>44841.66667</v>
      </c>
      <c r="B1995" s="23">
        <f>IFERROR(__xludf.DUMMYFUNCTION("""COMPUTED_VALUE"""),91.88)</f>
        <v>91.88</v>
      </c>
      <c r="C1995" s="19"/>
      <c r="D1995" s="19"/>
      <c r="E1995" s="24">
        <f>IFERROR(__xludf.DUMMYFUNCTION("""COMPUTED_VALUE"""),45027.66666666667)</f>
        <v>45027.66667</v>
      </c>
      <c r="F1995" s="19">
        <f>IFERROR(__xludf.DUMMYFUNCTION("""COMPUTED_VALUE"""),30.28)</f>
        <v>30.28</v>
      </c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</row>
    <row r="1996">
      <c r="A1996" s="22">
        <f>IFERROR(__xludf.DUMMYFUNCTION("""COMPUTED_VALUE"""),44844.66666666667)</f>
        <v>44844.66667</v>
      </c>
      <c r="B1996" s="23">
        <f>IFERROR(__xludf.DUMMYFUNCTION("""COMPUTED_VALUE"""),90.49)</f>
        <v>90.49</v>
      </c>
      <c r="C1996" s="19"/>
      <c r="D1996" s="19"/>
      <c r="E1996" s="24">
        <f>IFERROR(__xludf.DUMMYFUNCTION("""COMPUTED_VALUE"""),45028.66666666667)</f>
        <v>45028.66667</v>
      </c>
      <c r="F1996" s="19">
        <f>IFERROR(__xludf.DUMMYFUNCTION("""COMPUTED_VALUE"""),30.11)</f>
        <v>30.11</v>
      </c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</row>
    <row r="1997">
      <c r="A1997" s="22">
        <f>IFERROR(__xludf.DUMMYFUNCTION("""COMPUTED_VALUE"""),44845.66666666667)</f>
        <v>44845.66667</v>
      </c>
      <c r="B1997" s="23">
        <f>IFERROR(__xludf.DUMMYFUNCTION("""COMPUTED_VALUE"""),90.64)</f>
        <v>90.64</v>
      </c>
      <c r="C1997" s="19"/>
      <c r="D1997" s="19"/>
      <c r="E1997" s="24">
        <f>IFERROR(__xludf.DUMMYFUNCTION("""COMPUTED_VALUE"""),45029.66666666667)</f>
        <v>45029.66667</v>
      </c>
      <c r="F1997" s="19">
        <f>IFERROR(__xludf.DUMMYFUNCTION("""COMPUTED_VALUE"""),29.75)</f>
        <v>29.75</v>
      </c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</row>
    <row r="1998">
      <c r="A1998" s="22">
        <f>IFERROR(__xludf.DUMMYFUNCTION("""COMPUTED_VALUE"""),44846.66666666667)</f>
        <v>44846.66667</v>
      </c>
      <c r="B1998" s="23">
        <f>IFERROR(__xludf.DUMMYFUNCTION("""COMPUTED_VALUE"""),90.57)</f>
        <v>90.57</v>
      </c>
      <c r="C1998" s="19"/>
      <c r="D1998" s="19"/>
      <c r="E1998" s="24">
        <f>IFERROR(__xludf.DUMMYFUNCTION("""COMPUTED_VALUE"""),45030.66666666667)</f>
        <v>45030.66667</v>
      </c>
      <c r="F1998" s="19">
        <f>IFERROR(__xludf.DUMMYFUNCTION("""COMPUTED_VALUE"""),29.88)</f>
        <v>29.88</v>
      </c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</row>
    <row r="1999">
      <c r="A1999" s="22">
        <f>IFERROR(__xludf.DUMMYFUNCTION("""COMPUTED_VALUE"""),44847.66666666667)</f>
        <v>44847.66667</v>
      </c>
      <c r="B1999" s="23">
        <f>IFERROR(__xludf.DUMMYFUNCTION("""COMPUTED_VALUE"""),89.82)</f>
        <v>89.82</v>
      </c>
      <c r="C1999" s="19"/>
      <c r="D1999" s="19"/>
      <c r="E1999" s="24">
        <f>IFERROR(__xludf.DUMMYFUNCTION("""COMPUTED_VALUE"""),45033.66666666667)</f>
        <v>45033.66667</v>
      </c>
      <c r="F1999" s="19">
        <f>IFERROR(__xludf.DUMMYFUNCTION("""COMPUTED_VALUE"""),30.21)</f>
        <v>30.21</v>
      </c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</row>
    <row r="2000">
      <c r="A2000" s="22">
        <f>IFERROR(__xludf.DUMMYFUNCTION("""COMPUTED_VALUE"""),44848.66666666667)</f>
        <v>44848.66667</v>
      </c>
      <c r="B2000" s="23">
        <f>IFERROR(__xludf.DUMMYFUNCTION("""COMPUTED_VALUE"""),91.79)</f>
        <v>91.79</v>
      </c>
      <c r="C2000" s="19"/>
      <c r="D2000" s="19"/>
      <c r="E2000" s="24">
        <f>IFERROR(__xludf.DUMMYFUNCTION("""COMPUTED_VALUE"""),45034.66666666667)</f>
        <v>45034.66667</v>
      </c>
      <c r="F2000" s="19">
        <f>IFERROR(__xludf.DUMMYFUNCTION("""COMPUTED_VALUE"""),30.12)</f>
        <v>30.12</v>
      </c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</row>
    <row r="2001">
      <c r="A2001" s="22">
        <f>IFERROR(__xludf.DUMMYFUNCTION("""COMPUTED_VALUE"""),44851.66666666667)</f>
        <v>44851.66667</v>
      </c>
      <c r="B2001" s="23">
        <f>IFERROR(__xludf.DUMMYFUNCTION("""COMPUTED_VALUE"""),91.13)</f>
        <v>91.13</v>
      </c>
      <c r="C2001" s="19"/>
      <c r="D2001" s="19"/>
      <c r="E2001" s="24">
        <f>IFERROR(__xludf.DUMMYFUNCTION("""COMPUTED_VALUE"""),45035.66666666667)</f>
        <v>45035.66667</v>
      </c>
      <c r="F2001" s="19">
        <f>IFERROR(__xludf.DUMMYFUNCTION("""COMPUTED_VALUE"""),30.05)</f>
        <v>30.05</v>
      </c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</row>
    <row r="2002">
      <c r="A2002" s="22">
        <f>IFERROR(__xludf.DUMMYFUNCTION("""COMPUTED_VALUE"""),44852.66666666667)</f>
        <v>44852.66667</v>
      </c>
      <c r="B2002" s="23">
        <f>IFERROR(__xludf.DUMMYFUNCTION("""COMPUTED_VALUE"""),93.09)</f>
        <v>93.09</v>
      </c>
      <c r="C2002" s="19"/>
      <c r="D2002" s="19"/>
      <c r="E2002" s="24">
        <f>IFERROR(__xludf.DUMMYFUNCTION("""COMPUTED_VALUE"""),45036.66666666667)</f>
        <v>45036.66667</v>
      </c>
      <c r="F2002" s="19">
        <f>IFERROR(__xludf.DUMMYFUNCTION("""COMPUTED_VALUE"""),30.01)</f>
        <v>30.01</v>
      </c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</row>
    <row r="2003">
      <c r="A2003" s="22">
        <f>IFERROR(__xludf.DUMMYFUNCTION("""COMPUTED_VALUE"""),44853.66666666667)</f>
        <v>44853.66667</v>
      </c>
      <c r="B2003" s="23">
        <f>IFERROR(__xludf.DUMMYFUNCTION("""COMPUTED_VALUE"""),93.34)</f>
        <v>93.34</v>
      </c>
      <c r="C2003" s="19"/>
      <c r="D2003" s="19"/>
      <c r="E2003" s="24">
        <f>IFERROR(__xludf.DUMMYFUNCTION("""COMPUTED_VALUE"""),45037.66666666667)</f>
        <v>45037.66667</v>
      </c>
      <c r="F2003" s="19">
        <f>IFERROR(__xludf.DUMMYFUNCTION("""COMPUTED_VALUE"""),29.99)</f>
        <v>29.99</v>
      </c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</row>
    <row r="2004">
      <c r="A2004" s="22">
        <f>IFERROR(__xludf.DUMMYFUNCTION("""COMPUTED_VALUE"""),44854.66666666667)</f>
        <v>44854.66667</v>
      </c>
      <c r="B2004" s="23">
        <f>IFERROR(__xludf.DUMMYFUNCTION("""COMPUTED_VALUE"""),92.69)</f>
        <v>92.69</v>
      </c>
      <c r="C2004" s="19"/>
      <c r="D2004" s="19"/>
      <c r="E2004" s="24">
        <f>IFERROR(__xludf.DUMMYFUNCTION("""COMPUTED_VALUE"""),45040.66666666667)</f>
        <v>45040.66667</v>
      </c>
      <c r="F2004" s="19">
        <f>IFERROR(__xludf.DUMMYFUNCTION("""COMPUTED_VALUE"""),30.0)</f>
        <v>30</v>
      </c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</row>
    <row r="2005">
      <c r="A2005" s="22">
        <f>IFERROR(__xludf.DUMMYFUNCTION("""COMPUTED_VALUE"""),44855.66666666667)</f>
        <v>44855.66667</v>
      </c>
      <c r="B2005" s="23">
        <f>IFERROR(__xludf.DUMMYFUNCTION("""COMPUTED_VALUE"""),91.88)</f>
        <v>91.88</v>
      </c>
      <c r="C2005" s="19"/>
      <c r="D2005" s="19"/>
      <c r="E2005" s="24">
        <f>IFERROR(__xludf.DUMMYFUNCTION("""COMPUTED_VALUE"""),45042.66666666667)</f>
        <v>45042.66667</v>
      </c>
      <c r="F2005" s="19">
        <f>IFERROR(__xludf.DUMMYFUNCTION("""COMPUTED_VALUE"""),30.25)</f>
        <v>30.25</v>
      </c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</row>
    <row r="2006">
      <c r="A2006" s="22">
        <f>IFERROR(__xludf.DUMMYFUNCTION("""COMPUTED_VALUE"""),44858.66666666667)</f>
        <v>44858.66667</v>
      </c>
      <c r="B2006" s="23">
        <f>IFERROR(__xludf.DUMMYFUNCTION("""COMPUTED_VALUE"""),93.02)</f>
        <v>93.02</v>
      </c>
      <c r="C2006" s="19"/>
      <c r="D2006" s="19"/>
      <c r="E2006" s="24">
        <f>IFERROR(__xludf.DUMMYFUNCTION("""COMPUTED_VALUE"""),45043.66666666667)</f>
        <v>45043.66667</v>
      </c>
      <c r="F2006" s="19">
        <f>IFERROR(__xludf.DUMMYFUNCTION("""COMPUTED_VALUE"""),30.15)</f>
        <v>30.15</v>
      </c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</row>
    <row r="2007">
      <c r="A2007" s="22">
        <f>IFERROR(__xludf.DUMMYFUNCTION("""COMPUTED_VALUE"""),44859.66666666667)</f>
        <v>44859.66667</v>
      </c>
      <c r="B2007" s="23">
        <f>IFERROR(__xludf.DUMMYFUNCTION("""COMPUTED_VALUE"""),94.14)</f>
        <v>94.14</v>
      </c>
      <c r="C2007" s="19"/>
      <c r="D2007" s="19"/>
      <c r="E2007" s="24">
        <f>IFERROR(__xludf.DUMMYFUNCTION("""COMPUTED_VALUE"""),45044.66666666667)</f>
        <v>45044.66667</v>
      </c>
      <c r="F2007" s="19">
        <f>IFERROR(__xludf.DUMMYFUNCTION("""COMPUTED_VALUE"""),30.74)</f>
        <v>30.74</v>
      </c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</row>
    <row r="2008">
      <c r="A2008" s="22">
        <f>IFERROR(__xludf.DUMMYFUNCTION("""COMPUTED_VALUE"""),44860.66666666667)</f>
        <v>44860.66667</v>
      </c>
      <c r="B2008" s="23">
        <f>IFERROR(__xludf.DUMMYFUNCTION("""COMPUTED_VALUE"""),94.0)</f>
        <v>94</v>
      </c>
      <c r="C2008" s="19"/>
      <c r="D2008" s="19"/>
      <c r="E2008" s="24">
        <f>IFERROR(__xludf.DUMMYFUNCTION("""COMPUTED_VALUE"""),45047.66666666667)</f>
        <v>45047.66667</v>
      </c>
      <c r="F2008" s="19">
        <f>IFERROR(__xludf.DUMMYFUNCTION("""COMPUTED_VALUE"""),30.93)</f>
        <v>30.93</v>
      </c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</row>
    <row r="2009">
      <c r="A2009" s="22">
        <f>IFERROR(__xludf.DUMMYFUNCTION("""COMPUTED_VALUE"""),44861.66666666667)</f>
        <v>44861.66667</v>
      </c>
      <c r="B2009" s="23">
        <f>IFERROR(__xludf.DUMMYFUNCTION("""COMPUTED_VALUE"""),93.24)</f>
        <v>93.24</v>
      </c>
      <c r="C2009" s="19"/>
      <c r="D2009" s="19"/>
      <c r="E2009" s="24">
        <f>IFERROR(__xludf.DUMMYFUNCTION("""COMPUTED_VALUE"""),45048.66666666667)</f>
        <v>45048.66667</v>
      </c>
      <c r="F2009" s="19">
        <f>IFERROR(__xludf.DUMMYFUNCTION("""COMPUTED_VALUE"""),30.5)</f>
        <v>30.5</v>
      </c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</row>
    <row r="2010">
      <c r="A2010" s="22">
        <f>IFERROR(__xludf.DUMMYFUNCTION("""COMPUTED_VALUE"""),44862.66666666667)</f>
        <v>44862.66667</v>
      </c>
      <c r="B2010" s="23">
        <f>IFERROR(__xludf.DUMMYFUNCTION("""COMPUTED_VALUE"""),92.53)</f>
        <v>92.53</v>
      </c>
      <c r="C2010" s="19"/>
      <c r="D2010" s="19"/>
      <c r="E2010" s="24">
        <f>IFERROR(__xludf.DUMMYFUNCTION("""COMPUTED_VALUE"""),45049.66666666667)</f>
        <v>45049.66667</v>
      </c>
      <c r="F2010" s="19">
        <f>IFERROR(__xludf.DUMMYFUNCTION("""COMPUTED_VALUE"""),30.47)</f>
        <v>30.47</v>
      </c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</row>
    <row r="2011">
      <c r="A2011" s="22">
        <f>IFERROR(__xludf.DUMMYFUNCTION("""COMPUTED_VALUE"""),44865.66666666667)</f>
        <v>44865.66667</v>
      </c>
      <c r="B2011" s="23">
        <f>IFERROR(__xludf.DUMMYFUNCTION("""COMPUTED_VALUE"""),95.16)</f>
        <v>95.16</v>
      </c>
      <c r="C2011" s="19"/>
      <c r="D2011" s="19"/>
      <c r="E2011" s="24">
        <f>IFERROR(__xludf.DUMMYFUNCTION("""COMPUTED_VALUE"""),45050.66666666667)</f>
        <v>45050.66667</v>
      </c>
      <c r="F2011" s="19">
        <f>IFERROR(__xludf.DUMMYFUNCTION("""COMPUTED_VALUE"""),30.28)</f>
        <v>30.28</v>
      </c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</row>
    <row r="2012">
      <c r="A2012" s="22">
        <f>IFERROR(__xludf.DUMMYFUNCTION("""COMPUTED_VALUE"""),44866.66666666667)</f>
        <v>44866.66667</v>
      </c>
      <c r="B2012" s="23">
        <f>IFERROR(__xludf.DUMMYFUNCTION("""COMPUTED_VALUE"""),95.0)</f>
        <v>95</v>
      </c>
      <c r="C2012" s="19"/>
      <c r="D2012" s="19"/>
      <c r="E2012" s="24">
        <f>IFERROR(__xludf.DUMMYFUNCTION("""COMPUTED_VALUE"""),45051.66666666667)</f>
        <v>45051.66667</v>
      </c>
      <c r="F2012" s="19">
        <f>IFERROR(__xludf.DUMMYFUNCTION("""COMPUTED_VALUE"""),29.95)</f>
        <v>29.95</v>
      </c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</row>
    <row r="2013">
      <c r="A2013" s="22">
        <f>IFERROR(__xludf.DUMMYFUNCTION("""COMPUTED_VALUE"""),44867.66666666667)</f>
        <v>44867.66667</v>
      </c>
      <c r="B2013" s="23">
        <f>IFERROR(__xludf.DUMMYFUNCTION("""COMPUTED_VALUE"""),94.92)</f>
        <v>94.92</v>
      </c>
      <c r="C2013" s="19"/>
      <c r="D2013" s="19"/>
      <c r="E2013" s="24">
        <f>IFERROR(__xludf.DUMMYFUNCTION("""COMPUTED_VALUE"""),45054.66666666667)</f>
        <v>45054.66667</v>
      </c>
      <c r="F2013" s="19">
        <f>IFERROR(__xludf.DUMMYFUNCTION("""COMPUTED_VALUE"""),30.26)</f>
        <v>30.26</v>
      </c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</row>
    <row r="2014">
      <c r="A2014" s="22">
        <f>IFERROR(__xludf.DUMMYFUNCTION("""COMPUTED_VALUE"""),44868.66666666667)</f>
        <v>44868.66667</v>
      </c>
      <c r="B2014" s="23">
        <f>IFERROR(__xludf.DUMMYFUNCTION("""COMPUTED_VALUE"""),93.42)</f>
        <v>93.42</v>
      </c>
      <c r="C2014" s="19"/>
      <c r="D2014" s="19"/>
      <c r="E2014" s="24">
        <f>IFERROR(__xludf.DUMMYFUNCTION("""COMPUTED_VALUE"""),45055.66666666667)</f>
        <v>45055.66667</v>
      </c>
      <c r="F2014" s="19">
        <f>IFERROR(__xludf.DUMMYFUNCTION("""COMPUTED_VALUE"""),30.33)</f>
        <v>30.33</v>
      </c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</row>
    <row r="2015">
      <c r="A2015" s="22">
        <f>IFERROR(__xludf.DUMMYFUNCTION("""COMPUTED_VALUE"""),44869.66666666667)</f>
        <v>44869.66667</v>
      </c>
      <c r="B2015" s="23">
        <f>IFERROR(__xludf.DUMMYFUNCTION("""COMPUTED_VALUE"""),92.94)</f>
        <v>92.94</v>
      </c>
      <c r="C2015" s="19"/>
      <c r="D2015" s="19"/>
      <c r="E2015" s="24">
        <f>IFERROR(__xludf.DUMMYFUNCTION("""COMPUTED_VALUE"""),45056.66666666667)</f>
        <v>45056.66667</v>
      </c>
      <c r="F2015" s="19">
        <f>IFERROR(__xludf.DUMMYFUNCTION("""COMPUTED_VALUE"""),30.24)</f>
        <v>30.24</v>
      </c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</row>
    <row r="2016">
      <c r="A2016" s="22">
        <f>IFERROR(__xludf.DUMMYFUNCTION("""COMPUTED_VALUE"""),44872.66666666667)</f>
        <v>44872.66667</v>
      </c>
      <c r="B2016" s="23">
        <f>IFERROR(__xludf.DUMMYFUNCTION("""COMPUTED_VALUE"""),92.98)</f>
        <v>92.98</v>
      </c>
      <c r="C2016" s="19"/>
      <c r="D2016" s="19"/>
      <c r="E2016" s="24">
        <f>IFERROR(__xludf.DUMMYFUNCTION("""COMPUTED_VALUE"""),45057.66666666667)</f>
        <v>45057.66667</v>
      </c>
      <c r="F2016" s="19">
        <f>IFERROR(__xludf.DUMMYFUNCTION("""COMPUTED_VALUE"""),30.57)</f>
        <v>30.57</v>
      </c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</row>
    <row r="2017">
      <c r="A2017" s="22">
        <f>IFERROR(__xludf.DUMMYFUNCTION("""COMPUTED_VALUE"""),44873.66666666667)</f>
        <v>44873.66667</v>
      </c>
      <c r="B2017" s="23">
        <f>IFERROR(__xludf.DUMMYFUNCTION("""COMPUTED_VALUE"""),93.4)</f>
        <v>93.4</v>
      </c>
      <c r="C2017" s="19"/>
      <c r="D2017" s="19"/>
      <c r="E2017" s="24">
        <f>IFERROR(__xludf.DUMMYFUNCTION("""COMPUTED_VALUE"""),45058.66666666667)</f>
        <v>45058.66667</v>
      </c>
      <c r="F2017" s="19">
        <f>IFERROR(__xludf.DUMMYFUNCTION("""COMPUTED_VALUE"""),31.06)</f>
        <v>31.06</v>
      </c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</row>
    <row r="2018">
      <c r="A2018" s="22">
        <f>IFERROR(__xludf.DUMMYFUNCTION("""COMPUTED_VALUE"""),44874.66666666667)</f>
        <v>44874.66667</v>
      </c>
      <c r="B2018" s="23">
        <f>IFERROR(__xludf.DUMMYFUNCTION("""COMPUTED_VALUE"""),93.63)</f>
        <v>93.63</v>
      </c>
      <c r="C2018" s="19"/>
      <c r="D2018" s="19"/>
      <c r="E2018" s="24">
        <f>IFERROR(__xludf.DUMMYFUNCTION("""COMPUTED_VALUE"""),45061.66666666667)</f>
        <v>45061.66667</v>
      </c>
      <c r="F2018" s="19">
        <f>IFERROR(__xludf.DUMMYFUNCTION("""COMPUTED_VALUE"""),30.96)</f>
        <v>30.96</v>
      </c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</row>
    <row r="2019">
      <c r="A2019" s="22">
        <f>IFERROR(__xludf.DUMMYFUNCTION("""COMPUTED_VALUE"""),44875.66666666667)</f>
        <v>44875.66667</v>
      </c>
      <c r="B2019" s="23">
        <f>IFERROR(__xludf.DUMMYFUNCTION("""COMPUTED_VALUE"""),93.21)</f>
        <v>93.21</v>
      </c>
      <c r="C2019" s="19"/>
      <c r="D2019" s="19"/>
      <c r="E2019" s="24">
        <f>IFERROR(__xludf.DUMMYFUNCTION("""COMPUTED_VALUE"""),45062.66666666667)</f>
        <v>45062.66667</v>
      </c>
      <c r="F2019" s="19">
        <f>IFERROR(__xludf.DUMMYFUNCTION("""COMPUTED_VALUE"""),31.08)</f>
        <v>31.08</v>
      </c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</row>
    <row r="2020">
      <c r="A2020" s="22">
        <f>IFERROR(__xludf.DUMMYFUNCTION("""COMPUTED_VALUE"""),44876.66666666667)</f>
        <v>44876.66667</v>
      </c>
      <c r="B2020" s="23">
        <f>IFERROR(__xludf.DUMMYFUNCTION("""COMPUTED_VALUE"""),95.28)</f>
        <v>95.28</v>
      </c>
      <c r="C2020" s="19"/>
      <c r="D2020" s="19"/>
      <c r="E2020" s="24">
        <f>IFERROR(__xludf.DUMMYFUNCTION("""COMPUTED_VALUE"""),45063.66666666667)</f>
        <v>45063.66667</v>
      </c>
      <c r="F2020" s="19">
        <f>IFERROR(__xludf.DUMMYFUNCTION("""COMPUTED_VALUE"""),31.38)</f>
        <v>31.38</v>
      </c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</row>
    <row r="2021">
      <c r="A2021" s="22">
        <f>IFERROR(__xludf.DUMMYFUNCTION("""COMPUTED_VALUE"""),44879.66666666667)</f>
        <v>44879.66667</v>
      </c>
      <c r="B2021" s="23">
        <f>IFERROR(__xludf.DUMMYFUNCTION("""COMPUTED_VALUE"""),95.25)</f>
        <v>95.25</v>
      </c>
      <c r="C2021" s="19"/>
      <c r="D2021" s="19"/>
      <c r="E2021" s="24">
        <f>IFERROR(__xludf.DUMMYFUNCTION("""COMPUTED_VALUE"""),45064.66666666667)</f>
        <v>45064.66667</v>
      </c>
      <c r="F2021" s="19">
        <f>IFERROR(__xludf.DUMMYFUNCTION("""COMPUTED_VALUE"""),31.67)</f>
        <v>31.67</v>
      </c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</row>
    <row r="2022">
      <c r="A2022" s="22">
        <f>IFERROR(__xludf.DUMMYFUNCTION("""COMPUTED_VALUE"""),44880.66666666667)</f>
        <v>44880.66667</v>
      </c>
      <c r="B2022" s="23">
        <f>IFERROR(__xludf.DUMMYFUNCTION("""COMPUTED_VALUE"""),94.82)</f>
        <v>94.82</v>
      </c>
      <c r="C2022" s="19"/>
      <c r="D2022" s="19"/>
      <c r="E2022" s="24">
        <f>IFERROR(__xludf.DUMMYFUNCTION("""COMPUTED_VALUE"""),45065.66666666667)</f>
        <v>45065.66667</v>
      </c>
      <c r="F2022" s="19">
        <f>IFERROR(__xludf.DUMMYFUNCTION("""COMPUTED_VALUE"""),32.34)</f>
        <v>32.34</v>
      </c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</row>
    <row r="2023">
      <c r="A2023" s="22">
        <f>IFERROR(__xludf.DUMMYFUNCTION("""COMPUTED_VALUE"""),44881.66666666667)</f>
        <v>44881.66667</v>
      </c>
      <c r="B2023" s="23">
        <f>IFERROR(__xludf.DUMMYFUNCTION("""COMPUTED_VALUE"""),94.24)</f>
        <v>94.24</v>
      </c>
      <c r="C2023" s="19"/>
      <c r="D2023" s="19"/>
      <c r="E2023" s="24">
        <f>IFERROR(__xludf.DUMMYFUNCTION("""COMPUTED_VALUE"""),45068.66666666667)</f>
        <v>45068.66667</v>
      </c>
      <c r="F2023" s="19">
        <f>IFERROR(__xludf.DUMMYFUNCTION("""COMPUTED_VALUE"""),32.26)</f>
        <v>32.26</v>
      </c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</row>
    <row r="2024">
      <c r="A2024" s="22">
        <f>IFERROR(__xludf.DUMMYFUNCTION("""COMPUTED_VALUE"""),44882.66666666667)</f>
        <v>44882.66667</v>
      </c>
      <c r="B2024" s="23">
        <f>IFERROR(__xludf.DUMMYFUNCTION("""COMPUTED_VALUE"""),94.52)</f>
        <v>94.52</v>
      </c>
      <c r="C2024" s="19"/>
      <c r="D2024" s="19"/>
      <c r="E2024" s="24">
        <f>IFERROR(__xludf.DUMMYFUNCTION("""COMPUTED_VALUE"""),45069.66666666667)</f>
        <v>45069.66667</v>
      </c>
      <c r="F2024" s="19">
        <f>IFERROR(__xludf.DUMMYFUNCTION("""COMPUTED_VALUE"""),32.29)</f>
        <v>32.29</v>
      </c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</row>
    <row r="2025">
      <c r="A2025" s="22">
        <f>IFERROR(__xludf.DUMMYFUNCTION("""COMPUTED_VALUE"""),44883.66666666667)</f>
        <v>44883.66667</v>
      </c>
      <c r="B2025" s="23">
        <f>IFERROR(__xludf.DUMMYFUNCTION("""COMPUTED_VALUE"""),94.24)</f>
        <v>94.24</v>
      </c>
      <c r="C2025" s="19"/>
      <c r="D2025" s="19"/>
      <c r="E2025" s="24">
        <f>IFERROR(__xludf.DUMMYFUNCTION("""COMPUTED_VALUE"""),45070.66666666667)</f>
        <v>45070.66667</v>
      </c>
      <c r="F2025" s="19">
        <f>IFERROR(__xludf.DUMMYFUNCTION("""COMPUTED_VALUE"""),32.11)</f>
        <v>32.11</v>
      </c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</row>
    <row r="2026">
      <c r="A2026" s="22">
        <f>IFERROR(__xludf.DUMMYFUNCTION("""COMPUTED_VALUE"""),44886.66666666667)</f>
        <v>44886.66667</v>
      </c>
      <c r="B2026" s="23">
        <f>IFERROR(__xludf.DUMMYFUNCTION("""COMPUTED_VALUE"""),95.06)</f>
        <v>95.06</v>
      </c>
      <c r="C2026" s="19"/>
      <c r="D2026" s="19"/>
      <c r="E2026" s="24">
        <f>IFERROR(__xludf.DUMMYFUNCTION("""COMPUTED_VALUE"""),45071.66666666667)</f>
        <v>45071.66667</v>
      </c>
      <c r="F2026" s="19">
        <f>IFERROR(__xludf.DUMMYFUNCTION("""COMPUTED_VALUE"""),32.71)</f>
        <v>32.71</v>
      </c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</row>
    <row r="2027">
      <c r="A2027" s="22">
        <f>IFERROR(__xludf.DUMMYFUNCTION("""COMPUTED_VALUE"""),44887.66666666667)</f>
        <v>44887.66667</v>
      </c>
      <c r="B2027" s="23">
        <f>IFERROR(__xludf.DUMMYFUNCTION("""COMPUTED_VALUE"""),95.51)</f>
        <v>95.51</v>
      </c>
      <c r="C2027" s="19"/>
      <c r="D2027" s="19"/>
      <c r="E2027" s="24">
        <f>IFERROR(__xludf.DUMMYFUNCTION("""COMPUTED_VALUE"""),45072.66666666667)</f>
        <v>45072.66667</v>
      </c>
      <c r="F2027" s="19">
        <f>IFERROR(__xludf.DUMMYFUNCTION("""COMPUTED_VALUE"""),33.1)</f>
        <v>33.1</v>
      </c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</row>
    <row r="2028">
      <c r="A2028" s="22">
        <f>IFERROR(__xludf.DUMMYFUNCTION("""COMPUTED_VALUE"""),44888.66666666667)</f>
        <v>44888.66667</v>
      </c>
      <c r="B2028" s="23">
        <f>IFERROR(__xludf.DUMMYFUNCTION("""COMPUTED_VALUE"""),96.26)</f>
        <v>96.26</v>
      </c>
      <c r="C2028" s="19"/>
      <c r="D2028" s="19"/>
      <c r="E2028" s="24">
        <f>IFERROR(__xludf.DUMMYFUNCTION("""COMPUTED_VALUE"""),45075.66666666667)</f>
        <v>45075.66667</v>
      </c>
      <c r="F2028" s="19">
        <f>IFERROR(__xludf.DUMMYFUNCTION("""COMPUTED_VALUE"""),33.98)</f>
        <v>33.98</v>
      </c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</row>
    <row r="2029">
      <c r="A2029" s="22">
        <f>IFERROR(__xludf.DUMMYFUNCTION("""COMPUTED_VALUE"""),44889.66666666667)</f>
        <v>44889.66667</v>
      </c>
      <c r="B2029" s="23">
        <f>IFERROR(__xludf.DUMMYFUNCTION("""COMPUTED_VALUE"""),95.51)</f>
        <v>95.51</v>
      </c>
      <c r="C2029" s="19"/>
      <c r="D2029" s="19"/>
      <c r="E2029" s="24">
        <f>IFERROR(__xludf.DUMMYFUNCTION("""COMPUTED_VALUE"""),45076.66666666667)</f>
        <v>45076.66667</v>
      </c>
      <c r="F2029" s="19">
        <f>IFERROR(__xludf.DUMMYFUNCTION("""COMPUTED_VALUE"""),34.14)</f>
        <v>34.14</v>
      </c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</row>
    <row r="2030">
      <c r="A2030" s="22">
        <f>IFERROR(__xludf.DUMMYFUNCTION("""COMPUTED_VALUE"""),44890.66666666667)</f>
        <v>44890.66667</v>
      </c>
      <c r="B2030" s="23">
        <f>IFERROR(__xludf.DUMMYFUNCTION("""COMPUTED_VALUE"""),95.47)</f>
        <v>95.47</v>
      </c>
      <c r="C2030" s="19"/>
      <c r="D2030" s="19"/>
      <c r="E2030" s="24">
        <f>IFERROR(__xludf.DUMMYFUNCTION("""COMPUTED_VALUE"""),45077.66666666667)</f>
        <v>45077.66667</v>
      </c>
      <c r="F2030" s="19">
        <f>IFERROR(__xludf.DUMMYFUNCTION("""COMPUTED_VALUE"""),34.15)</f>
        <v>34.15</v>
      </c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</row>
    <row r="2031">
      <c r="A2031" s="22">
        <f>IFERROR(__xludf.DUMMYFUNCTION("""COMPUTED_VALUE"""),44893.66666666667)</f>
        <v>44893.66667</v>
      </c>
      <c r="B2031" s="23">
        <f>IFERROR(__xludf.DUMMYFUNCTION("""COMPUTED_VALUE"""),95.75)</f>
        <v>95.75</v>
      </c>
      <c r="C2031" s="19"/>
      <c r="D2031" s="19"/>
      <c r="E2031" s="24">
        <f>IFERROR(__xludf.DUMMYFUNCTION("""COMPUTED_VALUE"""),45078.66666666667)</f>
        <v>45078.66667</v>
      </c>
      <c r="F2031" s="19">
        <f>IFERROR(__xludf.DUMMYFUNCTION("""COMPUTED_VALUE"""),33.94)</f>
        <v>33.94</v>
      </c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</row>
    <row r="2032">
      <c r="A2032" s="22">
        <f>IFERROR(__xludf.DUMMYFUNCTION("""COMPUTED_VALUE"""),44894.66666666667)</f>
        <v>44894.66667</v>
      </c>
      <c r="B2032" s="23">
        <f>IFERROR(__xludf.DUMMYFUNCTION("""COMPUTED_VALUE"""),95.2)</f>
        <v>95.2</v>
      </c>
      <c r="C2032" s="19"/>
      <c r="D2032" s="19"/>
      <c r="E2032" s="24">
        <f>IFERROR(__xludf.DUMMYFUNCTION("""COMPUTED_VALUE"""),45079.66666666667)</f>
        <v>45079.66667</v>
      </c>
      <c r="F2032" s="19">
        <f>IFERROR(__xludf.DUMMYFUNCTION("""COMPUTED_VALUE"""),33.88)</f>
        <v>33.88</v>
      </c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</row>
    <row r="2033">
      <c r="A2033" s="22">
        <f>IFERROR(__xludf.DUMMYFUNCTION("""COMPUTED_VALUE"""),44895.66666666667)</f>
        <v>44895.66667</v>
      </c>
      <c r="B2033" s="23">
        <f>IFERROR(__xludf.DUMMYFUNCTION("""COMPUTED_VALUE"""),94.93)</f>
        <v>94.93</v>
      </c>
      <c r="C2033" s="19"/>
      <c r="D2033" s="19"/>
      <c r="E2033" s="24">
        <f>IFERROR(__xludf.DUMMYFUNCTION("""COMPUTED_VALUE"""),45082.66666666667)</f>
        <v>45082.66667</v>
      </c>
      <c r="F2033" s="19">
        <f>IFERROR(__xludf.DUMMYFUNCTION("""COMPUTED_VALUE"""),34.01)</f>
        <v>34.01</v>
      </c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</row>
    <row r="2034">
      <c r="A2034" s="22">
        <f>IFERROR(__xludf.DUMMYFUNCTION("""COMPUTED_VALUE"""),44896.66666666667)</f>
        <v>44896.66667</v>
      </c>
      <c r="B2034" s="23">
        <f>IFERROR(__xludf.DUMMYFUNCTION("""COMPUTED_VALUE"""),96.06)</f>
        <v>96.06</v>
      </c>
      <c r="C2034" s="19"/>
      <c r="D2034" s="19"/>
      <c r="E2034" s="24">
        <f>IFERROR(__xludf.DUMMYFUNCTION("""COMPUTED_VALUE"""),45083.66666666667)</f>
        <v>45083.66667</v>
      </c>
      <c r="F2034" s="19">
        <f>IFERROR(__xludf.DUMMYFUNCTION("""COMPUTED_VALUE"""),33.82)</f>
        <v>33.82</v>
      </c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</row>
    <row r="2035">
      <c r="A2035" s="22">
        <f>IFERROR(__xludf.DUMMYFUNCTION("""COMPUTED_VALUE"""),44897.66666666667)</f>
        <v>44897.66667</v>
      </c>
      <c r="B2035" s="23">
        <f>IFERROR(__xludf.DUMMYFUNCTION("""COMPUTED_VALUE"""),95.72)</f>
        <v>95.72</v>
      </c>
      <c r="C2035" s="19"/>
      <c r="D2035" s="19"/>
      <c r="E2035" s="24">
        <f>IFERROR(__xludf.DUMMYFUNCTION("""COMPUTED_VALUE"""),45084.66666666667)</f>
        <v>45084.66667</v>
      </c>
      <c r="F2035" s="19">
        <f>IFERROR(__xludf.DUMMYFUNCTION("""COMPUTED_VALUE"""),33.73)</f>
        <v>33.73</v>
      </c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</row>
    <row r="2036">
      <c r="A2036" s="22">
        <f>IFERROR(__xludf.DUMMYFUNCTION("""COMPUTED_VALUE"""),44900.66666666667)</f>
        <v>44900.66667</v>
      </c>
      <c r="B2036" s="23">
        <f>IFERROR(__xludf.DUMMYFUNCTION("""COMPUTED_VALUE"""),95.47)</f>
        <v>95.47</v>
      </c>
      <c r="C2036" s="19"/>
      <c r="D2036" s="19"/>
      <c r="E2036" s="24">
        <f>IFERROR(__xludf.DUMMYFUNCTION("""COMPUTED_VALUE"""),45085.66666666667)</f>
        <v>45085.66667</v>
      </c>
      <c r="F2036" s="19">
        <f>IFERROR(__xludf.DUMMYFUNCTION("""COMPUTED_VALUE"""),33.13)</f>
        <v>33.13</v>
      </c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</row>
    <row r="2037">
      <c r="A2037" s="22">
        <f>IFERROR(__xludf.DUMMYFUNCTION("""COMPUTED_VALUE"""),44901.66666666667)</f>
        <v>44901.66667</v>
      </c>
      <c r="B2037" s="23">
        <f>IFERROR(__xludf.DUMMYFUNCTION("""COMPUTED_VALUE"""),95.55)</f>
        <v>95.55</v>
      </c>
      <c r="C2037" s="19"/>
      <c r="D2037" s="19"/>
      <c r="E2037" s="24">
        <f>IFERROR(__xludf.DUMMYFUNCTION("""COMPUTED_VALUE"""),45086.66666666667)</f>
        <v>45086.66667</v>
      </c>
      <c r="F2037" s="19">
        <f>IFERROR(__xludf.DUMMYFUNCTION("""COMPUTED_VALUE"""),33.45)</f>
        <v>33.45</v>
      </c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</row>
    <row r="2038">
      <c r="A2038" s="22">
        <f>IFERROR(__xludf.DUMMYFUNCTION("""COMPUTED_VALUE"""),44902.66666666667)</f>
        <v>44902.66667</v>
      </c>
      <c r="B2038" s="23">
        <f>IFERROR(__xludf.DUMMYFUNCTION("""COMPUTED_VALUE"""),94.92)</f>
        <v>94.92</v>
      </c>
      <c r="C2038" s="19"/>
      <c r="D2038" s="19"/>
      <c r="E2038" s="24">
        <f>IFERROR(__xludf.DUMMYFUNCTION("""COMPUTED_VALUE"""),45090.66666666667)</f>
        <v>45090.66667</v>
      </c>
      <c r="F2038" s="19">
        <f>IFERROR(__xludf.DUMMYFUNCTION("""COMPUTED_VALUE"""),34.02)</f>
        <v>34.02</v>
      </c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</row>
    <row r="2039">
      <c r="A2039" s="22">
        <f>IFERROR(__xludf.DUMMYFUNCTION("""COMPUTED_VALUE"""),44903.66666666667)</f>
        <v>44903.66667</v>
      </c>
      <c r="B2039" s="23">
        <f>IFERROR(__xludf.DUMMYFUNCTION("""COMPUTED_VALUE"""),94.17)</f>
        <v>94.17</v>
      </c>
      <c r="C2039" s="19"/>
      <c r="D2039" s="19"/>
      <c r="E2039" s="24">
        <f>IFERROR(__xludf.DUMMYFUNCTION("""COMPUTED_VALUE"""),45091.66666666667)</f>
        <v>45091.66667</v>
      </c>
      <c r="F2039" s="19">
        <f>IFERROR(__xludf.DUMMYFUNCTION("""COMPUTED_VALUE"""),34.09)</f>
        <v>34.09</v>
      </c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</row>
    <row r="2040">
      <c r="A2040" s="22">
        <f>IFERROR(__xludf.DUMMYFUNCTION("""COMPUTED_VALUE"""),44904.66666666667)</f>
        <v>44904.66667</v>
      </c>
      <c r="B2040" s="23">
        <f>IFERROR(__xludf.DUMMYFUNCTION("""COMPUTED_VALUE"""),94.25)</f>
        <v>94.25</v>
      </c>
      <c r="C2040" s="19"/>
      <c r="D2040" s="19"/>
      <c r="E2040" s="24">
        <f>IFERROR(__xludf.DUMMYFUNCTION("""COMPUTED_VALUE"""),45092.66666666667)</f>
        <v>45092.66667</v>
      </c>
      <c r="F2040" s="19">
        <f>IFERROR(__xludf.DUMMYFUNCTION("""COMPUTED_VALUE"""),34.04)</f>
        <v>34.04</v>
      </c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</row>
    <row r="2041">
      <c r="A2041" s="22">
        <f>IFERROR(__xludf.DUMMYFUNCTION("""COMPUTED_VALUE"""),44907.66666666667)</f>
        <v>44907.66667</v>
      </c>
      <c r="B2041" s="23">
        <f>IFERROR(__xludf.DUMMYFUNCTION("""COMPUTED_VALUE"""),93.56)</f>
        <v>93.56</v>
      </c>
      <c r="C2041" s="19"/>
      <c r="D2041" s="19"/>
      <c r="E2041" s="24">
        <f>IFERROR(__xludf.DUMMYFUNCTION("""COMPUTED_VALUE"""),45093.66666666667)</f>
        <v>45093.66667</v>
      </c>
      <c r="F2041" s="19">
        <f>IFERROR(__xludf.DUMMYFUNCTION("""COMPUTED_VALUE"""),34.1)</f>
        <v>34.1</v>
      </c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</row>
    <row r="2042">
      <c r="A2042" s="22">
        <f>IFERROR(__xludf.DUMMYFUNCTION("""COMPUTED_VALUE"""),44908.66666666667)</f>
        <v>44908.66667</v>
      </c>
      <c r="B2042" s="23">
        <f>IFERROR(__xludf.DUMMYFUNCTION("""COMPUTED_VALUE"""),94.87)</f>
        <v>94.87</v>
      </c>
      <c r="C2042" s="19"/>
      <c r="D2042" s="19"/>
      <c r="E2042" s="24">
        <f>IFERROR(__xludf.DUMMYFUNCTION("""COMPUTED_VALUE"""),45096.66666666667)</f>
        <v>45096.66667</v>
      </c>
      <c r="F2042" s="19">
        <f>IFERROR(__xludf.DUMMYFUNCTION("""COMPUTED_VALUE"""),34.06)</f>
        <v>34.06</v>
      </c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</row>
    <row r="2043">
      <c r="A2043" s="22">
        <f>IFERROR(__xludf.DUMMYFUNCTION("""COMPUTED_VALUE"""),44909.66666666667)</f>
        <v>44909.66667</v>
      </c>
      <c r="B2043" s="23">
        <f>IFERROR(__xludf.DUMMYFUNCTION("""COMPUTED_VALUE"""),94.99)</f>
        <v>94.99</v>
      </c>
      <c r="C2043" s="19"/>
      <c r="D2043" s="19"/>
      <c r="E2043" s="24">
        <f>IFERROR(__xludf.DUMMYFUNCTION("""COMPUTED_VALUE"""),45097.66666666667)</f>
        <v>45097.66667</v>
      </c>
      <c r="F2043" s="19">
        <f>IFERROR(__xludf.DUMMYFUNCTION("""COMPUTED_VALUE"""),34.29)</f>
        <v>34.29</v>
      </c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</row>
    <row r="2044">
      <c r="A2044" s="22">
        <f>IFERROR(__xludf.DUMMYFUNCTION("""COMPUTED_VALUE"""),44910.66666666667)</f>
        <v>44910.66667</v>
      </c>
      <c r="B2044" s="23">
        <f>IFERROR(__xludf.DUMMYFUNCTION("""COMPUTED_VALUE"""),94.53)</f>
        <v>94.53</v>
      </c>
      <c r="C2044" s="19"/>
      <c r="D2044" s="19"/>
      <c r="E2044" s="24">
        <f>IFERROR(__xludf.DUMMYFUNCTION("""COMPUTED_VALUE"""),45098.66666666667)</f>
        <v>45098.66667</v>
      </c>
      <c r="F2044" s="19">
        <f>IFERROR(__xludf.DUMMYFUNCTION("""COMPUTED_VALUE"""),34.39)</f>
        <v>34.39</v>
      </c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</row>
    <row r="2045">
      <c r="A2045" s="22">
        <f>IFERROR(__xludf.DUMMYFUNCTION("""COMPUTED_VALUE"""),44911.66666666667)</f>
        <v>44911.66667</v>
      </c>
      <c r="B2045" s="23">
        <f>IFERROR(__xludf.DUMMYFUNCTION("""COMPUTED_VALUE"""),93.85)</f>
        <v>93.85</v>
      </c>
      <c r="C2045" s="19"/>
      <c r="D2045" s="19"/>
      <c r="E2045" s="24">
        <f>IFERROR(__xludf.DUMMYFUNCTION("""COMPUTED_VALUE"""),45099.66666666667)</f>
        <v>45099.66667</v>
      </c>
      <c r="F2045" s="19">
        <f>IFERROR(__xludf.DUMMYFUNCTION("""COMPUTED_VALUE"""),33.94)</f>
        <v>33.94</v>
      </c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</row>
    <row r="2046">
      <c r="A2046" s="22">
        <f>IFERROR(__xludf.DUMMYFUNCTION("""COMPUTED_VALUE"""),44914.66666666667)</f>
        <v>44914.66667</v>
      </c>
      <c r="B2046" s="23">
        <f>IFERROR(__xludf.DUMMYFUNCTION("""COMPUTED_VALUE"""),92.8)</f>
        <v>92.8</v>
      </c>
      <c r="C2046" s="19"/>
      <c r="D2046" s="19"/>
      <c r="E2046" s="24">
        <f>IFERROR(__xludf.DUMMYFUNCTION("""COMPUTED_VALUE"""),45100.66666666667)</f>
        <v>45100.66667</v>
      </c>
      <c r="F2046" s="19">
        <f>IFERROR(__xludf.DUMMYFUNCTION("""COMPUTED_VALUE"""),34.62)</f>
        <v>34.62</v>
      </c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</row>
    <row r="2047">
      <c r="A2047" s="22">
        <f>IFERROR(__xludf.DUMMYFUNCTION("""COMPUTED_VALUE"""),44915.66666666667)</f>
        <v>44915.66667</v>
      </c>
      <c r="B2047" s="23">
        <f>IFERROR(__xludf.DUMMYFUNCTION("""COMPUTED_VALUE"""),92.18)</f>
        <v>92.18</v>
      </c>
      <c r="C2047" s="19"/>
      <c r="D2047" s="19"/>
      <c r="E2047" s="24">
        <f>IFERROR(__xludf.DUMMYFUNCTION("""COMPUTED_VALUE"""),45103.66666666667)</f>
        <v>45103.66667</v>
      </c>
      <c r="F2047" s="19">
        <f>IFERROR(__xludf.DUMMYFUNCTION("""COMPUTED_VALUE"""),34.62)</f>
        <v>34.62</v>
      </c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</row>
    <row r="2048">
      <c r="A2048" s="22">
        <f>IFERROR(__xludf.DUMMYFUNCTION("""COMPUTED_VALUE"""),44916.66666666667)</f>
        <v>44916.66667</v>
      </c>
      <c r="B2048" s="23">
        <f>IFERROR(__xludf.DUMMYFUNCTION("""COMPUTED_VALUE"""),93.12)</f>
        <v>93.12</v>
      </c>
      <c r="C2048" s="19"/>
      <c r="D2048" s="19"/>
      <c r="E2048" s="24">
        <f>IFERROR(__xludf.DUMMYFUNCTION("""COMPUTED_VALUE"""),45104.66666666667)</f>
        <v>45104.66667</v>
      </c>
      <c r="F2048" s="19">
        <f>IFERROR(__xludf.DUMMYFUNCTION("""COMPUTED_VALUE"""),33.99)</f>
        <v>33.99</v>
      </c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</row>
    <row r="2049">
      <c r="A2049" s="22">
        <f>IFERROR(__xludf.DUMMYFUNCTION("""COMPUTED_VALUE"""),44917.66666666667)</f>
        <v>44917.66667</v>
      </c>
      <c r="B2049" s="23">
        <f>IFERROR(__xludf.DUMMYFUNCTION("""COMPUTED_VALUE"""),93.22)</f>
        <v>93.22</v>
      </c>
      <c r="C2049" s="19"/>
      <c r="D2049" s="19"/>
      <c r="E2049" s="24">
        <f>IFERROR(__xludf.DUMMYFUNCTION("""COMPUTED_VALUE"""),45105.66666666667)</f>
        <v>45105.66667</v>
      </c>
      <c r="F2049" s="19">
        <f>IFERROR(__xludf.DUMMYFUNCTION("""COMPUTED_VALUE"""),34.74)</f>
        <v>34.74</v>
      </c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</row>
    <row r="2050">
      <c r="A2050" s="22">
        <f>IFERROR(__xludf.DUMMYFUNCTION("""COMPUTED_VALUE"""),44918.66666666667)</f>
        <v>44918.66667</v>
      </c>
      <c r="B2050" s="23">
        <f>IFERROR(__xludf.DUMMYFUNCTION("""COMPUTED_VALUE"""),92.87)</f>
        <v>92.87</v>
      </c>
      <c r="C2050" s="19"/>
      <c r="D2050" s="19"/>
      <c r="E2050" s="24">
        <f>IFERROR(__xludf.DUMMYFUNCTION("""COMPUTED_VALUE"""),45106.66666666667)</f>
        <v>45106.66667</v>
      </c>
      <c r="F2050" s="19">
        <f>IFERROR(__xludf.DUMMYFUNCTION("""COMPUTED_VALUE"""),35.09)</f>
        <v>35.09</v>
      </c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</row>
    <row r="2051">
      <c r="A2051" s="22">
        <f>IFERROR(__xludf.DUMMYFUNCTION("""COMPUTED_VALUE"""),44923.66666666667)</f>
        <v>44923.66667</v>
      </c>
      <c r="B2051" s="23">
        <f>IFERROR(__xludf.DUMMYFUNCTION("""COMPUTED_VALUE"""),92.08)</f>
        <v>92.08</v>
      </c>
      <c r="C2051" s="19"/>
      <c r="D2051" s="19"/>
      <c r="E2051" s="24">
        <f>IFERROR(__xludf.DUMMYFUNCTION("""COMPUTED_VALUE"""),45107.66666666667)</f>
        <v>45107.66667</v>
      </c>
      <c r="F2051" s="19">
        <f>IFERROR(__xludf.DUMMYFUNCTION("""COMPUTED_VALUE"""),35.05)</f>
        <v>35.05</v>
      </c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</row>
    <row r="2052">
      <c r="A2052" s="22">
        <f>IFERROR(__xludf.DUMMYFUNCTION("""COMPUTED_VALUE"""),44924.66666666667)</f>
        <v>44924.66667</v>
      </c>
      <c r="B2052" s="23">
        <f>IFERROR(__xludf.DUMMYFUNCTION("""COMPUTED_VALUE"""),91.1)</f>
        <v>91.1</v>
      </c>
      <c r="C2052" s="19"/>
      <c r="D2052" s="19"/>
      <c r="E2052" s="24">
        <f>IFERROR(__xludf.DUMMYFUNCTION("""COMPUTED_VALUE"""),45110.66666666667)</f>
        <v>45110.66667</v>
      </c>
      <c r="F2052" s="19">
        <f>IFERROR(__xludf.DUMMYFUNCTION("""COMPUTED_VALUE"""),34.55)</f>
        <v>34.55</v>
      </c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</row>
    <row r="2053">
      <c r="A2053" s="22">
        <f>IFERROR(__xludf.DUMMYFUNCTION("""COMPUTED_VALUE"""),44925.66666666667)</f>
        <v>44925.66667</v>
      </c>
      <c r="B2053" s="23">
        <f>IFERROR(__xludf.DUMMYFUNCTION("""COMPUTED_VALUE"""),91.98)</f>
        <v>91.98</v>
      </c>
      <c r="C2053" s="19"/>
      <c r="D2053" s="19"/>
      <c r="E2053" s="24">
        <f>IFERROR(__xludf.DUMMYFUNCTION("""COMPUTED_VALUE"""),45111.66666666667)</f>
        <v>45111.66667</v>
      </c>
      <c r="F2053" s="19">
        <f>IFERROR(__xludf.DUMMYFUNCTION("""COMPUTED_VALUE"""),34.56)</f>
        <v>34.56</v>
      </c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</row>
    <row r="2054">
      <c r="A2054" s="22">
        <f>IFERROR(__xludf.DUMMYFUNCTION("""COMPUTED_VALUE"""),44929.66666666667)</f>
        <v>44929.66667</v>
      </c>
      <c r="B2054" s="23">
        <f>IFERROR(__xludf.DUMMYFUNCTION("""COMPUTED_VALUE"""),91.06)</f>
        <v>91.06</v>
      </c>
      <c r="C2054" s="19"/>
      <c r="D2054" s="19"/>
      <c r="E2054" s="24">
        <f>IFERROR(__xludf.DUMMYFUNCTION("""COMPUTED_VALUE"""),45112.66666666667)</f>
        <v>45112.66667</v>
      </c>
      <c r="F2054" s="19">
        <f>IFERROR(__xludf.DUMMYFUNCTION("""COMPUTED_VALUE"""),34.4)</f>
        <v>34.4</v>
      </c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</row>
    <row r="2055">
      <c r="A2055" s="22">
        <f>IFERROR(__xludf.DUMMYFUNCTION("""COMPUTED_VALUE"""),44930.66666666667)</f>
        <v>44930.66667</v>
      </c>
      <c r="B2055" s="23">
        <f>IFERROR(__xludf.DUMMYFUNCTION("""COMPUTED_VALUE"""),91.16)</f>
        <v>91.16</v>
      </c>
      <c r="C2055" s="19"/>
      <c r="D2055" s="19"/>
      <c r="E2055" s="24">
        <f>IFERROR(__xludf.DUMMYFUNCTION("""COMPUTED_VALUE"""),45113.66666666667)</f>
        <v>45113.66667</v>
      </c>
      <c r="F2055" s="19">
        <f>IFERROR(__xludf.DUMMYFUNCTION("""COMPUTED_VALUE"""),34.45)</f>
        <v>34.45</v>
      </c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</row>
    <row r="2056">
      <c r="A2056" s="22">
        <f>IFERROR(__xludf.DUMMYFUNCTION("""COMPUTED_VALUE"""),44931.66666666667)</f>
        <v>44931.66667</v>
      </c>
      <c r="B2056" s="23">
        <f>IFERROR(__xludf.DUMMYFUNCTION("""COMPUTED_VALUE"""),91.56)</f>
        <v>91.56</v>
      </c>
      <c r="C2056" s="19"/>
      <c r="D2056" s="19"/>
      <c r="E2056" s="24">
        <f>IFERROR(__xludf.DUMMYFUNCTION("""COMPUTED_VALUE"""),45114.66666666667)</f>
        <v>45114.66667</v>
      </c>
      <c r="F2056" s="19">
        <f>IFERROR(__xludf.DUMMYFUNCTION("""COMPUTED_VALUE"""),34.44)</f>
        <v>34.44</v>
      </c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</row>
    <row r="2057">
      <c r="A2057" s="22">
        <f>IFERROR(__xludf.DUMMYFUNCTION("""COMPUTED_VALUE"""),44932.66666666667)</f>
        <v>44932.66667</v>
      </c>
      <c r="B2057" s="23">
        <f>IFERROR(__xludf.DUMMYFUNCTION("""COMPUTED_VALUE"""),91.73)</f>
        <v>91.73</v>
      </c>
      <c r="C2057" s="19"/>
      <c r="D2057" s="19"/>
      <c r="E2057" s="24">
        <f>IFERROR(__xludf.DUMMYFUNCTION("""COMPUTED_VALUE"""),45117.66666666667)</f>
        <v>45117.66667</v>
      </c>
      <c r="F2057" s="19">
        <f>IFERROR(__xludf.DUMMYFUNCTION("""COMPUTED_VALUE"""),34.03)</f>
        <v>34.03</v>
      </c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</row>
    <row r="2058">
      <c r="A2058" s="22">
        <f>IFERROR(__xludf.DUMMYFUNCTION("""COMPUTED_VALUE"""),44935.66666666667)</f>
        <v>44935.66667</v>
      </c>
      <c r="B2058" s="23">
        <f>IFERROR(__xludf.DUMMYFUNCTION("""COMPUTED_VALUE"""),91.57)</f>
        <v>91.57</v>
      </c>
      <c r="C2058" s="19"/>
      <c r="D2058" s="19"/>
      <c r="E2058" s="24">
        <f>IFERROR(__xludf.DUMMYFUNCTION("""COMPUTED_VALUE"""),45118.66666666667)</f>
        <v>45118.66667</v>
      </c>
      <c r="F2058" s="19">
        <f>IFERROR(__xludf.DUMMYFUNCTION("""COMPUTED_VALUE"""),34.17)</f>
        <v>34.17</v>
      </c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</row>
    <row r="2059">
      <c r="A2059" s="22">
        <f>IFERROR(__xludf.DUMMYFUNCTION("""COMPUTED_VALUE"""),44936.66666666667)</f>
        <v>44936.66667</v>
      </c>
      <c r="B2059" s="23">
        <f>IFERROR(__xludf.DUMMYFUNCTION("""COMPUTED_VALUE"""),91.41)</f>
        <v>91.41</v>
      </c>
      <c r="C2059" s="19"/>
      <c r="D2059" s="19"/>
      <c r="E2059" s="24">
        <f>IFERROR(__xludf.DUMMYFUNCTION("""COMPUTED_VALUE"""),45119.66666666667)</f>
        <v>45119.66667</v>
      </c>
      <c r="F2059" s="19">
        <f>IFERROR(__xludf.DUMMYFUNCTION("""COMPUTED_VALUE"""),34.2)</f>
        <v>34.2</v>
      </c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</row>
    <row r="2060">
      <c r="A2060" s="22">
        <f>IFERROR(__xludf.DUMMYFUNCTION("""COMPUTED_VALUE"""),44937.66666666667)</f>
        <v>44937.66667</v>
      </c>
      <c r="B2060" s="23">
        <f>IFERROR(__xludf.DUMMYFUNCTION("""COMPUTED_VALUE"""),92.2)</f>
        <v>92.2</v>
      </c>
      <c r="C2060" s="19"/>
      <c r="D2060" s="19"/>
      <c r="E2060" s="24">
        <f>IFERROR(__xludf.DUMMYFUNCTION("""COMPUTED_VALUE"""),45120.66666666667)</f>
        <v>45120.66667</v>
      </c>
      <c r="F2060" s="19">
        <f>IFERROR(__xludf.DUMMYFUNCTION("""COMPUTED_VALUE"""),34.17)</f>
        <v>34.17</v>
      </c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</row>
    <row r="2061">
      <c r="A2061" s="22">
        <f>IFERROR(__xludf.DUMMYFUNCTION("""COMPUTED_VALUE"""),44938.66666666667)</f>
        <v>44938.66667</v>
      </c>
      <c r="B2061" s="23">
        <f>IFERROR(__xludf.DUMMYFUNCTION("""COMPUTED_VALUE"""),93.14)</f>
        <v>93.14</v>
      </c>
      <c r="C2061" s="19"/>
      <c r="D2061" s="19"/>
      <c r="E2061" s="24">
        <f>IFERROR(__xludf.DUMMYFUNCTION("""COMPUTED_VALUE"""),45121.66666666667)</f>
        <v>45121.66667</v>
      </c>
      <c r="F2061" s="19">
        <f>IFERROR(__xludf.DUMMYFUNCTION("""COMPUTED_VALUE"""),34.29)</f>
        <v>34.29</v>
      </c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</row>
    <row r="2062">
      <c r="A2062" s="22">
        <f>IFERROR(__xludf.DUMMYFUNCTION("""COMPUTED_VALUE"""),44939.66666666667)</f>
        <v>44939.66667</v>
      </c>
      <c r="B2062" s="23">
        <f>IFERROR(__xludf.DUMMYFUNCTION("""COMPUTED_VALUE"""),93.01)</f>
        <v>93.01</v>
      </c>
      <c r="C2062" s="19"/>
      <c r="D2062" s="19"/>
      <c r="E2062" s="24">
        <f>IFERROR(__xludf.DUMMYFUNCTION("""COMPUTED_VALUE"""),45124.66666666667)</f>
        <v>45124.66667</v>
      </c>
      <c r="F2062" s="19">
        <f>IFERROR(__xludf.DUMMYFUNCTION("""COMPUTED_VALUE"""),34.6)</f>
        <v>34.6</v>
      </c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</row>
    <row r="2063">
      <c r="A2063" s="22">
        <f>IFERROR(__xludf.DUMMYFUNCTION("""COMPUTED_VALUE"""),44942.66666666667)</f>
        <v>44942.66667</v>
      </c>
      <c r="B2063" s="23">
        <f>IFERROR(__xludf.DUMMYFUNCTION("""COMPUTED_VALUE"""),93.34)</f>
        <v>93.34</v>
      </c>
      <c r="C2063" s="19"/>
      <c r="D2063" s="19"/>
      <c r="E2063" s="24">
        <f>IFERROR(__xludf.DUMMYFUNCTION("""COMPUTED_VALUE"""),45125.66666666667)</f>
        <v>45125.66667</v>
      </c>
      <c r="F2063" s="19">
        <f>IFERROR(__xludf.DUMMYFUNCTION("""COMPUTED_VALUE"""),34.85)</f>
        <v>34.85</v>
      </c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</row>
    <row r="2064">
      <c r="A2064" s="22">
        <f>IFERROR(__xludf.DUMMYFUNCTION("""COMPUTED_VALUE"""),44943.66666666667)</f>
        <v>44943.66667</v>
      </c>
      <c r="B2064" s="23">
        <f>IFERROR(__xludf.DUMMYFUNCTION("""COMPUTED_VALUE"""),93.17)</f>
        <v>93.17</v>
      </c>
      <c r="C2064" s="19"/>
      <c r="D2064" s="19"/>
      <c r="E2064" s="24">
        <f>IFERROR(__xludf.DUMMYFUNCTION("""COMPUTED_VALUE"""),45126.66666666667)</f>
        <v>45126.66667</v>
      </c>
      <c r="F2064" s="19">
        <f>IFERROR(__xludf.DUMMYFUNCTION("""COMPUTED_VALUE"""),35.36)</f>
        <v>35.36</v>
      </c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</row>
    <row r="2065">
      <c r="A2065" s="22">
        <f>IFERROR(__xludf.DUMMYFUNCTION("""COMPUTED_VALUE"""),44944.66666666667)</f>
        <v>44944.66667</v>
      </c>
      <c r="B2065" s="23">
        <f>IFERROR(__xludf.DUMMYFUNCTION("""COMPUTED_VALUE"""),93.16)</f>
        <v>93.16</v>
      </c>
      <c r="C2065" s="19"/>
      <c r="D2065" s="19"/>
      <c r="E2065" s="24">
        <f>IFERROR(__xludf.DUMMYFUNCTION("""COMPUTED_VALUE"""),45127.66666666667)</f>
        <v>45127.66667</v>
      </c>
      <c r="F2065" s="19">
        <f>IFERROR(__xludf.DUMMYFUNCTION("""COMPUTED_VALUE"""),35.06)</f>
        <v>35.06</v>
      </c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</row>
    <row r="2066">
      <c r="A2066" s="22">
        <f>IFERROR(__xludf.DUMMYFUNCTION("""COMPUTED_VALUE"""),44945.66666666667)</f>
        <v>44945.66667</v>
      </c>
      <c r="B2066" s="23">
        <f>IFERROR(__xludf.DUMMYFUNCTION("""COMPUTED_VALUE"""),93.2)</f>
        <v>93.2</v>
      </c>
      <c r="C2066" s="19"/>
      <c r="D2066" s="19"/>
      <c r="E2066" s="24">
        <f>IFERROR(__xludf.DUMMYFUNCTION("""COMPUTED_VALUE"""),45128.66666666667)</f>
        <v>45128.66667</v>
      </c>
      <c r="F2066" s="19">
        <f>IFERROR(__xludf.DUMMYFUNCTION("""COMPUTED_VALUE"""),34.61)</f>
        <v>34.61</v>
      </c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</row>
    <row r="2067">
      <c r="A2067" s="22">
        <f>IFERROR(__xludf.DUMMYFUNCTION("""COMPUTED_VALUE"""),44946.66666666667)</f>
        <v>44946.66667</v>
      </c>
      <c r="B2067" s="23">
        <f>IFERROR(__xludf.DUMMYFUNCTION("""COMPUTED_VALUE"""),92.65)</f>
        <v>92.65</v>
      </c>
      <c r="C2067" s="19"/>
      <c r="D2067" s="19"/>
      <c r="E2067" s="24">
        <f>IFERROR(__xludf.DUMMYFUNCTION("""COMPUTED_VALUE"""),45131.66666666667)</f>
        <v>45131.66667</v>
      </c>
      <c r="F2067" s="19">
        <f>IFERROR(__xludf.DUMMYFUNCTION("""COMPUTED_VALUE"""),34.67)</f>
        <v>34.67</v>
      </c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</row>
    <row r="2068">
      <c r="A2068" s="22">
        <f>IFERROR(__xludf.DUMMYFUNCTION("""COMPUTED_VALUE"""),44949.66666666667)</f>
        <v>44949.66667</v>
      </c>
      <c r="B2068" s="23">
        <f>IFERROR(__xludf.DUMMYFUNCTION("""COMPUTED_VALUE"""),93.06)</f>
        <v>93.06</v>
      </c>
      <c r="C2068" s="19"/>
      <c r="D2068" s="19"/>
      <c r="E2068" s="24">
        <f>IFERROR(__xludf.DUMMYFUNCTION("""COMPUTED_VALUE"""),45132.66666666667)</f>
        <v>45132.66667</v>
      </c>
      <c r="F2068" s="19">
        <f>IFERROR(__xludf.DUMMYFUNCTION("""COMPUTED_VALUE"""),34.58)</f>
        <v>34.58</v>
      </c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</row>
    <row r="2069">
      <c r="A2069" s="22">
        <f>IFERROR(__xludf.DUMMYFUNCTION("""COMPUTED_VALUE"""),44950.66666666667)</f>
        <v>44950.66667</v>
      </c>
      <c r="B2069" s="23">
        <f>IFERROR(__xludf.DUMMYFUNCTION("""COMPUTED_VALUE"""),93.42)</f>
        <v>93.42</v>
      </c>
      <c r="C2069" s="19"/>
      <c r="D2069" s="19"/>
      <c r="E2069" s="24">
        <f>IFERROR(__xludf.DUMMYFUNCTION("""COMPUTED_VALUE"""),45133.66666666667)</f>
        <v>45133.66667</v>
      </c>
      <c r="F2069" s="19">
        <f>IFERROR(__xludf.DUMMYFUNCTION("""COMPUTED_VALUE"""),34.8)</f>
        <v>34.8</v>
      </c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</row>
    <row r="2070">
      <c r="A2070" s="22">
        <f>IFERROR(__xludf.DUMMYFUNCTION("""COMPUTED_VALUE"""),44951.66666666667)</f>
        <v>44951.66667</v>
      </c>
      <c r="B2070" s="23">
        <f>IFERROR(__xludf.DUMMYFUNCTION("""COMPUTED_VALUE"""),92.13)</f>
        <v>92.13</v>
      </c>
      <c r="C2070" s="19"/>
      <c r="D2070" s="19"/>
      <c r="E2070" s="24">
        <f>IFERROR(__xludf.DUMMYFUNCTION("""COMPUTED_VALUE"""),45134.66666666667)</f>
        <v>45134.66667</v>
      </c>
      <c r="F2070" s="19">
        <f>IFERROR(__xludf.DUMMYFUNCTION("""COMPUTED_VALUE"""),34.84)</f>
        <v>34.84</v>
      </c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</row>
    <row r="2071">
      <c r="A2071" s="22">
        <f>IFERROR(__xludf.DUMMYFUNCTION("""COMPUTED_VALUE"""),44953.66666666667)</f>
        <v>44953.66667</v>
      </c>
      <c r="B2071" s="23">
        <f>IFERROR(__xludf.DUMMYFUNCTION("""COMPUTED_VALUE"""),92.91)</f>
        <v>92.91</v>
      </c>
      <c r="C2071" s="19"/>
      <c r="D2071" s="19"/>
      <c r="E2071" s="24">
        <f>IFERROR(__xludf.DUMMYFUNCTION("""COMPUTED_VALUE"""),45135.66666666667)</f>
        <v>45135.66667</v>
      </c>
      <c r="F2071" s="19">
        <f>IFERROR(__xludf.DUMMYFUNCTION("""COMPUTED_VALUE"""),35.31)</f>
        <v>35.31</v>
      </c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</row>
    <row r="2072">
      <c r="A2072" s="22">
        <f>IFERROR(__xludf.DUMMYFUNCTION("""COMPUTED_VALUE"""),44956.66666666667)</f>
        <v>44956.66667</v>
      </c>
      <c r="B2072" s="23">
        <f>IFERROR(__xludf.DUMMYFUNCTION("""COMPUTED_VALUE"""),93.34)</f>
        <v>93.34</v>
      </c>
      <c r="C2072" s="19"/>
      <c r="D2072" s="19"/>
      <c r="E2072" s="24">
        <f>IFERROR(__xludf.DUMMYFUNCTION("""COMPUTED_VALUE"""),45138.66666666667)</f>
        <v>45138.66667</v>
      </c>
      <c r="F2072" s="19">
        <f>IFERROR(__xludf.DUMMYFUNCTION("""COMPUTED_VALUE"""),35.63)</f>
        <v>35.63</v>
      </c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</row>
    <row r="2073">
      <c r="A2073" s="22">
        <f>IFERROR(__xludf.DUMMYFUNCTION("""COMPUTED_VALUE"""),44957.66666666667)</f>
        <v>44957.66667</v>
      </c>
      <c r="B2073" s="23">
        <f>IFERROR(__xludf.DUMMYFUNCTION("""COMPUTED_VALUE"""),93.1)</f>
        <v>93.1</v>
      </c>
      <c r="C2073" s="19"/>
      <c r="D2073" s="19"/>
      <c r="E2073" s="24">
        <f>IFERROR(__xludf.DUMMYFUNCTION("""COMPUTED_VALUE"""),45139.66666666667)</f>
        <v>45139.66667</v>
      </c>
      <c r="F2073" s="19">
        <f>IFERROR(__xludf.DUMMYFUNCTION("""COMPUTED_VALUE"""),35.81)</f>
        <v>35.81</v>
      </c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</row>
    <row r="2074">
      <c r="A2074" s="22">
        <f>IFERROR(__xludf.DUMMYFUNCTION("""COMPUTED_VALUE"""),44958.66666666667)</f>
        <v>44958.66667</v>
      </c>
      <c r="B2074" s="23">
        <f>IFERROR(__xludf.DUMMYFUNCTION("""COMPUTED_VALUE"""),93.67)</f>
        <v>93.67</v>
      </c>
      <c r="C2074" s="19"/>
      <c r="D2074" s="19"/>
      <c r="E2074" s="24">
        <f>IFERROR(__xludf.DUMMYFUNCTION("""COMPUTED_VALUE"""),45140.66666666667)</f>
        <v>45140.66667</v>
      </c>
      <c r="F2074" s="19">
        <f>IFERROR(__xludf.DUMMYFUNCTION("""COMPUTED_VALUE"""),35.95)</f>
        <v>35.95</v>
      </c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</row>
    <row r="2075">
      <c r="A2075" s="22">
        <f>IFERROR(__xludf.DUMMYFUNCTION("""COMPUTED_VALUE"""),44959.66666666667)</f>
        <v>44959.66667</v>
      </c>
      <c r="B2075" s="23">
        <f>IFERROR(__xludf.DUMMYFUNCTION("""COMPUTED_VALUE"""),94.13)</f>
        <v>94.13</v>
      </c>
      <c r="C2075" s="19"/>
      <c r="D2075" s="19"/>
      <c r="E2075" s="24">
        <f>IFERROR(__xludf.DUMMYFUNCTION("""COMPUTED_VALUE"""),45141.66666666667)</f>
        <v>45141.66667</v>
      </c>
      <c r="F2075" s="19">
        <f>IFERROR(__xludf.DUMMYFUNCTION("""COMPUTED_VALUE"""),35.64)</f>
        <v>35.64</v>
      </c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</row>
    <row r="2076">
      <c r="A2076" s="22">
        <f>IFERROR(__xludf.DUMMYFUNCTION("""COMPUTED_VALUE"""),44960.66666666667)</f>
        <v>44960.66667</v>
      </c>
      <c r="B2076" s="23">
        <f>IFERROR(__xludf.DUMMYFUNCTION("""COMPUTED_VALUE"""),95.52)</f>
        <v>95.52</v>
      </c>
      <c r="C2076" s="19"/>
      <c r="D2076" s="19"/>
      <c r="E2076" s="24">
        <f>IFERROR(__xludf.DUMMYFUNCTION("""COMPUTED_VALUE"""),45142.66666666667)</f>
        <v>45142.66667</v>
      </c>
      <c r="F2076" s="19">
        <f>IFERROR(__xludf.DUMMYFUNCTION("""COMPUTED_VALUE"""),35.66)</f>
        <v>35.66</v>
      </c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</row>
    <row r="2077">
      <c r="A2077" s="22">
        <f>IFERROR(__xludf.DUMMYFUNCTION("""COMPUTED_VALUE"""),44963.66666666667)</f>
        <v>44963.66667</v>
      </c>
      <c r="B2077" s="23">
        <f>IFERROR(__xludf.DUMMYFUNCTION("""COMPUTED_VALUE"""),96.29)</f>
        <v>96.29</v>
      </c>
      <c r="C2077" s="19"/>
      <c r="D2077" s="19"/>
      <c r="E2077" s="24">
        <f>IFERROR(__xludf.DUMMYFUNCTION("""COMPUTED_VALUE"""),45145.66666666667)</f>
        <v>45145.66667</v>
      </c>
      <c r="F2077" s="19">
        <f>IFERROR(__xludf.DUMMYFUNCTION("""COMPUTED_VALUE"""),35.37)</f>
        <v>35.37</v>
      </c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</row>
    <row r="2078">
      <c r="A2078" s="22">
        <f>IFERROR(__xludf.DUMMYFUNCTION("""COMPUTED_VALUE"""),44964.66666666667)</f>
        <v>44964.66667</v>
      </c>
      <c r="B2078" s="23">
        <f>IFERROR(__xludf.DUMMYFUNCTION("""COMPUTED_VALUE"""),96.19)</f>
        <v>96.19</v>
      </c>
      <c r="C2078" s="19"/>
      <c r="D2078" s="19"/>
      <c r="E2078" s="24">
        <f>IFERROR(__xludf.DUMMYFUNCTION("""COMPUTED_VALUE"""),45146.66666666667)</f>
        <v>45146.66667</v>
      </c>
      <c r="F2078" s="19">
        <f>IFERROR(__xludf.DUMMYFUNCTION("""COMPUTED_VALUE"""),35.55)</f>
        <v>35.55</v>
      </c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</row>
    <row r="2079">
      <c r="A2079" s="22">
        <f>IFERROR(__xludf.DUMMYFUNCTION("""COMPUTED_VALUE"""),44965.66666666667)</f>
        <v>44965.66667</v>
      </c>
      <c r="B2079" s="23">
        <f>IFERROR(__xludf.DUMMYFUNCTION("""COMPUTED_VALUE"""),96.7)</f>
        <v>96.7</v>
      </c>
      <c r="C2079" s="19"/>
      <c r="D2079" s="19"/>
      <c r="E2079" s="24">
        <f>IFERROR(__xludf.DUMMYFUNCTION("""COMPUTED_VALUE"""),45147.66666666667)</f>
        <v>45147.66667</v>
      </c>
      <c r="F2079" s="19">
        <f>IFERROR(__xludf.DUMMYFUNCTION("""COMPUTED_VALUE"""),35.39)</f>
        <v>35.39</v>
      </c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</row>
    <row r="2080">
      <c r="A2080" s="22">
        <f>IFERROR(__xludf.DUMMYFUNCTION("""COMPUTED_VALUE"""),44966.66666666667)</f>
        <v>44966.66667</v>
      </c>
      <c r="B2080" s="23">
        <f>IFERROR(__xludf.DUMMYFUNCTION("""COMPUTED_VALUE"""),96.28)</f>
        <v>96.28</v>
      </c>
      <c r="C2080" s="19"/>
      <c r="D2080" s="19"/>
      <c r="E2080" s="24">
        <f>IFERROR(__xludf.DUMMYFUNCTION("""COMPUTED_VALUE"""),45148.66666666667)</f>
        <v>45148.66667</v>
      </c>
      <c r="F2080" s="19">
        <f>IFERROR(__xludf.DUMMYFUNCTION("""COMPUTED_VALUE"""),35.12)</f>
        <v>35.12</v>
      </c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</row>
    <row r="2081">
      <c r="A2081" s="22">
        <f>IFERROR(__xludf.DUMMYFUNCTION("""COMPUTED_VALUE"""),44967.66666666667)</f>
        <v>44967.66667</v>
      </c>
      <c r="B2081" s="23">
        <f>IFERROR(__xludf.DUMMYFUNCTION("""COMPUTED_VALUE"""),95.64)</f>
        <v>95.64</v>
      </c>
      <c r="C2081" s="19"/>
      <c r="D2081" s="19"/>
      <c r="E2081" s="24">
        <f>IFERROR(__xludf.DUMMYFUNCTION("""COMPUTED_VALUE"""),45149.66666666667)</f>
        <v>45149.66667</v>
      </c>
      <c r="F2081" s="19">
        <f>IFERROR(__xludf.DUMMYFUNCTION("""COMPUTED_VALUE"""),35.19)</f>
        <v>35.19</v>
      </c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</row>
    <row r="2082">
      <c r="A2082" s="22">
        <f>IFERROR(__xludf.DUMMYFUNCTION("""COMPUTED_VALUE"""),44970.66666666667)</f>
        <v>44970.66667</v>
      </c>
      <c r="B2082" s="23">
        <f>IFERROR(__xludf.DUMMYFUNCTION("""COMPUTED_VALUE"""),95.52)</f>
        <v>95.52</v>
      </c>
      <c r="C2082" s="19"/>
      <c r="D2082" s="19"/>
      <c r="E2082" s="24">
        <f>IFERROR(__xludf.DUMMYFUNCTION("""COMPUTED_VALUE"""),45152.66666666667)</f>
        <v>45152.66667</v>
      </c>
      <c r="F2082" s="19">
        <f>IFERROR(__xludf.DUMMYFUNCTION("""COMPUTED_VALUE"""),35.11)</f>
        <v>35.11</v>
      </c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</row>
    <row r="2083">
      <c r="A2083" s="22">
        <f>IFERROR(__xludf.DUMMYFUNCTION("""COMPUTED_VALUE"""),44971.66666666667)</f>
        <v>44971.66667</v>
      </c>
      <c r="B2083" s="23">
        <f>IFERROR(__xludf.DUMMYFUNCTION("""COMPUTED_VALUE"""),96.14)</f>
        <v>96.14</v>
      </c>
      <c r="C2083" s="19"/>
      <c r="D2083" s="19"/>
      <c r="E2083" s="24">
        <f>IFERROR(__xludf.DUMMYFUNCTION("""COMPUTED_VALUE"""),45153.66666666667)</f>
        <v>45153.66667</v>
      </c>
      <c r="F2083" s="19">
        <f>IFERROR(__xludf.DUMMYFUNCTION("""COMPUTED_VALUE"""),35.46)</f>
        <v>35.46</v>
      </c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</row>
    <row r="2084">
      <c r="A2084" s="22">
        <f>IFERROR(__xludf.DUMMYFUNCTION("""COMPUTED_VALUE"""),44972.66666666667)</f>
        <v>44972.66667</v>
      </c>
      <c r="B2084" s="23">
        <f>IFERROR(__xludf.DUMMYFUNCTION("""COMPUTED_VALUE"""),96.34)</f>
        <v>96.34</v>
      </c>
      <c r="C2084" s="19"/>
      <c r="D2084" s="19"/>
      <c r="E2084" s="24">
        <f>IFERROR(__xludf.DUMMYFUNCTION("""COMPUTED_VALUE"""),45154.66666666667)</f>
        <v>45154.66667</v>
      </c>
      <c r="F2084" s="19">
        <f>IFERROR(__xludf.DUMMYFUNCTION("""COMPUTED_VALUE"""),35.33)</f>
        <v>35.33</v>
      </c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</row>
    <row r="2085">
      <c r="A2085" s="22">
        <f>IFERROR(__xludf.DUMMYFUNCTION("""COMPUTED_VALUE"""),44973.66666666667)</f>
        <v>44973.66667</v>
      </c>
      <c r="B2085" s="23">
        <f>IFERROR(__xludf.DUMMYFUNCTION("""COMPUTED_VALUE"""),97.39)</f>
        <v>97.39</v>
      </c>
      <c r="C2085" s="19"/>
      <c r="D2085" s="19"/>
      <c r="E2085" s="24">
        <f>IFERROR(__xludf.DUMMYFUNCTION("""COMPUTED_VALUE"""),45155.66666666667)</f>
        <v>45155.66667</v>
      </c>
      <c r="F2085" s="19">
        <f>IFERROR(__xludf.DUMMYFUNCTION("""COMPUTED_VALUE"""),35.22)</f>
        <v>35.22</v>
      </c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</row>
    <row r="2086">
      <c r="A2086" s="22">
        <f>IFERROR(__xludf.DUMMYFUNCTION("""COMPUTED_VALUE"""),44974.66666666667)</f>
        <v>44974.66667</v>
      </c>
      <c r="B2086" s="23">
        <f>IFERROR(__xludf.DUMMYFUNCTION("""COMPUTED_VALUE"""),96.7)</f>
        <v>96.7</v>
      </c>
      <c r="C2086" s="19"/>
      <c r="D2086" s="19"/>
      <c r="E2086" s="24">
        <f>IFERROR(__xludf.DUMMYFUNCTION("""COMPUTED_VALUE"""),45156.66666666667)</f>
        <v>45156.66667</v>
      </c>
      <c r="F2086" s="19">
        <f>IFERROR(__xludf.DUMMYFUNCTION("""COMPUTED_VALUE"""),34.77)</f>
        <v>34.77</v>
      </c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</row>
    <row r="2087">
      <c r="A2087" s="22">
        <f>IFERROR(__xludf.DUMMYFUNCTION("""COMPUTED_VALUE"""),44977.66666666667)</f>
        <v>44977.66667</v>
      </c>
      <c r="B2087" s="23">
        <f>IFERROR(__xludf.DUMMYFUNCTION("""COMPUTED_VALUE"""),96.3)</f>
        <v>96.3</v>
      </c>
      <c r="C2087" s="19"/>
      <c r="D2087" s="19"/>
      <c r="E2087" s="24">
        <f>IFERROR(__xludf.DUMMYFUNCTION("""COMPUTED_VALUE"""),45159.66666666667)</f>
        <v>45159.66667</v>
      </c>
      <c r="F2087" s="19">
        <f>IFERROR(__xludf.DUMMYFUNCTION("""COMPUTED_VALUE"""),34.75)</f>
        <v>34.75</v>
      </c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</row>
    <row r="2088">
      <c r="A2088" s="22">
        <f>IFERROR(__xludf.DUMMYFUNCTION("""COMPUTED_VALUE"""),44978.66666666667)</f>
        <v>44978.66667</v>
      </c>
      <c r="B2088" s="23">
        <f>IFERROR(__xludf.DUMMYFUNCTION("""COMPUTED_VALUE"""),95.89)</f>
        <v>95.89</v>
      </c>
      <c r="C2088" s="19"/>
      <c r="D2088" s="19"/>
      <c r="E2088" s="24">
        <f>IFERROR(__xludf.DUMMYFUNCTION("""COMPUTED_VALUE"""),45160.66666666667)</f>
        <v>45160.66667</v>
      </c>
      <c r="F2088" s="19">
        <f>IFERROR(__xludf.DUMMYFUNCTION("""COMPUTED_VALUE"""),35.22)</f>
        <v>35.22</v>
      </c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</row>
    <row r="2089">
      <c r="A2089" s="22">
        <f>IFERROR(__xludf.DUMMYFUNCTION("""COMPUTED_VALUE"""),44979.66666666667)</f>
        <v>44979.66667</v>
      </c>
      <c r="B2089" s="23">
        <f>IFERROR(__xludf.DUMMYFUNCTION("""COMPUTED_VALUE"""),95.55)</f>
        <v>95.55</v>
      </c>
      <c r="C2089" s="19"/>
      <c r="D2089" s="19"/>
      <c r="E2089" s="24">
        <f>IFERROR(__xludf.DUMMYFUNCTION("""COMPUTED_VALUE"""),45161.66666666667)</f>
        <v>45161.66667</v>
      </c>
      <c r="F2089" s="19">
        <f>IFERROR(__xludf.DUMMYFUNCTION("""COMPUTED_VALUE"""),35.25)</f>
        <v>35.25</v>
      </c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</row>
    <row r="2090">
      <c r="A2090" s="22">
        <f>IFERROR(__xludf.DUMMYFUNCTION("""COMPUTED_VALUE"""),44980.66666666667)</f>
        <v>44980.66667</v>
      </c>
      <c r="B2090" s="23">
        <f>IFERROR(__xludf.DUMMYFUNCTION("""COMPUTED_VALUE"""),95.74)</f>
        <v>95.74</v>
      </c>
      <c r="C2090" s="19"/>
      <c r="D2090" s="19"/>
      <c r="E2090" s="24">
        <f>IFERROR(__xludf.DUMMYFUNCTION("""COMPUTED_VALUE"""),45162.66666666667)</f>
        <v>45162.66667</v>
      </c>
      <c r="F2090" s="19">
        <f>IFERROR(__xludf.DUMMYFUNCTION("""COMPUTED_VALUE"""),35.88)</f>
        <v>35.88</v>
      </c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</row>
    <row r="2091">
      <c r="A2091" s="22">
        <f>IFERROR(__xludf.DUMMYFUNCTION("""COMPUTED_VALUE"""),44981.66666666667)</f>
        <v>44981.66667</v>
      </c>
      <c r="B2091" s="23">
        <f>IFERROR(__xludf.DUMMYFUNCTION("""COMPUTED_VALUE"""),95.88)</f>
        <v>95.88</v>
      </c>
      <c r="C2091" s="19"/>
      <c r="D2091" s="19"/>
      <c r="E2091" s="24">
        <f>IFERROR(__xludf.DUMMYFUNCTION("""COMPUTED_VALUE"""),45163.66666666667)</f>
        <v>45163.66667</v>
      </c>
      <c r="F2091" s="19">
        <f>IFERROR(__xludf.DUMMYFUNCTION("""COMPUTED_VALUE"""),35.01)</f>
        <v>35.01</v>
      </c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</row>
    <row r="2092">
      <c r="A2092" s="22">
        <f>IFERROR(__xludf.DUMMYFUNCTION("""COMPUTED_VALUE"""),44984.66666666667)</f>
        <v>44984.66667</v>
      </c>
      <c r="B2092" s="23">
        <f>IFERROR(__xludf.DUMMYFUNCTION("""COMPUTED_VALUE"""),96.38)</f>
        <v>96.38</v>
      </c>
      <c r="C2092" s="19"/>
      <c r="D2092" s="19"/>
      <c r="E2092" s="24">
        <f>IFERROR(__xludf.DUMMYFUNCTION("""COMPUTED_VALUE"""),45166.66666666667)</f>
        <v>45166.66667</v>
      </c>
      <c r="F2092" s="19">
        <f>IFERROR(__xludf.DUMMYFUNCTION("""COMPUTED_VALUE"""),35.24)</f>
        <v>35.24</v>
      </c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</row>
    <row r="2093">
      <c r="A2093" s="22">
        <f>IFERROR(__xludf.DUMMYFUNCTION("""COMPUTED_VALUE"""),44985.66666666667)</f>
        <v>44985.66667</v>
      </c>
      <c r="B2093" s="23">
        <f>IFERROR(__xludf.DUMMYFUNCTION("""COMPUTED_VALUE"""),96.58)</f>
        <v>96.58</v>
      </c>
      <c r="C2093" s="19"/>
      <c r="D2093" s="19"/>
      <c r="E2093" s="24">
        <f>IFERROR(__xludf.DUMMYFUNCTION("""COMPUTED_VALUE"""),45167.66666666667)</f>
        <v>45167.66667</v>
      </c>
      <c r="F2093" s="19">
        <f>IFERROR(__xludf.DUMMYFUNCTION("""COMPUTED_VALUE"""),35.47)</f>
        <v>35.47</v>
      </c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</row>
    <row r="2094">
      <c r="A2094" s="22">
        <f>IFERROR(__xludf.DUMMYFUNCTION("""COMPUTED_VALUE"""),44986.66666666667)</f>
        <v>44986.66667</v>
      </c>
      <c r="B2094" s="23">
        <f>IFERROR(__xludf.DUMMYFUNCTION("""COMPUTED_VALUE"""),95.9)</f>
        <v>95.9</v>
      </c>
      <c r="C2094" s="19"/>
      <c r="D2094" s="19"/>
      <c r="E2094" s="24">
        <f>IFERROR(__xludf.DUMMYFUNCTION("""COMPUTED_VALUE"""),45168.66666666667)</f>
        <v>45168.66667</v>
      </c>
      <c r="F2094" s="19">
        <f>IFERROR(__xludf.DUMMYFUNCTION("""COMPUTED_VALUE"""),36.0)</f>
        <v>36</v>
      </c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</row>
    <row r="2095">
      <c r="A2095" s="22">
        <f>IFERROR(__xludf.DUMMYFUNCTION("""COMPUTED_VALUE"""),44987.66666666667)</f>
        <v>44987.66667</v>
      </c>
      <c r="B2095" s="23">
        <f>IFERROR(__xludf.DUMMYFUNCTION("""COMPUTED_VALUE"""),95.46)</f>
        <v>95.46</v>
      </c>
      <c r="C2095" s="19"/>
      <c r="D2095" s="19"/>
      <c r="E2095" s="24">
        <f>IFERROR(__xludf.DUMMYFUNCTION("""COMPUTED_VALUE"""),45169.66666666667)</f>
        <v>45169.66667</v>
      </c>
      <c r="F2095" s="19">
        <f>IFERROR(__xludf.DUMMYFUNCTION("""COMPUTED_VALUE"""),36.14)</f>
        <v>36.14</v>
      </c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</row>
    <row r="2096">
      <c r="A2096" s="22">
        <f>IFERROR(__xludf.DUMMYFUNCTION("""COMPUTED_VALUE"""),44988.66666666667)</f>
        <v>44988.66667</v>
      </c>
      <c r="B2096" s="23">
        <f>IFERROR(__xludf.DUMMYFUNCTION("""COMPUTED_VALUE"""),96.29)</f>
        <v>96.29</v>
      </c>
      <c r="C2096" s="19"/>
      <c r="D2096" s="19"/>
      <c r="E2096" s="24">
        <f>IFERROR(__xludf.DUMMYFUNCTION("""COMPUTED_VALUE"""),45170.66666666667)</f>
        <v>45170.66667</v>
      </c>
      <c r="F2096" s="19">
        <f>IFERROR(__xludf.DUMMYFUNCTION("""COMPUTED_VALUE"""),36.34)</f>
        <v>36.34</v>
      </c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</row>
    <row r="2097">
      <c r="A2097" s="22">
        <f>IFERROR(__xludf.DUMMYFUNCTION("""COMPUTED_VALUE"""),44991.66666666667)</f>
        <v>44991.66667</v>
      </c>
      <c r="B2097" s="23">
        <f>IFERROR(__xludf.DUMMYFUNCTION("""COMPUTED_VALUE"""),97.78)</f>
        <v>97.78</v>
      </c>
      <c r="C2097" s="19"/>
      <c r="D2097" s="19"/>
      <c r="E2097" s="24">
        <f>IFERROR(__xludf.DUMMYFUNCTION("""COMPUTED_VALUE"""),45173.66666666667)</f>
        <v>45173.66667</v>
      </c>
      <c r="F2097" s="19">
        <f>IFERROR(__xludf.DUMMYFUNCTION("""COMPUTED_VALUE"""),36.3)</f>
        <v>36.3</v>
      </c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</row>
    <row r="2098">
      <c r="A2098" s="22">
        <f>IFERROR(__xludf.DUMMYFUNCTION("""COMPUTED_VALUE"""),44992.66666666667)</f>
        <v>44992.66667</v>
      </c>
      <c r="B2098" s="23">
        <f>IFERROR(__xludf.DUMMYFUNCTION("""COMPUTED_VALUE"""),98.6)</f>
        <v>98.6</v>
      </c>
      <c r="C2098" s="19"/>
      <c r="D2098" s="19"/>
      <c r="E2098" s="24">
        <f>IFERROR(__xludf.DUMMYFUNCTION("""COMPUTED_VALUE"""),45174.66666666667)</f>
        <v>45174.66667</v>
      </c>
      <c r="F2098" s="19">
        <f>IFERROR(__xludf.DUMMYFUNCTION("""COMPUTED_VALUE"""),36.62)</f>
        <v>36.62</v>
      </c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</row>
    <row r="2099">
      <c r="A2099" s="22">
        <f>IFERROR(__xludf.DUMMYFUNCTION("""COMPUTED_VALUE"""),44993.66666666667)</f>
        <v>44993.66667</v>
      </c>
      <c r="B2099" s="23">
        <f>IFERROR(__xludf.DUMMYFUNCTION("""COMPUTED_VALUE"""),98.52)</f>
        <v>98.52</v>
      </c>
      <c r="C2099" s="19"/>
      <c r="D2099" s="19"/>
      <c r="E2099" s="24">
        <f>IFERROR(__xludf.DUMMYFUNCTION("""COMPUTED_VALUE"""),45175.66666666667)</f>
        <v>45175.66667</v>
      </c>
      <c r="F2099" s="19">
        <f>IFERROR(__xludf.DUMMYFUNCTION("""COMPUTED_VALUE"""),36.67)</f>
        <v>36.67</v>
      </c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</row>
    <row r="2100">
      <c r="A2100" s="22">
        <f>IFERROR(__xludf.DUMMYFUNCTION("""COMPUTED_VALUE"""),44994.66666666667)</f>
        <v>44994.66667</v>
      </c>
      <c r="B2100" s="23">
        <f>IFERROR(__xludf.DUMMYFUNCTION("""COMPUTED_VALUE"""),98.39)</f>
        <v>98.39</v>
      </c>
      <c r="C2100" s="19"/>
      <c r="D2100" s="19"/>
      <c r="E2100" s="24">
        <f>IFERROR(__xludf.DUMMYFUNCTION("""COMPUTED_VALUE"""),45176.66666666667)</f>
        <v>45176.66667</v>
      </c>
      <c r="F2100" s="19">
        <f>IFERROR(__xludf.DUMMYFUNCTION("""COMPUTED_VALUE"""),36.35)</f>
        <v>36.35</v>
      </c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</row>
    <row r="2101">
      <c r="A2101" s="22">
        <f>IFERROR(__xludf.DUMMYFUNCTION("""COMPUTED_VALUE"""),44995.66666666667)</f>
        <v>44995.66667</v>
      </c>
      <c r="B2101" s="23">
        <f>IFERROR(__xludf.DUMMYFUNCTION("""COMPUTED_VALUE"""),96.5)</f>
        <v>96.5</v>
      </c>
      <c r="C2101" s="19"/>
      <c r="D2101" s="19"/>
      <c r="E2101" s="24">
        <f>IFERROR(__xludf.DUMMYFUNCTION("""COMPUTED_VALUE"""),45177.66666666667)</f>
        <v>45177.66667</v>
      </c>
      <c r="F2101" s="19">
        <f>IFERROR(__xludf.DUMMYFUNCTION("""COMPUTED_VALUE"""),36.22)</f>
        <v>36.22</v>
      </c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</row>
    <row r="2102">
      <c r="A2102" s="22">
        <f>IFERROR(__xludf.DUMMYFUNCTION("""COMPUTED_VALUE"""),44998.66666666667)</f>
        <v>44998.66667</v>
      </c>
      <c r="B2102" s="23">
        <f>IFERROR(__xludf.DUMMYFUNCTION("""COMPUTED_VALUE"""),96.29)</f>
        <v>96.29</v>
      </c>
      <c r="C2102" s="19"/>
      <c r="D2102" s="19"/>
      <c r="E2102" s="24">
        <f>IFERROR(__xludf.DUMMYFUNCTION("""COMPUTED_VALUE"""),45180.66666666667)</f>
        <v>45180.66667</v>
      </c>
      <c r="F2102" s="19">
        <f>IFERROR(__xludf.DUMMYFUNCTION("""COMPUTED_VALUE"""),36.15)</f>
        <v>36.15</v>
      </c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</row>
    <row r="2103">
      <c r="A2103" s="22">
        <f>IFERROR(__xludf.DUMMYFUNCTION("""COMPUTED_VALUE"""),44999.66666666667)</f>
        <v>44999.66667</v>
      </c>
      <c r="B2103" s="23">
        <f>IFERROR(__xludf.DUMMYFUNCTION("""COMPUTED_VALUE"""),95.07)</f>
        <v>95.07</v>
      </c>
      <c r="C2103" s="19"/>
      <c r="D2103" s="19"/>
      <c r="E2103" s="24">
        <f>IFERROR(__xludf.DUMMYFUNCTION("""COMPUTED_VALUE"""),45181.66666666667)</f>
        <v>45181.66667</v>
      </c>
      <c r="F2103" s="19">
        <f>IFERROR(__xludf.DUMMYFUNCTION("""COMPUTED_VALUE"""),36.42)</f>
        <v>36.42</v>
      </c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</row>
    <row r="2104">
      <c r="A2104" s="22">
        <f>IFERROR(__xludf.DUMMYFUNCTION("""COMPUTED_VALUE"""),45000.66666666667)</f>
        <v>45000.66667</v>
      </c>
      <c r="B2104" s="23">
        <f>IFERROR(__xludf.DUMMYFUNCTION("""COMPUTED_VALUE"""),95.63)</f>
        <v>95.63</v>
      </c>
      <c r="C2104" s="19"/>
      <c r="D2104" s="19"/>
      <c r="E2104" s="24">
        <f>IFERROR(__xludf.DUMMYFUNCTION("""COMPUTED_VALUE"""),45182.66666666667)</f>
        <v>45182.66667</v>
      </c>
      <c r="F2104" s="19">
        <f>IFERROR(__xludf.DUMMYFUNCTION("""COMPUTED_VALUE"""),36.15)</f>
        <v>36.15</v>
      </c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</row>
    <row r="2105">
      <c r="A2105" s="22">
        <f>IFERROR(__xludf.DUMMYFUNCTION("""COMPUTED_VALUE"""),45001.66666666667)</f>
        <v>45001.66667</v>
      </c>
      <c r="B2105" s="23">
        <f>IFERROR(__xludf.DUMMYFUNCTION("""COMPUTED_VALUE"""),95.59)</f>
        <v>95.59</v>
      </c>
      <c r="C2105" s="19"/>
      <c r="D2105" s="19"/>
      <c r="E2105" s="24">
        <f>IFERROR(__xludf.DUMMYFUNCTION("""COMPUTED_VALUE"""),45183.66666666667)</f>
        <v>45183.66667</v>
      </c>
      <c r="F2105" s="19">
        <f>IFERROR(__xludf.DUMMYFUNCTION("""COMPUTED_VALUE"""),36.28)</f>
        <v>36.28</v>
      </c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</row>
    <row r="2106">
      <c r="A2106" s="24">
        <f>IFERROR(__xludf.DUMMYFUNCTION("""COMPUTED_VALUE"""),45002.66666666667)</f>
        <v>45002.66667</v>
      </c>
      <c r="B2106" s="19">
        <f>IFERROR(__xludf.DUMMYFUNCTION("""COMPUTED_VALUE"""),95.66)</f>
        <v>95.66</v>
      </c>
      <c r="C2106" s="19"/>
      <c r="D2106" s="19"/>
      <c r="E2106" s="24">
        <f>IFERROR(__xludf.DUMMYFUNCTION("""COMPUTED_VALUE"""),45184.66666666667)</f>
        <v>45184.66667</v>
      </c>
      <c r="F2106" s="19">
        <f>IFERROR(__xludf.DUMMYFUNCTION("""COMPUTED_VALUE"""),36.33)</f>
        <v>36.33</v>
      </c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</row>
    <row r="2107">
      <c r="A2107" s="24">
        <f>IFERROR(__xludf.DUMMYFUNCTION("""COMPUTED_VALUE"""),45005.66666666667)</f>
        <v>45005.66667</v>
      </c>
      <c r="B2107" s="19">
        <f>IFERROR(__xludf.DUMMYFUNCTION("""COMPUTED_VALUE"""),94.83)</f>
        <v>94.83</v>
      </c>
      <c r="C2107" s="19"/>
      <c r="D2107" s="19"/>
      <c r="E2107" s="24">
        <f>IFERROR(__xludf.DUMMYFUNCTION("""COMPUTED_VALUE"""),45187.66666666667)</f>
        <v>45187.66667</v>
      </c>
      <c r="F2107" s="19">
        <f>IFERROR(__xludf.DUMMYFUNCTION("""COMPUTED_VALUE"""),35.79)</f>
        <v>35.79</v>
      </c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</row>
    <row r="2108">
      <c r="A2108" s="24">
        <f>IFERROR(__xludf.DUMMYFUNCTION("""COMPUTED_VALUE"""),45006.66666666667)</f>
        <v>45006.66667</v>
      </c>
      <c r="B2108" s="19">
        <f>IFERROR(__xludf.DUMMYFUNCTION("""COMPUTED_VALUE"""),95.87)</f>
        <v>95.87</v>
      </c>
      <c r="C2108" s="19"/>
      <c r="D2108" s="19"/>
      <c r="E2108" s="24">
        <f>IFERROR(__xludf.DUMMYFUNCTION("""COMPUTED_VALUE"""),45188.66666666667)</f>
        <v>45188.66667</v>
      </c>
      <c r="F2108" s="19">
        <f>IFERROR(__xludf.DUMMYFUNCTION("""COMPUTED_VALUE"""),35.83)</f>
        <v>35.83</v>
      </c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</row>
    <row r="2109">
      <c r="A2109" s="24">
        <f>IFERROR(__xludf.DUMMYFUNCTION("""COMPUTED_VALUE"""),45007.66666666667)</f>
        <v>45007.66667</v>
      </c>
      <c r="B2109" s="19">
        <f>IFERROR(__xludf.DUMMYFUNCTION("""COMPUTED_VALUE"""),97.14)</f>
        <v>97.14</v>
      </c>
      <c r="C2109" s="19"/>
      <c r="D2109" s="19"/>
      <c r="E2109" s="24">
        <f>IFERROR(__xludf.DUMMYFUNCTION("""COMPUTED_VALUE"""),45189.66666666667)</f>
        <v>45189.66667</v>
      </c>
      <c r="F2109" s="19">
        <f>IFERROR(__xludf.DUMMYFUNCTION("""COMPUTED_VALUE"""),35.68)</f>
        <v>35.68</v>
      </c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</row>
    <row r="2110">
      <c r="A2110" s="24">
        <f>IFERROR(__xludf.DUMMYFUNCTION("""COMPUTED_VALUE"""),45008.66666666667)</f>
        <v>45008.66667</v>
      </c>
      <c r="B2110" s="19">
        <f>IFERROR(__xludf.DUMMYFUNCTION("""COMPUTED_VALUE"""),95.8)</f>
        <v>95.8</v>
      </c>
      <c r="C2110" s="19"/>
      <c r="D2110" s="19"/>
      <c r="E2110" s="24">
        <f>IFERROR(__xludf.DUMMYFUNCTION("""COMPUTED_VALUE"""),45190.66666666667)</f>
        <v>45190.66667</v>
      </c>
      <c r="F2110" s="19">
        <f>IFERROR(__xludf.DUMMYFUNCTION("""COMPUTED_VALUE"""),35.3)</f>
        <v>35.3</v>
      </c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</row>
    <row r="2111">
      <c r="A2111" s="24">
        <f>IFERROR(__xludf.DUMMYFUNCTION("""COMPUTED_VALUE"""),45009.66666666667)</f>
        <v>45009.66667</v>
      </c>
      <c r="B2111" s="19">
        <f>IFERROR(__xludf.DUMMYFUNCTION("""COMPUTED_VALUE"""),96.31)</f>
        <v>96.31</v>
      </c>
      <c r="C2111" s="19"/>
      <c r="D2111" s="19"/>
      <c r="E2111" s="24">
        <f>IFERROR(__xludf.DUMMYFUNCTION("""COMPUTED_VALUE"""),45191.66666666667)</f>
        <v>45191.66667</v>
      </c>
      <c r="F2111" s="19">
        <f>IFERROR(__xludf.DUMMYFUNCTION("""COMPUTED_VALUE"""),34.77)</f>
        <v>34.77</v>
      </c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</row>
    <row r="2112">
      <c r="A2112" s="24">
        <f>IFERROR(__xludf.DUMMYFUNCTION("""COMPUTED_VALUE"""),45012.66666666667)</f>
        <v>45012.66667</v>
      </c>
      <c r="B2112" s="19">
        <f>IFERROR(__xludf.DUMMYFUNCTION("""COMPUTED_VALUE"""),97.35)</f>
        <v>97.35</v>
      </c>
      <c r="C2112" s="19"/>
      <c r="D2112" s="19"/>
      <c r="E2112" s="24">
        <f>IFERROR(__xludf.DUMMYFUNCTION("""COMPUTED_VALUE"""),45194.66666666667)</f>
        <v>45194.66667</v>
      </c>
      <c r="F2112" s="19">
        <f>IFERROR(__xludf.DUMMYFUNCTION("""COMPUTED_VALUE"""),34.84)</f>
        <v>34.84</v>
      </c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</row>
    <row r="2113">
      <c r="A2113" s="24">
        <f>IFERROR(__xludf.DUMMYFUNCTION("""COMPUTED_VALUE"""),45013.66666666667)</f>
        <v>45013.66667</v>
      </c>
      <c r="B2113" s="19">
        <f>IFERROR(__xludf.DUMMYFUNCTION("""COMPUTED_VALUE"""),96.93)</f>
        <v>96.93</v>
      </c>
      <c r="C2113" s="19"/>
      <c r="D2113" s="19"/>
      <c r="E2113" s="24">
        <f>IFERROR(__xludf.DUMMYFUNCTION("""COMPUTED_VALUE"""),45195.66666666667)</f>
        <v>45195.66667</v>
      </c>
      <c r="F2113" s="19">
        <f>IFERROR(__xludf.DUMMYFUNCTION("""COMPUTED_VALUE"""),34.73)</f>
        <v>34.73</v>
      </c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</row>
    <row r="2114">
      <c r="A2114" s="24">
        <f>IFERROR(__xludf.DUMMYFUNCTION("""COMPUTED_VALUE"""),45014.66666666667)</f>
        <v>45014.66667</v>
      </c>
      <c r="B2114" s="19">
        <f>IFERROR(__xludf.DUMMYFUNCTION("""COMPUTED_VALUE"""),96.97)</f>
        <v>96.97</v>
      </c>
      <c r="C2114" s="19"/>
      <c r="D2114" s="19"/>
      <c r="E2114" s="24">
        <f>IFERROR(__xludf.DUMMYFUNCTION("""COMPUTED_VALUE"""),45196.66666666667)</f>
        <v>45196.66667</v>
      </c>
      <c r="F2114" s="19">
        <f>IFERROR(__xludf.DUMMYFUNCTION("""COMPUTED_VALUE"""),34.68)</f>
        <v>34.68</v>
      </c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</row>
    <row r="2115">
      <c r="A2115" s="24">
        <f>IFERROR(__xludf.DUMMYFUNCTION("""COMPUTED_VALUE"""),45015.66666666667)</f>
        <v>45015.66667</v>
      </c>
      <c r="B2115" s="19">
        <f>IFERROR(__xludf.DUMMYFUNCTION("""COMPUTED_VALUE"""),98.08)</f>
        <v>98.08</v>
      </c>
      <c r="C2115" s="19"/>
      <c r="D2115" s="19"/>
      <c r="E2115" s="24">
        <f>IFERROR(__xludf.DUMMYFUNCTION("""COMPUTED_VALUE"""),45197.66666666667)</f>
        <v>45197.66667</v>
      </c>
      <c r="F2115" s="19">
        <f>IFERROR(__xludf.DUMMYFUNCTION("""COMPUTED_VALUE"""),34.73)</f>
        <v>34.73</v>
      </c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</row>
    <row r="2116">
      <c r="A2116" s="24">
        <f>IFERROR(__xludf.DUMMYFUNCTION("""COMPUTED_VALUE"""),45016.66666666667)</f>
        <v>45016.66667</v>
      </c>
      <c r="B2116" s="19">
        <f>IFERROR(__xludf.DUMMYFUNCTION("""COMPUTED_VALUE"""),98.7)</f>
        <v>98.7</v>
      </c>
      <c r="C2116" s="19"/>
      <c r="D2116" s="19"/>
      <c r="E2116" s="24">
        <f>IFERROR(__xludf.DUMMYFUNCTION("""COMPUTED_VALUE"""),45198.66666666667)</f>
        <v>45198.66667</v>
      </c>
      <c r="F2116" s="19">
        <f>IFERROR(__xludf.DUMMYFUNCTION("""COMPUTED_VALUE"""),34.59)</f>
        <v>34.59</v>
      </c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</row>
    <row r="2117">
      <c r="A2117" s="24">
        <f>IFERROR(__xludf.DUMMYFUNCTION("""COMPUTED_VALUE"""),45019.66666666667)</f>
        <v>45019.66667</v>
      </c>
      <c r="B2117" s="19">
        <f>IFERROR(__xludf.DUMMYFUNCTION("""COMPUTED_VALUE"""),99.7)</f>
        <v>99.7</v>
      </c>
      <c r="C2117" s="19"/>
      <c r="D2117" s="19"/>
      <c r="E2117" s="24">
        <f>IFERROR(__xludf.DUMMYFUNCTION("""COMPUTED_VALUE"""),45201.66666666667)</f>
        <v>45201.66667</v>
      </c>
      <c r="F2117" s="19">
        <f>IFERROR(__xludf.DUMMYFUNCTION("""COMPUTED_VALUE"""),35.08)</f>
        <v>35.08</v>
      </c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</row>
    <row r="2118">
      <c r="A2118" s="24">
        <f>IFERROR(__xludf.DUMMYFUNCTION("""COMPUTED_VALUE"""),45020.66666666667)</f>
        <v>45020.66667</v>
      </c>
      <c r="B2118" s="19">
        <f>IFERROR(__xludf.DUMMYFUNCTION("""COMPUTED_VALUE"""),98.94)</f>
        <v>98.94</v>
      </c>
      <c r="C2118" s="19"/>
      <c r="D2118" s="19"/>
      <c r="E2118" s="24">
        <f>IFERROR(__xludf.DUMMYFUNCTION("""COMPUTED_VALUE"""),45202.66666666667)</f>
        <v>45202.66667</v>
      </c>
      <c r="F2118" s="19">
        <f>IFERROR(__xludf.DUMMYFUNCTION("""COMPUTED_VALUE"""),35.5)</f>
        <v>35.5</v>
      </c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</row>
    <row r="2119">
      <c r="A2119" s="24">
        <f>IFERROR(__xludf.DUMMYFUNCTION("""COMPUTED_VALUE"""),45021.66666666667)</f>
        <v>45021.66667</v>
      </c>
      <c r="B2119" s="19">
        <f>IFERROR(__xludf.DUMMYFUNCTION("""COMPUTED_VALUE"""),99.01)</f>
        <v>99.01</v>
      </c>
      <c r="C2119" s="19"/>
      <c r="D2119" s="19"/>
      <c r="E2119" s="24">
        <f>IFERROR(__xludf.DUMMYFUNCTION("""COMPUTED_VALUE"""),45203.66666666667)</f>
        <v>45203.66667</v>
      </c>
      <c r="F2119" s="19">
        <f>IFERROR(__xludf.DUMMYFUNCTION("""COMPUTED_VALUE"""),34.85)</f>
        <v>34.85</v>
      </c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</row>
    <row r="2120">
      <c r="A2120" s="24">
        <f>IFERROR(__xludf.DUMMYFUNCTION("""COMPUTED_VALUE"""),45022.66666666667)</f>
        <v>45022.66667</v>
      </c>
      <c r="B2120" s="19">
        <f>IFERROR(__xludf.DUMMYFUNCTION("""COMPUTED_VALUE"""),98.99)</f>
        <v>98.99</v>
      </c>
      <c r="C2120" s="19"/>
      <c r="D2120" s="19"/>
      <c r="E2120" s="24">
        <f>IFERROR(__xludf.DUMMYFUNCTION("""COMPUTED_VALUE"""),45204.66666666667)</f>
        <v>45204.66667</v>
      </c>
      <c r="F2120" s="19">
        <f>IFERROR(__xludf.DUMMYFUNCTION("""COMPUTED_VALUE"""),35.18)</f>
        <v>35.18</v>
      </c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</row>
    <row r="2121">
      <c r="A2121" s="24">
        <f>IFERROR(__xludf.DUMMYFUNCTION("""COMPUTED_VALUE"""),45027.66666666667)</f>
        <v>45027.66667</v>
      </c>
      <c r="B2121" s="19">
        <f>IFERROR(__xludf.DUMMYFUNCTION("""COMPUTED_VALUE"""),100.07)</f>
        <v>100.07</v>
      </c>
      <c r="C2121" s="19"/>
      <c r="D2121" s="19"/>
      <c r="E2121" s="24">
        <f>IFERROR(__xludf.DUMMYFUNCTION("""COMPUTED_VALUE"""),45205.66666666667)</f>
        <v>45205.66667</v>
      </c>
      <c r="F2121" s="19">
        <f>IFERROR(__xludf.DUMMYFUNCTION("""COMPUTED_VALUE"""),35.06)</f>
        <v>35.06</v>
      </c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</row>
    <row r="2122">
      <c r="A2122" s="24">
        <f>IFERROR(__xludf.DUMMYFUNCTION("""COMPUTED_VALUE"""),45028.66666666667)</f>
        <v>45028.66667</v>
      </c>
      <c r="B2122" s="19">
        <f>IFERROR(__xludf.DUMMYFUNCTION("""COMPUTED_VALUE"""),100.32)</f>
        <v>100.32</v>
      </c>
      <c r="C2122" s="19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</row>
    <row r="2123">
      <c r="A2123" s="24">
        <f>IFERROR(__xludf.DUMMYFUNCTION("""COMPUTED_VALUE"""),45029.66666666667)</f>
        <v>45029.66667</v>
      </c>
      <c r="B2123" s="19">
        <f>IFERROR(__xludf.DUMMYFUNCTION("""COMPUTED_VALUE"""),99.77)</f>
        <v>99.77</v>
      </c>
      <c r="C2123" s="19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</row>
    <row r="2124">
      <c r="A2124" s="24">
        <f>IFERROR(__xludf.DUMMYFUNCTION("""COMPUTED_VALUE"""),45030.66666666667)</f>
        <v>45030.66667</v>
      </c>
      <c r="B2124" s="19">
        <f>IFERROR(__xludf.DUMMYFUNCTION("""COMPUTED_VALUE"""),99.71)</f>
        <v>99.71</v>
      </c>
      <c r="C2124" s="19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</row>
    <row r="2125">
      <c r="A2125" s="24">
        <f>IFERROR(__xludf.DUMMYFUNCTION("""COMPUTED_VALUE"""),45033.66666666667)</f>
        <v>45033.66667</v>
      </c>
      <c r="B2125" s="19">
        <f>IFERROR(__xludf.DUMMYFUNCTION("""COMPUTED_VALUE"""),100.72)</f>
        <v>100.72</v>
      </c>
      <c r="C2125" s="19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</row>
    <row r="2126">
      <c r="A2126" s="24">
        <f>IFERROR(__xludf.DUMMYFUNCTION("""COMPUTED_VALUE"""),45034.66666666667)</f>
        <v>45034.66667</v>
      </c>
      <c r="B2126" s="19">
        <f>IFERROR(__xludf.DUMMYFUNCTION("""COMPUTED_VALUE"""),100.55)</f>
        <v>100.55</v>
      </c>
      <c r="C2126" s="19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</row>
    <row r="2127">
      <c r="A2127" s="24">
        <f>IFERROR(__xludf.DUMMYFUNCTION("""COMPUTED_VALUE"""),45035.66666666667)</f>
        <v>45035.66667</v>
      </c>
      <c r="B2127" s="19">
        <f>IFERROR(__xludf.DUMMYFUNCTION("""COMPUTED_VALUE"""),100.5)</f>
        <v>100.5</v>
      </c>
      <c r="C2127" s="19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</row>
    <row r="2128">
      <c r="A2128" s="24">
        <f>IFERROR(__xludf.DUMMYFUNCTION("""COMPUTED_VALUE"""),45036.66666666667)</f>
        <v>45036.66667</v>
      </c>
      <c r="B2128" s="19">
        <f>IFERROR(__xludf.DUMMYFUNCTION("""COMPUTED_VALUE"""),100.58)</f>
        <v>100.58</v>
      </c>
      <c r="C2128" s="19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</row>
    <row r="2129">
      <c r="A2129" s="24">
        <f>IFERROR(__xludf.DUMMYFUNCTION("""COMPUTED_VALUE"""),45037.66666666667)</f>
        <v>45037.66667</v>
      </c>
      <c r="B2129" s="19">
        <f>IFERROR(__xludf.DUMMYFUNCTION("""COMPUTED_VALUE"""),100.42)</f>
        <v>100.42</v>
      </c>
      <c r="C2129" s="19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</row>
    <row r="2130">
      <c r="A2130" s="24">
        <f>IFERROR(__xludf.DUMMYFUNCTION("""COMPUTED_VALUE"""),45040.66666666667)</f>
        <v>45040.66667</v>
      </c>
      <c r="B2130" s="19">
        <f>IFERROR(__xludf.DUMMYFUNCTION("""COMPUTED_VALUE"""),100.73)</f>
        <v>100.73</v>
      </c>
      <c r="C2130" s="19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</row>
    <row r="2131">
      <c r="A2131" s="24">
        <f>IFERROR(__xludf.DUMMYFUNCTION("""COMPUTED_VALUE"""),45042.66666666667)</f>
        <v>45042.66667</v>
      </c>
      <c r="B2131" s="19">
        <f>IFERROR(__xludf.DUMMYFUNCTION("""COMPUTED_VALUE"""),101.19)</f>
        <v>101.19</v>
      </c>
      <c r="C2131" s="19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</row>
    <row r="2132">
      <c r="A2132" s="24">
        <f>IFERROR(__xludf.DUMMYFUNCTION("""COMPUTED_VALUE"""),45043.66666666667)</f>
        <v>45043.66667</v>
      </c>
      <c r="B2132" s="19">
        <f>IFERROR(__xludf.DUMMYFUNCTION("""COMPUTED_VALUE"""),100.53)</f>
        <v>100.53</v>
      </c>
      <c r="C2132" s="19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</row>
    <row r="2133">
      <c r="A2133" s="24">
        <f>IFERROR(__xludf.DUMMYFUNCTION("""COMPUTED_VALUE"""),45044.66666666667)</f>
        <v>45044.66667</v>
      </c>
      <c r="B2133" s="19">
        <f>IFERROR(__xludf.DUMMYFUNCTION("""COMPUTED_VALUE"""),101.86)</f>
        <v>101.86</v>
      </c>
      <c r="C2133" s="19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</row>
    <row r="2134">
      <c r="A2134" s="24">
        <f>IFERROR(__xludf.DUMMYFUNCTION("""COMPUTED_VALUE"""),45047.66666666667)</f>
        <v>45047.66667</v>
      </c>
      <c r="B2134" s="19">
        <f>IFERROR(__xludf.DUMMYFUNCTION("""COMPUTED_VALUE"""),102.23)</f>
        <v>102.23</v>
      </c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</row>
    <row r="2135">
      <c r="A2135" s="24">
        <f>IFERROR(__xludf.DUMMYFUNCTION("""COMPUTED_VALUE"""),45048.66666666667)</f>
        <v>45048.66667</v>
      </c>
      <c r="B2135" s="19">
        <f>IFERROR(__xludf.DUMMYFUNCTION("""COMPUTED_VALUE"""),100.95)</f>
        <v>100.95</v>
      </c>
      <c r="C2135" s="19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</row>
    <row r="2136">
      <c r="A2136" s="24">
        <f>IFERROR(__xludf.DUMMYFUNCTION("""COMPUTED_VALUE"""),45049.66666666667)</f>
        <v>45049.66667</v>
      </c>
      <c r="B2136" s="19">
        <f>IFERROR(__xludf.DUMMYFUNCTION("""COMPUTED_VALUE"""),100.96)</f>
        <v>100.96</v>
      </c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</row>
    <row r="2137">
      <c r="A2137" s="24">
        <f>IFERROR(__xludf.DUMMYFUNCTION("""COMPUTED_VALUE"""),45050.66666666667)</f>
        <v>45050.66667</v>
      </c>
      <c r="B2137" s="19">
        <f>IFERROR(__xludf.DUMMYFUNCTION("""COMPUTED_VALUE"""),100.24)</f>
        <v>100.24</v>
      </c>
      <c r="C2137" s="19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</row>
    <row r="2138">
      <c r="A2138" s="24">
        <f>IFERROR(__xludf.DUMMYFUNCTION("""COMPUTED_VALUE"""),45051.66666666667)</f>
        <v>45051.66667</v>
      </c>
      <c r="B2138" s="19">
        <f>IFERROR(__xludf.DUMMYFUNCTION("""COMPUTED_VALUE"""),99.1)</f>
        <v>99.1</v>
      </c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</row>
    <row r="2139">
      <c r="A2139" s="24">
        <f>IFERROR(__xludf.DUMMYFUNCTION("""COMPUTED_VALUE"""),45054.66666666667)</f>
        <v>45054.66667</v>
      </c>
      <c r="B2139" s="19">
        <f>IFERROR(__xludf.DUMMYFUNCTION("""COMPUTED_VALUE"""),99.7)</f>
        <v>99.7</v>
      </c>
      <c r="C2139" s="19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</row>
    <row r="2140">
      <c r="A2140" s="24">
        <f>IFERROR(__xludf.DUMMYFUNCTION("""COMPUTED_VALUE"""),45055.66666666667)</f>
        <v>45055.66667</v>
      </c>
      <c r="B2140" s="19">
        <f>IFERROR(__xludf.DUMMYFUNCTION("""COMPUTED_VALUE"""),99.9)</f>
        <v>99.9</v>
      </c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</row>
    <row r="2141">
      <c r="A2141" s="24">
        <f>IFERROR(__xludf.DUMMYFUNCTION("""COMPUTED_VALUE"""),45056.66666666667)</f>
        <v>45056.66667</v>
      </c>
      <c r="B2141" s="19">
        <f>IFERROR(__xludf.DUMMYFUNCTION("""COMPUTED_VALUE"""),99.71)</f>
        <v>99.71</v>
      </c>
      <c r="C2141" s="19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</row>
    <row r="2142">
      <c r="A2142" s="24">
        <f>IFERROR(__xludf.DUMMYFUNCTION("""COMPUTED_VALUE"""),45057.66666666667)</f>
        <v>45057.66667</v>
      </c>
      <c r="B2142" s="19">
        <f>IFERROR(__xludf.DUMMYFUNCTION("""COMPUTED_VALUE"""),99.99)</f>
        <v>99.99</v>
      </c>
      <c r="C2142" s="19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</row>
    <row r="2143">
      <c r="A2143" s="24">
        <f>IFERROR(__xludf.DUMMYFUNCTION("""COMPUTED_VALUE"""),45058.66666666667)</f>
        <v>45058.66667</v>
      </c>
      <c r="B2143" s="19">
        <f>IFERROR(__xludf.DUMMYFUNCTION("""COMPUTED_VALUE"""),100.96)</f>
        <v>100.96</v>
      </c>
      <c r="C2143" s="19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</row>
    <row r="2144">
      <c r="A2144" s="24">
        <f>IFERROR(__xludf.DUMMYFUNCTION("""COMPUTED_VALUE"""),45061.66666666667)</f>
        <v>45061.66667</v>
      </c>
      <c r="B2144" s="19">
        <f>IFERROR(__xludf.DUMMYFUNCTION("""COMPUTED_VALUE"""),101.02)</f>
        <v>101.02</v>
      </c>
      <c r="C2144" s="19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</row>
    <row r="2145">
      <c r="A2145" s="24">
        <f>IFERROR(__xludf.DUMMYFUNCTION("""COMPUTED_VALUE"""),45062.66666666667)</f>
        <v>45062.66667</v>
      </c>
      <c r="B2145" s="19">
        <f>IFERROR(__xludf.DUMMYFUNCTION("""COMPUTED_VALUE"""),101.13)</f>
        <v>101.13</v>
      </c>
      <c r="C2145" s="19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</row>
    <row r="2146">
      <c r="A2146" s="24">
        <f>IFERROR(__xludf.DUMMYFUNCTION("""COMPUTED_VALUE"""),45063.66666666667)</f>
        <v>45063.66667</v>
      </c>
      <c r="B2146" s="19">
        <f>IFERROR(__xludf.DUMMYFUNCTION("""COMPUTED_VALUE"""),101.24)</f>
        <v>101.24</v>
      </c>
      <c r="C2146" s="19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</row>
    <row r="2147">
      <c r="A2147" s="24">
        <f>IFERROR(__xludf.DUMMYFUNCTION("""COMPUTED_VALUE"""),45064.66666666667)</f>
        <v>45064.66667</v>
      </c>
      <c r="B2147" s="19">
        <f>IFERROR(__xludf.DUMMYFUNCTION("""COMPUTED_VALUE"""),101.94)</f>
        <v>101.94</v>
      </c>
      <c r="C2147" s="19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</row>
    <row r="2148">
      <c r="A2148" s="24">
        <f>IFERROR(__xludf.DUMMYFUNCTION("""COMPUTED_VALUE"""),45065.66666666667)</f>
        <v>45065.66667</v>
      </c>
      <c r="B2148" s="19">
        <f>IFERROR(__xludf.DUMMYFUNCTION("""COMPUTED_VALUE"""),102.83)</f>
        <v>102.83</v>
      </c>
      <c r="C2148" s="19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</row>
    <row r="2149">
      <c r="A2149" s="24">
        <f>IFERROR(__xludf.DUMMYFUNCTION("""COMPUTED_VALUE"""),45068.66666666667)</f>
        <v>45068.66667</v>
      </c>
      <c r="B2149" s="19">
        <f>IFERROR(__xludf.DUMMYFUNCTION("""COMPUTED_VALUE"""),102.89)</f>
        <v>102.89</v>
      </c>
      <c r="C2149" s="19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</row>
    <row r="2150">
      <c r="A2150" s="24">
        <f>IFERROR(__xludf.DUMMYFUNCTION("""COMPUTED_VALUE"""),45069.66666666667)</f>
        <v>45069.66667</v>
      </c>
      <c r="B2150" s="19">
        <f>IFERROR(__xludf.DUMMYFUNCTION("""COMPUTED_VALUE"""),102.71)</f>
        <v>102.71</v>
      </c>
      <c r="C2150" s="19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</row>
    <row r="2151">
      <c r="A2151" s="24">
        <f>IFERROR(__xludf.DUMMYFUNCTION("""COMPUTED_VALUE"""),45070.66666666667)</f>
        <v>45070.66667</v>
      </c>
      <c r="B2151" s="19">
        <f>IFERROR(__xludf.DUMMYFUNCTION("""COMPUTED_VALUE"""),102.39)</f>
        <v>102.39</v>
      </c>
      <c r="C2151" s="19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</row>
    <row r="2152">
      <c r="A2152" s="24">
        <f>IFERROR(__xludf.DUMMYFUNCTION("""COMPUTED_VALUE"""),45071.66666666667)</f>
        <v>45071.66667</v>
      </c>
      <c r="B2152" s="19">
        <f>IFERROR(__xludf.DUMMYFUNCTION("""COMPUTED_VALUE"""),102.73)</f>
        <v>102.73</v>
      </c>
      <c r="C2152" s="19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</row>
    <row r="2153">
      <c r="A2153" s="24">
        <f>IFERROR(__xludf.DUMMYFUNCTION("""COMPUTED_VALUE"""),45072.66666666667)</f>
        <v>45072.66667</v>
      </c>
      <c r="B2153" s="19">
        <f>IFERROR(__xludf.DUMMYFUNCTION("""COMPUTED_VALUE"""),102.92)</f>
        <v>102.92</v>
      </c>
      <c r="C2153" s="19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</row>
    <row r="2154">
      <c r="A2154" s="24">
        <f>IFERROR(__xludf.DUMMYFUNCTION("""COMPUTED_VALUE"""),45075.66666666667)</f>
        <v>45075.66667</v>
      </c>
      <c r="B2154" s="19">
        <f>IFERROR(__xludf.DUMMYFUNCTION("""COMPUTED_VALUE"""),104.02)</f>
        <v>104.02</v>
      </c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</row>
    <row r="2155">
      <c r="A2155" s="24">
        <f>IFERROR(__xludf.DUMMYFUNCTION("""COMPUTED_VALUE"""),45076.66666666667)</f>
        <v>45076.66667</v>
      </c>
      <c r="B2155" s="19">
        <f>IFERROR(__xludf.DUMMYFUNCTION("""COMPUTED_VALUE"""),104.48)</f>
        <v>104.48</v>
      </c>
      <c r="C2155" s="19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</row>
    <row r="2156">
      <c r="A2156" s="24">
        <f>IFERROR(__xludf.DUMMYFUNCTION("""COMPUTED_VALUE"""),45077.66666666667)</f>
        <v>45077.66667</v>
      </c>
      <c r="B2156" s="19">
        <f>IFERROR(__xludf.DUMMYFUNCTION("""COMPUTED_VALUE"""),103.93)</f>
        <v>103.93</v>
      </c>
      <c r="C2156" s="19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</row>
    <row r="2157">
      <c r="A2157" s="24">
        <f>IFERROR(__xludf.DUMMYFUNCTION("""COMPUTED_VALUE"""),45078.66666666667)</f>
        <v>45078.66667</v>
      </c>
      <c r="B2157" s="19">
        <f>IFERROR(__xludf.DUMMYFUNCTION("""COMPUTED_VALUE"""),103.65)</f>
        <v>103.65</v>
      </c>
      <c r="C2157" s="19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</row>
    <row r="2158">
      <c r="A2158" s="24">
        <f>IFERROR(__xludf.DUMMYFUNCTION("""COMPUTED_VALUE"""),45079.66666666667)</f>
        <v>45079.66667</v>
      </c>
      <c r="B2158" s="19">
        <f>IFERROR(__xludf.DUMMYFUNCTION("""COMPUTED_VALUE"""),103.31)</f>
        <v>103.31</v>
      </c>
      <c r="C2158" s="19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</row>
    <row r="2159">
      <c r="A2159" s="24">
        <f>IFERROR(__xludf.DUMMYFUNCTION("""COMPUTED_VALUE"""),45082.66666666667)</f>
        <v>45082.66667</v>
      </c>
      <c r="B2159" s="19">
        <f>IFERROR(__xludf.DUMMYFUNCTION("""COMPUTED_VALUE"""),104.45)</f>
        <v>104.45</v>
      </c>
      <c r="C2159" s="19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</row>
    <row r="2160">
      <c r="A2160" s="24">
        <f>IFERROR(__xludf.DUMMYFUNCTION("""COMPUTED_VALUE"""),45083.66666666667)</f>
        <v>45083.66667</v>
      </c>
      <c r="B2160" s="19">
        <f>IFERROR(__xludf.DUMMYFUNCTION("""COMPUTED_VALUE"""),103.41)</f>
        <v>103.41</v>
      </c>
      <c r="C2160" s="19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</row>
    <row r="2161">
      <c r="A2161" s="24">
        <f>IFERROR(__xludf.DUMMYFUNCTION("""COMPUTED_VALUE"""),45084.66666666667)</f>
        <v>45084.66667</v>
      </c>
      <c r="B2161" s="19">
        <f>IFERROR(__xludf.DUMMYFUNCTION("""COMPUTED_VALUE"""),103.41)</f>
        <v>103.41</v>
      </c>
      <c r="C2161" s="19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</row>
    <row r="2162">
      <c r="A2162" s="24">
        <f>IFERROR(__xludf.DUMMYFUNCTION("""COMPUTED_VALUE"""),45085.66666666667)</f>
        <v>45085.66667</v>
      </c>
      <c r="B2162" s="19">
        <f>IFERROR(__xludf.DUMMYFUNCTION("""COMPUTED_VALUE"""),103.21)</f>
        <v>103.21</v>
      </c>
      <c r="C2162" s="19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</row>
    <row r="2163">
      <c r="A2163" s="24">
        <f>IFERROR(__xludf.DUMMYFUNCTION("""COMPUTED_VALUE"""),45086.66666666667)</f>
        <v>45086.66667</v>
      </c>
      <c r="B2163" s="19">
        <f>IFERROR(__xludf.DUMMYFUNCTION("""COMPUTED_VALUE"""),103.35)</f>
        <v>103.35</v>
      </c>
      <c r="C2163" s="19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</row>
    <row r="2164">
      <c r="A2164" s="24">
        <f>IFERROR(__xludf.DUMMYFUNCTION("""COMPUTED_VALUE"""),45090.66666666667)</f>
        <v>45090.66667</v>
      </c>
      <c r="B2164" s="19">
        <f>IFERROR(__xludf.DUMMYFUNCTION("""COMPUTED_VALUE"""),103.76)</f>
        <v>103.76</v>
      </c>
      <c r="C2164" s="19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</row>
    <row r="2165">
      <c r="A2165" s="24">
        <f>IFERROR(__xludf.DUMMYFUNCTION("""COMPUTED_VALUE"""),45091.66666666667)</f>
        <v>45091.66667</v>
      </c>
      <c r="B2165" s="19">
        <f>IFERROR(__xludf.DUMMYFUNCTION("""COMPUTED_VALUE"""),104.09)</f>
        <v>104.09</v>
      </c>
      <c r="C2165" s="19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</row>
    <row r="2166">
      <c r="A2166" s="24">
        <f>IFERROR(__xludf.DUMMYFUNCTION("""COMPUTED_VALUE"""),45092.66666666667)</f>
        <v>45092.66667</v>
      </c>
      <c r="B2166" s="19">
        <f>IFERROR(__xludf.DUMMYFUNCTION("""COMPUTED_VALUE"""),103.29)</f>
        <v>103.29</v>
      </c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</row>
    <row r="2167">
      <c r="A2167" s="24">
        <f>IFERROR(__xludf.DUMMYFUNCTION("""COMPUTED_VALUE"""),45093.66666666667)</f>
        <v>45093.66667</v>
      </c>
      <c r="B2167" s="19">
        <f>IFERROR(__xludf.DUMMYFUNCTION("""COMPUTED_VALUE"""),103.48)</f>
        <v>103.48</v>
      </c>
      <c r="C2167" s="19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</row>
    <row r="2168">
      <c r="A2168" s="24">
        <f>IFERROR(__xludf.DUMMYFUNCTION("""COMPUTED_VALUE"""),45096.66666666667)</f>
        <v>45096.66667</v>
      </c>
      <c r="B2168" s="19">
        <f>IFERROR(__xludf.DUMMYFUNCTION("""COMPUTED_VALUE"""),103.57)</f>
        <v>103.57</v>
      </c>
      <c r="C2168" s="19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</row>
    <row r="2169">
      <c r="A2169" s="24">
        <f>IFERROR(__xludf.DUMMYFUNCTION("""COMPUTED_VALUE"""),45097.66666666667)</f>
        <v>45097.66667</v>
      </c>
      <c r="B2169" s="19">
        <f>IFERROR(__xludf.DUMMYFUNCTION("""COMPUTED_VALUE"""),104.07)</f>
        <v>104.07</v>
      </c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</row>
    <row r="2170">
      <c r="A2170" s="24">
        <f>IFERROR(__xludf.DUMMYFUNCTION("""COMPUTED_VALUE"""),45098.66666666667)</f>
        <v>45098.66667</v>
      </c>
      <c r="B2170" s="19">
        <f>IFERROR(__xludf.DUMMYFUNCTION("""COMPUTED_VALUE"""),104.14)</f>
        <v>104.14</v>
      </c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</row>
    <row r="2171">
      <c r="A2171" s="24">
        <f>IFERROR(__xludf.DUMMYFUNCTION("""COMPUTED_VALUE"""),45099.66666666667)</f>
        <v>45099.66667</v>
      </c>
      <c r="B2171" s="19">
        <f>IFERROR(__xludf.DUMMYFUNCTION("""COMPUTED_VALUE"""),103.77)</f>
        <v>103.77</v>
      </c>
      <c r="C2171" s="19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</row>
    <row r="2172">
      <c r="A2172" s="24">
        <f>IFERROR(__xludf.DUMMYFUNCTION("""COMPUTED_VALUE"""),45100.66666666667)</f>
        <v>45100.66667</v>
      </c>
      <c r="B2172" s="19">
        <f>IFERROR(__xludf.DUMMYFUNCTION("""COMPUTED_VALUE"""),104.46)</f>
        <v>104.46</v>
      </c>
      <c r="C2172" s="19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</row>
    <row r="2173">
      <c r="A2173" s="24">
        <f>IFERROR(__xludf.DUMMYFUNCTION("""COMPUTED_VALUE"""),45103.66666666667)</f>
        <v>45103.66667</v>
      </c>
      <c r="B2173" s="19">
        <f>IFERROR(__xludf.DUMMYFUNCTION("""COMPUTED_VALUE"""),104.63)</f>
        <v>104.63</v>
      </c>
      <c r="C2173" s="19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</row>
    <row r="2174">
      <c r="A2174" s="24">
        <f>IFERROR(__xludf.DUMMYFUNCTION("""COMPUTED_VALUE"""),45104.66666666667)</f>
        <v>45104.66667</v>
      </c>
      <c r="B2174" s="19">
        <f>IFERROR(__xludf.DUMMYFUNCTION("""COMPUTED_VALUE"""),104.1)</f>
        <v>104.1</v>
      </c>
      <c r="C2174" s="19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</row>
    <row r="2175">
      <c r="A2175" s="24">
        <f>IFERROR(__xludf.DUMMYFUNCTION("""COMPUTED_VALUE"""),45105.66666666667)</f>
        <v>45105.66667</v>
      </c>
      <c r="B2175" s="19">
        <f>IFERROR(__xludf.DUMMYFUNCTION("""COMPUTED_VALUE"""),105.8)</f>
        <v>105.8</v>
      </c>
      <c r="C2175" s="19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</row>
    <row r="2176">
      <c r="A2176" s="24">
        <f>IFERROR(__xludf.DUMMYFUNCTION("""COMPUTED_VALUE"""),45106.66666666667)</f>
        <v>45106.66667</v>
      </c>
      <c r="B2176" s="19">
        <f>IFERROR(__xludf.DUMMYFUNCTION("""COMPUTED_VALUE"""),106.39)</f>
        <v>106.39</v>
      </c>
      <c r="C2176" s="19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</row>
    <row r="2177">
      <c r="A2177" s="24">
        <f>IFERROR(__xludf.DUMMYFUNCTION("""COMPUTED_VALUE"""),45107.66666666667)</f>
        <v>45107.66667</v>
      </c>
      <c r="B2177" s="19">
        <f>IFERROR(__xludf.DUMMYFUNCTION("""COMPUTED_VALUE"""),106.54)</f>
        <v>106.54</v>
      </c>
      <c r="C2177" s="19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</row>
    <row r="2178">
      <c r="A2178" s="24">
        <f>IFERROR(__xludf.DUMMYFUNCTION("""COMPUTED_VALUE"""),45110.66666666667)</f>
        <v>45110.66667</v>
      </c>
      <c r="B2178" s="19">
        <f>IFERROR(__xludf.DUMMYFUNCTION("""COMPUTED_VALUE"""),106.09)</f>
        <v>106.09</v>
      </c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</row>
    <row r="2179">
      <c r="A2179" s="24">
        <f>IFERROR(__xludf.DUMMYFUNCTION("""COMPUTED_VALUE"""),45111.66666666667)</f>
        <v>45111.66667</v>
      </c>
      <c r="B2179" s="19">
        <f>IFERROR(__xludf.DUMMYFUNCTION("""COMPUTED_VALUE"""),106.14)</f>
        <v>106.14</v>
      </c>
      <c r="C2179" s="19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</row>
    <row r="2180">
      <c r="A2180" s="24">
        <f>IFERROR(__xludf.DUMMYFUNCTION("""COMPUTED_VALUE"""),45112.66666666667)</f>
        <v>45112.66667</v>
      </c>
      <c r="B2180" s="19">
        <f>IFERROR(__xludf.DUMMYFUNCTION("""COMPUTED_VALUE"""),105.58)</f>
        <v>105.58</v>
      </c>
      <c r="C2180" s="19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</row>
    <row r="2181">
      <c r="A2181" s="24">
        <f>IFERROR(__xludf.DUMMYFUNCTION("""COMPUTED_VALUE"""),45113.66666666667)</f>
        <v>45113.66667</v>
      </c>
      <c r="B2181" s="19">
        <f>IFERROR(__xludf.DUMMYFUNCTION("""COMPUTED_VALUE"""),105.29)</f>
        <v>105.29</v>
      </c>
      <c r="C2181" s="19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</row>
    <row r="2182">
      <c r="A2182" s="24">
        <f>IFERROR(__xludf.DUMMYFUNCTION("""COMPUTED_VALUE"""),45114.66666666667)</f>
        <v>45114.66667</v>
      </c>
      <c r="B2182" s="19">
        <f>IFERROR(__xludf.DUMMYFUNCTION("""COMPUTED_VALUE"""),104.91)</f>
        <v>104.91</v>
      </c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</row>
    <row r="2183">
      <c r="A2183" s="24">
        <f>IFERROR(__xludf.DUMMYFUNCTION("""COMPUTED_VALUE"""),45117.66666666667)</f>
        <v>45117.66667</v>
      </c>
      <c r="B2183" s="19">
        <f>IFERROR(__xludf.DUMMYFUNCTION("""COMPUTED_VALUE"""),104.2)</f>
        <v>104.2</v>
      </c>
      <c r="C2183" s="19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</row>
    <row r="2184">
      <c r="A2184" s="24">
        <f>IFERROR(__xludf.DUMMYFUNCTION("""COMPUTED_VALUE"""),45118.66666666667)</f>
        <v>45118.66667</v>
      </c>
      <c r="B2184" s="19">
        <f>IFERROR(__xludf.DUMMYFUNCTION("""COMPUTED_VALUE"""),104.73)</f>
        <v>104.73</v>
      </c>
      <c r="C2184" s="19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</row>
    <row r="2185">
      <c r="A2185" s="24">
        <f>IFERROR(__xludf.DUMMYFUNCTION("""COMPUTED_VALUE"""),45119.66666666667)</f>
        <v>45119.66667</v>
      </c>
      <c r="B2185" s="19">
        <f>IFERROR(__xludf.DUMMYFUNCTION("""COMPUTED_VALUE"""),104.96)</f>
        <v>104.96</v>
      </c>
      <c r="C2185" s="19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</row>
    <row r="2186">
      <c r="A2186" s="24">
        <f>IFERROR(__xludf.DUMMYFUNCTION("""COMPUTED_VALUE"""),45120.66666666667)</f>
        <v>45120.66667</v>
      </c>
      <c r="B2186" s="19">
        <f>IFERROR(__xludf.DUMMYFUNCTION("""COMPUTED_VALUE"""),104.7)</f>
        <v>104.7</v>
      </c>
      <c r="C2186" s="19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</row>
    <row r="2187">
      <c r="A2187" s="24">
        <f>IFERROR(__xludf.DUMMYFUNCTION("""COMPUTED_VALUE"""),45121.66666666667)</f>
        <v>45121.66667</v>
      </c>
      <c r="B2187" s="19">
        <f>IFERROR(__xludf.DUMMYFUNCTION("""COMPUTED_VALUE"""),104.31)</f>
        <v>104.31</v>
      </c>
      <c r="C2187" s="19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</row>
    <row r="2188">
      <c r="A2188" s="24">
        <f>IFERROR(__xludf.DUMMYFUNCTION("""COMPUTED_VALUE"""),45124.66666666667)</f>
        <v>45124.66667</v>
      </c>
      <c r="B2188" s="19">
        <f>IFERROR(__xludf.DUMMYFUNCTION("""COMPUTED_VALUE"""),105.1)</f>
        <v>105.1</v>
      </c>
      <c r="C2188" s="19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</row>
    <row r="2189">
      <c r="A2189" s="24">
        <f>IFERROR(__xludf.DUMMYFUNCTION("""COMPUTED_VALUE"""),45125.66666666667)</f>
        <v>45125.66667</v>
      </c>
      <c r="B2189" s="19">
        <f>IFERROR(__xludf.DUMMYFUNCTION("""COMPUTED_VALUE"""),105.44)</f>
        <v>105.44</v>
      </c>
      <c r="C2189" s="19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</row>
    <row r="2190">
      <c r="A2190" s="24">
        <f>IFERROR(__xludf.DUMMYFUNCTION("""COMPUTED_VALUE"""),45126.66666666667)</f>
        <v>45126.66667</v>
      </c>
      <c r="B2190" s="19">
        <f>IFERROR(__xludf.DUMMYFUNCTION("""COMPUTED_VALUE"""),106.75)</f>
        <v>106.75</v>
      </c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</row>
    <row r="2191">
      <c r="A2191" s="24">
        <f>IFERROR(__xludf.DUMMYFUNCTION("""COMPUTED_VALUE"""),45127.66666666667)</f>
        <v>45127.66667</v>
      </c>
      <c r="B2191" s="19">
        <f>IFERROR(__xludf.DUMMYFUNCTION("""COMPUTED_VALUE"""),106.43)</f>
        <v>106.43</v>
      </c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</row>
    <row r="2192">
      <c r="A2192" s="24">
        <f>IFERROR(__xludf.DUMMYFUNCTION("""COMPUTED_VALUE"""),45128.66666666667)</f>
        <v>45128.66667</v>
      </c>
      <c r="B2192" s="19">
        <f>IFERROR(__xludf.DUMMYFUNCTION("""COMPUTED_VALUE"""),106.55)</f>
        <v>106.55</v>
      </c>
      <c r="C2192" s="19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</row>
    <row r="2193">
      <c r="A2193" s="24">
        <f>IFERROR(__xludf.DUMMYFUNCTION("""COMPUTED_VALUE"""),45131.66666666667)</f>
        <v>45131.66667</v>
      </c>
      <c r="B2193" s="19">
        <f>IFERROR(__xludf.DUMMYFUNCTION("""COMPUTED_VALUE"""),107.05)</f>
        <v>107.05</v>
      </c>
      <c r="C2193" s="19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</row>
    <row r="2194">
      <c r="A2194" s="24">
        <f>IFERROR(__xludf.DUMMYFUNCTION("""COMPUTED_VALUE"""),45132.66666666667)</f>
        <v>45132.66667</v>
      </c>
      <c r="B2194" s="19">
        <f>IFERROR(__xludf.DUMMYFUNCTION("""COMPUTED_VALUE"""),106.86)</f>
        <v>106.86</v>
      </c>
      <c r="C2194" s="19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</row>
    <row r="2195">
      <c r="A2195" s="24">
        <f>IFERROR(__xludf.DUMMYFUNCTION("""COMPUTED_VALUE"""),45133.66666666667)</f>
        <v>45133.66667</v>
      </c>
      <c r="B2195" s="19">
        <f>IFERROR(__xludf.DUMMYFUNCTION("""COMPUTED_VALUE"""),107.27)</f>
        <v>107.27</v>
      </c>
      <c r="C2195" s="19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</row>
    <row r="2196">
      <c r="A2196" s="24">
        <f>IFERROR(__xludf.DUMMYFUNCTION("""COMPUTED_VALUE"""),45134.66666666667)</f>
        <v>45134.66667</v>
      </c>
      <c r="B2196" s="19">
        <f>IFERROR(__xludf.DUMMYFUNCTION("""COMPUTED_VALUE"""),107.26)</f>
        <v>107.26</v>
      </c>
      <c r="C2196" s="19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</row>
    <row r="2197">
      <c r="A2197" s="24">
        <f>IFERROR(__xludf.DUMMYFUNCTION("""COMPUTED_VALUE"""),45135.66666666667)</f>
        <v>45135.66667</v>
      </c>
      <c r="B2197" s="19">
        <f>IFERROR(__xludf.DUMMYFUNCTION("""COMPUTED_VALUE"""),108.76)</f>
        <v>108.76</v>
      </c>
      <c r="C2197" s="19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</row>
    <row r="2198">
      <c r="A2198" s="24">
        <f>IFERROR(__xludf.DUMMYFUNCTION("""COMPUTED_VALUE"""),45138.66666666667)</f>
        <v>45138.66667</v>
      </c>
      <c r="B2198" s="19">
        <f>IFERROR(__xludf.DUMMYFUNCTION("""COMPUTED_VALUE"""),108.84)</f>
        <v>108.84</v>
      </c>
      <c r="C2198" s="19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</row>
    <row r="2199">
      <c r="A2199" s="24">
        <f>IFERROR(__xludf.DUMMYFUNCTION("""COMPUTED_VALUE"""),45139.66666666667)</f>
        <v>45139.66667</v>
      </c>
      <c r="B2199" s="19">
        <f>IFERROR(__xludf.DUMMYFUNCTION("""COMPUTED_VALUE"""),109.38)</f>
        <v>109.38</v>
      </c>
      <c r="C2199" s="19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</row>
    <row r="2200">
      <c r="A2200" s="24">
        <f>IFERROR(__xludf.DUMMYFUNCTION("""COMPUTED_VALUE"""),45140.66666666667)</f>
        <v>45140.66667</v>
      </c>
      <c r="B2200" s="19">
        <f>IFERROR(__xludf.DUMMYFUNCTION("""COMPUTED_VALUE"""),109.83)</f>
        <v>109.83</v>
      </c>
      <c r="C2200" s="19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</row>
    <row r="2201">
      <c r="A2201" s="24">
        <f>IFERROR(__xludf.DUMMYFUNCTION("""COMPUTED_VALUE"""),45141.66666666667)</f>
        <v>45141.66667</v>
      </c>
      <c r="B2201" s="19">
        <f>IFERROR(__xludf.DUMMYFUNCTION("""COMPUTED_VALUE"""),109.27)</f>
        <v>109.27</v>
      </c>
      <c r="C2201" s="19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</row>
    <row r="2202">
      <c r="A2202" s="24">
        <f>IFERROR(__xludf.DUMMYFUNCTION("""COMPUTED_VALUE"""),45142.66666666667)</f>
        <v>45142.66667</v>
      </c>
      <c r="B2202" s="19">
        <f>IFERROR(__xludf.DUMMYFUNCTION("""COMPUTED_VALUE"""),108.94)</f>
        <v>108.94</v>
      </c>
      <c r="C2202" s="19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</row>
    <row r="2203">
      <c r="A2203" s="24">
        <f>IFERROR(__xludf.DUMMYFUNCTION("""COMPUTED_VALUE"""),45145.66666666667)</f>
        <v>45145.66667</v>
      </c>
      <c r="B2203" s="19">
        <f>IFERROR(__xludf.DUMMYFUNCTION("""COMPUTED_VALUE"""),108.45)</f>
        <v>108.45</v>
      </c>
      <c r="C2203" s="19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</row>
    <row r="2204">
      <c r="A2204" s="24">
        <f>IFERROR(__xludf.DUMMYFUNCTION("""COMPUTED_VALUE"""),45146.66666666667)</f>
        <v>45146.66667</v>
      </c>
      <c r="B2204" s="19">
        <f>IFERROR(__xludf.DUMMYFUNCTION("""COMPUTED_VALUE"""),109.25)</f>
        <v>109.25</v>
      </c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</row>
    <row r="2205">
      <c r="A2205" s="24">
        <f>IFERROR(__xludf.DUMMYFUNCTION("""COMPUTED_VALUE"""),45147.66666666667)</f>
        <v>45147.66667</v>
      </c>
      <c r="B2205" s="19">
        <f>IFERROR(__xludf.DUMMYFUNCTION("""COMPUTED_VALUE"""),108.89)</f>
        <v>108.89</v>
      </c>
      <c r="C2205" s="19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</row>
    <row r="2206">
      <c r="A2206" s="24">
        <f>IFERROR(__xludf.DUMMYFUNCTION("""COMPUTED_VALUE"""),45148.66666666667)</f>
        <v>45148.66667</v>
      </c>
      <c r="B2206" s="19">
        <f>IFERROR(__xludf.DUMMYFUNCTION("""COMPUTED_VALUE"""),108.85)</f>
        <v>108.85</v>
      </c>
      <c r="C2206" s="19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</row>
    <row r="2207">
      <c r="A2207" s="24">
        <f>IFERROR(__xludf.DUMMYFUNCTION("""COMPUTED_VALUE"""),45149.66666666667)</f>
        <v>45149.66667</v>
      </c>
      <c r="B2207" s="19">
        <f>IFERROR(__xludf.DUMMYFUNCTION("""COMPUTED_VALUE"""),108.98)</f>
        <v>108.98</v>
      </c>
      <c r="C2207" s="19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</row>
    <row r="2208">
      <c r="A2208" s="24">
        <f>IFERROR(__xludf.DUMMYFUNCTION("""COMPUTED_VALUE"""),45152.66666666667)</f>
        <v>45152.66667</v>
      </c>
      <c r="B2208" s="19">
        <f>IFERROR(__xludf.DUMMYFUNCTION("""COMPUTED_VALUE"""),109.02)</f>
        <v>109.02</v>
      </c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</row>
    <row r="2209">
      <c r="A2209" s="24">
        <f>IFERROR(__xludf.DUMMYFUNCTION("""COMPUTED_VALUE"""),45153.66666666667)</f>
        <v>45153.66667</v>
      </c>
      <c r="B2209" s="19">
        <f>IFERROR(__xludf.DUMMYFUNCTION("""COMPUTED_VALUE"""),109.24)</f>
        <v>109.24</v>
      </c>
      <c r="C2209" s="19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</row>
    <row r="2210">
      <c r="A2210" s="24">
        <f>IFERROR(__xludf.DUMMYFUNCTION("""COMPUTED_VALUE"""),45154.66666666667)</f>
        <v>45154.66667</v>
      </c>
      <c r="B2210" s="19">
        <f>IFERROR(__xludf.DUMMYFUNCTION("""COMPUTED_VALUE"""),108.66)</f>
        <v>108.66</v>
      </c>
      <c r="C2210" s="19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</row>
    <row r="2211">
      <c r="A2211" s="24">
        <f>IFERROR(__xludf.DUMMYFUNCTION("""COMPUTED_VALUE"""),45155.66666666667)</f>
        <v>45155.66667</v>
      </c>
      <c r="B2211" s="19">
        <f>IFERROR(__xludf.DUMMYFUNCTION("""COMPUTED_VALUE"""),108.95)</f>
        <v>108.95</v>
      </c>
      <c r="C2211" s="19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</row>
    <row r="2212">
      <c r="A2212" s="24">
        <f>IFERROR(__xludf.DUMMYFUNCTION("""COMPUTED_VALUE"""),45156.66666666667)</f>
        <v>45156.66667</v>
      </c>
      <c r="B2212" s="19">
        <f>IFERROR(__xludf.DUMMYFUNCTION("""COMPUTED_VALUE"""),107.98)</f>
        <v>107.98</v>
      </c>
      <c r="C2212" s="19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</row>
    <row r="2213">
      <c r="A2213" s="24">
        <f>IFERROR(__xludf.DUMMYFUNCTION("""COMPUTED_VALUE"""),45159.66666666667)</f>
        <v>45159.66667</v>
      </c>
      <c r="B2213" s="19">
        <f>IFERROR(__xludf.DUMMYFUNCTION("""COMPUTED_VALUE"""),107.89)</f>
        <v>107.89</v>
      </c>
      <c r="C2213" s="19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</row>
    <row r="2214">
      <c r="A2214" s="24">
        <f>IFERROR(__xludf.DUMMYFUNCTION("""COMPUTED_VALUE"""),45160.66666666667)</f>
        <v>45160.66667</v>
      </c>
      <c r="B2214" s="19">
        <f>IFERROR(__xludf.DUMMYFUNCTION("""COMPUTED_VALUE"""),108.31)</f>
        <v>108.31</v>
      </c>
      <c r="C2214" s="19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</row>
    <row r="2215">
      <c r="A2215" s="24">
        <f>IFERROR(__xludf.DUMMYFUNCTION("""COMPUTED_VALUE"""),45161.66666666667)</f>
        <v>45161.66667</v>
      </c>
      <c r="B2215" s="19">
        <f>IFERROR(__xludf.DUMMYFUNCTION("""COMPUTED_VALUE"""),108.23)</f>
        <v>108.23</v>
      </c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</row>
    <row r="2216">
      <c r="A2216" s="24">
        <f>IFERROR(__xludf.DUMMYFUNCTION("""COMPUTED_VALUE"""),45162.66666666667)</f>
        <v>45162.66667</v>
      </c>
      <c r="B2216" s="19">
        <f>IFERROR(__xludf.DUMMYFUNCTION("""COMPUTED_VALUE"""),108.99)</f>
        <v>108.99</v>
      </c>
      <c r="C2216" s="19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</row>
    <row r="2217">
      <c r="A2217" s="24">
        <f>IFERROR(__xludf.DUMMYFUNCTION("""COMPUTED_VALUE"""),45163.66666666667)</f>
        <v>45163.66667</v>
      </c>
      <c r="B2217" s="19">
        <f>IFERROR(__xludf.DUMMYFUNCTION("""COMPUTED_VALUE"""),107.99)</f>
        <v>107.99</v>
      </c>
      <c r="C2217" s="19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</row>
    <row r="2218">
      <c r="A2218" s="24">
        <f>IFERROR(__xludf.DUMMYFUNCTION("""COMPUTED_VALUE"""),45166.66666666667)</f>
        <v>45166.66667</v>
      </c>
      <c r="B2218" s="19">
        <f>IFERROR(__xludf.DUMMYFUNCTION("""COMPUTED_VALUE"""),108.45)</f>
        <v>108.45</v>
      </c>
      <c r="C2218" s="19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</row>
    <row r="2219">
      <c r="A2219" s="24">
        <f>IFERROR(__xludf.DUMMYFUNCTION("""COMPUTED_VALUE"""),45167.66666666667)</f>
        <v>45167.66667</v>
      </c>
      <c r="B2219" s="19">
        <f>IFERROR(__xludf.DUMMYFUNCTION("""COMPUTED_VALUE"""),109.02)</f>
        <v>109.02</v>
      </c>
      <c r="C2219" s="19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</row>
    <row r="2220">
      <c r="A2220" s="24">
        <f>IFERROR(__xludf.DUMMYFUNCTION("""COMPUTED_VALUE"""),45168.66666666667)</f>
        <v>45168.66667</v>
      </c>
      <c r="B2220" s="19">
        <f>IFERROR(__xludf.DUMMYFUNCTION("""COMPUTED_VALUE"""),109.91)</f>
        <v>109.91</v>
      </c>
      <c r="C2220" s="19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</row>
    <row r="2221">
      <c r="A2221" s="24">
        <f>IFERROR(__xludf.DUMMYFUNCTION("""COMPUTED_VALUE"""),45169.66666666667)</f>
        <v>45169.66667</v>
      </c>
      <c r="B2221" s="19">
        <f>IFERROR(__xludf.DUMMYFUNCTION("""COMPUTED_VALUE"""),110.24)</f>
        <v>110.24</v>
      </c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</row>
    <row r="2222">
      <c r="A2222" s="24">
        <f>IFERROR(__xludf.DUMMYFUNCTION("""COMPUTED_VALUE"""),45170.66666666667)</f>
        <v>45170.66667</v>
      </c>
      <c r="B2222" s="19">
        <f>IFERROR(__xludf.DUMMYFUNCTION("""COMPUTED_VALUE"""),110.35)</f>
        <v>110.35</v>
      </c>
      <c r="C2222" s="19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</row>
    <row r="2223">
      <c r="A2223" s="24">
        <f>IFERROR(__xludf.DUMMYFUNCTION("""COMPUTED_VALUE"""),45173.66666666667)</f>
        <v>45173.66667</v>
      </c>
      <c r="B2223" s="19">
        <f>IFERROR(__xludf.DUMMYFUNCTION("""COMPUTED_VALUE"""),110.32)</f>
        <v>110.32</v>
      </c>
      <c r="C2223" s="19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</row>
    <row r="2224">
      <c r="A2224" s="24">
        <f>IFERROR(__xludf.DUMMYFUNCTION("""COMPUTED_VALUE"""),45174.66666666667)</f>
        <v>45174.66667</v>
      </c>
      <c r="B2224" s="19">
        <f>IFERROR(__xludf.DUMMYFUNCTION("""COMPUTED_VALUE"""),111.32)</f>
        <v>111.32</v>
      </c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</row>
    <row r="2225">
      <c r="A2225" s="24">
        <f>IFERROR(__xludf.DUMMYFUNCTION("""COMPUTED_VALUE"""),45175.66666666667)</f>
        <v>45175.66667</v>
      </c>
      <c r="B2225" s="19">
        <f>IFERROR(__xludf.DUMMYFUNCTION("""COMPUTED_VALUE"""),110.97)</f>
        <v>110.97</v>
      </c>
      <c r="C2225" s="19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</row>
    <row r="2226">
      <c r="A2226" s="24">
        <f>IFERROR(__xludf.DUMMYFUNCTION("""COMPUTED_VALUE"""),45176.66666666667)</f>
        <v>45176.66667</v>
      </c>
      <c r="B2226" s="19">
        <f>IFERROR(__xludf.DUMMYFUNCTION("""COMPUTED_VALUE"""),110.28)</f>
        <v>110.28</v>
      </c>
      <c r="C2226" s="19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</row>
    <row r="2227">
      <c r="A2227" s="24">
        <f>IFERROR(__xludf.DUMMYFUNCTION("""COMPUTED_VALUE"""),45177.66666666667)</f>
        <v>45177.66667</v>
      </c>
      <c r="B2227" s="19">
        <f>IFERROR(__xludf.DUMMYFUNCTION("""COMPUTED_VALUE"""),110.07)</f>
        <v>110.07</v>
      </c>
      <c r="C2227" s="19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</row>
    <row r="2228">
      <c r="A2228" s="24">
        <f>IFERROR(__xludf.DUMMYFUNCTION("""COMPUTED_VALUE"""),45180.66666666667)</f>
        <v>45180.66667</v>
      </c>
      <c r="B2228" s="19">
        <f>IFERROR(__xludf.DUMMYFUNCTION("""COMPUTED_VALUE"""),109.86)</f>
        <v>109.86</v>
      </c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</row>
    <row r="2229">
      <c r="A2229" s="24">
        <f>IFERROR(__xludf.DUMMYFUNCTION("""COMPUTED_VALUE"""),45181.66666666667)</f>
        <v>45181.66667</v>
      </c>
      <c r="B2229" s="19">
        <f>IFERROR(__xludf.DUMMYFUNCTION("""COMPUTED_VALUE"""),110.34)</f>
        <v>110.34</v>
      </c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</row>
    <row r="2230">
      <c r="A2230" s="24">
        <f>IFERROR(__xludf.DUMMYFUNCTION("""COMPUTED_VALUE"""),45182.66666666667)</f>
        <v>45182.66667</v>
      </c>
      <c r="B2230" s="19">
        <f>IFERROR(__xludf.DUMMYFUNCTION("""COMPUTED_VALUE"""),110.03)</f>
        <v>110.03</v>
      </c>
      <c r="C2230" s="19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</row>
    <row r="2231">
      <c r="A2231" s="24">
        <f>IFERROR(__xludf.DUMMYFUNCTION("""COMPUTED_VALUE"""),45183.66666666667)</f>
        <v>45183.66667</v>
      </c>
      <c r="B2231" s="19">
        <f>IFERROR(__xludf.DUMMYFUNCTION("""COMPUTED_VALUE"""),110.05)</f>
        <v>110.05</v>
      </c>
      <c r="C2231" s="19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</row>
    <row r="2232">
      <c r="A2232" s="24">
        <f>IFERROR(__xludf.DUMMYFUNCTION("""COMPUTED_VALUE"""),45184.66666666667)</f>
        <v>45184.66667</v>
      </c>
      <c r="B2232" s="19">
        <f>IFERROR(__xludf.DUMMYFUNCTION("""COMPUTED_VALUE"""),110.52)</f>
        <v>110.52</v>
      </c>
      <c r="C2232" s="19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</row>
    <row r="2233">
      <c r="A2233" s="24">
        <f>IFERROR(__xludf.DUMMYFUNCTION("""COMPUTED_VALUE"""),45187.66666666667)</f>
        <v>45187.66667</v>
      </c>
      <c r="B2233" s="19">
        <f>IFERROR(__xludf.DUMMYFUNCTION("""COMPUTED_VALUE"""),109.64)</f>
        <v>109.64</v>
      </c>
      <c r="C2233" s="19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</row>
    <row r="2234">
      <c r="A2234" s="24">
        <f>IFERROR(__xludf.DUMMYFUNCTION("""COMPUTED_VALUE"""),45188.66666666667)</f>
        <v>45188.66667</v>
      </c>
      <c r="B2234" s="19">
        <f>IFERROR(__xludf.DUMMYFUNCTION("""COMPUTED_VALUE"""),109.56)</f>
        <v>109.56</v>
      </c>
      <c r="C2234" s="19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</row>
    <row r="2235">
      <c r="A2235" s="24">
        <f>IFERROR(__xludf.DUMMYFUNCTION("""COMPUTED_VALUE"""),45189.66666666667)</f>
        <v>45189.66667</v>
      </c>
      <c r="B2235" s="19">
        <f>IFERROR(__xludf.DUMMYFUNCTION("""COMPUTED_VALUE"""),109.01)</f>
        <v>109.01</v>
      </c>
      <c r="C2235" s="19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</row>
    <row r="2236">
      <c r="A2236" s="24">
        <f>IFERROR(__xludf.DUMMYFUNCTION("""COMPUTED_VALUE"""),45190.66666666667)</f>
        <v>45190.66667</v>
      </c>
      <c r="B2236" s="19">
        <f>IFERROR(__xludf.DUMMYFUNCTION("""COMPUTED_VALUE"""),108.7)</f>
        <v>108.7</v>
      </c>
      <c r="C2236" s="19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</row>
    <row r="2237">
      <c r="A2237" s="24">
        <f>IFERROR(__xludf.DUMMYFUNCTION("""COMPUTED_VALUE"""),45191.66666666667)</f>
        <v>45191.66667</v>
      </c>
      <c r="B2237" s="19">
        <f>IFERROR(__xludf.DUMMYFUNCTION("""COMPUTED_VALUE"""),107.33)</f>
        <v>107.33</v>
      </c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</row>
    <row r="2238">
      <c r="A2238" s="24">
        <f>IFERROR(__xludf.DUMMYFUNCTION("""COMPUTED_VALUE"""),45194.66666666667)</f>
        <v>45194.66667</v>
      </c>
      <c r="B2238" s="19">
        <f>IFERROR(__xludf.DUMMYFUNCTION("""COMPUTED_VALUE"""),107.22)</f>
        <v>107.22</v>
      </c>
      <c r="C2238" s="19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</row>
    <row r="2239">
      <c r="A2239" s="24">
        <f>IFERROR(__xludf.DUMMYFUNCTION("""COMPUTED_VALUE"""),45195.66666666667)</f>
        <v>45195.66667</v>
      </c>
      <c r="B2239" s="19">
        <f>IFERROR(__xludf.DUMMYFUNCTION("""COMPUTED_VALUE"""),106.83)</f>
        <v>106.83</v>
      </c>
      <c r="C2239" s="19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</row>
    <row r="2240">
      <c r="A2240" s="24">
        <f>IFERROR(__xludf.DUMMYFUNCTION("""COMPUTED_VALUE"""),45196.66666666667)</f>
        <v>45196.66667</v>
      </c>
      <c r="B2240" s="19">
        <f>IFERROR(__xludf.DUMMYFUNCTION("""COMPUTED_VALUE"""),106.62)</f>
        <v>106.62</v>
      </c>
      <c r="C2240" s="19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</row>
    <row r="2241">
      <c r="A2241" s="24">
        <f>IFERROR(__xludf.DUMMYFUNCTION("""COMPUTED_VALUE"""),45197.66666666667)</f>
        <v>45197.66667</v>
      </c>
      <c r="B2241" s="19">
        <f>IFERROR(__xludf.DUMMYFUNCTION("""COMPUTED_VALUE"""),106.57)</f>
        <v>106.57</v>
      </c>
      <c r="C2241" s="19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</row>
    <row r="2242">
      <c r="A2242" s="24">
        <f>IFERROR(__xludf.DUMMYFUNCTION("""COMPUTED_VALUE"""),45198.66666666667)</f>
        <v>45198.66667</v>
      </c>
      <c r="B2242" s="19">
        <f>IFERROR(__xludf.DUMMYFUNCTION("""COMPUTED_VALUE"""),105.8)</f>
        <v>105.8</v>
      </c>
      <c r="C2242" s="19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</row>
    <row r="2243">
      <c r="A2243" s="24">
        <f>IFERROR(__xludf.DUMMYFUNCTION("""COMPUTED_VALUE"""),45201.66666666667)</f>
        <v>45201.66667</v>
      </c>
      <c r="B2243" s="19">
        <f>IFERROR(__xludf.DUMMYFUNCTION("""COMPUTED_VALUE"""),106.15)</f>
        <v>106.15</v>
      </c>
      <c r="C2243" s="19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</row>
    <row r="2244">
      <c r="A2244" s="24">
        <f>IFERROR(__xludf.DUMMYFUNCTION("""COMPUTED_VALUE"""),45202.66666666667)</f>
        <v>45202.66667</v>
      </c>
      <c r="B2244" s="19">
        <f>IFERROR(__xludf.DUMMYFUNCTION("""COMPUTED_VALUE"""),106.21)</f>
        <v>106.21</v>
      </c>
      <c r="C2244" s="19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</row>
    <row r="2245">
      <c r="A2245" s="24">
        <f>IFERROR(__xludf.DUMMYFUNCTION("""COMPUTED_VALUE"""),45203.66666666667)</f>
        <v>45203.66667</v>
      </c>
      <c r="B2245" s="19">
        <f>IFERROR(__xludf.DUMMYFUNCTION("""COMPUTED_VALUE"""),104.82)</f>
        <v>104.82</v>
      </c>
      <c r="C2245" s="19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</row>
    <row r="2246">
      <c r="A2246" s="24">
        <f>IFERROR(__xludf.DUMMYFUNCTION("""COMPUTED_VALUE"""),45204.66666666667)</f>
        <v>45204.66667</v>
      </c>
      <c r="B2246" s="19">
        <f>IFERROR(__xludf.DUMMYFUNCTION("""COMPUTED_VALUE"""),105.08)</f>
        <v>105.08</v>
      </c>
      <c r="C2246" s="19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</row>
    <row r="2247">
      <c r="A2247" s="24">
        <f>IFERROR(__xludf.DUMMYFUNCTION("""COMPUTED_VALUE"""),45205.66666666667)</f>
        <v>45205.66667</v>
      </c>
      <c r="B2247" s="19">
        <f>IFERROR(__xludf.DUMMYFUNCTION("""COMPUTED_VALUE"""),105.01)</f>
        <v>105.01</v>
      </c>
      <c r="C2247" s="19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</row>
    <row r="2248">
      <c r="A2248" s="19"/>
      <c r="B2248" s="19"/>
      <c r="C2248" s="19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</row>
    <row r="2249">
      <c r="A2249" s="19"/>
      <c r="B2249" s="19"/>
      <c r="C2249" s="19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</row>
    <row r="2250">
      <c r="A2250" s="19"/>
      <c r="B2250" s="19"/>
      <c r="C2250" s="19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</row>
    <row r="2251">
      <c r="A2251" s="19"/>
      <c r="B2251" s="19"/>
      <c r="C2251" s="19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</row>
    <row r="2252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</row>
    <row r="2253">
      <c r="A2253" s="19"/>
      <c r="B2253" s="19"/>
      <c r="C2253" s="19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</row>
    <row r="2254">
      <c r="A2254" s="19"/>
      <c r="B2254" s="19"/>
      <c r="C2254" s="19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</row>
    <row r="2255">
      <c r="A2255" s="19"/>
      <c r="B2255" s="19"/>
      <c r="C2255" s="19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</row>
    <row r="2256">
      <c r="A2256" s="19"/>
      <c r="B2256" s="19"/>
      <c r="C2256" s="19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</row>
    <row r="2257">
      <c r="A2257" s="19"/>
      <c r="B2257" s="19"/>
      <c r="C2257" s="19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</row>
    <row r="2258">
      <c r="A2258" s="19"/>
      <c r="B2258" s="19"/>
      <c r="C2258" s="19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</row>
    <row r="2259">
      <c r="A2259" s="19"/>
      <c r="B2259" s="19"/>
      <c r="C2259" s="19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</row>
    <row r="2260">
      <c r="A2260" s="19"/>
      <c r="B2260" s="19"/>
      <c r="C2260" s="19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</row>
    <row r="2261">
      <c r="A2261" s="19"/>
      <c r="B2261" s="19"/>
      <c r="C2261" s="19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</row>
    <row r="2262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</row>
    <row r="2263">
      <c r="A2263" s="19"/>
      <c r="B2263" s="19"/>
      <c r="C2263" s="19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</row>
    <row r="2264">
      <c r="A2264" s="19"/>
      <c r="B2264" s="19"/>
      <c r="C2264" s="19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</row>
    <row r="2265">
      <c r="A2265" s="19"/>
      <c r="B2265" s="19"/>
      <c r="C2265" s="19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</row>
    <row r="2266">
      <c r="A2266" s="19"/>
      <c r="B2266" s="19"/>
      <c r="C2266" s="19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</row>
    <row r="2267">
      <c r="A2267" s="19"/>
      <c r="B2267" s="19"/>
      <c r="C2267" s="19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</row>
    <row r="2268">
      <c r="A2268" s="19"/>
      <c r="B2268" s="19"/>
      <c r="C2268" s="19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</row>
    <row r="2269">
      <c r="A2269" s="19"/>
      <c r="B2269" s="19"/>
      <c r="C2269" s="19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</row>
    <row r="2270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</row>
    <row r="2271">
      <c r="A2271" s="19"/>
      <c r="B2271" s="19"/>
      <c r="C2271" s="19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</row>
    <row r="2272">
      <c r="A2272" s="19"/>
      <c r="B2272" s="19"/>
      <c r="C2272" s="19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</row>
    <row r="2273">
      <c r="A2273" s="19"/>
      <c r="B2273" s="19"/>
      <c r="C2273" s="19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</row>
    <row r="2274">
      <c r="A2274" s="19"/>
      <c r="B2274" s="19"/>
      <c r="C2274" s="19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</row>
    <row r="2275">
      <c r="A2275" s="19"/>
      <c r="B2275" s="19"/>
      <c r="C2275" s="19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</row>
    <row r="2276">
      <c r="A2276" s="19"/>
      <c r="B2276" s="19"/>
      <c r="C2276" s="19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</row>
    <row r="2277">
      <c r="A2277" s="19"/>
      <c r="B2277" s="19"/>
      <c r="C2277" s="19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</row>
    <row r="2278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</row>
    <row r="2279">
      <c r="A2279" s="19"/>
      <c r="B2279" s="19"/>
      <c r="C2279" s="19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</row>
    <row r="2280">
      <c r="A2280" s="19"/>
      <c r="B2280" s="19"/>
      <c r="C2280" s="19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</row>
    <row r="2281">
      <c r="A2281" s="19"/>
      <c r="B2281" s="19"/>
      <c r="C2281" s="19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</row>
    <row r="2282">
      <c r="A2282" s="19"/>
      <c r="B2282" s="19"/>
      <c r="C2282" s="19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</row>
    <row r="2283">
      <c r="A2283" s="19"/>
      <c r="B2283" s="19"/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</row>
    <row r="2284">
      <c r="A2284" s="19"/>
      <c r="B2284" s="19"/>
      <c r="C2284" s="19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</row>
    <row r="2285">
      <c r="A2285" s="19"/>
      <c r="B2285" s="19"/>
      <c r="C2285" s="19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</row>
    <row r="2286">
      <c r="A2286" s="19"/>
      <c r="B2286" s="19"/>
      <c r="C2286" s="19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</row>
    <row r="2287">
      <c r="A2287" s="19"/>
      <c r="B2287" s="19"/>
      <c r="C2287" s="19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</row>
    <row r="2288">
      <c r="A2288" s="19"/>
      <c r="B2288" s="19"/>
      <c r="C2288" s="19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</row>
    <row r="2289">
      <c r="A2289" s="19"/>
      <c r="B2289" s="19"/>
      <c r="C2289" s="19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</row>
    <row r="2290">
      <c r="A2290" s="19"/>
      <c r="B2290" s="19"/>
      <c r="C2290" s="19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</row>
    <row r="2291">
      <c r="A2291" s="19"/>
      <c r="B2291" s="19"/>
      <c r="C2291" s="19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</row>
    <row r="2292">
      <c r="A2292" s="19"/>
      <c r="B2292" s="19"/>
      <c r="C2292" s="19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</row>
    <row r="2293">
      <c r="A2293" s="19"/>
      <c r="B2293" s="19"/>
      <c r="C2293" s="19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</row>
    <row r="2294">
      <c r="A2294" s="19"/>
      <c r="B2294" s="19"/>
      <c r="C2294" s="19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</row>
    <row r="2295">
      <c r="A2295" s="19"/>
      <c r="B2295" s="19"/>
      <c r="C2295" s="19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</row>
    <row r="2296">
      <c r="A2296" s="19"/>
      <c r="B2296" s="19"/>
      <c r="C2296" s="19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</row>
    <row r="2297">
      <c r="A2297" s="19"/>
      <c r="B2297" s="19"/>
      <c r="C2297" s="19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</row>
    <row r="2298">
      <c r="A2298" s="19"/>
      <c r="B2298" s="19"/>
      <c r="C2298" s="19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</row>
    <row r="2299">
      <c r="A2299" s="19"/>
      <c r="B2299" s="19"/>
      <c r="C2299" s="19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</row>
    <row r="2300">
      <c r="A2300" s="19"/>
      <c r="B2300" s="19"/>
      <c r="C2300" s="19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</row>
    <row r="2301">
      <c r="A2301" s="19"/>
      <c r="B2301" s="19"/>
      <c r="C2301" s="19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</row>
    <row r="2302">
      <c r="A2302" s="19"/>
      <c r="B2302" s="19"/>
      <c r="C2302" s="19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</row>
    <row r="2303">
      <c r="A2303" s="19"/>
      <c r="B2303" s="19"/>
      <c r="C2303" s="19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</row>
    <row r="2304">
      <c r="A2304" s="19"/>
      <c r="B2304" s="19"/>
      <c r="C2304" s="19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</row>
    <row r="2305">
      <c r="A2305" s="19"/>
      <c r="B2305" s="19"/>
      <c r="C2305" s="19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</row>
    <row r="2306">
      <c r="A2306" s="19"/>
      <c r="B2306" s="19"/>
      <c r="C2306" s="19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</row>
    <row r="2307">
      <c r="A2307" s="19"/>
      <c r="B2307" s="19"/>
      <c r="C2307" s="19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</row>
    <row r="2308">
      <c r="A2308" s="19"/>
      <c r="B2308" s="19"/>
      <c r="C2308" s="19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</row>
    <row r="2309">
      <c r="A2309" s="19"/>
      <c r="B2309" s="19"/>
      <c r="C2309" s="19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</row>
    <row r="2310">
      <c r="A2310" s="19"/>
      <c r="B2310" s="19"/>
      <c r="C2310" s="19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</row>
    <row r="2311">
      <c r="A2311" s="19"/>
      <c r="B2311" s="19"/>
      <c r="C2311" s="19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</row>
    <row r="2312">
      <c r="A2312" s="19"/>
      <c r="B2312" s="19"/>
      <c r="C2312" s="19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</row>
    <row r="2313">
      <c r="A2313" s="19"/>
      <c r="B2313" s="19"/>
      <c r="C2313" s="19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</row>
    <row r="2314">
      <c r="A2314" s="19"/>
      <c r="B2314" s="19"/>
      <c r="C2314" s="19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</row>
    <row r="2315">
      <c r="A2315" s="19"/>
      <c r="B2315" s="19"/>
      <c r="C2315" s="19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</row>
    <row r="2316">
      <c r="A2316" s="19"/>
      <c r="B2316" s="19"/>
      <c r="C2316" s="19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</row>
    <row r="2317">
      <c r="A2317" s="19"/>
      <c r="B2317" s="19"/>
      <c r="C2317" s="19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</row>
    <row r="2318">
      <c r="A2318" s="19"/>
      <c r="B2318" s="19"/>
      <c r="C2318" s="19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</row>
    <row r="2319">
      <c r="A2319" s="19"/>
      <c r="B2319" s="19"/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</row>
    <row r="2320">
      <c r="A2320" s="19"/>
      <c r="B2320" s="19"/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</row>
    <row r="2321">
      <c r="A2321" s="19"/>
      <c r="B2321" s="19"/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</row>
    <row r="2322">
      <c r="A2322" s="19"/>
      <c r="B2322" s="19"/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</row>
    <row r="2323">
      <c r="A2323" s="19"/>
      <c r="B2323" s="19"/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</row>
    <row r="2324">
      <c r="A2324" s="19"/>
      <c r="B2324" s="19"/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</row>
    <row r="2325">
      <c r="A2325" s="19"/>
      <c r="B2325" s="19"/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</row>
    <row r="2326">
      <c r="A2326" s="19"/>
      <c r="B2326" s="19"/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</row>
    <row r="2327">
      <c r="A2327" s="19"/>
      <c r="B2327" s="19"/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</row>
    <row r="2328">
      <c r="A2328" s="19"/>
      <c r="B2328" s="19"/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</row>
    <row r="2329">
      <c r="A2329" s="19"/>
      <c r="B2329" s="19"/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</row>
    <row r="2330">
      <c r="A2330" s="19"/>
      <c r="B2330" s="19"/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</row>
    <row r="2331">
      <c r="A2331" s="19"/>
      <c r="B2331" s="19"/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</row>
    <row r="2332">
      <c r="A2332" s="19"/>
      <c r="B2332" s="19"/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</row>
    <row r="2333">
      <c r="A2333" s="19"/>
      <c r="B2333" s="19"/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</row>
    <row r="2334">
      <c r="A2334" s="19"/>
      <c r="B2334" s="19"/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</row>
    <row r="2335">
      <c r="A2335" s="19"/>
      <c r="B2335" s="19"/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</row>
    <row r="2336">
      <c r="A2336" s="19"/>
      <c r="B2336" s="19"/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</row>
    <row r="2337">
      <c r="A2337" s="19"/>
      <c r="B2337" s="19"/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</row>
    <row r="2338">
      <c r="A2338" s="19"/>
      <c r="B2338" s="19"/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</row>
    <row r="2339">
      <c r="A2339" s="19"/>
      <c r="B2339" s="19"/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</row>
    <row r="2340">
      <c r="A2340" s="19"/>
      <c r="B2340" s="19"/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</row>
    <row r="2341">
      <c r="A2341" s="19"/>
      <c r="B2341" s="19"/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</row>
    <row r="2342">
      <c r="A2342" s="19"/>
      <c r="B2342" s="19"/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</row>
    <row r="2343">
      <c r="A2343" s="19"/>
      <c r="B2343" s="19"/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</row>
    <row r="2344">
      <c r="A2344" s="19"/>
      <c r="B2344" s="19"/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</row>
    <row r="2345">
      <c r="A2345" s="19"/>
      <c r="B2345" s="19"/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</row>
    <row r="2346">
      <c r="A2346" s="19"/>
      <c r="B2346" s="19"/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</row>
    <row r="2347">
      <c r="A2347" s="19"/>
      <c r="B2347" s="19"/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</row>
    <row r="2348">
      <c r="A2348" s="19"/>
      <c r="B2348" s="19"/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</row>
    <row r="2349">
      <c r="A2349" s="19"/>
      <c r="B2349" s="19"/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</row>
    <row r="2350">
      <c r="A2350" s="19"/>
      <c r="B2350" s="19"/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</row>
    <row r="2351">
      <c r="A2351" s="19"/>
      <c r="B2351" s="19"/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</row>
    <row r="2352">
      <c r="A2352" s="19"/>
      <c r="B2352" s="19"/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</row>
    <row r="2353">
      <c r="A2353" s="19"/>
      <c r="B2353" s="19"/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</row>
    <row r="2354">
      <c r="A2354" s="19"/>
      <c r="B2354" s="19"/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</row>
    <row r="2355">
      <c r="A2355" s="19"/>
      <c r="B2355" s="19"/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</row>
    <row r="2356">
      <c r="A2356" s="19"/>
      <c r="B2356" s="19"/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</row>
    <row r="2357">
      <c r="A2357" s="19"/>
      <c r="B2357" s="19"/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</row>
    <row r="2358">
      <c r="A2358" s="19"/>
      <c r="B2358" s="19"/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</row>
    <row r="2359">
      <c r="A2359" s="19"/>
      <c r="B2359" s="19"/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</row>
    <row r="2360">
      <c r="A2360" s="19"/>
      <c r="B2360" s="19"/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</row>
    <row r="2361">
      <c r="A2361" s="19"/>
      <c r="B2361" s="19"/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</row>
    <row r="2362">
      <c r="A2362" s="19"/>
      <c r="B2362" s="19"/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</row>
    <row r="2363">
      <c r="A2363" s="19"/>
      <c r="B2363" s="19"/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</row>
    <row r="2364">
      <c r="A2364" s="19"/>
      <c r="B2364" s="19"/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</row>
    <row r="2365">
      <c r="A2365" s="19"/>
      <c r="B2365" s="19"/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</row>
    <row r="2366">
      <c r="A2366" s="19"/>
      <c r="B2366" s="19"/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</row>
    <row r="2367">
      <c r="A2367" s="19"/>
      <c r="B2367" s="19"/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</row>
    <row r="2368">
      <c r="A2368" s="19"/>
      <c r="B2368" s="19"/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</row>
    <row r="2369">
      <c r="A2369" s="19"/>
      <c r="B2369" s="19"/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</row>
    <row r="2370">
      <c r="A2370" s="19"/>
      <c r="B2370" s="19"/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</row>
    <row r="2371">
      <c r="A2371" s="19"/>
      <c r="B2371" s="19"/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</row>
    <row r="2372">
      <c r="A2372" s="19"/>
      <c r="B2372" s="19"/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</row>
    <row r="2373">
      <c r="A2373" s="19"/>
      <c r="B2373" s="19"/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</row>
    <row r="2374">
      <c r="A2374" s="19"/>
      <c r="B2374" s="19"/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</row>
    <row r="2375">
      <c r="A2375" s="19"/>
      <c r="B2375" s="19"/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</row>
    <row r="2376">
      <c r="A2376" s="19"/>
      <c r="B2376" s="19"/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</row>
    <row r="2377">
      <c r="A2377" s="19"/>
      <c r="B2377" s="19"/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</row>
    <row r="2378">
      <c r="A2378" s="19"/>
      <c r="B2378" s="19"/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</row>
    <row r="2379">
      <c r="A2379" s="19"/>
      <c r="B2379" s="19"/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</row>
    <row r="2380">
      <c r="A2380" s="19"/>
      <c r="B2380" s="19"/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</row>
    <row r="2381">
      <c r="A2381" s="19"/>
      <c r="B2381" s="19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</row>
    <row r="2382">
      <c r="A2382" s="19"/>
      <c r="B2382" s="19"/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</row>
    <row r="2383">
      <c r="A2383" s="19"/>
      <c r="B2383" s="19"/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</row>
    <row r="2384">
      <c r="A2384" s="19"/>
      <c r="B2384" s="19"/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</row>
    <row r="2385">
      <c r="A2385" s="19"/>
      <c r="B2385" s="19"/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</row>
    <row r="2386">
      <c r="A2386" s="19"/>
      <c r="B2386" s="19"/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</row>
    <row r="2387">
      <c r="A2387" s="19"/>
      <c r="B2387" s="19"/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</row>
    <row r="2388">
      <c r="A2388" s="19"/>
      <c r="B2388" s="19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</row>
    <row r="2389">
      <c r="A2389" s="19"/>
      <c r="B2389" s="19"/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</row>
    <row r="2390">
      <c r="A2390" s="19"/>
      <c r="B2390" s="19"/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</row>
    <row r="2391">
      <c r="A2391" s="19"/>
      <c r="B2391" s="19"/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</row>
    <row r="2392">
      <c r="A2392" s="19"/>
      <c r="B2392" s="19"/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</row>
    <row r="2393">
      <c r="A2393" s="19"/>
      <c r="B2393" s="19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</row>
    <row r="2394">
      <c r="A2394" s="19"/>
      <c r="B2394" s="19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</row>
    <row r="2395">
      <c r="A2395" s="19"/>
      <c r="B2395" s="19"/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</row>
    <row r="2396">
      <c r="A2396" s="19"/>
      <c r="B2396" s="19"/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</row>
    <row r="2397">
      <c r="A2397" s="19"/>
      <c r="B2397" s="19"/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</row>
    <row r="2398">
      <c r="A2398" s="19"/>
      <c r="B2398" s="19"/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</row>
    <row r="2399">
      <c r="A2399" s="19"/>
      <c r="B2399" s="19"/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</row>
    <row r="2400">
      <c r="A2400" s="19"/>
      <c r="B2400" s="19"/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</row>
    <row r="2401">
      <c r="A2401" s="19"/>
      <c r="B2401" s="19"/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</row>
    <row r="2402">
      <c r="A2402" s="19"/>
      <c r="B2402" s="19"/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</row>
    <row r="2403">
      <c r="A2403" s="19"/>
      <c r="B2403" s="19"/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</row>
    <row r="2404">
      <c r="A2404" s="19"/>
      <c r="B2404" s="19"/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</row>
    <row r="2405">
      <c r="A2405" s="19"/>
      <c r="B2405" s="19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</row>
    <row r="2406">
      <c r="A2406" s="19"/>
      <c r="B2406" s="19"/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</row>
    <row r="2407">
      <c r="A2407" s="19"/>
      <c r="B2407" s="19"/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</row>
    <row r="2408">
      <c r="A2408" s="19"/>
      <c r="B2408" s="19"/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</row>
    <row r="2409">
      <c r="A2409" s="19"/>
      <c r="B2409" s="19"/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</row>
    <row r="2410">
      <c r="A2410" s="19"/>
      <c r="B2410" s="19"/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</row>
    <row r="2411">
      <c r="A2411" s="19"/>
      <c r="B2411" s="19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</row>
    <row r="2412">
      <c r="A2412" s="19"/>
      <c r="B2412" s="19"/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</row>
    <row r="2413">
      <c r="A2413" s="19"/>
      <c r="B2413" s="19"/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</row>
    <row r="2414">
      <c r="A2414" s="19"/>
      <c r="B2414" s="19"/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</row>
    <row r="2415">
      <c r="A2415" s="19"/>
      <c r="B2415" s="19"/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</row>
    <row r="2416">
      <c r="A2416" s="19"/>
      <c r="B2416" s="19"/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</row>
    <row r="2417">
      <c r="A2417" s="19"/>
      <c r="B2417" s="19"/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</row>
    <row r="2418">
      <c r="A2418" s="19"/>
      <c r="B2418" s="19"/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</row>
    <row r="2419">
      <c r="A2419" s="19"/>
      <c r="B2419" s="19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</row>
    <row r="2420">
      <c r="A2420" s="19"/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</row>
    <row r="2421">
      <c r="A2421" s="19"/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</row>
    <row r="2422">
      <c r="A2422" s="19"/>
      <c r="B2422" s="19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</row>
    <row r="2423">
      <c r="A2423" s="19"/>
      <c r="B2423" s="19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</row>
    <row r="2424">
      <c r="A2424" s="19"/>
      <c r="B2424" s="19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</row>
    <row r="2425">
      <c r="A2425" s="19"/>
      <c r="B2425" s="19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</row>
    <row r="2426">
      <c r="A2426" s="19"/>
      <c r="B2426" s="19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</row>
    <row r="2427">
      <c r="A2427" s="19"/>
      <c r="B2427" s="19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</row>
    <row r="2428">
      <c r="A2428" s="19"/>
      <c r="B2428" s="19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</row>
    <row r="2429">
      <c r="A2429" s="19"/>
      <c r="B2429" s="19"/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</row>
    <row r="2430">
      <c r="A2430" s="19"/>
      <c r="B2430" s="19"/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</row>
    <row r="2431">
      <c r="A2431" s="19"/>
      <c r="B2431" s="19"/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</row>
    <row r="2432">
      <c r="A2432" s="19"/>
      <c r="B2432" s="19"/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</row>
    <row r="2433">
      <c r="A2433" s="19"/>
      <c r="B2433" s="19"/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</row>
    <row r="2434">
      <c r="A2434" s="19"/>
      <c r="B2434" s="19"/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</row>
    <row r="2435">
      <c r="A2435" s="19"/>
      <c r="B2435" s="19"/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</row>
    <row r="2436">
      <c r="A2436" s="19"/>
      <c r="B2436" s="19"/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</row>
    <row r="2437">
      <c r="A2437" s="19"/>
      <c r="B2437" s="19"/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</row>
    <row r="2438">
      <c r="A2438" s="19"/>
      <c r="B2438" s="19"/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</row>
    <row r="2439">
      <c r="A2439" s="19"/>
      <c r="B2439" s="19"/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</row>
    <row r="2440">
      <c r="A2440" s="19"/>
      <c r="B2440" s="19"/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</row>
    <row r="2441">
      <c r="A2441" s="19"/>
      <c r="B2441" s="19"/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</row>
    <row r="2442">
      <c r="A2442" s="19"/>
      <c r="B2442" s="19"/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</row>
    <row r="2443">
      <c r="A2443" s="19"/>
      <c r="B2443" s="19"/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</row>
    <row r="2444">
      <c r="A2444" s="19"/>
      <c r="B2444" s="19"/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</row>
    <row r="2445">
      <c r="A2445" s="19"/>
      <c r="B2445" s="19"/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</row>
    <row r="2446">
      <c r="A2446" s="19"/>
      <c r="B2446" s="19"/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</row>
    <row r="2447">
      <c r="A2447" s="19"/>
      <c r="B2447" s="19"/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</row>
    <row r="2448">
      <c r="A2448" s="19"/>
      <c r="B2448" s="19"/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</row>
    <row r="2449">
      <c r="A2449" s="19"/>
      <c r="B2449" s="19"/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</row>
    <row r="2450">
      <c r="A2450" s="19"/>
      <c r="B2450" s="19"/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</row>
    <row r="2451">
      <c r="A2451" s="19"/>
      <c r="B2451" s="19"/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</row>
    <row r="2452">
      <c r="A2452" s="19"/>
      <c r="B2452" s="19"/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</row>
    <row r="2453">
      <c r="A2453" s="19"/>
      <c r="B2453" s="19"/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</row>
    <row r="2454">
      <c r="A2454" s="19"/>
      <c r="B2454" s="19"/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</row>
    <row r="2455">
      <c r="A2455" s="19"/>
      <c r="B2455" s="19"/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</row>
    <row r="2456">
      <c r="A2456" s="19"/>
      <c r="B2456" s="19"/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</row>
    <row r="2457">
      <c r="A2457" s="19"/>
      <c r="B2457" s="19"/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</row>
    <row r="2458">
      <c r="A2458" s="19"/>
      <c r="B2458" s="19"/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</row>
    <row r="2459">
      <c r="A2459" s="19"/>
      <c r="B2459" s="19"/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</row>
    <row r="2460">
      <c r="A2460" s="19"/>
      <c r="B2460" s="19"/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</row>
    <row r="2461">
      <c r="A2461" s="19"/>
      <c r="B2461" s="19"/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</row>
    <row r="2462">
      <c r="A2462" s="19"/>
      <c r="B2462" s="19"/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</row>
    <row r="2463">
      <c r="A2463" s="19"/>
      <c r="B2463" s="19"/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</row>
    <row r="2464">
      <c r="A2464" s="19"/>
      <c r="B2464" s="19"/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</row>
    <row r="2465">
      <c r="A2465" s="19"/>
      <c r="B2465" s="19"/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</row>
    <row r="2466">
      <c r="A2466" s="19"/>
      <c r="B2466" s="19"/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</row>
    <row r="2467">
      <c r="A2467" s="19"/>
      <c r="B2467" s="19"/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</row>
    <row r="2468">
      <c r="A2468" s="19"/>
      <c r="B2468" s="19"/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</row>
    <row r="2469">
      <c r="A2469" s="19"/>
      <c r="B2469" s="19"/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</row>
    <row r="2470">
      <c r="A2470" s="19"/>
      <c r="B2470" s="19"/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</row>
    <row r="2471">
      <c r="A2471" s="19"/>
      <c r="B2471" s="19"/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</row>
    <row r="2472">
      <c r="A2472" s="19"/>
      <c r="B2472" s="19"/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</row>
    <row r="2473">
      <c r="A2473" s="19"/>
      <c r="B2473" s="19"/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</row>
    <row r="2474">
      <c r="A2474" s="19"/>
      <c r="B2474" s="19"/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</row>
    <row r="2475">
      <c r="A2475" s="19"/>
      <c r="B2475" s="19"/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</row>
    <row r="2476">
      <c r="A2476" s="19"/>
      <c r="B2476" s="19"/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</row>
    <row r="2477">
      <c r="A2477" s="19"/>
      <c r="B2477" s="19"/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</row>
    <row r="2478">
      <c r="A2478" s="19"/>
      <c r="B2478" s="19"/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</row>
    <row r="2479">
      <c r="A2479" s="19"/>
      <c r="B2479" s="19"/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</row>
    <row r="2480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</row>
    <row r="2481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</row>
    <row r="2482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</row>
    <row r="2483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</row>
    <row r="2484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</row>
    <row r="2485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</row>
    <row r="2486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</row>
    <row r="2487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</row>
    <row r="2488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</row>
    <row r="2489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</row>
    <row r="2490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</row>
    <row r="2491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</row>
    <row r="2492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</row>
    <row r="2493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</row>
    <row r="2494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</row>
    <row r="2495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</row>
    <row r="2496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</row>
    <row r="2497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</row>
    <row r="2498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</row>
    <row r="2499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</row>
    <row r="2500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</row>
    <row r="2501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</row>
    <row r="2502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</row>
    <row r="2503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</row>
    <row r="2504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</row>
    <row r="2505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</row>
    <row r="2506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</row>
    <row r="2507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</row>
    <row r="2508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</row>
    <row r="2509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</row>
    <row r="2510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</row>
    <row r="2511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</row>
    <row r="2512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</row>
    <row r="2513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</row>
    <row r="2514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</row>
    <row r="2515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</row>
    <row r="2516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</row>
    <row r="2517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</row>
    <row r="2518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</row>
    <row r="2519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</row>
    <row r="2520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</row>
    <row r="2521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</row>
    <row r="2522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</row>
    <row r="2523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</row>
    <row r="2524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</row>
    <row r="2525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</row>
    <row r="2526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</row>
    <row r="2527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</row>
    <row r="2528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</row>
    <row r="2529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</row>
    <row r="2530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</row>
    <row r="2531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</row>
    <row r="2532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</row>
    <row r="2533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</row>
    <row r="2534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</row>
    <row r="2535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</row>
    <row r="2536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</row>
    <row r="2537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</row>
    <row r="2538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</row>
    <row r="2539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</row>
    <row r="2540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</row>
    <row r="2541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</row>
    <row r="2542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</row>
    <row r="2543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</row>
    <row r="2544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</row>
    <row r="2545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</row>
    <row r="2546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</row>
    <row r="2547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</row>
    <row r="2548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</row>
    <row r="2549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</row>
    <row r="2550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</row>
    <row r="2551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</row>
    <row r="2552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</row>
    <row r="2553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</row>
    <row r="2554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</row>
    <row r="2555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</row>
    <row r="2556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</row>
    <row r="2557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</row>
    <row r="2558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</row>
    <row r="2559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</row>
    <row r="2560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</row>
    <row r="2561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</row>
    <row r="2562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</row>
    <row r="2563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</row>
    <row r="2564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</row>
    <row r="2565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</row>
    <row r="2566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</row>
    <row r="2567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</row>
    <row r="2568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</row>
    <row r="2569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</row>
    <row r="2570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</row>
    <row r="2571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</row>
    <row r="2572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</row>
    <row r="2573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</row>
    <row r="2574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</row>
    <row r="2575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</row>
    <row r="2576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</row>
    <row r="2577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</row>
    <row r="2578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</row>
    <row r="2579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</row>
    <row r="2580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</row>
    <row r="2581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</row>
    <row r="2582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</row>
    <row r="2583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</row>
    <row r="2584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</row>
    <row r="2585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</row>
    <row r="2586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</row>
    <row r="2587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</row>
    <row r="2588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</row>
    <row r="2589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</row>
    <row r="2590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</row>
    <row r="2591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</row>
    <row r="2592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</row>
    <row r="2593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</row>
    <row r="2594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</row>
    <row r="2595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</row>
    <row r="2596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</row>
    <row r="2597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</row>
    <row r="2598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</row>
    <row r="2599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</row>
    <row r="2600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</row>
    <row r="2601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</row>
    <row r="2602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</row>
    <row r="2603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</row>
    <row r="2604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</row>
    <row r="2605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</row>
    <row r="2606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</row>
    <row r="2607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</row>
    <row r="2608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</row>
    <row r="2609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</row>
    <row r="2610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</row>
    <row r="2611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</row>
    <row r="2612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</row>
    <row r="2613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</row>
    <row r="2614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</row>
    <row r="2615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</row>
    <row r="2616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</row>
    <row r="2617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</row>
    <row r="2618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</row>
    <row r="2619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</row>
    <row r="2620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</row>
    <row r="2621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</row>
    <row r="2622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</row>
    <row r="2623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</row>
    <row r="2624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</row>
    <row r="2625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</row>
    <row r="2626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</row>
    <row r="2627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</row>
    <row r="2628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</row>
    <row r="2629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</row>
    <row r="2630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</row>
    <row r="2631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</row>
    <row r="2632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</row>
    <row r="2633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</row>
    <row r="2634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</row>
    <row r="2635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</row>
    <row r="2636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</row>
    <row r="2637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</row>
    <row r="2638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</row>
    <row r="2639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</row>
    <row r="2640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</row>
    <row r="2641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</row>
    <row r="2642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</row>
    <row r="2643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</row>
    <row r="2644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</row>
    <row r="2645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</row>
    <row r="2646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</row>
    <row r="2647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</row>
    <row r="2648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</row>
    <row r="2649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</row>
    <row r="2650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</row>
    <row r="2651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</row>
    <row r="2652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</row>
    <row r="2653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</row>
    <row r="2654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</row>
    <row r="2655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</row>
    <row r="2656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</row>
    <row r="2657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</row>
    <row r="2658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</row>
    <row r="2659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</row>
    <row r="2660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</row>
    <row r="2661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</row>
    <row r="2662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</row>
    <row r="2663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</row>
    <row r="2664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</row>
    <row r="2665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</row>
    <row r="2666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</row>
    <row r="2667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</row>
    <row r="2668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</row>
    <row r="2669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</row>
    <row r="2670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</row>
    <row r="2671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</row>
    <row r="2672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</row>
    <row r="2673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</row>
    <row r="2674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</row>
    <row r="2675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</row>
    <row r="2676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</row>
    <row r="2677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</row>
    <row r="2678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</row>
    <row r="2679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</row>
    <row r="2680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</row>
    <row r="2681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</row>
    <row r="2682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</row>
    <row r="2683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</row>
    <row r="2684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</row>
    <row r="2685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</row>
    <row r="2686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</row>
    <row r="2687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</row>
    <row r="2688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</row>
    <row r="2689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</row>
    <row r="2690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</row>
    <row r="2691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</row>
    <row r="2692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</row>
    <row r="2693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</row>
    <row r="2694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</row>
    <row r="2695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</row>
    <row r="2696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</row>
    <row r="2697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</row>
    <row r="2698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</row>
    <row r="2699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</row>
    <row r="2700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</row>
    <row r="2701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</row>
    <row r="2702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</row>
    <row r="2703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</row>
    <row r="2704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</row>
    <row r="2705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</row>
    <row r="2706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</row>
    <row r="2707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</row>
    <row r="2708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</row>
    <row r="2709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</row>
    <row r="2710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</row>
    <row r="2711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</row>
    <row r="2712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</row>
    <row r="2713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</row>
    <row r="2714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</row>
    <row r="2715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</row>
    <row r="2716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</row>
    <row r="2717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</row>
    <row r="2718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</row>
    <row r="2719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</row>
    <row r="2720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</row>
    <row r="2721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</row>
    <row r="2722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</row>
    <row r="2723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</row>
    <row r="2724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</row>
    <row r="2725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</row>
    <row r="2726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</row>
    <row r="2727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</row>
    <row r="2728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</row>
    <row r="2729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</row>
    <row r="2730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</row>
    <row r="2731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</row>
    <row r="2732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</row>
    <row r="2733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</row>
    <row r="2734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</row>
    <row r="2735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</row>
    <row r="2736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</row>
    <row r="2737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</row>
    <row r="2738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</row>
    <row r="2739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</row>
    <row r="2740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</row>
    <row r="2741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</row>
    <row r="2742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</row>
    <row r="2743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</row>
    <row r="2744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</row>
    <row r="2745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</row>
    <row r="2746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</row>
    <row r="2747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</row>
    <row r="2748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</row>
    <row r="2749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</row>
    <row r="2750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</row>
    <row r="2751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</row>
    <row r="2752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</row>
    <row r="2753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</row>
    <row r="2754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</row>
    <row r="2755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</row>
    <row r="2756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</row>
    <row r="2757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</row>
    <row r="2758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</row>
    <row r="2759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</row>
    <row r="2760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</row>
    <row r="2761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</row>
    <row r="2762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</row>
    <row r="2763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</row>
    <row r="2764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</row>
    <row r="2765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</row>
    <row r="2766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</row>
    <row r="2767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</row>
    <row r="2768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</row>
    <row r="2769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</row>
    <row r="2770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</row>
    <row r="2771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</row>
    <row r="2772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</row>
    <row r="2773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</row>
    <row r="2774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</row>
    <row r="2775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</row>
    <row r="2776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</row>
    <row r="2777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</row>
    <row r="2778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</row>
    <row r="2779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</row>
    <row r="2780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</row>
    <row r="2781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</row>
    <row r="2782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</row>
    <row r="2783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</row>
    <row r="2784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</row>
    <row r="2785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</row>
    <row r="2786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</row>
    <row r="2787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</row>
    <row r="2788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</row>
    <row r="2789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</row>
    <row r="2790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</row>
    <row r="2791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</row>
    <row r="2792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</row>
    <row r="2793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</row>
    <row r="2794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</row>
    <row r="2795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</row>
    <row r="2796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</row>
    <row r="2797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</row>
    <row r="2798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</row>
    <row r="2799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</row>
    <row r="2800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</row>
    <row r="2801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</row>
    <row r="2802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</row>
    <row r="2803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</row>
    <row r="2804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</row>
    <row r="2805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</row>
    <row r="2806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</row>
    <row r="2807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</row>
    <row r="2808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</row>
    <row r="2809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</row>
    <row r="2810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</row>
    <row r="2811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</row>
    <row r="2812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</row>
    <row r="2813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</row>
    <row r="2814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</row>
    <row r="2815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</row>
    <row r="2816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</row>
    <row r="2817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</row>
    <row r="2818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</row>
    <row r="2819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</row>
    <row r="2820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</row>
    <row r="2821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</row>
    <row r="2822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</row>
    <row r="2823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</row>
    <row r="2824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</row>
    <row r="2825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</row>
    <row r="2826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</row>
    <row r="2827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</row>
    <row r="2828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</row>
    <row r="2829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</row>
    <row r="2830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</row>
    <row r="2831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</row>
    <row r="2832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</row>
    <row r="2833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</row>
    <row r="2834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</row>
    <row r="2835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</row>
    <row r="2836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</row>
    <row r="2837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</row>
    <row r="2838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</row>
    <row r="2839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</row>
    <row r="2840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</row>
    <row r="2841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</row>
    <row r="2842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</row>
    <row r="2843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</row>
    <row r="2844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</row>
    <row r="2845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</row>
    <row r="2846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</row>
    <row r="2847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</row>
    <row r="2848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</row>
    <row r="2849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</row>
    <row r="2850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</row>
    <row r="2851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</row>
    <row r="2852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</row>
    <row r="2853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</row>
    <row r="2854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</row>
    <row r="2855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</row>
    <row r="2856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</row>
    <row r="2857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</row>
    <row r="2858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</row>
    <row r="2859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</row>
    <row r="2860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</row>
    <row r="2861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</row>
    <row r="2862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</row>
    <row r="2863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</row>
    <row r="2864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</row>
    <row r="2865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</row>
    <row r="2866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</row>
    <row r="2867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</row>
    <row r="2868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</row>
    <row r="2869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</row>
    <row r="2870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</row>
    <row r="2871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</row>
    <row r="2872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</row>
    <row r="2873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</row>
    <row r="2874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</row>
    <row r="2875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</row>
    <row r="2876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</row>
    <row r="2877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</row>
    <row r="2878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</row>
    <row r="2879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</row>
    <row r="2880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</row>
    <row r="2881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</row>
    <row r="2882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</row>
    <row r="2883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</row>
    <row r="2884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</row>
    <row r="2885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</row>
    <row r="2886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</row>
    <row r="2887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</row>
    <row r="2888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</row>
    <row r="2889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</row>
    <row r="2890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</row>
    <row r="2891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</row>
    <row r="2892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</row>
    <row r="2893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</row>
    <row r="2894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</row>
    <row r="2895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</row>
    <row r="2896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</row>
    <row r="2897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</row>
    <row r="2898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</row>
    <row r="2899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</row>
    <row r="2900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</row>
    <row r="2901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</row>
    <row r="2902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</row>
    <row r="2903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</row>
    <row r="2904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</row>
    <row r="2905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</row>
    <row r="2906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</row>
    <row r="2907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</row>
    <row r="2908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</row>
    <row r="2909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</row>
    <row r="2910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</row>
    <row r="2911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</row>
    <row r="2912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</row>
    <row r="2913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</row>
    <row r="2914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</row>
    <row r="2915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</row>
    <row r="2916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</row>
    <row r="2917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</row>
    <row r="2918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</row>
    <row r="2919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</row>
    <row r="2920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</row>
    <row r="2921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</row>
    <row r="2922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</row>
    <row r="2923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</row>
    <row r="2924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</row>
    <row r="2925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</row>
    <row r="2926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</row>
    <row r="2927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</row>
    <row r="2928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</row>
    <row r="2929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</row>
    <row r="2930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</row>
    <row r="2931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</row>
    <row r="2932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</row>
    <row r="2933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</row>
    <row r="2934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</row>
    <row r="2935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</row>
    <row r="2936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</row>
    <row r="2937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</row>
    <row r="2938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</row>
    <row r="2939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</row>
    <row r="2940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</row>
    <row r="2941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</row>
    <row r="2942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</row>
    <row r="2943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</row>
    <row r="2944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</row>
    <row r="2945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</row>
    <row r="2946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</row>
    <row r="2947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</row>
    <row r="2948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</row>
    <row r="2949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</row>
    <row r="2950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</row>
    <row r="2951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</row>
    <row r="2952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</row>
    <row r="2953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</row>
    <row r="2954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</row>
    <row r="2955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</row>
    <row r="2956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</row>
    <row r="2957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</row>
    <row r="2958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</row>
    <row r="2959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</row>
    <row r="2960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</row>
    <row r="2961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</row>
    <row r="2962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</row>
    <row r="2963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</row>
    <row r="2964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</row>
    <row r="2965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</row>
    <row r="2966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</row>
    <row r="2967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</row>
    <row r="2968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</row>
    <row r="2969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</row>
    <row r="2970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</row>
    <row r="2971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</row>
    <row r="2972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</row>
    <row r="2973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</row>
    <row r="2974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</row>
    <row r="2975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</row>
    <row r="2976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</row>
    <row r="2977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</row>
    <row r="2978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</row>
    <row r="2979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</row>
    <row r="2980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</row>
    <row r="2981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</row>
    <row r="2982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</row>
    <row r="2983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</row>
    <row r="2984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</row>
    <row r="2985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</row>
    <row r="2986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</row>
    <row r="2987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</row>
    <row r="2988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</row>
    <row r="2989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</row>
    <row r="2990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</row>
    <row r="2991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</row>
    <row r="2992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</row>
    <row r="2993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</row>
    <row r="2994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</row>
    <row r="2995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</row>
    <row r="2996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</row>
    <row r="2997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</row>
    <row r="2998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</row>
    <row r="2999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</row>
    <row r="3000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</row>
    <row r="3001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</row>
    <row r="3002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</row>
    <row r="3003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</row>
    <row r="3004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</row>
    <row r="3005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</row>
    <row r="3006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</row>
    <row r="3007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</row>
    <row r="3008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</row>
    <row r="3009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</row>
    <row r="3010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</row>
    <row r="3011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</row>
    <row r="3012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</row>
    <row r="3013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</row>
    <row r="3014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</row>
    <row r="3015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</row>
    <row r="3016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</row>
    <row r="3017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</row>
    <row r="3018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</row>
    <row r="3019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</row>
    <row r="3020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</row>
    <row r="3021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</row>
    <row r="3022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</row>
    <row r="3023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</row>
    <row r="3024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</row>
    <row r="3025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</row>
    <row r="3026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</row>
    <row r="3027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</row>
    <row r="3028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</row>
    <row r="3029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</row>
    <row r="3030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</row>
    <row r="3031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</row>
    <row r="3032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</row>
    <row r="3033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</row>
    <row r="3034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</row>
    <row r="3035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</row>
    <row r="3036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</row>
    <row r="3037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</row>
    <row r="3038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</row>
    <row r="3039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</row>
    <row r="3040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</row>
    <row r="3041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</row>
    <row r="3042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</row>
    <row r="3043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</row>
    <row r="3044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</row>
    <row r="3045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</row>
    <row r="3046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</row>
    <row r="3047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</row>
    <row r="3048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</row>
    <row r="3049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</row>
    <row r="3050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</row>
    <row r="3051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</row>
    <row r="3052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</row>
    <row r="3053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</row>
    <row r="3054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</row>
    <row r="3055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</row>
    <row r="3056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</row>
    <row r="3057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</row>
    <row r="3058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</row>
    <row r="3059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</row>
    <row r="3060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</row>
    <row r="3061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</row>
    <row r="3062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/>
    </row>
    <row r="3063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</row>
    <row r="3064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</row>
    <row r="3065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</row>
    <row r="3066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</row>
    <row r="3067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</row>
    <row r="3068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/>
    </row>
    <row r="3069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</row>
    <row r="3070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</row>
    <row r="3071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</row>
    <row r="3072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/>
    </row>
    <row r="3073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</row>
    <row r="3074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/>
    </row>
    <row r="3075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</row>
    <row r="3076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</row>
    <row r="3077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</row>
    <row r="3078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</row>
    <row r="3079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/>
    </row>
    <row r="3080">
      <c r="A3080" s="19"/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  <c r="S3080" s="19"/>
      <c r="T3080" s="19"/>
      <c r="U3080" s="19"/>
      <c r="V3080" s="19"/>
    </row>
    <row r="3081">
      <c r="A3081" s="19"/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  <c r="S3081" s="19"/>
      <c r="T3081" s="19"/>
      <c r="U3081" s="19"/>
      <c r="V3081" s="19"/>
    </row>
    <row r="3082">
      <c r="A3082" s="19"/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  <c r="S3082" s="19"/>
      <c r="T3082" s="19"/>
      <c r="U3082" s="19"/>
      <c r="V3082" s="19"/>
    </row>
    <row r="3083">
      <c r="A3083" s="19"/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  <c r="S3083" s="19"/>
      <c r="T3083" s="19"/>
      <c r="U3083" s="19"/>
      <c r="V3083" s="19"/>
    </row>
    <row r="3084">
      <c r="A3084" s="19"/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  <c r="S3084" s="19"/>
      <c r="T3084" s="19"/>
      <c r="U3084" s="19"/>
      <c r="V3084" s="19"/>
    </row>
    <row r="3085">
      <c r="A3085" s="19"/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  <c r="S3085" s="19"/>
      <c r="T3085" s="19"/>
      <c r="U3085" s="19"/>
      <c r="V3085" s="19"/>
    </row>
    <row r="3086">
      <c r="A3086" s="19"/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  <c r="S3086" s="19"/>
      <c r="T3086" s="19"/>
      <c r="U3086" s="19"/>
      <c r="V3086" s="19"/>
    </row>
    <row r="3087">
      <c r="A3087" s="19"/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  <c r="S3087" s="19"/>
      <c r="T3087" s="19"/>
      <c r="U3087" s="19"/>
      <c r="V3087" s="19"/>
    </row>
    <row r="3088">
      <c r="A3088" s="19"/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  <c r="S3088" s="19"/>
      <c r="T3088" s="19"/>
      <c r="U3088" s="19"/>
      <c r="V3088" s="19"/>
    </row>
    <row r="3089">
      <c r="A3089" s="19"/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  <c r="S3089" s="19"/>
      <c r="T3089" s="19"/>
      <c r="U3089" s="19"/>
      <c r="V3089" s="19"/>
    </row>
    <row r="3090">
      <c r="A3090" s="19"/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  <c r="S3090" s="19"/>
      <c r="T3090" s="19"/>
      <c r="U3090" s="19"/>
      <c r="V3090" s="19"/>
    </row>
    <row r="3091">
      <c r="A3091" s="19"/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  <c r="S3091" s="19"/>
      <c r="T3091" s="19"/>
      <c r="U3091" s="19"/>
      <c r="V3091" s="19"/>
    </row>
    <row r="3092">
      <c r="A3092" s="19"/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  <c r="S3092" s="19"/>
      <c r="T3092" s="19"/>
      <c r="U3092" s="19"/>
      <c r="V3092" s="19"/>
    </row>
    <row r="3093">
      <c r="A3093" s="19"/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  <c r="S3093" s="19"/>
      <c r="T3093" s="19"/>
      <c r="U3093" s="19"/>
      <c r="V3093" s="19"/>
    </row>
    <row r="3094">
      <c r="A3094" s="19"/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  <c r="S3094" s="19"/>
      <c r="T3094" s="19"/>
      <c r="U3094" s="19"/>
      <c r="V3094" s="19"/>
    </row>
    <row r="3095">
      <c r="A3095" s="19"/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  <c r="S3095" s="19"/>
      <c r="T3095" s="19"/>
      <c r="U3095" s="19"/>
      <c r="V3095" s="19"/>
    </row>
    <row r="3096">
      <c r="A3096" s="19"/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  <c r="S3096" s="19"/>
      <c r="T3096" s="19"/>
      <c r="U3096" s="19"/>
      <c r="V3096" s="19"/>
    </row>
    <row r="3097">
      <c r="A3097" s="19"/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  <c r="S3097" s="19"/>
      <c r="T3097" s="19"/>
      <c r="U3097" s="19"/>
      <c r="V3097" s="19"/>
    </row>
    <row r="3098">
      <c r="A3098" s="19"/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  <c r="S3098" s="19"/>
      <c r="T3098" s="19"/>
      <c r="U3098" s="19"/>
      <c r="V3098" s="19"/>
    </row>
    <row r="3099">
      <c r="A3099" s="19"/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  <c r="S3099" s="19"/>
      <c r="T3099" s="19"/>
      <c r="U3099" s="19"/>
      <c r="V3099" s="19"/>
    </row>
    <row r="3100">
      <c r="A3100" s="19"/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  <c r="S3100" s="19"/>
      <c r="T3100" s="19"/>
      <c r="U3100" s="19"/>
      <c r="V3100" s="19"/>
    </row>
    <row r="3101">
      <c r="A3101" s="19"/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  <c r="S3101" s="19"/>
      <c r="T3101" s="19"/>
      <c r="U3101" s="19"/>
      <c r="V3101" s="19"/>
    </row>
    <row r="3102">
      <c r="A3102" s="19"/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  <c r="S3102" s="19"/>
      <c r="T3102" s="19"/>
      <c r="U3102" s="19"/>
      <c r="V3102" s="19"/>
    </row>
    <row r="3103">
      <c r="A3103" s="19"/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  <c r="S3103" s="19"/>
      <c r="T3103" s="19"/>
      <c r="U3103" s="19"/>
      <c r="V3103" s="19"/>
    </row>
    <row r="3104">
      <c r="A3104" s="19"/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  <c r="S3104" s="19"/>
      <c r="T3104" s="19"/>
      <c r="U3104" s="19"/>
      <c r="V3104" s="19"/>
    </row>
    <row r="3105">
      <c r="A3105" s="19"/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  <c r="S3105" s="19"/>
      <c r="T3105" s="19"/>
      <c r="U3105" s="19"/>
      <c r="V3105" s="19"/>
    </row>
    <row r="3106">
      <c r="A3106" s="19"/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  <c r="S3106" s="19"/>
      <c r="T3106" s="19"/>
      <c r="U3106" s="19"/>
      <c r="V3106" s="19"/>
    </row>
    <row r="3107">
      <c r="A3107" s="19"/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  <c r="S3107" s="19"/>
      <c r="T3107" s="19"/>
      <c r="U3107" s="19"/>
      <c r="V3107" s="19"/>
    </row>
    <row r="3108">
      <c r="A3108" s="19"/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  <c r="S3108" s="19"/>
      <c r="T3108" s="19"/>
      <c r="U3108" s="19"/>
      <c r="V3108" s="19"/>
    </row>
    <row r="3109">
      <c r="A3109" s="19"/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  <c r="S3109" s="19"/>
      <c r="T3109" s="19"/>
      <c r="U3109" s="19"/>
      <c r="V3109" s="19"/>
    </row>
    <row r="3110">
      <c r="A3110" s="19"/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  <c r="S3110" s="19"/>
      <c r="T3110" s="19"/>
      <c r="U3110" s="19"/>
      <c r="V3110" s="19"/>
    </row>
    <row r="3111">
      <c r="A3111" s="19"/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  <c r="S3111" s="19"/>
      <c r="T3111" s="19"/>
      <c r="U3111" s="19"/>
      <c r="V3111" s="19"/>
    </row>
    <row r="3112">
      <c r="A3112" s="19"/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  <c r="S3112" s="19"/>
      <c r="T3112" s="19"/>
      <c r="U3112" s="19"/>
      <c r="V3112" s="19"/>
    </row>
    <row r="3113">
      <c r="A3113" s="19"/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  <c r="S3113" s="19"/>
      <c r="T3113" s="19"/>
      <c r="U3113" s="19"/>
      <c r="V3113" s="19"/>
    </row>
    <row r="3114">
      <c r="A3114" s="19"/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/>
    </row>
    <row r="3115">
      <c r="A3115" s="19"/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  <c r="S3115" s="19"/>
      <c r="T3115" s="19"/>
      <c r="U3115" s="19"/>
      <c r="V3115" s="19"/>
    </row>
    <row r="3116">
      <c r="A3116" s="19"/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  <c r="S3116" s="19"/>
      <c r="T3116" s="19"/>
      <c r="U3116" s="19"/>
      <c r="V3116" s="19"/>
    </row>
    <row r="3117">
      <c r="A3117" s="19"/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  <c r="S3117" s="19"/>
      <c r="T3117" s="19"/>
      <c r="U3117" s="19"/>
      <c r="V3117" s="19"/>
    </row>
    <row r="3118">
      <c r="A3118" s="19"/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  <c r="S3118" s="19"/>
      <c r="T3118" s="19"/>
      <c r="U3118" s="19"/>
      <c r="V3118" s="19"/>
    </row>
    <row r="3119">
      <c r="A3119" s="19"/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  <c r="S3119" s="19"/>
      <c r="T3119" s="19"/>
      <c r="U3119" s="19"/>
      <c r="V3119" s="19"/>
    </row>
    <row r="3120">
      <c r="A3120" s="19"/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  <c r="S3120" s="19"/>
      <c r="T3120" s="19"/>
      <c r="U3120" s="19"/>
      <c r="V3120" s="19"/>
    </row>
    <row r="3121">
      <c r="A3121" s="19"/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  <c r="S3121" s="19"/>
      <c r="T3121" s="19"/>
      <c r="U3121" s="19"/>
      <c r="V3121" s="19"/>
    </row>
    <row r="3122">
      <c r="A3122" s="19"/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  <c r="S3122" s="19"/>
      <c r="T3122" s="19"/>
      <c r="U3122" s="19"/>
      <c r="V3122" s="19"/>
    </row>
    <row r="3123">
      <c r="A3123" s="19"/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  <c r="S3123" s="19"/>
      <c r="T3123" s="19"/>
      <c r="U3123" s="19"/>
      <c r="V3123" s="19"/>
    </row>
    <row r="3124">
      <c r="A3124" s="19"/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  <c r="S3124" s="19"/>
      <c r="T3124" s="19"/>
      <c r="U3124" s="19"/>
      <c r="V3124" s="19"/>
    </row>
    <row r="3125">
      <c r="A3125" s="19"/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  <c r="S3125" s="19"/>
      <c r="T3125" s="19"/>
      <c r="U3125" s="19"/>
      <c r="V3125" s="19"/>
    </row>
    <row r="3126">
      <c r="A3126" s="19"/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  <c r="S3126" s="19"/>
      <c r="T3126" s="19"/>
      <c r="U3126" s="19"/>
      <c r="V3126" s="19"/>
    </row>
    <row r="3127">
      <c r="A3127" s="19"/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  <c r="S3127" s="19"/>
      <c r="T3127" s="19"/>
      <c r="U3127" s="19"/>
      <c r="V3127" s="19"/>
    </row>
    <row r="3128">
      <c r="A3128" s="19"/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  <c r="S3128" s="19"/>
      <c r="T3128" s="19"/>
      <c r="U3128" s="19"/>
      <c r="V3128" s="19"/>
    </row>
    <row r="3129">
      <c r="A3129" s="19"/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  <c r="S3129" s="19"/>
      <c r="T3129" s="19"/>
      <c r="U3129" s="19"/>
      <c r="V3129" s="19"/>
    </row>
    <row r="3130">
      <c r="A3130" s="19"/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  <c r="S3130" s="19"/>
      <c r="T3130" s="19"/>
      <c r="U3130" s="19"/>
      <c r="V3130" s="19"/>
    </row>
    <row r="3131">
      <c r="A3131" s="19"/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  <c r="S3131" s="19"/>
      <c r="T3131" s="19"/>
      <c r="U3131" s="19"/>
      <c r="V3131" s="19"/>
    </row>
    <row r="3132">
      <c r="A3132" s="19"/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  <c r="S3132" s="19"/>
      <c r="T3132" s="19"/>
      <c r="U3132" s="19"/>
      <c r="V3132" s="19"/>
    </row>
    <row r="3133">
      <c r="A3133" s="19"/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  <c r="S3133" s="19"/>
      <c r="T3133" s="19"/>
      <c r="U3133" s="19"/>
      <c r="V3133" s="19"/>
    </row>
    <row r="3134">
      <c r="A3134" s="19"/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  <c r="S3134" s="19"/>
      <c r="T3134" s="19"/>
      <c r="U3134" s="19"/>
      <c r="V3134" s="19"/>
    </row>
    <row r="3135">
      <c r="A3135" s="19"/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  <c r="S3135" s="19"/>
      <c r="T3135" s="19"/>
      <c r="U3135" s="19"/>
      <c r="V3135" s="19"/>
    </row>
    <row r="3136">
      <c r="A3136" s="19"/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  <c r="S3136" s="19"/>
      <c r="T3136" s="19"/>
      <c r="U3136" s="19"/>
      <c r="V3136" s="19"/>
    </row>
    <row r="3137">
      <c r="A3137" s="19"/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  <c r="S3137" s="19"/>
      <c r="T3137" s="19"/>
      <c r="U3137" s="19"/>
      <c r="V3137" s="19"/>
    </row>
    <row r="3138">
      <c r="A3138" s="19"/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  <c r="S3138" s="19"/>
      <c r="T3138" s="19"/>
      <c r="U3138" s="19"/>
      <c r="V3138" s="19"/>
    </row>
    <row r="3139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  <c r="S3139" s="19"/>
      <c r="T3139" s="19"/>
      <c r="U3139" s="19"/>
      <c r="V3139" s="19"/>
    </row>
    <row r="3140">
      <c r="A3140" s="19"/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  <c r="S3140" s="19"/>
      <c r="T3140" s="19"/>
      <c r="U3140" s="19"/>
      <c r="V3140" s="19"/>
    </row>
    <row r="3141">
      <c r="A3141" s="19"/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  <c r="S3141" s="19"/>
      <c r="T3141" s="19"/>
      <c r="U3141" s="19"/>
      <c r="V3141" s="19"/>
    </row>
    <row r="3142">
      <c r="A3142" s="19"/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  <c r="S3142" s="19"/>
      <c r="T3142" s="19"/>
      <c r="U3142" s="19"/>
      <c r="V3142" s="19"/>
    </row>
    <row r="3143">
      <c r="A3143" s="19"/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  <c r="S3143" s="19"/>
      <c r="T3143" s="19"/>
      <c r="U3143" s="19"/>
      <c r="V3143" s="19"/>
    </row>
    <row r="3144">
      <c r="A3144" s="19"/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  <c r="S3144" s="19"/>
      <c r="T3144" s="19"/>
      <c r="U3144" s="19"/>
      <c r="V3144" s="19"/>
    </row>
    <row r="3145">
      <c r="A3145" s="19"/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  <c r="S3145" s="19"/>
      <c r="T3145" s="19"/>
      <c r="U3145" s="19"/>
      <c r="V3145" s="19"/>
    </row>
    <row r="3146">
      <c r="A3146" s="19"/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  <c r="S3146" s="19"/>
      <c r="T3146" s="19"/>
      <c r="U3146" s="19"/>
      <c r="V3146" s="19"/>
    </row>
    <row r="3147">
      <c r="A3147" s="19"/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  <c r="S3147" s="19"/>
      <c r="T3147" s="19"/>
      <c r="U3147" s="19"/>
      <c r="V3147" s="19"/>
    </row>
    <row r="3148">
      <c r="A3148" s="19"/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  <c r="S3148" s="19"/>
      <c r="T3148" s="19"/>
      <c r="U3148" s="19"/>
      <c r="V3148" s="19"/>
    </row>
    <row r="3149">
      <c r="A3149" s="19"/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  <c r="S3149" s="19"/>
      <c r="T3149" s="19"/>
      <c r="U3149" s="19"/>
      <c r="V3149" s="19"/>
    </row>
    <row r="3150">
      <c r="A3150" s="19"/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  <c r="S3150" s="19"/>
      <c r="T3150" s="19"/>
      <c r="U3150" s="19"/>
      <c r="V3150" s="19"/>
    </row>
    <row r="3151">
      <c r="A3151" s="19"/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  <c r="S3151" s="19"/>
      <c r="T3151" s="19"/>
      <c r="U3151" s="19"/>
      <c r="V3151" s="19"/>
    </row>
    <row r="3152">
      <c r="A3152" s="19"/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  <c r="S3152" s="19"/>
      <c r="T3152" s="19"/>
      <c r="U3152" s="19"/>
      <c r="V3152" s="19"/>
    </row>
    <row r="3153">
      <c r="A3153" s="19"/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19"/>
      <c r="Q3153" s="19"/>
      <c r="R3153" s="19"/>
      <c r="S3153" s="19"/>
      <c r="T3153" s="19"/>
      <c r="U3153" s="19"/>
      <c r="V3153" s="19"/>
    </row>
    <row r="3154">
      <c r="A3154" s="19"/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19"/>
      <c r="Q3154" s="19"/>
      <c r="R3154" s="19"/>
      <c r="S3154" s="19"/>
      <c r="T3154" s="19"/>
      <c r="U3154" s="19"/>
      <c r="V3154" s="19"/>
    </row>
    <row r="3155">
      <c r="A3155" s="19"/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  <c r="S3155" s="19"/>
      <c r="T3155" s="19"/>
      <c r="U3155" s="19"/>
      <c r="V3155" s="19"/>
    </row>
    <row r="3156">
      <c r="A3156" s="19"/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  <c r="R3156" s="19"/>
      <c r="S3156" s="19"/>
      <c r="T3156" s="19"/>
      <c r="U3156" s="19"/>
      <c r="V3156" s="19"/>
    </row>
    <row r="3157">
      <c r="A3157" s="19"/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  <c r="S3157" s="19"/>
      <c r="T3157" s="19"/>
      <c r="U3157" s="19"/>
      <c r="V3157" s="19"/>
    </row>
    <row r="3158">
      <c r="A3158" s="19"/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  <c r="S3158" s="19"/>
      <c r="T3158" s="19"/>
      <c r="U3158" s="19"/>
      <c r="V3158" s="19"/>
    </row>
    <row r="3159">
      <c r="A3159" s="19"/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19"/>
      <c r="Q3159" s="19"/>
      <c r="R3159" s="19"/>
      <c r="S3159" s="19"/>
      <c r="T3159" s="19"/>
      <c r="U3159" s="19"/>
      <c r="V3159" s="19"/>
    </row>
    <row r="3160">
      <c r="A3160" s="19"/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19"/>
      <c r="Q3160" s="19"/>
      <c r="R3160" s="19"/>
      <c r="S3160" s="19"/>
      <c r="T3160" s="19"/>
      <c r="U3160" s="19"/>
      <c r="V3160" s="19"/>
    </row>
    <row r="3161">
      <c r="A3161" s="19"/>
      <c r="B3161" s="19"/>
      <c r="C3161" s="19"/>
      <c r="D3161" s="19"/>
      <c r="E3161" s="19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19"/>
      <c r="Q3161" s="19"/>
      <c r="R3161" s="19"/>
      <c r="S3161" s="19"/>
      <c r="T3161" s="19"/>
      <c r="U3161" s="19"/>
      <c r="V3161" s="19"/>
    </row>
    <row r="3162">
      <c r="A3162" s="19"/>
      <c r="B3162" s="19"/>
      <c r="C3162" s="19"/>
      <c r="D3162" s="19"/>
      <c r="E3162" s="19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  <c r="R3162" s="19"/>
      <c r="S3162" s="19"/>
      <c r="T3162" s="19"/>
      <c r="U3162" s="19"/>
      <c r="V3162" s="19"/>
    </row>
    <row r="3163">
      <c r="A3163" s="19"/>
      <c r="B3163" s="19"/>
      <c r="C3163" s="19"/>
      <c r="D3163" s="19"/>
      <c r="E3163" s="19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  <c r="R3163" s="19"/>
      <c r="S3163" s="19"/>
      <c r="T3163" s="19"/>
      <c r="U3163" s="19"/>
      <c r="V3163" s="19"/>
    </row>
    <row r="3164">
      <c r="A3164" s="19"/>
      <c r="B3164" s="19"/>
      <c r="C3164" s="19"/>
      <c r="D3164" s="19"/>
      <c r="E3164" s="19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  <c r="R3164" s="19"/>
      <c r="S3164" s="19"/>
      <c r="T3164" s="19"/>
      <c r="U3164" s="19"/>
      <c r="V3164" s="19"/>
    </row>
    <row r="3165">
      <c r="A3165" s="19"/>
      <c r="B3165" s="19"/>
      <c r="C3165" s="19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  <c r="S3165" s="19"/>
      <c r="T3165" s="19"/>
      <c r="U3165" s="19"/>
      <c r="V3165" s="19"/>
    </row>
    <row r="3166">
      <c r="A3166" s="19"/>
      <c r="B3166" s="19"/>
      <c r="C3166" s="19"/>
      <c r="D3166" s="19"/>
      <c r="E3166" s="19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19"/>
      <c r="Q3166" s="19"/>
      <c r="R3166" s="19"/>
      <c r="S3166" s="19"/>
      <c r="T3166" s="19"/>
      <c r="U3166" s="19"/>
      <c r="V3166" s="19"/>
    </row>
    <row r="3167">
      <c r="A3167" s="19"/>
      <c r="B3167" s="19"/>
      <c r="C3167" s="19"/>
      <c r="D3167" s="19"/>
      <c r="E3167" s="19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19"/>
      <c r="Q3167" s="19"/>
      <c r="R3167" s="19"/>
      <c r="S3167" s="19"/>
      <c r="T3167" s="19"/>
      <c r="U3167" s="19"/>
      <c r="V3167" s="19"/>
    </row>
    <row r="3168">
      <c r="A3168" s="19"/>
      <c r="B3168" s="19"/>
      <c r="C3168" s="19"/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19"/>
      <c r="Q3168" s="19"/>
      <c r="R3168" s="19"/>
      <c r="S3168" s="19"/>
      <c r="T3168" s="19"/>
      <c r="U3168" s="19"/>
      <c r="V3168" s="19"/>
    </row>
    <row r="3169">
      <c r="A3169" s="19"/>
      <c r="B3169" s="19"/>
      <c r="C3169" s="19"/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9"/>
      <c r="Q3169" s="19"/>
      <c r="R3169" s="19"/>
      <c r="S3169" s="19"/>
      <c r="T3169" s="19"/>
      <c r="U3169" s="19"/>
      <c r="V3169" s="19"/>
    </row>
    <row r="3170">
      <c r="A3170" s="19"/>
      <c r="B3170" s="19"/>
      <c r="C3170" s="19"/>
      <c r="D3170" s="19"/>
      <c r="E3170" s="19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19"/>
      <c r="Q3170" s="19"/>
      <c r="R3170" s="19"/>
      <c r="S3170" s="19"/>
      <c r="T3170" s="19"/>
      <c r="U3170" s="19"/>
      <c r="V3170" s="19"/>
    </row>
    <row r="3171">
      <c r="A3171" s="19"/>
      <c r="B3171" s="19"/>
      <c r="C3171" s="19"/>
      <c r="D3171" s="19"/>
      <c r="E3171" s="19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19"/>
      <c r="Q3171" s="19"/>
      <c r="R3171" s="19"/>
      <c r="S3171" s="19"/>
      <c r="T3171" s="19"/>
      <c r="U3171" s="19"/>
      <c r="V3171" s="19"/>
    </row>
    <row r="3172">
      <c r="A3172" s="19"/>
      <c r="B3172" s="19"/>
      <c r="C3172" s="19"/>
      <c r="D3172" s="19"/>
      <c r="E3172" s="19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19"/>
      <c r="Q3172" s="19"/>
      <c r="R3172" s="19"/>
      <c r="S3172" s="19"/>
      <c r="T3172" s="19"/>
      <c r="U3172" s="19"/>
      <c r="V3172" s="19"/>
    </row>
    <row r="3173">
      <c r="A3173" s="19"/>
      <c r="B3173" s="19"/>
      <c r="C3173" s="19"/>
      <c r="D3173" s="19"/>
      <c r="E3173" s="19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19"/>
      <c r="Q3173" s="19"/>
      <c r="R3173" s="19"/>
      <c r="S3173" s="19"/>
      <c r="T3173" s="19"/>
      <c r="U3173" s="19"/>
      <c r="V3173" s="19"/>
    </row>
    <row r="3174">
      <c r="A3174" s="19"/>
      <c r="B3174" s="19"/>
      <c r="C3174" s="19"/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  <c r="R3174" s="19"/>
      <c r="S3174" s="19"/>
      <c r="T3174" s="19"/>
      <c r="U3174" s="19"/>
      <c r="V3174" s="19"/>
    </row>
    <row r="3175">
      <c r="A3175" s="19"/>
      <c r="B3175" s="19"/>
      <c r="C3175" s="19"/>
      <c r="D3175" s="19"/>
      <c r="E3175" s="19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19"/>
      <c r="Q3175" s="19"/>
      <c r="R3175" s="19"/>
      <c r="S3175" s="19"/>
      <c r="T3175" s="19"/>
      <c r="U3175" s="19"/>
      <c r="V3175" s="19"/>
    </row>
    <row r="3176">
      <c r="A3176" s="19"/>
      <c r="B3176" s="19"/>
      <c r="C3176" s="19"/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19"/>
      <c r="Q3176" s="19"/>
      <c r="R3176" s="19"/>
      <c r="S3176" s="19"/>
      <c r="T3176" s="19"/>
      <c r="U3176" s="19"/>
      <c r="V3176" s="19"/>
    </row>
    <row r="3177">
      <c r="A3177" s="19"/>
      <c r="B3177" s="19"/>
      <c r="C3177" s="19"/>
      <c r="D3177" s="19"/>
      <c r="E3177" s="19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19"/>
      <c r="Q3177" s="19"/>
      <c r="R3177" s="19"/>
      <c r="S3177" s="19"/>
      <c r="T3177" s="19"/>
      <c r="U3177" s="19"/>
      <c r="V3177" s="19"/>
    </row>
    <row r="3178">
      <c r="A3178" s="19"/>
      <c r="B3178" s="19"/>
      <c r="C3178" s="19"/>
      <c r="D3178" s="19"/>
      <c r="E3178" s="19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19"/>
      <c r="Q3178" s="19"/>
      <c r="R3178" s="19"/>
      <c r="S3178" s="19"/>
      <c r="T3178" s="19"/>
      <c r="U3178" s="19"/>
      <c r="V3178" s="19"/>
    </row>
    <row r="3179">
      <c r="A3179" s="19"/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19"/>
      <c r="Q3179" s="19"/>
      <c r="R3179" s="19"/>
      <c r="S3179" s="19"/>
      <c r="T3179" s="19"/>
      <c r="U3179" s="19"/>
      <c r="V3179" s="19"/>
    </row>
    <row r="3180">
      <c r="A3180" s="19"/>
      <c r="B3180" s="19"/>
      <c r="C3180" s="19"/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  <c r="S3180" s="19"/>
      <c r="T3180" s="19"/>
      <c r="U3180" s="19"/>
      <c r="V3180" s="19"/>
    </row>
    <row r="3181">
      <c r="A3181" s="19"/>
      <c r="B3181" s="19"/>
      <c r="C3181" s="19"/>
      <c r="D3181" s="19"/>
      <c r="E3181" s="19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19"/>
      <c r="Q3181" s="19"/>
      <c r="R3181" s="19"/>
      <c r="S3181" s="19"/>
      <c r="T3181" s="19"/>
      <c r="U3181" s="19"/>
      <c r="V3181" s="19"/>
    </row>
    <row r="3182">
      <c r="A3182" s="19"/>
      <c r="B3182" s="19"/>
      <c r="C3182" s="19"/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  <c r="S3182" s="19"/>
      <c r="T3182" s="19"/>
      <c r="U3182" s="19"/>
      <c r="V3182" s="19"/>
    </row>
    <row r="3183">
      <c r="A3183" s="19"/>
      <c r="B3183" s="19"/>
      <c r="C3183" s="19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  <c r="S3183" s="19"/>
      <c r="T3183" s="19"/>
      <c r="U3183" s="19"/>
      <c r="V3183" s="19"/>
    </row>
    <row r="3184">
      <c r="A3184" s="19"/>
      <c r="B3184" s="19"/>
      <c r="C3184" s="19"/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  <c r="R3184" s="19"/>
      <c r="S3184" s="19"/>
      <c r="T3184" s="19"/>
      <c r="U3184" s="19"/>
      <c r="V3184" s="19"/>
    </row>
    <row r="3185">
      <c r="A3185" s="19"/>
      <c r="B3185" s="19"/>
      <c r="C3185" s="19"/>
      <c r="D3185" s="19"/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  <c r="S3185" s="19"/>
      <c r="T3185" s="19"/>
      <c r="U3185" s="19"/>
      <c r="V3185" s="19"/>
    </row>
    <row r="3186">
      <c r="A3186" s="19"/>
      <c r="B3186" s="19"/>
      <c r="C3186" s="19"/>
      <c r="D3186" s="19"/>
      <c r="E3186" s="19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  <c r="S3186" s="19"/>
      <c r="T3186" s="19"/>
      <c r="U3186" s="19"/>
      <c r="V3186" s="19"/>
    </row>
    <row r="3187">
      <c r="A3187" s="19"/>
      <c r="B3187" s="19"/>
      <c r="C3187" s="19"/>
      <c r="D3187" s="19"/>
      <c r="E3187" s="19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  <c r="R3187" s="19"/>
      <c r="S3187" s="19"/>
      <c r="T3187" s="19"/>
      <c r="U3187" s="19"/>
      <c r="V3187" s="19"/>
    </row>
    <row r="3188">
      <c r="A3188" s="19"/>
      <c r="B3188" s="19"/>
      <c r="C3188" s="19"/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/>
      <c r="R3188" s="19"/>
      <c r="S3188" s="19"/>
      <c r="T3188" s="19"/>
      <c r="U3188" s="19"/>
      <c r="V3188" s="19"/>
    </row>
    <row r="3189">
      <c r="A3189" s="19"/>
      <c r="B3189" s="19"/>
      <c r="C3189" s="19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  <c r="S3189" s="19"/>
      <c r="T3189" s="19"/>
      <c r="U3189" s="19"/>
      <c r="V3189" s="19"/>
    </row>
    <row r="3190">
      <c r="A3190" s="19"/>
      <c r="B3190" s="19"/>
      <c r="C3190" s="19"/>
      <c r="D3190" s="19"/>
      <c r="E3190" s="19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19"/>
      <c r="Q3190" s="19"/>
      <c r="R3190" s="19"/>
      <c r="S3190" s="19"/>
      <c r="T3190" s="19"/>
      <c r="U3190" s="19"/>
      <c r="V3190" s="19"/>
    </row>
    <row r="3191">
      <c r="A3191" s="19"/>
      <c r="B3191" s="19"/>
      <c r="C3191" s="19"/>
      <c r="D3191" s="19"/>
      <c r="E3191" s="19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  <c r="R3191" s="19"/>
      <c r="S3191" s="19"/>
      <c r="T3191" s="19"/>
      <c r="U3191" s="19"/>
      <c r="V3191" s="19"/>
    </row>
    <row r="3192">
      <c r="A3192" s="19"/>
      <c r="B3192" s="19"/>
      <c r="C3192" s="19"/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19"/>
      <c r="Q3192" s="19"/>
      <c r="R3192" s="19"/>
      <c r="S3192" s="19"/>
      <c r="T3192" s="19"/>
      <c r="U3192" s="19"/>
      <c r="V3192" s="19"/>
    </row>
    <row r="3193">
      <c r="A3193" s="19"/>
      <c r="B3193" s="19"/>
      <c r="C3193" s="19"/>
      <c r="D3193" s="19"/>
      <c r="E3193" s="19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  <c r="R3193" s="19"/>
      <c r="S3193" s="19"/>
      <c r="T3193" s="19"/>
      <c r="U3193" s="19"/>
      <c r="V3193" s="19"/>
    </row>
    <row r="3194">
      <c r="A3194" s="19"/>
      <c r="B3194" s="19"/>
      <c r="C3194" s="19"/>
      <c r="D3194" s="19"/>
      <c r="E3194" s="19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19"/>
      <c r="Q3194" s="19"/>
      <c r="R3194" s="19"/>
      <c r="S3194" s="19"/>
      <c r="T3194" s="19"/>
      <c r="U3194" s="19"/>
      <c r="V3194" s="19"/>
    </row>
    <row r="3195">
      <c r="A3195" s="19"/>
      <c r="B3195" s="19"/>
      <c r="C3195" s="19"/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9"/>
      <c r="S3195" s="19"/>
      <c r="T3195" s="19"/>
      <c r="U3195" s="19"/>
      <c r="V3195" s="19"/>
    </row>
    <row r="3196">
      <c r="A3196" s="19"/>
      <c r="B3196" s="19"/>
      <c r="C3196" s="19"/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19"/>
      <c r="Q3196" s="19"/>
      <c r="R3196" s="19"/>
      <c r="S3196" s="19"/>
      <c r="T3196" s="19"/>
      <c r="U3196" s="19"/>
      <c r="V3196" s="19"/>
    </row>
    <row r="3197">
      <c r="A3197" s="19"/>
      <c r="B3197" s="19"/>
      <c r="C3197" s="19"/>
      <c r="D3197" s="19"/>
      <c r="E3197" s="19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19"/>
      <c r="Q3197" s="19"/>
      <c r="R3197" s="19"/>
      <c r="S3197" s="19"/>
      <c r="T3197" s="19"/>
      <c r="U3197" s="19"/>
      <c r="V3197" s="19"/>
    </row>
    <row r="3198">
      <c r="A3198" s="19"/>
      <c r="B3198" s="19"/>
      <c r="C3198" s="19"/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19"/>
      <c r="Q3198" s="19"/>
      <c r="R3198" s="19"/>
      <c r="S3198" s="19"/>
      <c r="T3198" s="19"/>
      <c r="U3198" s="19"/>
      <c r="V3198" s="19"/>
    </row>
    <row r="3199">
      <c r="A3199" s="19"/>
      <c r="B3199" s="19"/>
      <c r="C3199" s="19"/>
      <c r="D3199" s="19"/>
      <c r="E3199" s="19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  <c r="R3199" s="19"/>
      <c r="S3199" s="19"/>
      <c r="T3199" s="19"/>
      <c r="U3199" s="19"/>
      <c r="V3199" s="19"/>
    </row>
    <row r="3200">
      <c r="A3200" s="19"/>
      <c r="B3200" s="19"/>
      <c r="C3200" s="19"/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/>
      <c r="R3200" s="19"/>
      <c r="S3200" s="19"/>
      <c r="T3200" s="19"/>
      <c r="U3200" s="19"/>
      <c r="V3200" s="19"/>
    </row>
    <row r="3201">
      <c r="A3201" s="19"/>
      <c r="B3201" s="19"/>
      <c r="C3201" s="19"/>
      <c r="D3201" s="19"/>
      <c r="E3201" s="19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  <c r="R3201" s="19"/>
      <c r="S3201" s="19"/>
      <c r="T3201" s="19"/>
      <c r="U3201" s="19"/>
      <c r="V3201" s="19"/>
    </row>
    <row r="3202">
      <c r="A3202" s="19"/>
      <c r="B3202" s="19"/>
      <c r="C3202" s="19"/>
      <c r="D3202" s="19"/>
      <c r="E3202" s="19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19"/>
      <c r="Q3202" s="19"/>
      <c r="R3202" s="19"/>
      <c r="S3202" s="19"/>
      <c r="T3202" s="19"/>
      <c r="U3202" s="19"/>
      <c r="V3202" s="19"/>
    </row>
    <row r="3203">
      <c r="A3203" s="19"/>
      <c r="B3203" s="19"/>
      <c r="C3203" s="19"/>
      <c r="D3203" s="19"/>
      <c r="E3203" s="19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19"/>
      <c r="Q3203" s="19"/>
      <c r="R3203" s="19"/>
      <c r="S3203" s="19"/>
      <c r="T3203" s="19"/>
      <c r="U3203" s="19"/>
      <c r="V3203" s="19"/>
    </row>
    <row r="3204">
      <c r="A3204" s="19"/>
      <c r="B3204" s="19"/>
      <c r="C3204" s="19"/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19"/>
      <c r="Q3204" s="19"/>
      <c r="R3204" s="19"/>
      <c r="S3204" s="19"/>
      <c r="T3204" s="19"/>
      <c r="U3204" s="19"/>
      <c r="V3204" s="19"/>
    </row>
    <row r="3205">
      <c r="A3205" s="19"/>
      <c r="B3205" s="19"/>
      <c r="C3205" s="19"/>
      <c r="D3205" s="19"/>
      <c r="E3205" s="19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19"/>
      <c r="Q3205" s="19"/>
      <c r="R3205" s="19"/>
      <c r="S3205" s="19"/>
      <c r="T3205" s="19"/>
      <c r="U3205" s="19"/>
      <c r="V3205" s="19"/>
    </row>
    <row r="3206">
      <c r="A3206" s="19"/>
      <c r="B3206" s="19"/>
      <c r="C3206" s="19"/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  <c r="S3206" s="19"/>
      <c r="T3206" s="19"/>
      <c r="U3206" s="19"/>
      <c r="V3206" s="19"/>
    </row>
    <row r="3207">
      <c r="A3207" s="19"/>
      <c r="B3207" s="19"/>
      <c r="C3207" s="19"/>
      <c r="D3207" s="19"/>
      <c r="E3207" s="19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  <c r="R3207" s="19"/>
      <c r="S3207" s="19"/>
      <c r="T3207" s="19"/>
      <c r="U3207" s="19"/>
      <c r="V3207" s="19"/>
    </row>
    <row r="3208">
      <c r="A3208" s="19"/>
      <c r="B3208" s="19"/>
      <c r="C3208" s="19"/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  <c r="S3208" s="19"/>
      <c r="T3208" s="19"/>
      <c r="U3208" s="19"/>
      <c r="V3208" s="19"/>
    </row>
    <row r="3209">
      <c r="A3209" s="19"/>
      <c r="B3209" s="19"/>
      <c r="C3209" s="19"/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9"/>
      <c r="Q3209" s="19"/>
      <c r="R3209" s="19"/>
      <c r="S3209" s="19"/>
      <c r="T3209" s="19"/>
      <c r="U3209" s="19"/>
      <c r="V3209" s="19"/>
    </row>
    <row r="3210">
      <c r="A3210" s="19"/>
      <c r="B3210" s="19"/>
      <c r="C3210" s="19"/>
      <c r="D3210" s="19"/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  <c r="S3210" s="19"/>
      <c r="T3210" s="19"/>
      <c r="U3210" s="19"/>
      <c r="V3210" s="19"/>
    </row>
    <row r="3211">
      <c r="A3211" s="19"/>
      <c r="B3211" s="19"/>
      <c r="C3211" s="19"/>
      <c r="D3211" s="19"/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  <c r="S3211" s="19"/>
      <c r="T3211" s="19"/>
      <c r="U3211" s="19"/>
      <c r="V3211" s="19"/>
    </row>
    <row r="3212">
      <c r="A3212" s="19"/>
      <c r="B3212" s="19"/>
      <c r="C3212" s="19"/>
      <c r="D3212" s="19"/>
      <c r="E3212" s="19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19"/>
      <c r="Q3212" s="19"/>
      <c r="R3212" s="19"/>
      <c r="S3212" s="19"/>
      <c r="T3212" s="19"/>
      <c r="U3212" s="19"/>
      <c r="V3212" s="19"/>
    </row>
    <row r="3213">
      <c r="A3213" s="19"/>
      <c r="B3213" s="19"/>
      <c r="C3213" s="19"/>
      <c r="D3213" s="19"/>
      <c r="E3213" s="19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19"/>
      <c r="Q3213" s="19"/>
      <c r="R3213" s="19"/>
      <c r="S3213" s="19"/>
      <c r="T3213" s="19"/>
      <c r="U3213" s="19"/>
      <c r="V3213" s="19"/>
    </row>
    <row r="3214">
      <c r="A3214" s="19"/>
      <c r="B3214" s="19"/>
      <c r="C3214" s="19"/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9"/>
      <c r="S3214" s="19"/>
      <c r="T3214" s="19"/>
      <c r="U3214" s="19"/>
      <c r="V3214" s="19"/>
    </row>
    <row r="3215">
      <c r="A3215" s="19"/>
      <c r="B3215" s="19"/>
      <c r="C3215" s="19"/>
      <c r="D3215" s="19"/>
      <c r="E3215" s="19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19"/>
      <c r="Q3215" s="19"/>
      <c r="R3215" s="19"/>
      <c r="S3215" s="19"/>
      <c r="T3215" s="19"/>
      <c r="U3215" s="19"/>
      <c r="V3215" s="19"/>
    </row>
    <row r="3216">
      <c r="A3216" s="19"/>
      <c r="B3216" s="19"/>
      <c r="C3216" s="19"/>
      <c r="D3216" s="19"/>
      <c r="E3216" s="19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19"/>
      <c r="Q3216" s="19"/>
      <c r="R3216" s="19"/>
      <c r="S3216" s="19"/>
      <c r="T3216" s="19"/>
      <c r="U3216" s="19"/>
      <c r="V3216" s="19"/>
    </row>
    <row r="3217">
      <c r="A3217" s="19"/>
      <c r="B3217" s="19"/>
      <c r="C3217" s="19"/>
      <c r="D3217" s="19"/>
      <c r="E3217" s="19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19"/>
      <c r="Q3217" s="19"/>
      <c r="R3217" s="19"/>
      <c r="S3217" s="19"/>
      <c r="T3217" s="19"/>
      <c r="U3217" s="19"/>
      <c r="V3217" s="19"/>
    </row>
    <row r="3218">
      <c r="A3218" s="19"/>
      <c r="B3218" s="19"/>
      <c r="C3218" s="19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  <c r="S3218" s="19"/>
      <c r="T3218" s="19"/>
      <c r="U3218" s="19"/>
      <c r="V3218" s="19"/>
    </row>
    <row r="3219">
      <c r="A3219" s="19"/>
      <c r="B3219" s="19"/>
      <c r="C3219" s="19"/>
      <c r="D3219" s="19"/>
      <c r="E3219" s="19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  <c r="R3219" s="19"/>
      <c r="S3219" s="19"/>
      <c r="T3219" s="19"/>
      <c r="U3219" s="19"/>
      <c r="V3219" s="19"/>
    </row>
    <row r="3220">
      <c r="A3220" s="19"/>
      <c r="B3220" s="19"/>
      <c r="C3220" s="19"/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  <c r="R3220" s="19"/>
      <c r="S3220" s="19"/>
      <c r="T3220" s="19"/>
      <c r="U3220" s="19"/>
      <c r="V3220" s="19"/>
    </row>
    <row r="3221">
      <c r="A3221" s="19"/>
      <c r="B3221" s="19"/>
      <c r="C3221" s="19"/>
      <c r="D3221" s="19"/>
      <c r="E3221" s="19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/>
      <c r="R3221" s="19"/>
      <c r="S3221" s="19"/>
      <c r="T3221" s="19"/>
      <c r="U3221" s="19"/>
      <c r="V3221" s="19"/>
    </row>
    <row r="3222">
      <c r="A3222" s="19"/>
      <c r="B3222" s="19"/>
      <c r="C3222" s="19"/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/>
      <c r="R3222" s="19"/>
      <c r="S3222" s="19"/>
      <c r="T3222" s="19"/>
      <c r="U3222" s="19"/>
      <c r="V3222" s="19"/>
    </row>
    <row r="3223">
      <c r="A3223" s="19"/>
      <c r="B3223" s="19"/>
      <c r="C3223" s="19"/>
      <c r="D3223" s="19"/>
      <c r="E3223" s="19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/>
      <c r="R3223" s="19"/>
      <c r="S3223" s="19"/>
      <c r="T3223" s="19"/>
      <c r="U3223" s="19"/>
      <c r="V3223" s="19"/>
    </row>
    <row r="3224">
      <c r="A3224" s="19"/>
      <c r="B3224" s="19"/>
      <c r="C3224" s="19"/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19"/>
      <c r="Q3224" s="19"/>
      <c r="R3224" s="19"/>
      <c r="S3224" s="19"/>
      <c r="T3224" s="19"/>
      <c r="U3224" s="19"/>
      <c r="V3224" s="19"/>
    </row>
    <row r="3225">
      <c r="A3225" s="19"/>
      <c r="B3225" s="19"/>
      <c r="C3225" s="19"/>
      <c r="D3225" s="19"/>
      <c r="E3225" s="19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19"/>
      <c r="Q3225" s="19"/>
      <c r="R3225" s="19"/>
      <c r="S3225" s="19"/>
      <c r="T3225" s="19"/>
      <c r="U3225" s="19"/>
      <c r="V3225" s="19"/>
    </row>
    <row r="3226">
      <c r="A3226" s="19"/>
      <c r="B3226" s="19"/>
      <c r="C3226" s="19"/>
      <c r="D3226" s="19"/>
      <c r="E3226" s="19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19"/>
      <c r="Q3226" s="19"/>
      <c r="R3226" s="19"/>
      <c r="S3226" s="19"/>
      <c r="T3226" s="19"/>
      <c r="U3226" s="19"/>
      <c r="V3226" s="19"/>
    </row>
    <row r="3227">
      <c r="A3227" s="19"/>
      <c r="B3227" s="19"/>
      <c r="C3227" s="19"/>
      <c r="D3227" s="19"/>
      <c r="E3227" s="19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19"/>
      <c r="Q3227" s="19"/>
      <c r="R3227" s="19"/>
      <c r="S3227" s="19"/>
      <c r="T3227" s="19"/>
      <c r="U3227" s="19"/>
      <c r="V3227" s="19"/>
    </row>
    <row r="3228">
      <c r="A3228" s="19"/>
      <c r="B3228" s="19"/>
      <c r="C3228" s="19"/>
      <c r="D3228" s="19"/>
      <c r="E3228" s="19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19"/>
      <c r="Q3228" s="19"/>
      <c r="R3228" s="19"/>
      <c r="S3228" s="19"/>
      <c r="T3228" s="19"/>
      <c r="U3228" s="19"/>
      <c r="V3228" s="19"/>
    </row>
    <row r="3229">
      <c r="A3229" s="19"/>
      <c r="B3229" s="19"/>
      <c r="C3229" s="19"/>
      <c r="D3229" s="19"/>
      <c r="E3229" s="19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19"/>
      <c r="Q3229" s="19"/>
      <c r="R3229" s="19"/>
      <c r="S3229" s="19"/>
      <c r="T3229" s="19"/>
      <c r="U3229" s="19"/>
      <c r="V3229" s="19"/>
    </row>
    <row r="3230">
      <c r="A3230" s="19"/>
      <c r="B3230" s="19"/>
      <c r="C3230" s="19"/>
      <c r="D3230" s="19"/>
      <c r="E3230" s="19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  <c r="R3230" s="19"/>
      <c r="S3230" s="19"/>
      <c r="T3230" s="19"/>
      <c r="U3230" s="19"/>
      <c r="V3230" s="19"/>
    </row>
    <row r="3231">
      <c r="A3231" s="19"/>
      <c r="B3231" s="19"/>
      <c r="C3231" s="19"/>
      <c r="D3231" s="19"/>
      <c r="E3231" s="19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  <c r="S3231" s="19"/>
      <c r="T3231" s="19"/>
      <c r="U3231" s="19"/>
      <c r="V3231" s="19"/>
    </row>
    <row r="3232">
      <c r="A3232" s="19"/>
      <c r="B3232" s="19"/>
      <c r="C3232" s="19"/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  <c r="S3232" s="19"/>
      <c r="T3232" s="19"/>
      <c r="U3232" s="19"/>
      <c r="V3232" s="19"/>
    </row>
    <row r="3233">
      <c r="A3233" s="19"/>
      <c r="B3233" s="19"/>
      <c r="C3233" s="19"/>
      <c r="D3233" s="19"/>
      <c r="E3233" s="19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19"/>
      <c r="Q3233" s="19"/>
      <c r="R3233" s="19"/>
      <c r="S3233" s="19"/>
      <c r="T3233" s="19"/>
      <c r="U3233" s="19"/>
      <c r="V3233" s="19"/>
    </row>
    <row r="3234">
      <c r="A3234" s="19"/>
      <c r="B3234" s="19"/>
      <c r="C3234" s="19"/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  <c r="S3234" s="19"/>
      <c r="T3234" s="19"/>
      <c r="U3234" s="19"/>
      <c r="V3234" s="19"/>
    </row>
    <row r="3235">
      <c r="A3235" s="19"/>
      <c r="B3235" s="19"/>
      <c r="C3235" s="19"/>
      <c r="D3235" s="19"/>
      <c r="E3235" s="19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19"/>
      <c r="Q3235" s="19"/>
      <c r="R3235" s="19"/>
      <c r="S3235" s="19"/>
      <c r="T3235" s="19"/>
      <c r="U3235" s="19"/>
      <c r="V3235" s="19"/>
    </row>
    <row r="3236">
      <c r="A3236" s="19"/>
      <c r="B3236" s="19"/>
      <c r="C3236" s="19"/>
      <c r="D3236" s="19"/>
      <c r="E3236" s="19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19"/>
      <c r="Q3236" s="19"/>
      <c r="R3236" s="19"/>
      <c r="S3236" s="19"/>
      <c r="T3236" s="19"/>
      <c r="U3236" s="19"/>
      <c r="V3236" s="19"/>
    </row>
    <row r="3237">
      <c r="A3237" s="19"/>
      <c r="B3237" s="19"/>
      <c r="C3237" s="19"/>
      <c r="D3237" s="19"/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  <c r="S3237" s="19"/>
      <c r="T3237" s="19"/>
      <c r="U3237" s="19"/>
      <c r="V3237" s="19"/>
    </row>
    <row r="3238">
      <c r="A3238" s="19"/>
      <c r="B3238" s="19"/>
      <c r="C3238" s="19"/>
      <c r="D3238" s="19"/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  <c r="S3238" s="19"/>
      <c r="T3238" s="19"/>
      <c r="U3238" s="19"/>
      <c r="V3238" s="19"/>
    </row>
    <row r="3239">
      <c r="A3239" s="19"/>
      <c r="B3239" s="19"/>
      <c r="C3239" s="19"/>
      <c r="D3239" s="19"/>
      <c r="E3239" s="19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  <c r="R3239" s="19"/>
      <c r="S3239" s="19"/>
      <c r="T3239" s="19"/>
      <c r="U3239" s="19"/>
      <c r="V3239" s="19"/>
    </row>
    <row r="3240">
      <c r="A3240" s="19"/>
      <c r="B3240" s="19"/>
      <c r="C3240" s="19"/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  <c r="R3240" s="19"/>
      <c r="S3240" s="19"/>
      <c r="T3240" s="19"/>
      <c r="U3240" s="19"/>
      <c r="V3240" s="19"/>
    </row>
    <row r="3241">
      <c r="A3241" s="19"/>
      <c r="B3241" s="19"/>
      <c r="C3241" s="19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  <c r="S3241" s="19"/>
      <c r="T3241" s="19"/>
      <c r="U3241" s="19"/>
      <c r="V3241" s="19"/>
    </row>
    <row r="3242">
      <c r="A3242" s="19"/>
      <c r="B3242" s="19"/>
      <c r="C3242" s="19"/>
      <c r="D3242" s="19"/>
      <c r="E3242" s="19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19"/>
      <c r="Q3242" s="19"/>
      <c r="R3242" s="19"/>
      <c r="S3242" s="19"/>
      <c r="T3242" s="19"/>
      <c r="U3242" s="19"/>
      <c r="V3242" s="19"/>
    </row>
    <row r="3243">
      <c r="A3243" s="19"/>
      <c r="B3243" s="19"/>
      <c r="C3243" s="19"/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  <c r="R3243" s="19"/>
      <c r="S3243" s="19"/>
      <c r="T3243" s="19"/>
      <c r="U3243" s="19"/>
      <c r="V3243" s="19"/>
    </row>
    <row r="3244">
      <c r="A3244" s="19"/>
      <c r="B3244" s="19"/>
      <c r="C3244" s="19"/>
      <c r="D3244" s="19"/>
      <c r="E3244" s="19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  <c r="R3244" s="19"/>
      <c r="S3244" s="19"/>
      <c r="T3244" s="19"/>
      <c r="U3244" s="19"/>
      <c r="V3244" s="19"/>
    </row>
    <row r="3245">
      <c r="A3245" s="19"/>
      <c r="B3245" s="19"/>
      <c r="C3245" s="19"/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9"/>
      <c r="S3245" s="19"/>
      <c r="T3245" s="19"/>
      <c r="U3245" s="19"/>
      <c r="V3245" s="19"/>
    </row>
    <row r="3246">
      <c r="A3246" s="19"/>
      <c r="B3246" s="19"/>
      <c r="C3246" s="19"/>
      <c r="D3246" s="19"/>
      <c r="E3246" s="19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19"/>
      <c r="Q3246" s="19"/>
      <c r="R3246" s="19"/>
      <c r="S3246" s="19"/>
      <c r="T3246" s="19"/>
      <c r="U3246" s="19"/>
      <c r="V3246" s="19"/>
    </row>
    <row r="3247">
      <c r="A3247" s="19"/>
      <c r="B3247" s="19"/>
      <c r="C3247" s="19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  <c r="S3247" s="19"/>
      <c r="T3247" s="19"/>
      <c r="U3247" s="19"/>
      <c r="V3247" s="19"/>
    </row>
    <row r="3248">
      <c r="A3248" s="19"/>
      <c r="B3248" s="19"/>
      <c r="C3248" s="19"/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  <c r="R3248" s="19"/>
      <c r="S3248" s="19"/>
      <c r="T3248" s="19"/>
      <c r="U3248" s="19"/>
      <c r="V3248" s="19"/>
    </row>
    <row r="3249">
      <c r="A3249" s="19"/>
      <c r="B3249" s="19"/>
      <c r="C3249" s="19"/>
      <c r="D3249" s="19"/>
      <c r="E3249" s="19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  <c r="R3249" s="19"/>
      <c r="S3249" s="19"/>
      <c r="T3249" s="19"/>
      <c r="U3249" s="19"/>
      <c r="V3249" s="19"/>
    </row>
    <row r="3250">
      <c r="A3250" s="19"/>
      <c r="B3250" s="19"/>
      <c r="C3250" s="19"/>
      <c r="D3250" s="19"/>
      <c r="E3250" s="19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  <c r="R3250" s="19"/>
      <c r="S3250" s="19"/>
      <c r="T3250" s="19"/>
      <c r="U3250" s="19"/>
      <c r="V3250" s="19"/>
    </row>
    <row r="3251">
      <c r="A3251" s="19"/>
      <c r="B3251" s="19"/>
      <c r="C3251" s="19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  <c r="S3251" s="19"/>
      <c r="T3251" s="19"/>
      <c r="U3251" s="19"/>
      <c r="V3251" s="19"/>
    </row>
    <row r="3252">
      <c r="A3252" s="19"/>
      <c r="B3252" s="19"/>
      <c r="C3252" s="19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  <c r="S3252" s="19"/>
      <c r="T3252" s="19"/>
      <c r="U3252" s="19"/>
      <c r="V3252" s="19"/>
    </row>
    <row r="3253">
      <c r="A3253" s="19"/>
      <c r="B3253" s="19"/>
      <c r="C3253" s="19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  <c r="S3253" s="19"/>
      <c r="T3253" s="19"/>
      <c r="U3253" s="19"/>
      <c r="V3253" s="19"/>
    </row>
    <row r="3254">
      <c r="A3254" s="19"/>
      <c r="B3254" s="19"/>
      <c r="C3254" s="19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  <c r="S3254" s="19"/>
      <c r="T3254" s="19"/>
      <c r="U3254" s="19"/>
      <c r="V3254" s="19"/>
    </row>
    <row r="3255">
      <c r="A3255" s="19"/>
      <c r="B3255" s="19"/>
      <c r="C3255" s="19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  <c r="S3255" s="19"/>
      <c r="T3255" s="19"/>
      <c r="U3255" s="19"/>
      <c r="V3255" s="19"/>
    </row>
    <row r="3256">
      <c r="A3256" s="19"/>
      <c r="B3256" s="19"/>
      <c r="C3256" s="19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  <c r="S3256" s="19"/>
      <c r="T3256" s="19"/>
      <c r="U3256" s="19"/>
      <c r="V3256" s="19"/>
    </row>
    <row r="3257">
      <c r="A3257" s="19"/>
      <c r="B3257" s="19"/>
      <c r="C3257" s="19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  <c r="S3257" s="19"/>
      <c r="T3257" s="19"/>
      <c r="U3257" s="19"/>
      <c r="V3257" s="19"/>
    </row>
    <row r="3258">
      <c r="A3258" s="19"/>
      <c r="B3258" s="19"/>
      <c r="C3258" s="19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  <c r="S3258" s="19"/>
      <c r="T3258" s="19"/>
      <c r="U3258" s="19"/>
      <c r="V3258" s="19"/>
    </row>
    <row r="3259">
      <c r="A3259" s="19"/>
      <c r="B3259" s="19"/>
      <c r="C3259" s="19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  <c r="S3259" s="19"/>
      <c r="T3259" s="19"/>
      <c r="U3259" s="19"/>
      <c r="V3259" s="19"/>
    </row>
    <row r="3260">
      <c r="A3260" s="19"/>
      <c r="B3260" s="19"/>
      <c r="C3260" s="19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  <c r="S3260" s="19"/>
      <c r="T3260" s="19"/>
      <c r="U3260" s="19"/>
      <c r="V3260" s="19"/>
    </row>
    <row r="3261">
      <c r="A3261" s="19"/>
      <c r="B3261" s="19"/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  <c r="S3261" s="19"/>
      <c r="T3261" s="19"/>
      <c r="U3261" s="19"/>
      <c r="V3261" s="19"/>
    </row>
    <row r="3262">
      <c r="A3262" s="19"/>
      <c r="B3262" s="19"/>
      <c r="C3262" s="19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  <c r="S3262" s="19"/>
      <c r="T3262" s="19"/>
      <c r="U3262" s="19"/>
      <c r="V3262" s="19"/>
    </row>
    <row r="3263">
      <c r="A3263" s="19"/>
      <c r="B3263" s="19"/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  <c r="U3263" s="19"/>
      <c r="V3263" s="19"/>
    </row>
    <row r="3264">
      <c r="A3264" s="19"/>
      <c r="B3264" s="19"/>
      <c r="C3264" s="19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  <c r="S3264" s="19"/>
      <c r="T3264" s="19"/>
      <c r="U3264" s="19"/>
      <c r="V3264" s="19"/>
    </row>
    <row r="3265">
      <c r="A3265" s="19"/>
      <c r="B3265" s="19"/>
      <c r="C3265" s="19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  <c r="S3265" s="19"/>
      <c r="T3265" s="19"/>
      <c r="U3265" s="19"/>
      <c r="V3265" s="19"/>
    </row>
    <row r="3266">
      <c r="A3266" s="19"/>
      <c r="B3266" s="19"/>
      <c r="C3266" s="19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  <c r="S3266" s="19"/>
      <c r="T3266" s="19"/>
      <c r="U3266" s="19"/>
      <c r="V3266" s="19"/>
    </row>
    <row r="3267">
      <c r="A3267" s="19"/>
      <c r="B3267" s="19"/>
      <c r="C3267" s="19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  <c r="S3267" s="19"/>
      <c r="T3267" s="19"/>
      <c r="U3267" s="19"/>
      <c r="V3267" s="19"/>
    </row>
    <row r="3268">
      <c r="A3268" s="19"/>
      <c r="B3268" s="19"/>
      <c r="C3268" s="19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  <c r="S3268" s="19"/>
      <c r="T3268" s="19"/>
      <c r="U3268" s="19"/>
      <c r="V3268" s="19"/>
    </row>
    <row r="3269">
      <c r="A3269" s="19"/>
      <c r="B3269" s="19"/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  <c r="S3269" s="19"/>
      <c r="T3269" s="19"/>
      <c r="U3269" s="19"/>
      <c r="V3269" s="19"/>
    </row>
    <row r="3270">
      <c r="A3270" s="19"/>
      <c r="B3270" s="19"/>
      <c r="C3270" s="19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  <c r="S3270" s="19"/>
      <c r="T3270" s="19"/>
      <c r="U3270" s="19"/>
      <c r="V3270" s="19"/>
    </row>
    <row r="3271">
      <c r="A3271" s="19"/>
      <c r="B3271" s="19"/>
      <c r="C3271" s="19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  <c r="S3271" s="19"/>
      <c r="T3271" s="19"/>
      <c r="U3271" s="19"/>
      <c r="V3271" s="19"/>
    </row>
    <row r="3272">
      <c r="A3272" s="19"/>
      <c r="B3272" s="19"/>
      <c r="C3272" s="19"/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19"/>
      <c r="Q3272" s="19"/>
      <c r="R3272" s="19"/>
      <c r="S3272" s="19"/>
      <c r="T3272" s="19"/>
      <c r="U3272" s="19"/>
      <c r="V3272" s="19"/>
    </row>
    <row r="3273">
      <c r="A3273" s="19"/>
      <c r="B3273" s="19"/>
      <c r="C3273" s="19"/>
      <c r="D3273" s="19"/>
      <c r="E3273" s="19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19"/>
      <c r="Q3273" s="19"/>
      <c r="R3273" s="19"/>
      <c r="S3273" s="19"/>
      <c r="T3273" s="19"/>
      <c r="U3273" s="19"/>
      <c r="V3273" s="19"/>
    </row>
    <row r="3274">
      <c r="A3274" s="19"/>
      <c r="B3274" s="19"/>
      <c r="C3274" s="19"/>
      <c r="D3274" s="19"/>
      <c r="E3274" s="19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19"/>
      <c r="Q3274" s="19"/>
      <c r="R3274" s="19"/>
      <c r="S3274" s="19"/>
      <c r="T3274" s="19"/>
      <c r="U3274" s="19"/>
      <c r="V3274" s="19"/>
    </row>
    <row r="3275">
      <c r="A3275" s="19"/>
      <c r="B3275" s="19"/>
      <c r="C3275" s="19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  <c r="S3275" s="19"/>
      <c r="T3275" s="19"/>
      <c r="U3275" s="19"/>
      <c r="V3275" s="19"/>
    </row>
    <row r="3276">
      <c r="A3276" s="19"/>
      <c r="B3276" s="19"/>
      <c r="C3276" s="19"/>
      <c r="D3276" s="19"/>
      <c r="E3276" s="19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19"/>
      <c r="Q3276" s="19"/>
      <c r="R3276" s="19"/>
      <c r="S3276" s="19"/>
      <c r="T3276" s="19"/>
      <c r="U3276" s="19"/>
      <c r="V3276" s="19"/>
    </row>
    <row r="3277">
      <c r="A3277" s="19"/>
      <c r="B3277" s="19"/>
      <c r="C3277" s="19"/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9"/>
      <c r="Q3277" s="19"/>
      <c r="R3277" s="19"/>
      <c r="S3277" s="19"/>
      <c r="T3277" s="19"/>
      <c r="U3277" s="19"/>
      <c r="V3277" s="19"/>
    </row>
    <row r="3278">
      <c r="A3278" s="19"/>
      <c r="B3278" s="19"/>
      <c r="C3278" s="19"/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19"/>
      <c r="Q3278" s="19"/>
      <c r="R3278" s="19"/>
      <c r="S3278" s="19"/>
      <c r="T3278" s="19"/>
      <c r="U3278" s="19"/>
      <c r="V3278" s="19"/>
    </row>
    <row r="3279">
      <c r="A3279" s="19"/>
      <c r="B3279" s="19"/>
      <c r="C3279" s="19"/>
      <c r="D3279" s="19"/>
      <c r="E3279" s="19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19"/>
      <c r="Q3279" s="19"/>
      <c r="R3279" s="19"/>
      <c r="S3279" s="19"/>
      <c r="T3279" s="19"/>
      <c r="U3279" s="19"/>
      <c r="V3279" s="19"/>
    </row>
    <row r="3280">
      <c r="A3280" s="19"/>
      <c r="B3280" s="19"/>
      <c r="C3280" s="19"/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19"/>
      <c r="Q3280" s="19"/>
      <c r="R3280" s="19"/>
      <c r="S3280" s="19"/>
      <c r="T3280" s="19"/>
      <c r="U3280" s="19"/>
      <c r="V3280" s="19"/>
    </row>
    <row r="3281">
      <c r="A3281" s="19"/>
      <c r="B3281" s="19"/>
      <c r="C3281" s="19"/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  <c r="S3281" s="19"/>
      <c r="T3281" s="19"/>
      <c r="U3281" s="19"/>
      <c r="V3281" s="19"/>
    </row>
    <row r="3282">
      <c r="A3282" s="19"/>
      <c r="B3282" s="19"/>
      <c r="C3282" s="19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  <c r="S3282" s="19"/>
      <c r="T3282" s="19"/>
      <c r="U3282" s="19"/>
      <c r="V3282" s="19"/>
    </row>
    <row r="3283">
      <c r="A3283" s="19"/>
      <c r="B3283" s="19"/>
      <c r="C3283" s="19"/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  <c r="S3283" s="19"/>
      <c r="T3283" s="19"/>
      <c r="U3283" s="19"/>
      <c r="V3283" s="19"/>
    </row>
    <row r="3284">
      <c r="A3284" s="19"/>
      <c r="B3284" s="19"/>
      <c r="C3284" s="19"/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19"/>
      <c r="Q3284" s="19"/>
      <c r="R3284" s="19"/>
      <c r="S3284" s="19"/>
      <c r="T3284" s="19"/>
      <c r="U3284" s="19"/>
      <c r="V3284" s="19"/>
    </row>
    <row r="3285">
      <c r="A3285" s="19"/>
      <c r="B3285" s="19"/>
      <c r="C3285" s="19"/>
      <c r="D3285" s="19"/>
      <c r="E3285" s="19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19"/>
      <c r="Q3285" s="19"/>
      <c r="R3285" s="19"/>
      <c r="S3285" s="19"/>
      <c r="T3285" s="19"/>
      <c r="U3285" s="19"/>
      <c r="V3285" s="19"/>
    </row>
    <row r="3286">
      <c r="A3286" s="19"/>
      <c r="B3286" s="19"/>
      <c r="C3286" s="19"/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  <c r="S3286" s="19"/>
      <c r="T3286" s="19"/>
      <c r="U3286" s="19"/>
      <c r="V3286" s="19"/>
    </row>
    <row r="3287">
      <c r="A3287" s="19"/>
      <c r="B3287" s="19"/>
      <c r="C3287" s="19"/>
      <c r="D3287" s="19"/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  <c r="S3287" s="19"/>
      <c r="T3287" s="19"/>
      <c r="U3287" s="19"/>
      <c r="V3287" s="19"/>
    </row>
    <row r="3288">
      <c r="A3288" s="19"/>
      <c r="B3288" s="19"/>
      <c r="C3288" s="19"/>
      <c r="D3288" s="19"/>
      <c r="E3288" s="19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19"/>
      <c r="Q3288" s="19"/>
      <c r="R3288" s="19"/>
      <c r="S3288" s="19"/>
      <c r="T3288" s="19"/>
      <c r="U3288" s="19"/>
      <c r="V3288" s="19"/>
    </row>
    <row r="3289">
      <c r="A3289" s="19"/>
      <c r="B3289" s="19"/>
      <c r="C3289" s="19"/>
      <c r="D3289" s="19"/>
      <c r="E3289" s="19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19"/>
      <c r="Q3289" s="19"/>
      <c r="R3289" s="19"/>
      <c r="S3289" s="19"/>
      <c r="T3289" s="19"/>
      <c r="U3289" s="19"/>
      <c r="V3289" s="19"/>
    </row>
    <row r="3290">
      <c r="A3290" s="19"/>
      <c r="B3290" s="19"/>
      <c r="C3290" s="19"/>
      <c r="D3290" s="19"/>
      <c r="E3290" s="19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19"/>
      <c r="Q3290" s="19"/>
      <c r="R3290" s="19"/>
      <c r="S3290" s="19"/>
      <c r="T3290" s="19"/>
      <c r="U3290" s="19"/>
      <c r="V3290" s="19"/>
    </row>
    <row r="3291">
      <c r="A3291" s="19"/>
      <c r="B3291" s="19"/>
      <c r="C3291" s="19"/>
      <c r="D3291" s="19"/>
      <c r="E3291" s="19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19"/>
      <c r="Q3291" s="19"/>
      <c r="R3291" s="19"/>
      <c r="S3291" s="19"/>
      <c r="T3291" s="19"/>
      <c r="U3291" s="19"/>
      <c r="V3291" s="19"/>
    </row>
    <row r="3292">
      <c r="A3292" s="19"/>
      <c r="B3292" s="19"/>
      <c r="C3292" s="19"/>
      <c r="D3292" s="19"/>
      <c r="E3292" s="19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19"/>
      <c r="Q3292" s="19"/>
      <c r="R3292" s="19"/>
      <c r="S3292" s="19"/>
      <c r="T3292" s="19"/>
      <c r="U3292" s="19"/>
      <c r="V3292" s="19"/>
    </row>
    <row r="3293">
      <c r="A3293" s="19"/>
      <c r="B3293" s="19"/>
      <c r="C3293" s="19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19"/>
      <c r="Q3293" s="19"/>
      <c r="R3293" s="19"/>
      <c r="S3293" s="19"/>
      <c r="T3293" s="19"/>
      <c r="U3293" s="19"/>
      <c r="V3293" s="19"/>
    </row>
    <row r="3294">
      <c r="A3294" s="19"/>
      <c r="B3294" s="19"/>
      <c r="C3294" s="19"/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9"/>
      <c r="S3294" s="19"/>
      <c r="T3294" s="19"/>
      <c r="U3294" s="19"/>
      <c r="V3294" s="19"/>
    </row>
    <row r="3295">
      <c r="A3295" s="19"/>
      <c r="B3295" s="19"/>
      <c r="C3295" s="19"/>
      <c r="D3295" s="19"/>
      <c r="E3295" s="19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19"/>
      <c r="Q3295" s="19"/>
      <c r="R3295" s="19"/>
      <c r="S3295" s="19"/>
      <c r="T3295" s="19"/>
      <c r="U3295" s="19"/>
      <c r="V3295" s="19"/>
    </row>
    <row r="3296">
      <c r="A3296" s="19"/>
      <c r="B3296" s="19"/>
      <c r="C3296" s="19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  <c r="S3296" s="19"/>
      <c r="T3296" s="19"/>
      <c r="U3296" s="19"/>
      <c r="V3296" s="19"/>
    </row>
    <row r="3297">
      <c r="A3297" s="19"/>
      <c r="B3297" s="19"/>
      <c r="C3297" s="19"/>
      <c r="D3297" s="19"/>
      <c r="E3297" s="19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19"/>
      <c r="Q3297" s="19"/>
      <c r="R3297" s="19"/>
      <c r="S3297" s="19"/>
      <c r="T3297" s="19"/>
      <c r="U3297" s="19"/>
      <c r="V3297" s="19"/>
    </row>
    <row r="3298">
      <c r="A3298" s="19"/>
      <c r="B3298" s="19"/>
      <c r="C3298" s="19"/>
      <c r="D3298" s="19"/>
      <c r="E3298" s="19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19"/>
      <c r="Q3298" s="19"/>
      <c r="R3298" s="19"/>
      <c r="S3298" s="19"/>
      <c r="T3298" s="19"/>
      <c r="U3298" s="19"/>
      <c r="V3298" s="19"/>
    </row>
    <row r="3299">
      <c r="A3299" s="19"/>
      <c r="B3299" s="19"/>
      <c r="C3299" s="19"/>
      <c r="D3299" s="19"/>
      <c r="E3299" s="19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19"/>
      <c r="Q3299" s="19"/>
      <c r="R3299" s="19"/>
      <c r="S3299" s="19"/>
      <c r="T3299" s="19"/>
      <c r="U3299" s="19"/>
      <c r="V3299" s="19"/>
    </row>
    <row r="3300">
      <c r="A3300" s="19"/>
      <c r="B3300" s="19"/>
      <c r="C3300" s="19"/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19"/>
      <c r="Q3300" s="19"/>
      <c r="R3300" s="19"/>
      <c r="S3300" s="19"/>
      <c r="T3300" s="19"/>
      <c r="U3300" s="19"/>
      <c r="V3300" s="19"/>
    </row>
    <row r="3301">
      <c r="A3301" s="19"/>
      <c r="B3301" s="19"/>
      <c r="C3301" s="19"/>
      <c r="D3301" s="19"/>
      <c r="E3301" s="19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19"/>
      <c r="Q3301" s="19"/>
      <c r="R3301" s="19"/>
      <c r="S3301" s="19"/>
      <c r="T3301" s="19"/>
      <c r="U3301" s="19"/>
      <c r="V3301" s="19"/>
    </row>
    <row r="3302">
      <c r="A3302" s="19"/>
      <c r="B3302" s="19"/>
      <c r="C3302" s="19"/>
      <c r="D3302" s="19"/>
      <c r="E3302" s="19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  <c r="R3302" s="19"/>
      <c r="S3302" s="19"/>
      <c r="T3302" s="19"/>
      <c r="U3302" s="19"/>
      <c r="V3302" s="19"/>
    </row>
    <row r="3303">
      <c r="A3303" s="19"/>
      <c r="B3303" s="19"/>
      <c r="C3303" s="19"/>
      <c r="D3303" s="19"/>
      <c r="E3303" s="19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19"/>
      <c r="Q3303" s="19"/>
      <c r="R3303" s="19"/>
      <c r="S3303" s="19"/>
      <c r="T3303" s="19"/>
      <c r="U3303" s="19"/>
      <c r="V3303" s="19"/>
    </row>
    <row r="3304">
      <c r="A3304" s="19"/>
      <c r="B3304" s="19"/>
      <c r="C3304" s="19"/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  <c r="R3304" s="19"/>
      <c r="S3304" s="19"/>
      <c r="T3304" s="19"/>
      <c r="U3304" s="19"/>
      <c r="V3304" s="19"/>
    </row>
    <row r="3305">
      <c r="A3305" s="19"/>
      <c r="B3305" s="19"/>
      <c r="C3305" s="19"/>
      <c r="D3305" s="19"/>
      <c r="E3305" s="19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19"/>
      <c r="Q3305" s="19"/>
      <c r="R3305" s="19"/>
      <c r="S3305" s="19"/>
      <c r="T3305" s="19"/>
      <c r="U3305" s="19"/>
      <c r="V3305" s="19"/>
    </row>
    <row r="3306">
      <c r="A3306" s="19"/>
      <c r="B3306" s="19"/>
      <c r="C3306" s="19"/>
      <c r="D3306" s="19"/>
      <c r="E3306" s="19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19"/>
      <c r="Q3306" s="19"/>
      <c r="R3306" s="19"/>
      <c r="S3306" s="19"/>
      <c r="T3306" s="19"/>
      <c r="U3306" s="19"/>
      <c r="V3306" s="19"/>
    </row>
    <row r="3307">
      <c r="A3307" s="19"/>
      <c r="B3307" s="19"/>
      <c r="C3307" s="19"/>
      <c r="D3307" s="19"/>
      <c r="E3307" s="19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19"/>
      <c r="Q3307" s="19"/>
      <c r="R3307" s="19"/>
      <c r="S3307" s="19"/>
      <c r="T3307" s="19"/>
      <c r="U3307" s="19"/>
      <c r="V3307" s="19"/>
    </row>
    <row r="3308">
      <c r="A3308" s="19"/>
      <c r="B3308" s="19"/>
      <c r="C3308" s="19"/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  <c r="S3308" s="19"/>
      <c r="T3308" s="19"/>
      <c r="U3308" s="19"/>
      <c r="V3308" s="19"/>
    </row>
    <row r="3309">
      <c r="A3309" s="19"/>
      <c r="B3309" s="19"/>
      <c r="C3309" s="19"/>
      <c r="D3309" s="19"/>
      <c r="E3309" s="19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19"/>
      <c r="Q3309" s="19"/>
      <c r="R3309" s="19"/>
      <c r="S3309" s="19"/>
      <c r="T3309" s="19"/>
      <c r="U3309" s="19"/>
      <c r="V3309" s="19"/>
    </row>
    <row r="3310">
      <c r="A3310" s="19"/>
      <c r="B3310" s="19"/>
      <c r="C3310" s="19"/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  <c r="S3310" s="19"/>
      <c r="T3310" s="19"/>
      <c r="U3310" s="19"/>
      <c r="V3310" s="19"/>
    </row>
    <row r="3311">
      <c r="A3311" s="19"/>
      <c r="B3311" s="19"/>
      <c r="C3311" s="19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19"/>
      <c r="Q3311" s="19"/>
      <c r="R3311" s="19"/>
      <c r="S3311" s="19"/>
      <c r="T3311" s="19"/>
      <c r="U3311" s="19"/>
      <c r="V3311" s="19"/>
    </row>
    <row r="3312">
      <c r="A3312" s="19"/>
      <c r="B3312" s="19"/>
      <c r="C3312" s="19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19"/>
      <c r="Q3312" s="19"/>
      <c r="R3312" s="19"/>
      <c r="S3312" s="19"/>
      <c r="T3312" s="19"/>
      <c r="U3312" s="19"/>
      <c r="V3312" s="19"/>
    </row>
    <row r="3313">
      <c r="A3313" s="19"/>
      <c r="B3313" s="19"/>
      <c r="C3313" s="19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9"/>
      <c r="S3313" s="19"/>
      <c r="T3313" s="19"/>
      <c r="U3313" s="19"/>
      <c r="V3313" s="19"/>
    </row>
    <row r="3314">
      <c r="A3314" s="19"/>
      <c r="B3314" s="19"/>
      <c r="C3314" s="19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  <c r="S3314" s="19"/>
      <c r="T3314" s="19"/>
      <c r="U3314" s="19"/>
      <c r="V3314" s="19"/>
    </row>
    <row r="3315">
      <c r="A3315" s="19"/>
      <c r="B3315" s="19"/>
      <c r="C3315" s="19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  <c r="S3315" s="19"/>
      <c r="T3315" s="19"/>
      <c r="U3315" s="19"/>
      <c r="V3315" s="19"/>
    </row>
    <row r="3316">
      <c r="A3316" s="19"/>
      <c r="B3316" s="19"/>
      <c r="C3316" s="19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19"/>
      <c r="Q3316" s="19"/>
      <c r="R3316" s="19"/>
      <c r="S3316" s="19"/>
      <c r="T3316" s="19"/>
      <c r="U3316" s="19"/>
      <c r="V3316" s="19"/>
    </row>
    <row r="3317">
      <c r="A3317" s="19"/>
      <c r="B3317" s="19"/>
      <c r="C3317" s="19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  <c r="R3317" s="19"/>
      <c r="S3317" s="19"/>
      <c r="T3317" s="19"/>
      <c r="U3317" s="19"/>
      <c r="V3317" s="19"/>
    </row>
    <row r="3318">
      <c r="A3318" s="19"/>
      <c r="B3318" s="19"/>
      <c r="C3318" s="19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19"/>
      <c r="Q3318" s="19"/>
      <c r="R3318" s="19"/>
      <c r="S3318" s="19"/>
      <c r="T3318" s="19"/>
      <c r="U3318" s="19"/>
      <c r="V3318" s="19"/>
    </row>
    <row r="3319">
      <c r="A3319" s="19"/>
      <c r="B3319" s="19"/>
      <c r="C3319" s="19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19"/>
      <c r="Q3319" s="19"/>
      <c r="R3319" s="19"/>
      <c r="S3319" s="19"/>
      <c r="T3319" s="19"/>
      <c r="U3319" s="19"/>
      <c r="V3319" s="19"/>
    </row>
    <row r="3320">
      <c r="A3320" s="19"/>
      <c r="B3320" s="19"/>
      <c r="C3320" s="19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19"/>
      <c r="Q3320" s="19"/>
      <c r="R3320" s="19"/>
      <c r="S3320" s="19"/>
      <c r="T3320" s="19"/>
      <c r="U3320" s="19"/>
      <c r="V3320" s="19"/>
    </row>
    <row r="3321">
      <c r="A3321" s="19"/>
      <c r="B3321" s="19"/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  <c r="S3321" s="19"/>
      <c r="T3321" s="19"/>
      <c r="U3321" s="19"/>
      <c r="V3321" s="19"/>
    </row>
    <row r="3322">
      <c r="A3322" s="19"/>
      <c r="B3322" s="19"/>
      <c r="C3322" s="19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19"/>
      <c r="Q3322" s="19"/>
      <c r="R3322" s="19"/>
      <c r="S3322" s="19"/>
      <c r="T3322" s="19"/>
      <c r="U3322" s="19"/>
      <c r="V3322" s="19"/>
    </row>
    <row r="3323">
      <c r="A3323" s="19"/>
      <c r="B3323" s="19"/>
      <c r="C3323" s="19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19"/>
      <c r="Q3323" s="19"/>
      <c r="R3323" s="19"/>
      <c r="S3323" s="19"/>
      <c r="T3323" s="19"/>
      <c r="U3323" s="19"/>
      <c r="V3323" s="19"/>
    </row>
    <row r="3324">
      <c r="A3324" s="19"/>
      <c r="B3324" s="19"/>
      <c r="C3324" s="19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19"/>
      <c r="Q3324" s="19"/>
      <c r="R3324" s="19"/>
      <c r="S3324" s="19"/>
      <c r="T3324" s="19"/>
      <c r="U3324" s="19"/>
      <c r="V3324" s="19"/>
    </row>
    <row r="3325">
      <c r="A3325" s="19"/>
      <c r="B3325" s="19"/>
      <c r="C3325" s="19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19"/>
      <c r="Q3325" s="19"/>
      <c r="R3325" s="19"/>
      <c r="S3325" s="19"/>
      <c r="T3325" s="19"/>
      <c r="U3325" s="19"/>
      <c r="V3325" s="19"/>
    </row>
    <row r="3326">
      <c r="A3326" s="19"/>
      <c r="B3326" s="19"/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19"/>
      <c r="Q3326" s="19"/>
      <c r="R3326" s="19"/>
      <c r="S3326" s="19"/>
      <c r="T3326" s="19"/>
      <c r="U3326" s="19"/>
      <c r="V3326" s="19"/>
    </row>
    <row r="3327">
      <c r="A3327" s="19"/>
      <c r="B3327" s="19"/>
      <c r="C3327" s="19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19"/>
      <c r="Q3327" s="19"/>
      <c r="R3327" s="19"/>
      <c r="S3327" s="19"/>
      <c r="T3327" s="19"/>
      <c r="U3327" s="19"/>
      <c r="V3327" s="19"/>
    </row>
    <row r="3328">
      <c r="A3328" s="19"/>
      <c r="B3328" s="19"/>
      <c r="C3328" s="19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19"/>
      <c r="Q3328" s="19"/>
      <c r="R3328" s="19"/>
      <c r="S3328" s="19"/>
      <c r="T3328" s="19"/>
      <c r="U3328" s="19"/>
      <c r="V3328" s="19"/>
    </row>
    <row r="3329">
      <c r="A3329" s="19"/>
      <c r="B3329" s="19"/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  <c r="S3329" s="19"/>
      <c r="T3329" s="19"/>
      <c r="U3329" s="19"/>
      <c r="V3329" s="19"/>
    </row>
    <row r="3330">
      <c r="A3330" s="19"/>
      <c r="B3330" s="19"/>
      <c r="C3330" s="19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19"/>
      <c r="Q3330" s="19"/>
      <c r="R3330" s="19"/>
      <c r="S3330" s="19"/>
      <c r="T3330" s="19"/>
      <c r="U3330" s="19"/>
      <c r="V3330" s="19"/>
    </row>
    <row r="3331">
      <c r="A3331" s="19"/>
      <c r="B3331" s="19"/>
      <c r="C3331" s="19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19"/>
      <c r="Q3331" s="19"/>
      <c r="R3331" s="19"/>
      <c r="S3331" s="19"/>
      <c r="T3331" s="19"/>
      <c r="U3331" s="19"/>
      <c r="V3331" s="19"/>
    </row>
    <row r="3332">
      <c r="A3332" s="19"/>
      <c r="B3332" s="19"/>
      <c r="C3332" s="19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  <c r="S3332" s="19"/>
      <c r="T3332" s="19"/>
      <c r="U3332" s="19"/>
      <c r="V3332" s="19"/>
    </row>
    <row r="3333">
      <c r="A3333" s="19"/>
      <c r="B3333" s="19"/>
      <c r="C3333" s="19"/>
      <c r="D3333" s="19"/>
      <c r="E3333" s="19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19"/>
      <c r="Q3333" s="19"/>
      <c r="R3333" s="19"/>
      <c r="S3333" s="19"/>
      <c r="T3333" s="19"/>
      <c r="U3333" s="19"/>
      <c r="V3333" s="19"/>
    </row>
    <row r="3334">
      <c r="A3334" s="19"/>
      <c r="B3334" s="19"/>
      <c r="C3334" s="19"/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  <c r="S3334" s="19"/>
      <c r="T3334" s="19"/>
      <c r="U3334" s="19"/>
      <c r="V3334" s="19"/>
    </row>
    <row r="3335">
      <c r="A3335" s="19"/>
      <c r="B3335" s="19"/>
      <c r="C3335" s="19"/>
      <c r="D3335" s="19"/>
      <c r="E3335" s="19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19"/>
      <c r="Q3335" s="19"/>
      <c r="R3335" s="19"/>
      <c r="S3335" s="19"/>
      <c r="T3335" s="19"/>
      <c r="U3335" s="19"/>
      <c r="V3335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</cols>
  <sheetData>
    <row r="1">
      <c r="A1" s="25" t="s">
        <v>4</v>
      </c>
      <c r="B1" s="26"/>
      <c r="C1" s="27" t="s">
        <v>7</v>
      </c>
      <c r="D1" s="28"/>
      <c r="E1" s="25" t="s">
        <v>11</v>
      </c>
      <c r="F1" s="26"/>
      <c r="G1" s="25" t="s">
        <v>10</v>
      </c>
      <c r="H1" s="26"/>
      <c r="I1" s="25" t="s">
        <v>8</v>
      </c>
      <c r="J1" s="26"/>
      <c r="K1" s="25" t="s">
        <v>12</v>
      </c>
      <c r="L1" s="28"/>
      <c r="M1" s="25" t="s">
        <v>26</v>
      </c>
      <c r="N1" s="26"/>
    </row>
    <row r="2">
      <c r="A2" s="29" t="str">
        <f>IFERROR(__xludf.DUMMYFUNCTION("ARRAYFORMULA(SORTN(TEXT(GOOGLEFINANCE(CONCAT(""ASX:"",A1), ""price"", DATE(2012,1,1), DATE(2030,12,1), ""daily""), 
 {""yyyy mm"", ""@""}), 9^9, 2, 1, 1))"),"2014 11")</f>
        <v>2014 11</v>
      </c>
      <c r="B2" s="19" t="str">
        <f>IFERROR(__xludf.DUMMYFUNCTION("""COMPUTED_VALUE"""),"50.86")</f>
        <v>50.86</v>
      </c>
      <c r="C2" s="29" t="str">
        <f>IFERROR(__xludf.DUMMYFUNCTION("ARRAYFORMULA(SORTN(TEXT(GOOGLEFINANCE(CONCAT(""ASX:"",C1), ""price"", DATE(2012,1,1), DATE(2030,12,1), ""daily""), 
 {""yyyy mm"", ""@""}), 9^9, 2, 1, 1))"),"2012 01")</f>
        <v>2012 01</v>
      </c>
      <c r="D2" s="30" t="str">
        <f>IFERROR(__xludf.DUMMYFUNCTION("""COMPUTED_VALUE"""),"8.34")</f>
        <v>8.34</v>
      </c>
      <c r="E2" s="29" t="str">
        <f>IFERROR(__xludf.DUMMYFUNCTION("ARRAYFORMULA(SORTN(TEXT(GOOGLEFINANCE(CONCAT(""ASX:"",E1), ""price"", DATE(2012,1,1), DATE(2030,12,1), ""daily""), 
 {""yyyy mm"", ""@""}), 9^9, 2, 1, 1))"),"2018 05")</f>
        <v>2018 05</v>
      </c>
      <c r="F2" s="30" t="str">
        <f>IFERROR(__xludf.DUMMYFUNCTION("""COMPUTED_VALUE"""),"100.74")</f>
        <v>100.74</v>
      </c>
      <c r="G2" s="29" t="str">
        <f>IFERROR(__xludf.DUMMYFUNCTION("ARRAYFORMULA(SORTN(TEXT(GOOGLEFINANCE(CONCAT(""ASX:"",G1), ""price"", DATE(2012,1,1), DATE(2030,12,1), ""daily""), 
 {""yyyy mm"", ""@""}), 9^9, 2, 1, 1))"),"2012 01")</f>
        <v>2012 01</v>
      </c>
      <c r="H2" s="30" t="str">
        <f>IFERROR(__xludf.DUMMYFUNCTION("""COMPUTED_VALUE"""),"52.45")</f>
        <v>52.45</v>
      </c>
      <c r="I2" s="29" t="str">
        <f>IFERROR(__xludf.DUMMYFUNCTION("ARRAYFORMULA(SORTN(TEXT(GOOGLEFINANCE(CONCAT(""ASX:"",I1), ""price"", DATE(2012,1,1), DATE(2030,12,1), ""daily""), 
 {""yyyy mm"", ""@""}), 9^9, 2, 1, 1))"),"2012 01")</f>
        <v>2012 01</v>
      </c>
      <c r="J2" s="30" t="str">
        <f>IFERROR(__xludf.DUMMYFUNCTION("""COMPUTED_VALUE"""),"63.77")</f>
        <v>63.77</v>
      </c>
      <c r="K2" s="29" t="str">
        <f>IFERROR(__xludf.DUMMYFUNCTION("ARRAYFORMULA(SORTN(TEXT(GOOGLEFINANCE(CONCAT(""ASX:"",K1), ""price"", DATE(2012,1,1), DATE(2030,12,1), ""daily""), 
 {""yyyy mm"", ""@""}), 9^9, 2, 1, 1))"),"2012 01")</f>
        <v>2012 01</v>
      </c>
      <c r="L2" s="30" t="str">
        <f>IFERROR(__xludf.DUMMYFUNCTION("""COMPUTED_VALUE"""),"38.7")</f>
        <v>38.7</v>
      </c>
      <c r="M2" s="29" t="str">
        <f>IFERROR(__xludf.DUMMYFUNCTION("ARRAYFORMULA(SORTN(TEXT(GOOGLEFINANCE(CONCAT(""ASX:"",M1), ""price"", DATE(2012,1,1), DATE(2030,12,1), ""daily""), 
 {""yyyy mm"", ""@""}), 9^9, 2, 1, 1))"),"2015 05")</f>
        <v>2015 05</v>
      </c>
      <c r="N2" s="30" t="str">
        <f>IFERROR(__xludf.DUMMYFUNCTION("""COMPUTED_VALUE"""),"10.01")</f>
        <v>10.01</v>
      </c>
    </row>
    <row r="3">
      <c r="A3" s="19" t="str">
        <f>IFERROR(__xludf.DUMMYFUNCTION("""COMPUTED_VALUE"""),"2014 12")</f>
        <v>2014 12</v>
      </c>
      <c r="B3" s="19" t="str">
        <f>IFERROR(__xludf.DUMMYFUNCTION("""COMPUTED_VALUE"""),"52.26")</f>
        <v>52.26</v>
      </c>
      <c r="C3" s="30" t="str">
        <f>IFERROR(__xludf.DUMMYFUNCTION("""COMPUTED_VALUE"""),"2012 02")</f>
        <v>2012 02</v>
      </c>
      <c r="D3" s="30" t="str">
        <f>IFERROR(__xludf.DUMMYFUNCTION("""COMPUTED_VALUE"""),"8.27")</f>
        <v>8.27</v>
      </c>
      <c r="E3" s="30" t="str">
        <f>IFERROR(__xludf.DUMMYFUNCTION("""COMPUTED_VALUE"""),"2018 06")</f>
        <v>2018 06</v>
      </c>
      <c r="F3" s="30" t="str">
        <f>IFERROR(__xludf.DUMMYFUNCTION("""COMPUTED_VALUE"""),"99.31")</f>
        <v>99.31</v>
      </c>
      <c r="G3" s="30" t="str">
        <f>IFERROR(__xludf.DUMMYFUNCTION("""COMPUTED_VALUE"""),"2012 02")</f>
        <v>2012 02</v>
      </c>
      <c r="H3" s="30" t="str">
        <f>IFERROR(__xludf.DUMMYFUNCTION("""COMPUTED_VALUE"""),"54.02")</f>
        <v>54.02</v>
      </c>
      <c r="I3" s="30" t="str">
        <f>IFERROR(__xludf.DUMMYFUNCTION("""COMPUTED_VALUE"""),"2012 02")</f>
        <v>2012 02</v>
      </c>
      <c r="J3" s="30" t="str">
        <f>IFERROR(__xludf.DUMMYFUNCTION("""COMPUTED_VALUE"""),"63.65")</f>
        <v>63.65</v>
      </c>
      <c r="K3" s="30" t="str">
        <f>IFERROR(__xludf.DUMMYFUNCTION("""COMPUTED_VALUE"""),"2012 02")</f>
        <v>2012 02</v>
      </c>
      <c r="L3" s="30" t="str">
        <f>IFERROR(__xludf.DUMMYFUNCTION("""COMPUTED_VALUE"""),"39.99")</f>
        <v>39.99</v>
      </c>
      <c r="M3" s="30" t="str">
        <f>IFERROR(__xludf.DUMMYFUNCTION("""COMPUTED_VALUE"""),"2015 06")</f>
        <v>2015 06</v>
      </c>
      <c r="N3" s="30" t="str">
        <f>IFERROR(__xludf.DUMMYFUNCTION("""COMPUTED_VALUE"""),"10.24")</f>
        <v>10.24</v>
      </c>
    </row>
    <row r="4">
      <c r="A4" s="19" t="str">
        <f>IFERROR(__xludf.DUMMYFUNCTION("""COMPUTED_VALUE"""),"2015 01")</f>
        <v>2015 01</v>
      </c>
      <c r="B4" s="19" t="str">
        <f>IFERROR(__xludf.DUMMYFUNCTION("""COMPUTED_VALUE"""),"53.43")</f>
        <v>53.43</v>
      </c>
      <c r="C4" s="30" t="str">
        <f>IFERROR(__xludf.DUMMYFUNCTION("""COMPUTED_VALUE"""),"2012 03")</f>
        <v>2012 03</v>
      </c>
      <c r="D4" s="30" t="str">
        <f>IFERROR(__xludf.DUMMYFUNCTION("""COMPUTED_VALUE"""),"8.5")</f>
        <v>8.5</v>
      </c>
      <c r="E4" s="30" t="str">
        <f>IFERROR(__xludf.DUMMYFUNCTION("""COMPUTED_VALUE"""),"2018 07")</f>
        <v>2018 07</v>
      </c>
      <c r="F4" s="30" t="str">
        <f>IFERROR(__xludf.DUMMYFUNCTION("""COMPUTED_VALUE"""),"102.6")</f>
        <v>102.6</v>
      </c>
      <c r="G4" s="30" t="str">
        <f>IFERROR(__xludf.DUMMYFUNCTION("""COMPUTED_VALUE"""),"2012 03")</f>
        <v>2012 03</v>
      </c>
      <c r="H4" s="30" t="str">
        <f>IFERROR(__xludf.DUMMYFUNCTION("""COMPUTED_VALUE"""),"55.19")</f>
        <v>55.19</v>
      </c>
      <c r="I4" s="30" t="str">
        <f>IFERROR(__xludf.DUMMYFUNCTION("""COMPUTED_VALUE"""),"2012 03")</f>
        <v>2012 03</v>
      </c>
      <c r="J4" s="30" t="str">
        <f>IFERROR(__xludf.DUMMYFUNCTION("""COMPUTED_VALUE"""),"65.44")</f>
        <v>65.44</v>
      </c>
      <c r="K4" s="30" t="str">
        <f>IFERROR(__xludf.DUMMYFUNCTION("""COMPUTED_VALUE"""),"2012 03")</f>
        <v>2012 03</v>
      </c>
      <c r="L4" s="30" t="str">
        <f>IFERROR(__xludf.DUMMYFUNCTION("""COMPUTED_VALUE"""),"41.54")</f>
        <v>41.54</v>
      </c>
      <c r="M4" s="30" t="str">
        <f>IFERROR(__xludf.DUMMYFUNCTION("""COMPUTED_VALUE"""),"2015 07")</f>
        <v>2015 07</v>
      </c>
      <c r="N4" s="30" t="str">
        <f>IFERROR(__xludf.DUMMYFUNCTION("""COMPUTED_VALUE"""),"9.92")</f>
        <v>9.92</v>
      </c>
    </row>
    <row r="5">
      <c r="A5" s="19" t="str">
        <f>IFERROR(__xludf.DUMMYFUNCTION("""COMPUTED_VALUE"""),"2015 02")</f>
        <v>2015 02</v>
      </c>
      <c r="B5" s="19" t="str">
        <f>IFERROR(__xludf.DUMMYFUNCTION("""COMPUTED_VALUE"""),"54.79")</f>
        <v>54.79</v>
      </c>
      <c r="C5" s="30" t="str">
        <f>IFERROR(__xludf.DUMMYFUNCTION("""COMPUTED_VALUE"""),"2012 04")</f>
        <v>2012 04</v>
      </c>
      <c r="D5" s="30" t="str">
        <f>IFERROR(__xludf.DUMMYFUNCTION("""COMPUTED_VALUE"""),"9.08")</f>
        <v>9.08</v>
      </c>
      <c r="E5" s="30" t="str">
        <f>IFERROR(__xludf.DUMMYFUNCTION("""COMPUTED_VALUE"""),"2018 08")</f>
        <v>2018 08</v>
      </c>
      <c r="F5" s="30" t="str">
        <f>IFERROR(__xludf.DUMMYFUNCTION("""COMPUTED_VALUE"""),"104.27")</f>
        <v>104.27</v>
      </c>
      <c r="G5" s="30" t="str">
        <f>IFERROR(__xludf.DUMMYFUNCTION("""COMPUTED_VALUE"""),"2012 04")</f>
        <v>2012 04</v>
      </c>
      <c r="H5" s="30" t="str">
        <f>IFERROR(__xludf.DUMMYFUNCTION("""COMPUTED_VALUE"""),"55.83")</f>
        <v>55.83</v>
      </c>
      <c r="I5" s="30" t="str">
        <f>IFERROR(__xludf.DUMMYFUNCTION("""COMPUTED_VALUE"""),"2012 04")</f>
        <v>2012 04</v>
      </c>
      <c r="J5" s="30" t="str">
        <f>IFERROR(__xludf.DUMMYFUNCTION("""COMPUTED_VALUE"""),"69.71")</f>
        <v>69.71</v>
      </c>
      <c r="K5" s="30" t="str">
        <f>IFERROR(__xludf.DUMMYFUNCTION("""COMPUTED_VALUE"""),"2012 04")</f>
        <v>2012 04</v>
      </c>
      <c r="L5" s="30" t="str">
        <f>IFERROR(__xludf.DUMMYFUNCTION("""COMPUTED_VALUE"""),"42.76")</f>
        <v>42.76</v>
      </c>
      <c r="M5" s="30" t="str">
        <f>IFERROR(__xludf.DUMMYFUNCTION("""COMPUTED_VALUE"""),"2015 08")</f>
        <v>2015 08</v>
      </c>
      <c r="N5" s="30" t="str">
        <f>IFERROR(__xludf.DUMMYFUNCTION("""COMPUTED_VALUE"""),"10.92")</f>
        <v>10.92</v>
      </c>
    </row>
    <row r="6">
      <c r="A6" s="19" t="str">
        <f>IFERROR(__xludf.DUMMYFUNCTION("""COMPUTED_VALUE"""),"2015 03")</f>
        <v>2015 03</v>
      </c>
      <c r="B6" s="19" t="str">
        <f>IFERROR(__xludf.DUMMYFUNCTION("""COMPUTED_VALUE"""),"58.13")</f>
        <v>58.13</v>
      </c>
      <c r="C6" s="30" t="str">
        <f>IFERROR(__xludf.DUMMYFUNCTION("""COMPUTED_VALUE"""),"2012 05")</f>
        <v>2012 05</v>
      </c>
      <c r="D6" s="30" t="str">
        <f>IFERROR(__xludf.DUMMYFUNCTION("""COMPUTED_VALUE"""),"9.08")</f>
        <v>9.08</v>
      </c>
      <c r="E6" s="30" t="str">
        <f>IFERROR(__xludf.DUMMYFUNCTION("""COMPUTED_VALUE"""),"2018 09")</f>
        <v>2018 09</v>
      </c>
      <c r="F6" s="30" t="str">
        <f>IFERROR(__xludf.DUMMYFUNCTION("""COMPUTED_VALUE"""),"105.86")</f>
        <v>105.86</v>
      </c>
      <c r="G6" s="30" t="str">
        <f>IFERROR(__xludf.DUMMYFUNCTION("""COMPUTED_VALUE"""),"2012 05")</f>
        <v>2012 05</v>
      </c>
      <c r="H6" s="30" t="str">
        <f>IFERROR(__xludf.DUMMYFUNCTION("""COMPUTED_VALUE"""),"57.03")</f>
        <v>57.03</v>
      </c>
      <c r="I6" s="30" t="str">
        <f>IFERROR(__xludf.DUMMYFUNCTION("""COMPUTED_VALUE"""),"2012 05")</f>
        <v>2012 05</v>
      </c>
      <c r="J6" s="30" t="str">
        <f>IFERROR(__xludf.DUMMYFUNCTION("""COMPUTED_VALUE"""),"69.36")</f>
        <v>69.36</v>
      </c>
      <c r="K6" s="30" t="str">
        <f>IFERROR(__xludf.DUMMYFUNCTION("""COMPUTED_VALUE"""),"2012 05")</f>
        <v>2012 05</v>
      </c>
      <c r="L6" s="30" t="str">
        <f>IFERROR(__xludf.DUMMYFUNCTION("""COMPUTED_VALUE"""),"42.31")</f>
        <v>42.31</v>
      </c>
      <c r="M6" s="30" t="str">
        <f>IFERROR(__xludf.DUMMYFUNCTION("""COMPUTED_VALUE"""),"2015 09")</f>
        <v>2015 09</v>
      </c>
      <c r="N6" s="30" t="str">
        <f>IFERROR(__xludf.DUMMYFUNCTION("""COMPUTED_VALUE"""),"10.26")</f>
        <v>10.26</v>
      </c>
    </row>
    <row r="7">
      <c r="A7" s="19" t="str">
        <f>IFERROR(__xludf.DUMMYFUNCTION("""COMPUTED_VALUE"""),"2015 04")</f>
        <v>2015 04</v>
      </c>
      <c r="B7" s="19" t="str">
        <f>IFERROR(__xludf.DUMMYFUNCTION("""COMPUTED_VALUE"""),"57.75")</f>
        <v>57.75</v>
      </c>
      <c r="C7" s="30" t="str">
        <f>IFERROR(__xludf.DUMMYFUNCTION("""COMPUTED_VALUE"""),"2012 06")</f>
        <v>2012 06</v>
      </c>
      <c r="D7" s="30" t="str">
        <f>IFERROR(__xludf.DUMMYFUNCTION("""COMPUTED_VALUE"""),"9.04")</f>
        <v>9.04</v>
      </c>
      <c r="E7" s="30" t="str">
        <f>IFERROR(__xludf.DUMMYFUNCTION("""COMPUTED_VALUE"""),"2018 10")</f>
        <v>2018 10</v>
      </c>
      <c r="F7" s="30" t="str">
        <f>IFERROR(__xludf.DUMMYFUNCTION("""COMPUTED_VALUE"""),"102.63")</f>
        <v>102.63</v>
      </c>
      <c r="G7" s="30" t="str">
        <f>IFERROR(__xludf.DUMMYFUNCTION("""COMPUTED_VALUE"""),"2012 06")</f>
        <v>2012 06</v>
      </c>
      <c r="H7" s="30" t="str">
        <f>IFERROR(__xludf.DUMMYFUNCTION("""COMPUTED_VALUE"""),"52.56")</f>
        <v>52.56</v>
      </c>
      <c r="I7" s="30" t="str">
        <f>IFERROR(__xludf.DUMMYFUNCTION("""COMPUTED_VALUE"""),"2012 06")</f>
        <v>2012 06</v>
      </c>
      <c r="J7" s="30" t="str">
        <f>IFERROR(__xludf.DUMMYFUNCTION("""COMPUTED_VALUE"""),"69.2")</f>
        <v>69.2</v>
      </c>
      <c r="K7" s="30" t="str">
        <f>IFERROR(__xludf.DUMMYFUNCTION("""COMPUTED_VALUE"""),"2012 06")</f>
        <v>2012 06</v>
      </c>
      <c r="L7" s="30" t="str">
        <f>IFERROR(__xludf.DUMMYFUNCTION("""COMPUTED_VALUE"""),"39.45")</f>
        <v>39.45</v>
      </c>
      <c r="M7" s="30" t="str">
        <f>IFERROR(__xludf.DUMMYFUNCTION("""COMPUTED_VALUE"""),"2015 10")</f>
        <v>2015 10</v>
      </c>
      <c r="N7" s="30" t="str">
        <f>IFERROR(__xludf.DUMMYFUNCTION("""COMPUTED_VALUE"""),"10.38")</f>
        <v>10.38</v>
      </c>
    </row>
    <row r="8">
      <c r="A8" s="19" t="str">
        <f>IFERROR(__xludf.DUMMYFUNCTION("""COMPUTED_VALUE"""),"2015 05")</f>
        <v>2015 05</v>
      </c>
      <c r="B8" s="19" t="str">
        <f>IFERROR(__xludf.DUMMYFUNCTION("""COMPUTED_VALUE"""),"57.19")</f>
        <v>57.19</v>
      </c>
      <c r="C8" s="30" t="str">
        <f>IFERROR(__xludf.DUMMYFUNCTION("""COMPUTED_VALUE"""),"2012 07")</f>
        <v>2012 07</v>
      </c>
      <c r="D8" s="30" t="str">
        <f>IFERROR(__xludf.DUMMYFUNCTION("""COMPUTED_VALUE"""),"8.9")</f>
        <v>8.9</v>
      </c>
      <c r="E8" s="30" t="str">
        <f>IFERROR(__xludf.DUMMYFUNCTION("""COMPUTED_VALUE"""),"2018 11")</f>
        <v>2018 11</v>
      </c>
      <c r="F8" s="30" t="str">
        <f>IFERROR(__xludf.DUMMYFUNCTION("""COMPUTED_VALUE"""),"97.1")</f>
        <v>97.1</v>
      </c>
      <c r="G8" s="30" t="str">
        <f>IFERROR(__xludf.DUMMYFUNCTION("""COMPUTED_VALUE"""),"2012 07")</f>
        <v>2012 07</v>
      </c>
      <c r="H8" s="30" t="str">
        <f>IFERROR(__xludf.DUMMYFUNCTION("""COMPUTED_VALUE"""),"53.11")</f>
        <v>53.11</v>
      </c>
      <c r="I8" s="30" t="str">
        <f>IFERROR(__xludf.DUMMYFUNCTION("""COMPUTED_VALUE"""),"2012 07")</f>
        <v>2012 07</v>
      </c>
      <c r="J8" s="30" t="str">
        <f>IFERROR(__xludf.DUMMYFUNCTION("""COMPUTED_VALUE"""),"67.92")</f>
        <v>67.92</v>
      </c>
      <c r="K8" s="30" t="str">
        <f>IFERROR(__xludf.DUMMYFUNCTION("""COMPUTED_VALUE"""),"2012 07")</f>
        <v>2012 07</v>
      </c>
      <c r="L8" s="30" t="str">
        <f>IFERROR(__xludf.DUMMYFUNCTION("""COMPUTED_VALUE"""),"39.85")</f>
        <v>39.85</v>
      </c>
      <c r="M8" s="30" t="str">
        <f>IFERROR(__xludf.DUMMYFUNCTION("""COMPUTED_VALUE"""),"2015 11")</f>
        <v>2015 11</v>
      </c>
      <c r="N8" s="30" t="str">
        <f>IFERROR(__xludf.DUMMYFUNCTION("""COMPUTED_VALUE"""),"11.28")</f>
        <v>11.28</v>
      </c>
    </row>
    <row r="9">
      <c r="A9" s="19" t="str">
        <f>IFERROR(__xludf.DUMMYFUNCTION("""COMPUTED_VALUE"""),"2015 06")</f>
        <v>2015 06</v>
      </c>
      <c r="B9" s="19" t="str">
        <f>IFERROR(__xludf.DUMMYFUNCTION("""COMPUTED_VALUE"""),"59.38")</f>
        <v>59.38</v>
      </c>
      <c r="C9" s="30" t="str">
        <f>IFERROR(__xludf.DUMMYFUNCTION("""COMPUTED_VALUE"""),"2012 08")</f>
        <v>2012 08</v>
      </c>
      <c r="D9" s="30" t="str">
        <f>IFERROR(__xludf.DUMMYFUNCTION("""COMPUTED_VALUE"""),"8.81")</f>
        <v>8.81</v>
      </c>
      <c r="E9" s="30" t="str">
        <f>IFERROR(__xludf.DUMMYFUNCTION("""COMPUTED_VALUE"""),"2018 12")</f>
        <v>2018 12</v>
      </c>
      <c r="F9" s="30" t="str">
        <f>IFERROR(__xludf.DUMMYFUNCTION("""COMPUTED_VALUE"""),"96.68")</f>
        <v>96.68</v>
      </c>
      <c r="G9" s="30" t="str">
        <f>IFERROR(__xludf.DUMMYFUNCTION("""COMPUTED_VALUE"""),"2012 08")</f>
        <v>2012 08</v>
      </c>
      <c r="H9" s="30" t="str">
        <f>IFERROR(__xludf.DUMMYFUNCTION("""COMPUTED_VALUE"""),"54.75")</f>
        <v>54.75</v>
      </c>
      <c r="I9" s="30" t="str">
        <f>IFERROR(__xludf.DUMMYFUNCTION("""COMPUTED_VALUE"""),"2012 08")</f>
        <v>2012 08</v>
      </c>
      <c r="J9" s="30" t="str">
        <f>IFERROR(__xludf.DUMMYFUNCTION("""COMPUTED_VALUE"""),"67.06")</f>
        <v>67.06</v>
      </c>
      <c r="K9" s="30" t="str">
        <f>IFERROR(__xludf.DUMMYFUNCTION("""COMPUTED_VALUE"""),"2012 08")</f>
        <v>2012 08</v>
      </c>
      <c r="L9" s="30" t="str">
        <f>IFERROR(__xludf.DUMMYFUNCTION("""COMPUTED_VALUE"""),"39.29")</f>
        <v>39.29</v>
      </c>
      <c r="M9" s="30" t="str">
        <f>IFERROR(__xludf.DUMMYFUNCTION("""COMPUTED_VALUE"""),"2015 12")</f>
        <v>2015 12</v>
      </c>
      <c r="N9" s="30" t="str">
        <f>IFERROR(__xludf.DUMMYFUNCTION("""COMPUTED_VALUE"""),"11.24")</f>
        <v>11.24</v>
      </c>
    </row>
    <row r="10">
      <c r="A10" s="19" t="str">
        <f>IFERROR(__xludf.DUMMYFUNCTION("""COMPUTED_VALUE"""),"2015 07")</f>
        <v>2015 07</v>
      </c>
      <c r="B10" s="19" t="str">
        <f>IFERROR(__xludf.DUMMYFUNCTION("""COMPUTED_VALUE"""),"57.16")</f>
        <v>57.16</v>
      </c>
      <c r="C10" s="30" t="str">
        <f>IFERROR(__xludf.DUMMYFUNCTION("""COMPUTED_VALUE"""),"2012 09")</f>
        <v>2012 09</v>
      </c>
      <c r="D10" s="30" t="str">
        <f>IFERROR(__xludf.DUMMYFUNCTION("""COMPUTED_VALUE"""),"9.18")</f>
        <v>9.18</v>
      </c>
      <c r="E10" s="30" t="str">
        <f>IFERROR(__xludf.DUMMYFUNCTION("""COMPUTED_VALUE"""),"2019 01")</f>
        <v>2019 01</v>
      </c>
      <c r="F10" s="30" t="str">
        <f>IFERROR(__xludf.DUMMYFUNCTION("""COMPUTED_VALUE"""),"92.79")</f>
        <v>92.79</v>
      </c>
      <c r="G10" s="30" t="str">
        <f>IFERROR(__xludf.DUMMYFUNCTION("""COMPUTED_VALUE"""),"2012 09")</f>
        <v>2012 09</v>
      </c>
      <c r="H10" s="30" t="str">
        <f>IFERROR(__xludf.DUMMYFUNCTION("""COMPUTED_VALUE"""),"56.25")</f>
        <v>56.25</v>
      </c>
      <c r="I10" s="30" t="str">
        <f>IFERROR(__xludf.DUMMYFUNCTION("""COMPUTED_VALUE"""),"2012 09")</f>
        <v>2012 09</v>
      </c>
      <c r="J10" s="30" t="str">
        <f>IFERROR(__xludf.DUMMYFUNCTION("""COMPUTED_VALUE"""),"70.33")</f>
        <v>70.33</v>
      </c>
      <c r="K10" s="30" t="str">
        <f>IFERROR(__xludf.DUMMYFUNCTION("""COMPUTED_VALUE"""),"2012 09")</f>
        <v>2012 09</v>
      </c>
      <c r="L10" s="30" t="str">
        <f>IFERROR(__xludf.DUMMYFUNCTION("""COMPUTED_VALUE"""),"41")</f>
        <v>41</v>
      </c>
      <c r="M10" s="30" t="str">
        <f>IFERROR(__xludf.DUMMYFUNCTION("""COMPUTED_VALUE"""),"2016 01")</f>
        <v>2016 01</v>
      </c>
      <c r="N10" s="30" t="str">
        <f>IFERROR(__xludf.DUMMYFUNCTION("""COMPUTED_VALUE"""),"10.97")</f>
        <v>10.97</v>
      </c>
    </row>
    <row r="11">
      <c r="A11" s="19" t="str">
        <f>IFERROR(__xludf.DUMMYFUNCTION("""COMPUTED_VALUE"""),"2015 08")</f>
        <v>2015 08</v>
      </c>
      <c r="B11" s="19" t="str">
        <f>IFERROR(__xludf.DUMMYFUNCTION("""COMPUTED_VALUE"""),"60.9")</f>
        <v>60.9</v>
      </c>
      <c r="C11" s="30" t="str">
        <f>IFERROR(__xludf.DUMMYFUNCTION("""COMPUTED_VALUE"""),"2012 10")</f>
        <v>2012 10</v>
      </c>
      <c r="D11" s="30" t="str">
        <f>IFERROR(__xludf.DUMMYFUNCTION("""COMPUTED_VALUE"""),"9.28")</f>
        <v>9.28</v>
      </c>
      <c r="E11" s="30" t="str">
        <f>IFERROR(__xludf.DUMMYFUNCTION("""COMPUTED_VALUE"""),"2019 02")</f>
        <v>2019 02</v>
      </c>
      <c r="F11" s="30" t="str">
        <f>IFERROR(__xludf.DUMMYFUNCTION("""COMPUTED_VALUE"""),"97.8")</f>
        <v>97.8</v>
      </c>
      <c r="G11" s="30" t="str">
        <f>IFERROR(__xludf.DUMMYFUNCTION("""COMPUTED_VALUE"""),"2012 10")</f>
        <v>2012 10</v>
      </c>
      <c r="H11" s="30" t="str">
        <f>IFERROR(__xludf.DUMMYFUNCTION("""COMPUTED_VALUE"""),"57.19")</f>
        <v>57.19</v>
      </c>
      <c r="I11" s="30" t="str">
        <f>IFERROR(__xludf.DUMMYFUNCTION("""COMPUTED_VALUE"""),"2012 10")</f>
        <v>2012 10</v>
      </c>
      <c r="J11" s="30" t="str">
        <f>IFERROR(__xludf.DUMMYFUNCTION("""COMPUTED_VALUE"""),"71.12")</f>
        <v>71.12</v>
      </c>
      <c r="K11" s="30" t="str">
        <f>IFERROR(__xludf.DUMMYFUNCTION("""COMPUTED_VALUE"""),"2012 10")</f>
        <v>2012 10</v>
      </c>
      <c r="L11" s="30" t="str">
        <f>IFERROR(__xludf.DUMMYFUNCTION("""COMPUTED_VALUE"""),"41.5")</f>
        <v>41.5</v>
      </c>
      <c r="M11" s="30" t="str">
        <f>IFERROR(__xludf.DUMMYFUNCTION("""COMPUTED_VALUE"""),"2016 02")</f>
        <v>2016 02</v>
      </c>
      <c r="N11" s="30" t="str">
        <f>IFERROR(__xludf.DUMMYFUNCTION("""COMPUTED_VALUE"""),"10.45")</f>
        <v>10.45</v>
      </c>
    </row>
    <row r="12">
      <c r="A12" s="19" t="str">
        <f>IFERROR(__xludf.DUMMYFUNCTION("""COMPUTED_VALUE"""),"2015 09")</f>
        <v>2015 09</v>
      </c>
      <c r="B12" s="19" t="str">
        <f>IFERROR(__xludf.DUMMYFUNCTION("""COMPUTED_VALUE"""),"57.8")</f>
        <v>57.8</v>
      </c>
      <c r="C12" s="30" t="str">
        <f>IFERROR(__xludf.DUMMYFUNCTION("""COMPUTED_VALUE"""),"2012 11")</f>
        <v>2012 11</v>
      </c>
      <c r="D12" s="30" t="str">
        <f>IFERROR(__xludf.DUMMYFUNCTION("""COMPUTED_VALUE"""),"9.09")</f>
        <v>9.09</v>
      </c>
      <c r="E12" s="30" t="str">
        <f>IFERROR(__xludf.DUMMYFUNCTION("""COMPUTED_VALUE"""),"2019 03")</f>
        <v>2019 03</v>
      </c>
      <c r="F12" s="30" t="str">
        <f>IFERROR(__xludf.DUMMYFUNCTION("""COMPUTED_VALUE"""),"104.33")</f>
        <v>104.33</v>
      </c>
      <c r="G12" s="30" t="str">
        <f>IFERROR(__xludf.DUMMYFUNCTION("""COMPUTED_VALUE"""),"2012 11")</f>
        <v>2012 11</v>
      </c>
      <c r="H12" s="30" t="str">
        <f>IFERROR(__xludf.DUMMYFUNCTION("""COMPUTED_VALUE"""),"57.25")</f>
        <v>57.25</v>
      </c>
      <c r="I12" s="30" t="str">
        <f>IFERROR(__xludf.DUMMYFUNCTION("""COMPUTED_VALUE"""),"2012 11")</f>
        <v>2012 11</v>
      </c>
      <c r="J12" s="30" t="str">
        <f>IFERROR(__xludf.DUMMYFUNCTION("""COMPUTED_VALUE"""),"69.65")</f>
        <v>69.65</v>
      </c>
      <c r="K12" s="30" t="str">
        <f>IFERROR(__xludf.DUMMYFUNCTION("""COMPUTED_VALUE"""),"2012 11")</f>
        <v>2012 11</v>
      </c>
      <c r="L12" s="30" t="str">
        <f>IFERROR(__xludf.DUMMYFUNCTION("""COMPUTED_VALUE"""),"41.59")</f>
        <v>41.59</v>
      </c>
      <c r="M12" s="30" t="str">
        <f>IFERROR(__xludf.DUMMYFUNCTION("""COMPUTED_VALUE"""),"2016 03")</f>
        <v>2016 03</v>
      </c>
      <c r="N12" s="30" t="str">
        <f>IFERROR(__xludf.DUMMYFUNCTION("""COMPUTED_VALUE"""),"10.23")</f>
        <v>10.23</v>
      </c>
    </row>
    <row r="13">
      <c r="A13" s="19" t="str">
        <f>IFERROR(__xludf.DUMMYFUNCTION("""COMPUTED_VALUE"""),"2015 10")</f>
        <v>2015 10</v>
      </c>
      <c r="B13" s="19" t="str">
        <f>IFERROR(__xludf.DUMMYFUNCTION("""COMPUTED_VALUE"""),"57.15")</f>
        <v>57.15</v>
      </c>
      <c r="C13" s="30" t="str">
        <f>IFERROR(__xludf.DUMMYFUNCTION("""COMPUTED_VALUE"""),"2012 12")</f>
        <v>2012 12</v>
      </c>
      <c r="D13" s="30" t="str">
        <f>IFERROR(__xludf.DUMMYFUNCTION("""COMPUTED_VALUE"""),"9.16")</f>
        <v>9.16</v>
      </c>
      <c r="E13" s="30" t="str">
        <f>IFERROR(__xludf.DUMMYFUNCTION("""COMPUTED_VALUE"""),"2019 04")</f>
        <v>2019 04</v>
      </c>
      <c r="F13" s="30" t="str">
        <f>IFERROR(__xludf.DUMMYFUNCTION("""COMPUTED_VALUE"""),"104.04")</f>
        <v>104.04</v>
      </c>
      <c r="G13" s="30" t="str">
        <f>IFERROR(__xludf.DUMMYFUNCTION("""COMPUTED_VALUE"""),"2012 12")</f>
        <v>2012 12</v>
      </c>
      <c r="H13" s="30" t="str">
        <f>IFERROR(__xludf.DUMMYFUNCTION("""COMPUTED_VALUE"""),"58.4")</f>
        <v>58.4</v>
      </c>
      <c r="I13" s="30" t="str">
        <f>IFERROR(__xludf.DUMMYFUNCTION("""COMPUTED_VALUE"""),"2012 12")</f>
        <v>2012 12</v>
      </c>
      <c r="J13" s="30" t="str">
        <f>IFERROR(__xludf.DUMMYFUNCTION("""COMPUTED_VALUE"""),"70.43")</f>
        <v>70.43</v>
      </c>
      <c r="K13" s="30" t="str">
        <f>IFERROR(__xludf.DUMMYFUNCTION("""COMPUTED_VALUE"""),"2012 12")</f>
        <v>2012 12</v>
      </c>
      <c r="L13" s="30" t="str">
        <f>IFERROR(__xludf.DUMMYFUNCTION("""COMPUTED_VALUE"""),"42.74")</f>
        <v>42.74</v>
      </c>
      <c r="M13" s="30" t="str">
        <f>IFERROR(__xludf.DUMMYFUNCTION("""COMPUTED_VALUE"""),"2016 04")</f>
        <v>2016 04</v>
      </c>
      <c r="N13" s="30" t="str">
        <f>IFERROR(__xludf.DUMMYFUNCTION("""COMPUTED_VALUE"""),"10.17")</f>
        <v>10.17</v>
      </c>
    </row>
    <row r="14">
      <c r="A14" s="19" t="str">
        <f>IFERROR(__xludf.DUMMYFUNCTION("""COMPUTED_VALUE"""),"2015 11")</f>
        <v>2015 11</v>
      </c>
      <c r="B14" s="19" t="str">
        <f>IFERROR(__xludf.DUMMYFUNCTION("""COMPUTED_VALUE"""),"60.25")</f>
        <v>60.25</v>
      </c>
      <c r="C14" s="30" t="str">
        <f>IFERROR(__xludf.DUMMYFUNCTION("""COMPUTED_VALUE"""),"2013 01")</f>
        <v>2013 01</v>
      </c>
      <c r="D14" s="30" t="str">
        <f>IFERROR(__xludf.DUMMYFUNCTION("""COMPUTED_VALUE"""),"9.2")</f>
        <v>9.2</v>
      </c>
      <c r="E14" s="30" t="str">
        <f>IFERROR(__xludf.DUMMYFUNCTION("""COMPUTED_VALUE"""),"2019 05")</f>
        <v>2019 05</v>
      </c>
      <c r="F14" s="30" t="str">
        <f>IFERROR(__xludf.DUMMYFUNCTION("""COMPUTED_VALUE"""),"106.65")</f>
        <v>106.65</v>
      </c>
      <c r="G14" s="30" t="str">
        <f>IFERROR(__xludf.DUMMYFUNCTION("""COMPUTED_VALUE"""),"2013 01")</f>
        <v>2013 01</v>
      </c>
      <c r="H14" s="30" t="str">
        <f>IFERROR(__xludf.DUMMYFUNCTION("""COMPUTED_VALUE"""),"59.93")</f>
        <v>59.93</v>
      </c>
      <c r="I14" s="30" t="str">
        <f>IFERROR(__xludf.DUMMYFUNCTION("""COMPUTED_VALUE"""),"2013 01")</f>
        <v>2013 01</v>
      </c>
      <c r="J14" s="30" t="str">
        <f>IFERROR(__xludf.DUMMYFUNCTION("""COMPUTED_VALUE"""),"70.85")</f>
        <v>70.85</v>
      </c>
      <c r="K14" s="30" t="str">
        <f>IFERROR(__xludf.DUMMYFUNCTION("""COMPUTED_VALUE"""),"2013 01")</f>
        <v>2013 01</v>
      </c>
      <c r="L14" s="30" t="str">
        <f>IFERROR(__xludf.DUMMYFUNCTION("""COMPUTED_VALUE"""),"43.8")</f>
        <v>43.8</v>
      </c>
      <c r="M14" s="30" t="str">
        <f>IFERROR(__xludf.DUMMYFUNCTION("""COMPUTED_VALUE"""),"2016 05")</f>
        <v>2016 05</v>
      </c>
      <c r="N14" s="30" t="str">
        <f>IFERROR(__xludf.DUMMYFUNCTION("""COMPUTED_VALUE"""),"9.93")</f>
        <v>9.93</v>
      </c>
    </row>
    <row r="15">
      <c r="A15" s="19" t="str">
        <f>IFERROR(__xludf.DUMMYFUNCTION("""COMPUTED_VALUE"""),"2015 12")</f>
        <v>2015 12</v>
      </c>
      <c r="B15" s="19" t="str">
        <f>IFERROR(__xludf.DUMMYFUNCTION("""COMPUTED_VALUE"""),"59.39")</f>
        <v>59.39</v>
      </c>
      <c r="C15" s="30" t="str">
        <f>IFERROR(__xludf.DUMMYFUNCTION("""COMPUTED_VALUE"""),"2013 02")</f>
        <v>2013 02</v>
      </c>
      <c r="D15" s="30" t="str">
        <f>IFERROR(__xludf.DUMMYFUNCTION("""COMPUTED_VALUE"""),"9.7")</f>
        <v>9.7</v>
      </c>
      <c r="E15" s="30" t="str">
        <f>IFERROR(__xludf.DUMMYFUNCTION("""COMPUTED_VALUE"""),"2019 06")</f>
        <v>2019 06</v>
      </c>
      <c r="F15" s="30" t="str">
        <f>IFERROR(__xludf.DUMMYFUNCTION("""COMPUTED_VALUE"""),"106.57")</f>
        <v>106.57</v>
      </c>
      <c r="G15" s="30" t="str">
        <f>IFERROR(__xludf.DUMMYFUNCTION("""COMPUTED_VALUE"""),"2013 02")</f>
        <v>2013 02</v>
      </c>
      <c r="H15" s="30" t="str">
        <f>IFERROR(__xludf.DUMMYFUNCTION("""COMPUTED_VALUE"""),"62.63")</f>
        <v>62.63</v>
      </c>
      <c r="I15" s="30" t="str">
        <f>IFERROR(__xludf.DUMMYFUNCTION("""COMPUTED_VALUE"""),"2013 02")</f>
        <v>2013 02</v>
      </c>
      <c r="J15" s="30" t="str">
        <f>IFERROR(__xludf.DUMMYFUNCTION("""COMPUTED_VALUE"""),"74.96")</f>
        <v>74.96</v>
      </c>
      <c r="K15" s="30" t="str">
        <f>IFERROR(__xludf.DUMMYFUNCTION("""COMPUTED_VALUE"""),"2013 02")</f>
        <v>2013 02</v>
      </c>
      <c r="L15" s="30" t="str">
        <f>IFERROR(__xludf.DUMMYFUNCTION("""COMPUTED_VALUE"""),"45.7")</f>
        <v>45.7</v>
      </c>
      <c r="M15" s="30" t="str">
        <f>IFERROR(__xludf.DUMMYFUNCTION("""COMPUTED_VALUE"""),"2016 06")</f>
        <v>2016 06</v>
      </c>
      <c r="N15" s="30" t="str">
        <f>IFERROR(__xludf.DUMMYFUNCTION("""COMPUTED_VALUE"""),"10.85")</f>
        <v>10.85</v>
      </c>
    </row>
    <row r="16">
      <c r="A16" s="19" t="str">
        <f>IFERROR(__xludf.DUMMYFUNCTION("""COMPUTED_VALUE"""),"2016 01")</f>
        <v>2016 01</v>
      </c>
      <c r="B16" s="19" t="str">
        <f>IFERROR(__xludf.DUMMYFUNCTION("""COMPUTED_VALUE"""),"57.25")</f>
        <v>57.25</v>
      </c>
      <c r="C16" s="30" t="str">
        <f>IFERROR(__xludf.DUMMYFUNCTION("""COMPUTED_VALUE"""),"2013 03")</f>
        <v>2013 03</v>
      </c>
      <c r="D16" s="30" t="str">
        <f>IFERROR(__xludf.DUMMYFUNCTION("""COMPUTED_VALUE"""),"9.94")</f>
        <v>9.94</v>
      </c>
      <c r="E16" s="30" t="str">
        <f>IFERROR(__xludf.DUMMYFUNCTION("""COMPUTED_VALUE"""),"2019 07")</f>
        <v>2019 07</v>
      </c>
      <c r="F16" s="30" t="str">
        <f>IFERROR(__xludf.DUMMYFUNCTION("""COMPUTED_VALUE"""),"111.17")</f>
        <v>111.17</v>
      </c>
      <c r="G16" s="30" t="str">
        <f>IFERROR(__xludf.DUMMYFUNCTION("""COMPUTED_VALUE"""),"2013 03")</f>
        <v>2013 03</v>
      </c>
      <c r="H16" s="30" t="str">
        <f>IFERROR(__xludf.DUMMYFUNCTION("""COMPUTED_VALUE"""),"65.02")</f>
        <v>65.02</v>
      </c>
      <c r="I16" s="30" t="str">
        <f>IFERROR(__xludf.DUMMYFUNCTION("""COMPUTED_VALUE"""),"2013 03")</f>
        <v>2013 03</v>
      </c>
      <c r="J16" s="30" t="str">
        <f>IFERROR(__xludf.DUMMYFUNCTION("""COMPUTED_VALUE"""),"76.77")</f>
        <v>76.77</v>
      </c>
      <c r="K16" s="30" t="str">
        <f>IFERROR(__xludf.DUMMYFUNCTION("""COMPUTED_VALUE"""),"2013 03")</f>
        <v>2013 03</v>
      </c>
      <c r="L16" s="30" t="str">
        <f>IFERROR(__xludf.DUMMYFUNCTION("""COMPUTED_VALUE"""),"45.4")</f>
        <v>45.4</v>
      </c>
      <c r="M16" s="30" t="str">
        <f>IFERROR(__xludf.DUMMYFUNCTION("""COMPUTED_VALUE"""),"2016 07")</f>
        <v>2016 07</v>
      </c>
      <c r="N16" s="30" t="str">
        <f>IFERROR(__xludf.DUMMYFUNCTION("""COMPUTED_VALUE"""),"10.22")</f>
        <v>10.22</v>
      </c>
    </row>
    <row r="17">
      <c r="A17" s="19" t="str">
        <f>IFERROR(__xludf.DUMMYFUNCTION("""COMPUTED_VALUE"""),"2016 02")</f>
        <v>2016 02</v>
      </c>
      <c r="B17" s="19" t="str">
        <f>IFERROR(__xludf.DUMMYFUNCTION("""COMPUTED_VALUE"""),"55.61")</f>
        <v>55.61</v>
      </c>
      <c r="C17" s="30" t="str">
        <f>IFERROR(__xludf.DUMMYFUNCTION("""COMPUTED_VALUE"""),"2013 04")</f>
        <v>2013 04</v>
      </c>
      <c r="D17" s="30" t="str">
        <f>IFERROR(__xludf.DUMMYFUNCTION("""COMPUTED_VALUE"""),"10.01")</f>
        <v>10.01</v>
      </c>
      <c r="E17" s="30" t="str">
        <f>IFERROR(__xludf.DUMMYFUNCTION("""COMPUTED_VALUE"""),"2019 08")</f>
        <v>2019 08</v>
      </c>
      <c r="F17" s="30" t="str">
        <f>IFERROR(__xludf.DUMMYFUNCTION("""COMPUTED_VALUE"""),"113.45")</f>
        <v>113.45</v>
      </c>
      <c r="G17" s="30" t="str">
        <f>IFERROR(__xludf.DUMMYFUNCTION("""COMPUTED_VALUE"""),"2013 04")</f>
        <v>2013 04</v>
      </c>
      <c r="H17" s="30" t="str">
        <f>IFERROR(__xludf.DUMMYFUNCTION("""COMPUTED_VALUE"""),"63.62")</f>
        <v>63.62</v>
      </c>
      <c r="I17" s="30" t="str">
        <f>IFERROR(__xludf.DUMMYFUNCTION("""COMPUTED_VALUE"""),"2013 04")</f>
        <v>2013 04</v>
      </c>
      <c r="J17" s="30" t="str">
        <f>IFERROR(__xludf.DUMMYFUNCTION("""COMPUTED_VALUE"""),"77.15")</f>
        <v>77.15</v>
      </c>
      <c r="K17" s="30" t="str">
        <f>IFERROR(__xludf.DUMMYFUNCTION("""COMPUTED_VALUE"""),"2013 04")</f>
        <v>2013 04</v>
      </c>
      <c r="L17" s="30" t="str">
        <f>IFERROR(__xludf.DUMMYFUNCTION("""COMPUTED_VALUE"""),"44.31")</f>
        <v>44.31</v>
      </c>
      <c r="M17" s="30" t="str">
        <f>IFERROR(__xludf.DUMMYFUNCTION("""COMPUTED_VALUE"""),"2016 08")</f>
        <v>2016 08</v>
      </c>
      <c r="N17" s="30" t="str">
        <f>IFERROR(__xludf.DUMMYFUNCTION("""COMPUTED_VALUE"""),"10.83")</f>
        <v>10.83</v>
      </c>
    </row>
    <row r="18">
      <c r="A18" s="19" t="str">
        <f>IFERROR(__xludf.DUMMYFUNCTION("""COMPUTED_VALUE"""),"2016 03")</f>
        <v>2016 03</v>
      </c>
      <c r="B18" s="19" t="str">
        <f>IFERROR(__xludf.DUMMYFUNCTION("""COMPUTED_VALUE"""),"54.62")</f>
        <v>54.62</v>
      </c>
      <c r="C18" s="30" t="str">
        <f>IFERROR(__xludf.DUMMYFUNCTION("""COMPUTED_VALUE"""),"2013 05")</f>
        <v>2013 05</v>
      </c>
      <c r="D18" s="30" t="str">
        <f>IFERROR(__xludf.DUMMYFUNCTION("""COMPUTED_VALUE"""),"10.34")</f>
        <v>10.34</v>
      </c>
      <c r="E18" s="30" t="str">
        <f>IFERROR(__xludf.DUMMYFUNCTION("""COMPUTED_VALUE"""),"2019 09")</f>
        <v>2019 09</v>
      </c>
      <c r="F18" s="30" t="str">
        <f>IFERROR(__xludf.DUMMYFUNCTION("""COMPUTED_VALUE"""),"110.71")</f>
        <v>110.71</v>
      </c>
      <c r="G18" s="30" t="str">
        <f>IFERROR(__xludf.DUMMYFUNCTION("""COMPUTED_VALUE"""),"2013 05")</f>
        <v>2013 05</v>
      </c>
      <c r="H18" s="30" t="str">
        <f>IFERROR(__xludf.DUMMYFUNCTION("""COMPUTED_VALUE"""),"65.78")</f>
        <v>65.78</v>
      </c>
      <c r="I18" s="30" t="str">
        <f>IFERROR(__xludf.DUMMYFUNCTION("""COMPUTED_VALUE"""),"2013 05")</f>
        <v>2013 05</v>
      </c>
      <c r="J18" s="30" t="str">
        <f>IFERROR(__xludf.DUMMYFUNCTION("""COMPUTED_VALUE"""),"79.53")</f>
        <v>79.53</v>
      </c>
      <c r="K18" s="30" t="str">
        <f>IFERROR(__xludf.DUMMYFUNCTION("""COMPUTED_VALUE"""),"2013 05")</f>
        <v>2013 05</v>
      </c>
      <c r="L18" s="30" t="str">
        <f>IFERROR(__xludf.DUMMYFUNCTION("""COMPUTED_VALUE"""),"46.5")</f>
        <v>46.5</v>
      </c>
      <c r="M18" s="30" t="str">
        <f>IFERROR(__xludf.DUMMYFUNCTION("""COMPUTED_VALUE"""),"2016 09")</f>
        <v>2016 09</v>
      </c>
      <c r="N18" s="30" t="str">
        <f>IFERROR(__xludf.DUMMYFUNCTION("""COMPUTED_VALUE"""),"10.99")</f>
        <v>10.99</v>
      </c>
    </row>
    <row r="19">
      <c r="A19" s="19" t="str">
        <f>IFERROR(__xludf.DUMMYFUNCTION("""COMPUTED_VALUE"""),"2016 04")</f>
        <v>2016 04</v>
      </c>
      <c r="B19" s="19" t="str">
        <f>IFERROR(__xludf.DUMMYFUNCTION("""COMPUTED_VALUE"""),"53.98")</f>
        <v>53.98</v>
      </c>
      <c r="C19" s="30" t="str">
        <f>IFERROR(__xludf.DUMMYFUNCTION("""COMPUTED_VALUE"""),"2013 06")</f>
        <v>2013 06</v>
      </c>
      <c r="D19" s="30" t="str">
        <f>IFERROR(__xludf.DUMMYFUNCTION("""COMPUTED_VALUE"""),"11.4")</f>
        <v>11.4</v>
      </c>
      <c r="E19" s="30" t="str">
        <f>IFERROR(__xludf.DUMMYFUNCTION("""COMPUTED_VALUE"""),"2019 10")</f>
        <v>2019 10</v>
      </c>
      <c r="F19" s="30" t="str">
        <f>IFERROR(__xludf.DUMMYFUNCTION("""COMPUTED_VALUE"""),"112.85")</f>
        <v>112.85</v>
      </c>
      <c r="G19" s="30" t="str">
        <f>IFERROR(__xludf.DUMMYFUNCTION("""COMPUTED_VALUE"""),"2013 06")</f>
        <v>2013 06</v>
      </c>
      <c r="H19" s="30" t="str">
        <f>IFERROR(__xludf.DUMMYFUNCTION("""COMPUTED_VALUE"""),"62.75")</f>
        <v>62.75</v>
      </c>
      <c r="I19" s="30" t="str">
        <f>IFERROR(__xludf.DUMMYFUNCTION("""COMPUTED_VALUE"""),"2013 06")</f>
        <v>2013 06</v>
      </c>
      <c r="J19" s="30" t="str">
        <f>IFERROR(__xludf.DUMMYFUNCTION("""COMPUTED_VALUE"""),"87.85")</f>
        <v>87.85</v>
      </c>
      <c r="K19" s="30" t="str">
        <f>IFERROR(__xludf.DUMMYFUNCTION("""COMPUTED_VALUE"""),"2013 06")</f>
        <v>2013 06</v>
      </c>
      <c r="L19" s="30" t="str">
        <f>IFERROR(__xludf.DUMMYFUNCTION("""COMPUTED_VALUE"""),"48.64")</f>
        <v>48.64</v>
      </c>
      <c r="M19" s="30" t="str">
        <f>IFERROR(__xludf.DUMMYFUNCTION("""COMPUTED_VALUE"""),"2016 10")</f>
        <v>2016 10</v>
      </c>
      <c r="N19" s="30" t="str">
        <f>IFERROR(__xludf.DUMMYFUNCTION("""COMPUTED_VALUE"""),"11.09")</f>
        <v>11.09</v>
      </c>
    </row>
    <row r="20">
      <c r="A20" s="19" t="str">
        <f>IFERROR(__xludf.DUMMYFUNCTION("""COMPUTED_VALUE"""),"2016 05")</f>
        <v>2016 05</v>
      </c>
      <c r="B20" s="19" t="str">
        <f>IFERROR(__xludf.DUMMYFUNCTION("""COMPUTED_VALUE"""),"55.4")</f>
        <v>55.4</v>
      </c>
      <c r="C20" s="30" t="str">
        <f>IFERROR(__xludf.DUMMYFUNCTION("""COMPUTED_VALUE"""),"2013 07")</f>
        <v>2013 07</v>
      </c>
      <c r="D20" s="30" t="str">
        <f>IFERROR(__xludf.DUMMYFUNCTION("""COMPUTED_VALUE"""),"11.71")</f>
        <v>11.71</v>
      </c>
      <c r="E20" s="30" t="str">
        <f>IFERROR(__xludf.DUMMYFUNCTION("""COMPUTED_VALUE"""),"2019 11")</f>
        <v>2019 11</v>
      </c>
      <c r="F20" s="30" t="str">
        <f>IFERROR(__xludf.DUMMYFUNCTION("""COMPUTED_VALUE"""),"111.62")</f>
        <v>111.62</v>
      </c>
      <c r="G20" s="30" t="str">
        <f>IFERROR(__xludf.DUMMYFUNCTION("""COMPUTED_VALUE"""),"2013 07")</f>
        <v>2013 07</v>
      </c>
      <c r="H20" s="30" t="str">
        <f>IFERROR(__xludf.DUMMYFUNCTION("""COMPUTED_VALUE"""),"60.73")</f>
        <v>60.73</v>
      </c>
      <c r="I20" s="30" t="str">
        <f>IFERROR(__xludf.DUMMYFUNCTION("""COMPUTED_VALUE"""),"2013 07")</f>
        <v>2013 07</v>
      </c>
      <c r="J20" s="30" t="str">
        <f>IFERROR(__xludf.DUMMYFUNCTION("""COMPUTED_VALUE"""),"90.38")</f>
        <v>90.38</v>
      </c>
      <c r="K20" s="30" t="str">
        <f>IFERROR(__xludf.DUMMYFUNCTION("""COMPUTED_VALUE"""),"2013 07")</f>
        <v>2013 07</v>
      </c>
      <c r="L20" s="30" t="str">
        <f>IFERROR(__xludf.DUMMYFUNCTION("""COMPUTED_VALUE"""),"48.54")</f>
        <v>48.54</v>
      </c>
      <c r="M20" s="30" t="str">
        <f>IFERROR(__xludf.DUMMYFUNCTION("""COMPUTED_VALUE"""),"2016 11")</f>
        <v>2016 11</v>
      </c>
      <c r="N20" s="30" t="str">
        <f>IFERROR(__xludf.DUMMYFUNCTION("""COMPUTED_VALUE"""),"10.92")</f>
        <v>10.92</v>
      </c>
    </row>
    <row r="21">
      <c r="A21" s="19" t="str">
        <f>IFERROR(__xludf.DUMMYFUNCTION("""COMPUTED_VALUE"""),"2016 06")</f>
        <v>2016 06</v>
      </c>
      <c r="B21" s="19" t="str">
        <f>IFERROR(__xludf.DUMMYFUNCTION("""COMPUTED_VALUE"""),"58.22")</f>
        <v>58.22</v>
      </c>
      <c r="C21" s="30" t="str">
        <f>IFERROR(__xludf.DUMMYFUNCTION("""COMPUTED_VALUE"""),"2013 08")</f>
        <v>2013 08</v>
      </c>
      <c r="D21" s="30" t="str">
        <f>IFERROR(__xludf.DUMMYFUNCTION("""COMPUTED_VALUE"""),"12.7")</f>
        <v>12.7</v>
      </c>
      <c r="E21" s="30" t="str">
        <f>IFERROR(__xludf.DUMMYFUNCTION("""COMPUTED_VALUE"""),"2019 12")</f>
        <v>2019 12</v>
      </c>
      <c r="F21" s="30" t="str">
        <f>IFERROR(__xludf.DUMMYFUNCTION("""COMPUTED_VALUE"""),"115.48")</f>
        <v>115.48</v>
      </c>
      <c r="G21" s="30" t="str">
        <f>IFERROR(__xludf.DUMMYFUNCTION("""COMPUTED_VALUE"""),"2013 08")</f>
        <v>2013 08</v>
      </c>
      <c r="H21" s="30" t="str">
        <f>IFERROR(__xludf.DUMMYFUNCTION("""COMPUTED_VALUE"""),"64.38")</f>
        <v>64.38</v>
      </c>
      <c r="I21" s="30" t="str">
        <f>IFERROR(__xludf.DUMMYFUNCTION("""COMPUTED_VALUE"""),"2013 08")</f>
        <v>2013 08</v>
      </c>
      <c r="J21" s="30" t="str">
        <f>IFERROR(__xludf.DUMMYFUNCTION("""COMPUTED_VALUE"""),"98.22")</f>
        <v>98.22</v>
      </c>
      <c r="K21" s="30" t="str">
        <f>IFERROR(__xludf.DUMMYFUNCTION("""COMPUTED_VALUE"""),"2013 08")</f>
        <v>2013 08</v>
      </c>
      <c r="L21" s="30" t="str">
        <f>IFERROR(__xludf.DUMMYFUNCTION("""COMPUTED_VALUE"""),"52.1")</f>
        <v>52.1</v>
      </c>
      <c r="M21" s="30" t="str">
        <f>IFERROR(__xludf.DUMMYFUNCTION("""COMPUTED_VALUE"""),"2016 12")</f>
        <v>2016 12</v>
      </c>
      <c r="N21" s="30" t="str">
        <f>IFERROR(__xludf.DUMMYFUNCTION("""COMPUTED_VALUE"""),"11.29")</f>
        <v>11.29</v>
      </c>
    </row>
    <row r="22">
      <c r="A22" s="19" t="str">
        <f>IFERROR(__xludf.DUMMYFUNCTION("""COMPUTED_VALUE"""),"2016 07")</f>
        <v>2016 07</v>
      </c>
      <c r="B22" s="19" t="str">
        <f>IFERROR(__xludf.DUMMYFUNCTION("""COMPUTED_VALUE"""),"54.4")</f>
        <v>54.4</v>
      </c>
      <c r="C22" s="30" t="str">
        <f>IFERROR(__xludf.DUMMYFUNCTION("""COMPUTED_VALUE"""),"2013 09")</f>
        <v>2013 09</v>
      </c>
      <c r="D22" s="30" t="str">
        <f>IFERROR(__xludf.DUMMYFUNCTION("""COMPUTED_VALUE"""),"12.33")</f>
        <v>12.33</v>
      </c>
      <c r="E22" s="30" t="str">
        <f>IFERROR(__xludf.DUMMYFUNCTION("""COMPUTED_VALUE"""),"2020 01")</f>
        <v>2020 01</v>
      </c>
      <c r="F22" s="30" t="str">
        <f>IFERROR(__xludf.DUMMYFUNCTION("""COMPUTED_VALUE"""),"111.6")</f>
        <v>111.6</v>
      </c>
      <c r="G22" s="30" t="str">
        <f>IFERROR(__xludf.DUMMYFUNCTION("""COMPUTED_VALUE"""),"2013 09")</f>
        <v>2013 09</v>
      </c>
      <c r="H22" s="30" t="str">
        <f>IFERROR(__xludf.DUMMYFUNCTION("""COMPUTED_VALUE"""),"66.8")</f>
        <v>66.8</v>
      </c>
      <c r="I22" s="30" t="str">
        <f>IFERROR(__xludf.DUMMYFUNCTION("""COMPUTED_VALUE"""),"2013 09")</f>
        <v>2013 09</v>
      </c>
      <c r="J22" s="30" t="str">
        <f>IFERROR(__xludf.DUMMYFUNCTION("""COMPUTED_VALUE"""),"99.85")</f>
        <v>99.85</v>
      </c>
      <c r="K22" s="30" t="str">
        <f>IFERROR(__xludf.DUMMYFUNCTION("""COMPUTED_VALUE"""),"2013 09")</f>
        <v>2013 09</v>
      </c>
      <c r="L22" s="30" t="str">
        <f>IFERROR(__xludf.DUMMYFUNCTION("""COMPUTED_VALUE"""),"51.32")</f>
        <v>51.32</v>
      </c>
      <c r="M22" s="30" t="str">
        <f>IFERROR(__xludf.DUMMYFUNCTION("""COMPUTED_VALUE"""),"2017 01")</f>
        <v>2017 01</v>
      </c>
      <c r="N22" s="30" t="str">
        <f>IFERROR(__xludf.DUMMYFUNCTION("""COMPUTED_VALUE"""),"11.7")</f>
        <v>11.7</v>
      </c>
    </row>
    <row r="23">
      <c r="A23" s="19" t="str">
        <f>IFERROR(__xludf.DUMMYFUNCTION("""COMPUTED_VALUE"""),"2016 08")</f>
        <v>2016 08</v>
      </c>
      <c r="B23" s="19" t="str">
        <f>IFERROR(__xludf.DUMMYFUNCTION("""COMPUTED_VALUE"""),"56.08")</f>
        <v>56.08</v>
      </c>
      <c r="C23" s="30" t="str">
        <f>IFERROR(__xludf.DUMMYFUNCTION("""COMPUTED_VALUE"""),"2013 10")</f>
        <v>2013 10</v>
      </c>
      <c r="D23" s="30" t="str">
        <f>IFERROR(__xludf.DUMMYFUNCTION("""COMPUTED_VALUE"""),"12.02")</f>
        <v>12.02</v>
      </c>
      <c r="E23" s="30" t="str">
        <f>IFERROR(__xludf.DUMMYFUNCTION("""COMPUTED_VALUE"""),"2020 02")</f>
        <v>2020 02</v>
      </c>
      <c r="F23" s="30" t="str">
        <f>IFERROR(__xludf.DUMMYFUNCTION("""COMPUTED_VALUE"""),"115.5")</f>
        <v>115.5</v>
      </c>
      <c r="G23" s="30" t="str">
        <f>IFERROR(__xludf.DUMMYFUNCTION("""COMPUTED_VALUE"""),"2013 10")</f>
        <v>2013 10</v>
      </c>
      <c r="H23" s="30" t="str">
        <f>IFERROR(__xludf.DUMMYFUNCTION("""COMPUTED_VALUE"""),"66.39")</f>
        <v>66.39</v>
      </c>
      <c r="I23" s="30" t="str">
        <f>IFERROR(__xludf.DUMMYFUNCTION("""COMPUTED_VALUE"""),"2013 10")</f>
        <v>2013 10</v>
      </c>
      <c r="J23" s="30" t="str">
        <f>IFERROR(__xludf.DUMMYFUNCTION("""COMPUTED_VALUE"""),"93.57")</f>
        <v>93.57</v>
      </c>
      <c r="K23" s="30" t="str">
        <f>IFERROR(__xludf.DUMMYFUNCTION("""COMPUTED_VALUE"""),"2013 10")</f>
        <v>2013 10</v>
      </c>
      <c r="L23" s="30" t="str">
        <f>IFERROR(__xludf.DUMMYFUNCTION("""COMPUTED_VALUE"""),"52")</f>
        <v>52</v>
      </c>
      <c r="M23" s="30" t="str">
        <f>IFERROR(__xludf.DUMMYFUNCTION("""COMPUTED_VALUE"""),"2017 02")</f>
        <v>2017 02</v>
      </c>
      <c r="N23" s="30" t="str">
        <f>IFERROR(__xludf.DUMMYFUNCTION("""COMPUTED_VALUE"""),"11.76")</f>
        <v>11.76</v>
      </c>
    </row>
    <row r="24">
      <c r="A24" s="19" t="str">
        <f>IFERROR(__xludf.DUMMYFUNCTION("""COMPUTED_VALUE"""),"2016 09")</f>
        <v>2016 09</v>
      </c>
      <c r="B24" s="19" t="str">
        <f>IFERROR(__xludf.DUMMYFUNCTION("""COMPUTED_VALUE"""),"56.6")</f>
        <v>56.6</v>
      </c>
      <c r="C24" s="30" t="str">
        <f>IFERROR(__xludf.DUMMYFUNCTION("""COMPUTED_VALUE"""),"2013 11")</f>
        <v>2013 11</v>
      </c>
      <c r="D24" s="30" t="str">
        <f>IFERROR(__xludf.DUMMYFUNCTION("""COMPUTED_VALUE"""),"12.44")</f>
        <v>12.44</v>
      </c>
      <c r="E24" s="30" t="str">
        <f>IFERROR(__xludf.DUMMYFUNCTION("""COMPUTED_VALUE"""),"2020 03")</f>
        <v>2020 03</v>
      </c>
      <c r="F24" s="30" t="str">
        <f>IFERROR(__xludf.DUMMYFUNCTION("""COMPUTED_VALUE"""),"107.25")</f>
        <v>107.25</v>
      </c>
      <c r="G24" s="30" t="str">
        <f>IFERROR(__xludf.DUMMYFUNCTION("""COMPUTED_VALUE"""),"2013 11")</f>
        <v>2013 11</v>
      </c>
      <c r="H24" s="30" t="str">
        <f>IFERROR(__xludf.DUMMYFUNCTION("""COMPUTED_VALUE"""),"68.88")</f>
        <v>68.88</v>
      </c>
      <c r="I24" s="30" t="str">
        <f>IFERROR(__xludf.DUMMYFUNCTION("""COMPUTED_VALUE"""),"2013 11")</f>
        <v>2013 11</v>
      </c>
      <c r="J24" s="30" t="str">
        <f>IFERROR(__xludf.DUMMYFUNCTION("""COMPUTED_VALUE"""),"96.47")</f>
        <v>96.47</v>
      </c>
      <c r="K24" s="30" t="str">
        <f>IFERROR(__xludf.DUMMYFUNCTION("""COMPUTED_VALUE"""),"2013 11")</f>
        <v>2013 11</v>
      </c>
      <c r="L24" s="30" t="str">
        <f>IFERROR(__xludf.DUMMYFUNCTION("""COMPUTED_VALUE"""),"52.95")</f>
        <v>52.95</v>
      </c>
      <c r="M24" s="30" t="str">
        <f>IFERROR(__xludf.DUMMYFUNCTION("""COMPUTED_VALUE"""),"2017 03")</f>
        <v>2017 03</v>
      </c>
      <c r="N24" s="30" t="str">
        <f>IFERROR(__xludf.DUMMYFUNCTION("""COMPUTED_VALUE"""),"12.11")</f>
        <v>12.11</v>
      </c>
    </row>
    <row r="25">
      <c r="A25" s="19" t="str">
        <f>IFERROR(__xludf.DUMMYFUNCTION("""COMPUTED_VALUE"""),"2016 10")</f>
        <v>2016 10</v>
      </c>
      <c r="B25" s="19" t="str">
        <f>IFERROR(__xludf.DUMMYFUNCTION("""COMPUTED_VALUE"""),"55.95")</f>
        <v>55.95</v>
      </c>
      <c r="C25" s="30" t="str">
        <f>IFERROR(__xludf.DUMMYFUNCTION("""COMPUTED_VALUE"""),"2013 12")</f>
        <v>2013 12</v>
      </c>
      <c r="D25" s="30" t="str">
        <f>IFERROR(__xludf.DUMMYFUNCTION("""COMPUTED_VALUE"""),"13.27")</f>
        <v>13.27</v>
      </c>
      <c r="E25" s="30" t="str">
        <f>IFERROR(__xludf.DUMMYFUNCTION("""COMPUTED_VALUE"""),"2020 04")</f>
        <v>2020 04</v>
      </c>
      <c r="F25" s="30" t="str">
        <f>IFERROR(__xludf.DUMMYFUNCTION("""COMPUTED_VALUE"""),"88.09")</f>
        <v>88.09</v>
      </c>
      <c r="G25" s="30" t="str">
        <f>IFERROR(__xludf.DUMMYFUNCTION("""COMPUTED_VALUE"""),"2013 12")</f>
        <v>2013 12</v>
      </c>
      <c r="H25" s="30" t="str">
        <f>IFERROR(__xludf.DUMMYFUNCTION("""COMPUTED_VALUE"""),"67.5")</f>
        <v>67.5</v>
      </c>
      <c r="I25" s="30" t="str">
        <f>IFERROR(__xludf.DUMMYFUNCTION("""COMPUTED_VALUE"""),"2013 12")</f>
        <v>2013 12</v>
      </c>
      <c r="J25" s="30" t="str">
        <f>IFERROR(__xludf.DUMMYFUNCTION("""COMPUTED_VALUE"""),"102.73")</f>
        <v>102.73</v>
      </c>
      <c r="K25" s="30" t="str">
        <f>IFERROR(__xludf.DUMMYFUNCTION("""COMPUTED_VALUE"""),"2013 12")</f>
        <v>2013 12</v>
      </c>
      <c r="L25" s="30" t="str">
        <f>IFERROR(__xludf.DUMMYFUNCTION("""COMPUTED_VALUE"""),"55.1")</f>
        <v>55.1</v>
      </c>
      <c r="M25" s="30" t="str">
        <f>IFERROR(__xludf.DUMMYFUNCTION("""COMPUTED_VALUE"""),"2017 04")</f>
        <v>2017 04</v>
      </c>
      <c r="N25" s="30" t="str">
        <f>IFERROR(__xludf.DUMMYFUNCTION("""COMPUTED_VALUE"""),"12.43")</f>
        <v>12.43</v>
      </c>
    </row>
    <row r="26">
      <c r="A26" s="19" t="str">
        <f>IFERROR(__xludf.DUMMYFUNCTION("""COMPUTED_VALUE"""),"2016 11")</f>
        <v>2016 11</v>
      </c>
      <c r="B26" s="19" t="str">
        <f>IFERROR(__xludf.DUMMYFUNCTION("""COMPUTED_VALUE"""),"54.65")</f>
        <v>54.65</v>
      </c>
      <c r="C26" s="30" t="str">
        <f>IFERROR(__xludf.DUMMYFUNCTION("""COMPUTED_VALUE"""),"2014 01")</f>
        <v>2014 01</v>
      </c>
      <c r="D26" s="30" t="str">
        <f>IFERROR(__xludf.DUMMYFUNCTION("""COMPUTED_VALUE"""),"13.97")</f>
        <v>13.97</v>
      </c>
      <c r="E26" s="30" t="str">
        <f>IFERROR(__xludf.DUMMYFUNCTION("""COMPUTED_VALUE"""),"2020 05")</f>
        <v>2020 05</v>
      </c>
      <c r="F26" s="30" t="str">
        <f>IFERROR(__xludf.DUMMYFUNCTION("""COMPUTED_VALUE"""),"88.24")</f>
        <v>88.24</v>
      </c>
      <c r="G26" s="30" t="str">
        <f>IFERROR(__xludf.DUMMYFUNCTION("""COMPUTED_VALUE"""),"2014 01")</f>
        <v>2014 01</v>
      </c>
      <c r="H26" s="30" t="str">
        <f>IFERROR(__xludf.DUMMYFUNCTION("""COMPUTED_VALUE"""),"67.81")</f>
        <v>67.81</v>
      </c>
      <c r="I26" s="30" t="str">
        <f>IFERROR(__xludf.DUMMYFUNCTION("""COMPUTED_VALUE"""),"2014 01")</f>
        <v>2014 01</v>
      </c>
      <c r="J26" s="30" t="str">
        <f>IFERROR(__xludf.DUMMYFUNCTION("""COMPUTED_VALUE"""),"107.26")</f>
        <v>107.26</v>
      </c>
      <c r="K26" s="30" t="str">
        <f>IFERROR(__xludf.DUMMYFUNCTION("""COMPUTED_VALUE"""),"2014 01")</f>
        <v>2014 01</v>
      </c>
      <c r="L26" s="30" t="str">
        <f>IFERROR(__xludf.DUMMYFUNCTION("""COMPUTED_VALUE"""),"56.73")</f>
        <v>56.73</v>
      </c>
      <c r="M26" s="30" t="str">
        <f>IFERROR(__xludf.DUMMYFUNCTION("""COMPUTED_VALUE"""),"2017 05")</f>
        <v>2017 05</v>
      </c>
      <c r="N26" s="30" t="str">
        <f>IFERROR(__xludf.DUMMYFUNCTION("""COMPUTED_VALUE"""),"12.97")</f>
        <v>12.97</v>
      </c>
    </row>
    <row r="27">
      <c r="A27" s="19" t="str">
        <f>IFERROR(__xludf.DUMMYFUNCTION("""COMPUTED_VALUE"""),"2016 12")</f>
        <v>2016 12</v>
      </c>
      <c r="B27" s="19" t="str">
        <f>IFERROR(__xludf.DUMMYFUNCTION("""COMPUTED_VALUE"""),"57.32")</f>
        <v>57.32</v>
      </c>
      <c r="C27" s="30" t="str">
        <f>IFERROR(__xludf.DUMMYFUNCTION("""COMPUTED_VALUE"""),"2014 02")</f>
        <v>2014 02</v>
      </c>
      <c r="D27" s="30" t="str">
        <f>IFERROR(__xludf.DUMMYFUNCTION("""COMPUTED_VALUE"""),"13.38")</f>
        <v>13.38</v>
      </c>
      <c r="E27" s="30" t="str">
        <f>IFERROR(__xludf.DUMMYFUNCTION("""COMPUTED_VALUE"""),"2020 06")</f>
        <v>2020 06</v>
      </c>
      <c r="F27" s="30" t="str">
        <f>IFERROR(__xludf.DUMMYFUNCTION("""COMPUTED_VALUE"""),"97.35")</f>
        <v>97.35</v>
      </c>
      <c r="G27" s="30" t="str">
        <f>IFERROR(__xludf.DUMMYFUNCTION("""COMPUTED_VALUE"""),"2014 02")</f>
        <v>2014 02</v>
      </c>
      <c r="H27" s="30" t="str">
        <f>IFERROR(__xludf.DUMMYFUNCTION("""COMPUTED_VALUE"""),"64.64")</f>
        <v>64.64</v>
      </c>
      <c r="I27" s="30" t="str">
        <f>IFERROR(__xludf.DUMMYFUNCTION("""COMPUTED_VALUE"""),"2014 02")</f>
        <v>2014 02</v>
      </c>
      <c r="J27" s="30" t="str">
        <f>IFERROR(__xludf.DUMMYFUNCTION("""COMPUTED_VALUE"""),"104.34")</f>
        <v>104.34</v>
      </c>
      <c r="K27" s="30" t="str">
        <f>IFERROR(__xludf.DUMMYFUNCTION("""COMPUTED_VALUE"""),"2014 02")</f>
        <v>2014 02</v>
      </c>
      <c r="L27" s="30" t="str">
        <f>IFERROR(__xludf.DUMMYFUNCTION("""COMPUTED_VALUE"""),"53.9")</f>
        <v>53.9</v>
      </c>
      <c r="M27" s="30" t="str">
        <f>IFERROR(__xludf.DUMMYFUNCTION("""COMPUTED_VALUE"""),"2017 06")</f>
        <v>2017 06</v>
      </c>
      <c r="N27" s="30" t="str">
        <f>IFERROR(__xludf.DUMMYFUNCTION("""COMPUTED_VALUE"""),"13.63")</f>
        <v>13.63</v>
      </c>
    </row>
    <row r="28">
      <c r="A28" s="19" t="str">
        <f>IFERROR(__xludf.DUMMYFUNCTION("""COMPUTED_VALUE"""),"2017 01")</f>
        <v>2017 01</v>
      </c>
      <c r="B28" s="19" t="str">
        <f>IFERROR(__xludf.DUMMYFUNCTION("""COMPUTED_VALUE"""),"59.6")</f>
        <v>59.6</v>
      </c>
      <c r="C28" s="30" t="str">
        <f>IFERROR(__xludf.DUMMYFUNCTION("""COMPUTED_VALUE"""),"2014 03")</f>
        <v>2014 03</v>
      </c>
      <c r="D28" s="30" t="str">
        <f>IFERROR(__xludf.DUMMYFUNCTION("""COMPUTED_VALUE"""),"13.9")</f>
        <v>13.9</v>
      </c>
      <c r="E28" s="30" t="str">
        <f>IFERROR(__xludf.DUMMYFUNCTION("""COMPUTED_VALUE"""),"2020 07")</f>
        <v>2020 07</v>
      </c>
      <c r="F28" s="30" t="str">
        <f>IFERROR(__xludf.DUMMYFUNCTION("""COMPUTED_VALUE"""),"99.01")</f>
        <v>99.01</v>
      </c>
      <c r="G28" s="30" t="str">
        <f>IFERROR(__xludf.DUMMYFUNCTION("""COMPUTED_VALUE"""),"2014 03")</f>
        <v>2014 03</v>
      </c>
      <c r="H28" s="30" t="str">
        <f>IFERROR(__xludf.DUMMYFUNCTION("""COMPUTED_VALUE"""),"68.66")</f>
        <v>68.66</v>
      </c>
      <c r="I28" s="30" t="str">
        <f>IFERROR(__xludf.DUMMYFUNCTION("""COMPUTED_VALUE"""),"2014 03")</f>
        <v>2014 03</v>
      </c>
      <c r="J28" s="30" t="str">
        <f>IFERROR(__xludf.DUMMYFUNCTION("""COMPUTED_VALUE"""),"108.48")</f>
        <v>108.48</v>
      </c>
      <c r="K28" s="30" t="str">
        <f>IFERROR(__xludf.DUMMYFUNCTION("""COMPUTED_VALUE"""),"2014 03")</f>
        <v>2014 03</v>
      </c>
      <c r="L28" s="30" t="str">
        <f>IFERROR(__xludf.DUMMYFUNCTION("""COMPUTED_VALUE"""),"55.5")</f>
        <v>55.5</v>
      </c>
      <c r="M28" s="30" t="str">
        <f>IFERROR(__xludf.DUMMYFUNCTION("""COMPUTED_VALUE"""),"2017 07")</f>
        <v>2017 07</v>
      </c>
      <c r="N28" s="30" t="str">
        <f>IFERROR(__xludf.DUMMYFUNCTION("""COMPUTED_VALUE"""),"12.79")</f>
        <v>12.79</v>
      </c>
    </row>
    <row r="29">
      <c r="A29" s="19" t="str">
        <f>IFERROR(__xludf.DUMMYFUNCTION("""COMPUTED_VALUE"""),"2017 02")</f>
        <v>2017 02</v>
      </c>
      <c r="B29" s="19" t="str">
        <f>IFERROR(__xludf.DUMMYFUNCTION("""COMPUTED_VALUE"""),"58.34")</f>
        <v>58.34</v>
      </c>
      <c r="C29" s="30" t="str">
        <f>IFERROR(__xludf.DUMMYFUNCTION("""COMPUTED_VALUE"""),"2014 04")</f>
        <v>2014 04</v>
      </c>
      <c r="D29" s="30" t="str">
        <f>IFERROR(__xludf.DUMMYFUNCTION("""COMPUTED_VALUE"""),"13.69")</f>
        <v>13.69</v>
      </c>
      <c r="E29" s="30" t="str">
        <f>IFERROR(__xludf.DUMMYFUNCTION("""COMPUTED_VALUE"""),"2020 08")</f>
        <v>2020 08</v>
      </c>
      <c r="F29" s="30" t="str">
        <f>IFERROR(__xludf.DUMMYFUNCTION("""COMPUTED_VALUE"""),"99.07")</f>
        <v>99.07</v>
      </c>
      <c r="G29" s="30" t="str">
        <f>IFERROR(__xludf.DUMMYFUNCTION("""COMPUTED_VALUE"""),"2014 04")</f>
        <v>2014 04</v>
      </c>
      <c r="H29" s="30" t="str">
        <f>IFERROR(__xludf.DUMMYFUNCTION("""COMPUTED_VALUE"""),"68.59")</f>
        <v>68.59</v>
      </c>
      <c r="I29" s="30" t="str">
        <f>IFERROR(__xludf.DUMMYFUNCTION("""COMPUTED_VALUE"""),"2014 04")</f>
        <v>2014 04</v>
      </c>
      <c r="J29" s="30" t="str">
        <f>IFERROR(__xludf.DUMMYFUNCTION("""COMPUTED_VALUE"""),"106.69")</f>
        <v>106.69</v>
      </c>
      <c r="K29" s="30" t="str">
        <f>IFERROR(__xludf.DUMMYFUNCTION("""COMPUTED_VALUE"""),"2014 04")</f>
        <v>2014 04</v>
      </c>
      <c r="L29" s="30" t="str">
        <f>IFERROR(__xludf.DUMMYFUNCTION("""COMPUTED_VALUE"""),"55.11")</f>
        <v>55.11</v>
      </c>
      <c r="M29" s="30" t="str">
        <f>IFERROR(__xludf.DUMMYFUNCTION("""COMPUTED_VALUE"""),"2017 08")</f>
        <v>2017 08</v>
      </c>
      <c r="N29" s="30" t="str">
        <f>IFERROR(__xludf.DUMMYFUNCTION("""COMPUTED_VALUE"""),"12.76")</f>
        <v>12.76</v>
      </c>
    </row>
    <row r="30">
      <c r="A30" s="19" t="str">
        <f>IFERROR(__xludf.DUMMYFUNCTION("""COMPUTED_VALUE"""),"2017 03")</f>
        <v>2017 03</v>
      </c>
      <c r="B30" s="19" t="str">
        <f>IFERROR(__xludf.DUMMYFUNCTION("""COMPUTED_VALUE"""),"59.26")</f>
        <v>59.26</v>
      </c>
      <c r="C30" s="30" t="str">
        <f>IFERROR(__xludf.DUMMYFUNCTION("""COMPUTED_VALUE"""),"2014 05")</f>
        <v>2014 05</v>
      </c>
      <c r="D30" s="30" t="str">
        <f>IFERROR(__xludf.DUMMYFUNCTION("""COMPUTED_VALUE"""),"13.63")</f>
        <v>13.63</v>
      </c>
      <c r="E30" s="30" t="str">
        <f>IFERROR(__xludf.DUMMYFUNCTION("""COMPUTED_VALUE"""),"2020 09")</f>
        <v>2020 09</v>
      </c>
      <c r="F30" s="30" t="str">
        <f>IFERROR(__xludf.DUMMYFUNCTION("""COMPUTED_VALUE"""),"100.17")</f>
        <v>100.17</v>
      </c>
      <c r="G30" s="30" t="str">
        <f>IFERROR(__xludf.DUMMYFUNCTION("""COMPUTED_VALUE"""),"2014 05")</f>
        <v>2014 05</v>
      </c>
      <c r="H30" s="30" t="str">
        <f>IFERROR(__xludf.DUMMYFUNCTION("""COMPUTED_VALUE"""),"69.13")</f>
        <v>69.13</v>
      </c>
      <c r="I30" s="30" t="str">
        <f>IFERROR(__xludf.DUMMYFUNCTION("""COMPUTED_VALUE"""),"2014 05")</f>
        <v>2014 05</v>
      </c>
      <c r="J30" s="30" t="str">
        <f>IFERROR(__xludf.DUMMYFUNCTION("""COMPUTED_VALUE"""),"105.1")</f>
        <v>105.1</v>
      </c>
      <c r="K30" s="30" t="str">
        <f>IFERROR(__xludf.DUMMYFUNCTION("""COMPUTED_VALUE"""),"2014 05")</f>
        <v>2014 05</v>
      </c>
      <c r="L30" s="30" t="str">
        <f>IFERROR(__xludf.DUMMYFUNCTION("""COMPUTED_VALUE"""),"55.15")</f>
        <v>55.15</v>
      </c>
      <c r="M30" s="30" t="str">
        <f>IFERROR(__xludf.DUMMYFUNCTION("""COMPUTED_VALUE"""),"2017 09")</f>
        <v>2017 09</v>
      </c>
      <c r="N30" s="30" t="str">
        <f>IFERROR(__xludf.DUMMYFUNCTION("""COMPUTED_VALUE"""),"13.11")</f>
        <v>13.11</v>
      </c>
    </row>
    <row r="31">
      <c r="A31" s="19" t="str">
        <f>IFERROR(__xludf.DUMMYFUNCTION("""COMPUTED_VALUE"""),"2017 04")</f>
        <v>2017 04</v>
      </c>
      <c r="B31" s="19" t="str">
        <f>IFERROR(__xludf.DUMMYFUNCTION("""COMPUTED_VALUE"""),"60.07")</f>
        <v>60.07</v>
      </c>
      <c r="C31" s="30" t="str">
        <f>IFERROR(__xludf.DUMMYFUNCTION("""COMPUTED_VALUE"""),"2014 06")</f>
        <v>2014 06</v>
      </c>
      <c r="D31" s="30" t="str">
        <f>IFERROR(__xludf.DUMMYFUNCTION("""COMPUTED_VALUE"""),"13.96")</f>
        <v>13.96</v>
      </c>
      <c r="E31" s="30" t="str">
        <f>IFERROR(__xludf.DUMMYFUNCTION("""COMPUTED_VALUE"""),"2020 10")</f>
        <v>2020 10</v>
      </c>
      <c r="F31" s="30" t="str">
        <f>IFERROR(__xludf.DUMMYFUNCTION("""COMPUTED_VALUE"""),"98.48")</f>
        <v>98.48</v>
      </c>
      <c r="G31" s="30" t="str">
        <f>IFERROR(__xludf.DUMMYFUNCTION("""COMPUTED_VALUE"""),"2014 06")</f>
        <v>2014 06</v>
      </c>
      <c r="H31" s="30" t="str">
        <f>IFERROR(__xludf.DUMMYFUNCTION("""COMPUTED_VALUE"""),"70.52")</f>
        <v>70.52</v>
      </c>
      <c r="I31" s="30" t="str">
        <f>IFERROR(__xludf.DUMMYFUNCTION("""COMPUTED_VALUE"""),"2014 06")</f>
        <v>2014 06</v>
      </c>
      <c r="J31" s="30" t="str">
        <f>IFERROR(__xludf.DUMMYFUNCTION("""COMPUTED_VALUE"""),"108")</f>
        <v>108</v>
      </c>
      <c r="K31" s="30" t="str">
        <f>IFERROR(__xludf.DUMMYFUNCTION("""COMPUTED_VALUE"""),"2014 06")</f>
        <v>2014 06</v>
      </c>
      <c r="L31" s="30" t="str">
        <f>IFERROR(__xludf.DUMMYFUNCTION("""COMPUTED_VALUE"""),"56.62")</f>
        <v>56.62</v>
      </c>
      <c r="M31" s="30" t="str">
        <f>IFERROR(__xludf.DUMMYFUNCTION("""COMPUTED_VALUE"""),"2017 10")</f>
        <v>2017 10</v>
      </c>
      <c r="N31" s="30" t="str">
        <f>IFERROR(__xludf.DUMMYFUNCTION("""COMPUTED_VALUE"""),"13.27")</f>
        <v>13.27</v>
      </c>
    </row>
    <row r="32">
      <c r="A32" s="19" t="str">
        <f>IFERROR(__xludf.DUMMYFUNCTION("""COMPUTED_VALUE"""),"2017 05")</f>
        <v>2017 05</v>
      </c>
      <c r="B32" s="19" t="str">
        <f>IFERROR(__xludf.DUMMYFUNCTION("""COMPUTED_VALUE"""),"62.02")</f>
        <v>62.02</v>
      </c>
      <c r="C32" s="30" t="str">
        <f>IFERROR(__xludf.DUMMYFUNCTION("""COMPUTED_VALUE"""),"2014 07")</f>
        <v>2014 07</v>
      </c>
      <c r="D32" s="30" t="str">
        <f>IFERROR(__xludf.DUMMYFUNCTION("""COMPUTED_VALUE"""),"13.97")</f>
        <v>13.97</v>
      </c>
      <c r="E32" s="30" t="str">
        <f>IFERROR(__xludf.DUMMYFUNCTION("""COMPUTED_VALUE"""),"2020 11")</f>
        <v>2020 11</v>
      </c>
      <c r="F32" s="30" t="str">
        <f>IFERROR(__xludf.DUMMYFUNCTION("""COMPUTED_VALUE"""),"99.74")</f>
        <v>99.74</v>
      </c>
      <c r="G32" s="30" t="str">
        <f>IFERROR(__xludf.DUMMYFUNCTION("""COMPUTED_VALUE"""),"2014 07")</f>
        <v>2014 07</v>
      </c>
      <c r="H32" s="30" t="str">
        <f>IFERROR(__xludf.DUMMYFUNCTION("""COMPUTED_VALUE"""),"68.3")</f>
        <v>68.3</v>
      </c>
      <c r="I32" s="30" t="str">
        <f>IFERROR(__xludf.DUMMYFUNCTION("""COMPUTED_VALUE"""),"2014 07")</f>
        <v>2014 07</v>
      </c>
      <c r="J32" s="30" t="str">
        <f>IFERROR(__xludf.DUMMYFUNCTION("""COMPUTED_VALUE"""),"107.87")</f>
        <v>107.87</v>
      </c>
      <c r="K32" s="30" t="str">
        <f>IFERROR(__xludf.DUMMYFUNCTION("""COMPUTED_VALUE"""),"2014 07")</f>
        <v>2014 07</v>
      </c>
      <c r="L32" s="30" t="str">
        <f>IFERROR(__xludf.DUMMYFUNCTION("""COMPUTED_VALUE"""),"55.47")</f>
        <v>55.47</v>
      </c>
      <c r="M32" s="30" t="str">
        <f>IFERROR(__xludf.DUMMYFUNCTION("""COMPUTED_VALUE"""),"2017 11")</f>
        <v>2017 11</v>
      </c>
      <c r="N32" s="30" t="str">
        <f>IFERROR(__xludf.DUMMYFUNCTION("""COMPUTED_VALUE"""),"14.18")</f>
        <v>14.18</v>
      </c>
    </row>
    <row r="33">
      <c r="A33" s="19" t="str">
        <f>IFERROR(__xludf.DUMMYFUNCTION("""COMPUTED_VALUE"""),"2017 06")</f>
        <v>2017 06</v>
      </c>
      <c r="B33" s="19" t="str">
        <f>IFERROR(__xludf.DUMMYFUNCTION("""COMPUTED_VALUE"""),"64.03")</f>
        <v>64.03</v>
      </c>
      <c r="C33" s="30" t="str">
        <f>IFERROR(__xludf.DUMMYFUNCTION("""COMPUTED_VALUE"""),"2014 08")</f>
        <v>2014 08</v>
      </c>
      <c r="D33" s="30" t="str">
        <f>IFERROR(__xludf.DUMMYFUNCTION("""COMPUTED_VALUE"""),"13.97")</f>
        <v>13.97</v>
      </c>
      <c r="E33" s="30" t="str">
        <f>IFERROR(__xludf.DUMMYFUNCTION("""COMPUTED_VALUE"""),"2020 12")</f>
        <v>2020 12</v>
      </c>
      <c r="F33" s="30" t="str">
        <f>IFERROR(__xludf.DUMMYFUNCTION("""COMPUTED_VALUE"""),"110.7")</f>
        <v>110.7</v>
      </c>
      <c r="G33" s="30" t="str">
        <f>IFERROR(__xludf.DUMMYFUNCTION("""COMPUTED_VALUE"""),"2014 08")</f>
        <v>2014 08</v>
      </c>
      <c r="H33" s="30" t="str">
        <f>IFERROR(__xludf.DUMMYFUNCTION("""COMPUTED_VALUE"""),"70.57")</f>
        <v>70.57</v>
      </c>
      <c r="I33" s="30" t="str">
        <f>IFERROR(__xludf.DUMMYFUNCTION("""COMPUTED_VALUE"""),"2014 08")</f>
        <v>2014 08</v>
      </c>
      <c r="J33" s="30" t="str">
        <f>IFERROR(__xludf.DUMMYFUNCTION("""COMPUTED_VALUE"""),"107.5")</f>
        <v>107.5</v>
      </c>
      <c r="K33" s="30" t="str">
        <f>IFERROR(__xludf.DUMMYFUNCTION("""COMPUTED_VALUE"""),"2014 08")</f>
        <v>2014 08</v>
      </c>
      <c r="L33" s="30" t="str">
        <f>IFERROR(__xludf.DUMMYFUNCTION("""COMPUTED_VALUE"""),"55.6")</f>
        <v>55.6</v>
      </c>
      <c r="M33" s="30" t="str">
        <f>IFERROR(__xludf.DUMMYFUNCTION("""COMPUTED_VALUE"""),"2017 12")</f>
        <v>2017 12</v>
      </c>
      <c r="N33" s="30" t="str">
        <f>IFERROR(__xludf.DUMMYFUNCTION("""COMPUTED_VALUE"""),"14.57")</f>
        <v>14.57</v>
      </c>
    </row>
    <row r="34">
      <c r="A34" s="19" t="str">
        <f>IFERROR(__xludf.DUMMYFUNCTION("""COMPUTED_VALUE"""),"2017 07")</f>
        <v>2017 07</v>
      </c>
      <c r="B34" s="19" t="str">
        <f>IFERROR(__xludf.DUMMYFUNCTION("""COMPUTED_VALUE"""),"61.08")</f>
        <v>61.08</v>
      </c>
      <c r="C34" s="30" t="str">
        <f>IFERROR(__xludf.DUMMYFUNCTION("""COMPUTED_VALUE"""),"2014 09")</f>
        <v>2014 09</v>
      </c>
      <c r="D34" s="30" t="str">
        <f>IFERROR(__xludf.DUMMYFUNCTION("""COMPUTED_VALUE"""),"14.41")</f>
        <v>14.41</v>
      </c>
      <c r="E34" s="30" t="str">
        <f>IFERROR(__xludf.DUMMYFUNCTION("""COMPUTED_VALUE"""),"2021 01")</f>
        <v>2021 01</v>
      </c>
      <c r="F34" s="30" t="str">
        <f>IFERROR(__xludf.DUMMYFUNCTION("""COMPUTED_VALUE"""),"111.66")</f>
        <v>111.66</v>
      </c>
      <c r="G34" s="30" t="str">
        <f>IFERROR(__xludf.DUMMYFUNCTION("""COMPUTED_VALUE"""),"2014 09")</f>
        <v>2014 09</v>
      </c>
      <c r="H34" s="30" t="str">
        <f>IFERROR(__xludf.DUMMYFUNCTION("""COMPUTED_VALUE"""),"72.1")</f>
        <v>72.1</v>
      </c>
      <c r="I34" s="30" t="str">
        <f>IFERROR(__xludf.DUMMYFUNCTION("""COMPUTED_VALUE"""),"2014 09")</f>
        <v>2014 09</v>
      </c>
      <c r="J34" s="30" t="str">
        <f>IFERROR(__xludf.DUMMYFUNCTION("""COMPUTED_VALUE"""),"111.37")</f>
        <v>111.37</v>
      </c>
      <c r="K34" s="30" t="str">
        <f>IFERROR(__xludf.DUMMYFUNCTION("""COMPUTED_VALUE"""),"2014 09")</f>
        <v>2014 09</v>
      </c>
      <c r="L34" s="30" t="str">
        <f>IFERROR(__xludf.DUMMYFUNCTION("""COMPUTED_VALUE"""),"55.92")</f>
        <v>55.92</v>
      </c>
      <c r="M34" s="30" t="str">
        <f>IFERROR(__xludf.DUMMYFUNCTION("""COMPUTED_VALUE"""),"2018 01")</f>
        <v>2018 01</v>
      </c>
      <c r="N34" s="30" t="str">
        <f>IFERROR(__xludf.DUMMYFUNCTION("""COMPUTED_VALUE"""),"14.21")</f>
        <v>14.21</v>
      </c>
    </row>
    <row r="35">
      <c r="A35" s="19" t="str">
        <f>IFERROR(__xludf.DUMMYFUNCTION("""COMPUTED_VALUE"""),"2017 08")</f>
        <v>2017 08</v>
      </c>
      <c r="B35" s="19" t="str">
        <f>IFERROR(__xludf.DUMMYFUNCTION("""COMPUTED_VALUE"""),"59.86")</f>
        <v>59.86</v>
      </c>
      <c r="C35" s="30" t="str">
        <f>IFERROR(__xludf.DUMMYFUNCTION("""COMPUTED_VALUE"""),"2014 10")</f>
        <v>2014 10</v>
      </c>
      <c r="D35" s="30" t="str">
        <f>IFERROR(__xludf.DUMMYFUNCTION("""COMPUTED_VALUE"""),"14.95")</f>
        <v>14.95</v>
      </c>
      <c r="E35" s="30" t="str">
        <f>IFERROR(__xludf.DUMMYFUNCTION("""COMPUTED_VALUE"""),"2021 02")</f>
        <v>2021 02</v>
      </c>
      <c r="F35" s="30" t="str">
        <f>IFERROR(__xludf.DUMMYFUNCTION("""COMPUTED_VALUE"""),"111.5")</f>
        <v>111.5</v>
      </c>
      <c r="G35" s="30" t="str">
        <f>IFERROR(__xludf.DUMMYFUNCTION("""COMPUTED_VALUE"""),"2014 10")</f>
        <v>2014 10</v>
      </c>
      <c r="H35" s="30" t="str">
        <f>IFERROR(__xludf.DUMMYFUNCTION("""COMPUTED_VALUE"""),"67.35")</f>
        <v>67.35</v>
      </c>
      <c r="I35" s="30" t="str">
        <f>IFERROR(__xludf.DUMMYFUNCTION("""COMPUTED_VALUE"""),"2014 10")</f>
        <v>2014 10</v>
      </c>
      <c r="J35" s="30" t="str">
        <f>IFERROR(__xludf.DUMMYFUNCTION("""COMPUTED_VALUE"""),"114.9")</f>
        <v>114.9</v>
      </c>
      <c r="K35" s="30" t="str">
        <f>IFERROR(__xludf.DUMMYFUNCTION("""COMPUTED_VALUE"""),"2014 10")</f>
        <v>2014 10</v>
      </c>
      <c r="L35" s="30" t="str">
        <f>IFERROR(__xludf.DUMMYFUNCTION("""COMPUTED_VALUE"""),"56.19")</f>
        <v>56.19</v>
      </c>
      <c r="M35" s="30" t="str">
        <f>IFERROR(__xludf.DUMMYFUNCTION("""COMPUTED_VALUE"""),"2018 02")</f>
        <v>2018 02</v>
      </c>
      <c r="N35" s="30" t="str">
        <f>IFERROR(__xludf.DUMMYFUNCTION("""COMPUTED_VALUE"""),"15.04")</f>
        <v>15.04</v>
      </c>
    </row>
    <row r="36">
      <c r="A36" s="19" t="str">
        <f>IFERROR(__xludf.DUMMYFUNCTION("""COMPUTED_VALUE"""),"2017 09")</f>
        <v>2017 09</v>
      </c>
      <c r="B36" s="19" t="str">
        <f>IFERROR(__xludf.DUMMYFUNCTION("""COMPUTED_VALUE"""),"60.45")</f>
        <v>60.45</v>
      </c>
      <c r="C36" s="30" t="str">
        <f>IFERROR(__xludf.DUMMYFUNCTION("""COMPUTED_VALUE"""),"2014 11")</f>
        <v>2014 11</v>
      </c>
      <c r="D36" s="30" t="str">
        <f>IFERROR(__xludf.DUMMYFUNCTION("""COMPUTED_VALUE"""),"15.58")</f>
        <v>15.58</v>
      </c>
      <c r="E36" s="30" t="str">
        <f>IFERROR(__xludf.DUMMYFUNCTION("""COMPUTED_VALUE"""),"2021 03")</f>
        <v>2021 03</v>
      </c>
      <c r="F36" s="30" t="str">
        <f>IFERROR(__xludf.DUMMYFUNCTION("""COMPUTED_VALUE"""),"114.35")</f>
        <v>114.35</v>
      </c>
      <c r="G36" s="30" t="str">
        <f>IFERROR(__xludf.DUMMYFUNCTION("""COMPUTED_VALUE"""),"2014 11")</f>
        <v>2014 11</v>
      </c>
      <c r="H36" s="30" t="str">
        <f>IFERROR(__xludf.DUMMYFUNCTION("""COMPUTED_VALUE"""),"69.89")</f>
        <v>69.89</v>
      </c>
      <c r="I36" s="30" t="str">
        <f>IFERROR(__xludf.DUMMYFUNCTION("""COMPUTED_VALUE"""),"2014 11")</f>
        <v>2014 11</v>
      </c>
      <c r="J36" s="30" t="str">
        <f>IFERROR(__xludf.DUMMYFUNCTION("""COMPUTED_VALUE"""),"119.65")</f>
        <v>119.65</v>
      </c>
      <c r="K36" s="30" t="str">
        <f>IFERROR(__xludf.DUMMYFUNCTION("""COMPUTED_VALUE"""),"2014 11")</f>
        <v>2014 11</v>
      </c>
      <c r="L36" s="30" t="str">
        <f>IFERROR(__xludf.DUMMYFUNCTION("""COMPUTED_VALUE"""),"56.36")</f>
        <v>56.36</v>
      </c>
      <c r="M36" s="30" t="str">
        <f>IFERROR(__xludf.DUMMYFUNCTION("""COMPUTED_VALUE"""),"2018 03")</f>
        <v>2018 03</v>
      </c>
      <c r="N36" s="30" t="str">
        <f>IFERROR(__xludf.DUMMYFUNCTION("""COMPUTED_VALUE"""),"15.41")</f>
        <v>15.41</v>
      </c>
    </row>
    <row r="37">
      <c r="A37" s="19" t="str">
        <f>IFERROR(__xludf.DUMMYFUNCTION("""COMPUTED_VALUE"""),"2017 10")</f>
        <v>2017 10</v>
      </c>
      <c r="B37" s="19" t="str">
        <f>IFERROR(__xludf.DUMMYFUNCTION("""COMPUTED_VALUE"""),"62.33")</f>
        <v>62.33</v>
      </c>
      <c r="C37" s="30" t="str">
        <f>IFERROR(__xludf.DUMMYFUNCTION("""COMPUTED_VALUE"""),"2014 12")</f>
        <v>2014 12</v>
      </c>
      <c r="D37" s="30" t="str">
        <f>IFERROR(__xludf.DUMMYFUNCTION("""COMPUTED_VALUE"""),"16.29")</f>
        <v>16.29</v>
      </c>
      <c r="E37" s="30" t="str">
        <f>IFERROR(__xludf.DUMMYFUNCTION("""COMPUTED_VALUE"""),"2021 04")</f>
        <v>2021 04</v>
      </c>
      <c r="F37" s="30" t="str">
        <f>IFERROR(__xludf.DUMMYFUNCTION("""COMPUTED_VALUE"""),"115")</f>
        <v>115</v>
      </c>
      <c r="G37" s="30" t="str">
        <f>IFERROR(__xludf.DUMMYFUNCTION("""COMPUTED_VALUE"""),"2014 12")</f>
        <v>2014 12</v>
      </c>
      <c r="H37" s="30" t="str">
        <f>IFERROR(__xludf.DUMMYFUNCTION("""COMPUTED_VALUE"""),"66.79")</f>
        <v>66.79</v>
      </c>
      <c r="I37" s="30" t="str">
        <f>IFERROR(__xludf.DUMMYFUNCTION("""COMPUTED_VALUE"""),"2014 12")</f>
        <v>2014 12</v>
      </c>
      <c r="J37" s="30" t="str">
        <f>IFERROR(__xludf.DUMMYFUNCTION("""COMPUTED_VALUE"""),"124.6")</f>
        <v>124.6</v>
      </c>
      <c r="K37" s="30" t="str">
        <f>IFERROR(__xludf.DUMMYFUNCTION("""COMPUTED_VALUE"""),"2014 12")</f>
        <v>2014 12</v>
      </c>
      <c r="L37" s="30" t="str">
        <f>IFERROR(__xludf.DUMMYFUNCTION("""COMPUTED_VALUE"""),"57.8")</f>
        <v>57.8</v>
      </c>
      <c r="M37" s="30" t="str">
        <f>IFERROR(__xludf.DUMMYFUNCTION("""COMPUTED_VALUE"""),"2018 04")</f>
        <v>2018 04</v>
      </c>
      <c r="N37" s="30" t="str">
        <f>IFERROR(__xludf.DUMMYFUNCTION("""COMPUTED_VALUE"""),"14.44")</f>
        <v>14.44</v>
      </c>
    </row>
    <row r="38">
      <c r="A38" s="19" t="str">
        <f>IFERROR(__xludf.DUMMYFUNCTION("""COMPUTED_VALUE"""),"2017 11")</f>
        <v>2017 11</v>
      </c>
      <c r="B38" s="19" t="str">
        <f>IFERROR(__xludf.DUMMYFUNCTION("""COMPUTED_VALUE"""),"65.14")</f>
        <v>65.14</v>
      </c>
      <c r="C38" s="30" t="str">
        <f>IFERROR(__xludf.DUMMYFUNCTION("""COMPUTED_VALUE"""),"2015 01")</f>
        <v>2015 01</v>
      </c>
      <c r="D38" s="30" t="str">
        <f>IFERROR(__xludf.DUMMYFUNCTION("""COMPUTED_VALUE"""),"17.05")</f>
        <v>17.05</v>
      </c>
      <c r="E38" s="30" t="str">
        <f>IFERROR(__xludf.DUMMYFUNCTION("""COMPUTED_VALUE"""),"2021 05")</f>
        <v>2021 05</v>
      </c>
      <c r="F38" s="30" t="str">
        <f>IFERROR(__xludf.DUMMYFUNCTION("""COMPUTED_VALUE"""),"118.52")</f>
        <v>118.52</v>
      </c>
      <c r="G38" s="30" t="str">
        <f>IFERROR(__xludf.DUMMYFUNCTION("""COMPUTED_VALUE"""),"2015 01")</f>
        <v>2015 01</v>
      </c>
      <c r="H38" s="30" t="str">
        <f>IFERROR(__xludf.DUMMYFUNCTION("""COMPUTED_VALUE"""),"68.65")</f>
        <v>68.65</v>
      </c>
      <c r="I38" s="30" t="str">
        <f>IFERROR(__xludf.DUMMYFUNCTION("""COMPUTED_VALUE"""),"2015 01")</f>
        <v>2015 01</v>
      </c>
      <c r="J38" s="30" t="str">
        <f>IFERROR(__xludf.DUMMYFUNCTION("""COMPUTED_VALUE"""),"131.07")</f>
        <v>131.07</v>
      </c>
      <c r="K38" s="30" t="str">
        <f>IFERROR(__xludf.DUMMYFUNCTION("""COMPUTED_VALUE"""),"2015 01")</f>
        <v>2015 01</v>
      </c>
      <c r="L38" s="30" t="str">
        <f>IFERROR(__xludf.DUMMYFUNCTION("""COMPUTED_VALUE"""),"57.9")</f>
        <v>57.9</v>
      </c>
      <c r="M38" s="30" t="str">
        <f>IFERROR(__xludf.DUMMYFUNCTION("""COMPUTED_VALUE"""),"2018 05")</f>
        <v>2018 05</v>
      </c>
      <c r="N38" s="30" t="str">
        <f>IFERROR(__xludf.DUMMYFUNCTION("""COMPUTED_VALUE"""),"15.23")</f>
        <v>15.23</v>
      </c>
    </row>
    <row r="39">
      <c r="A39" s="19" t="str">
        <f>IFERROR(__xludf.DUMMYFUNCTION("""COMPUTED_VALUE"""),"2017 12")</f>
        <v>2017 12</v>
      </c>
      <c r="B39" s="19" t="str">
        <f>IFERROR(__xludf.DUMMYFUNCTION("""COMPUTED_VALUE"""),"67.07")</f>
        <v>67.07</v>
      </c>
      <c r="C39" s="30" t="str">
        <f>IFERROR(__xludf.DUMMYFUNCTION("""COMPUTED_VALUE"""),"2015 02")</f>
        <v>2015 02</v>
      </c>
      <c r="D39" s="30" t="str">
        <f>IFERROR(__xludf.DUMMYFUNCTION("""COMPUTED_VALUE"""),"17.23")</f>
        <v>17.23</v>
      </c>
      <c r="E39" s="30" t="str">
        <f>IFERROR(__xludf.DUMMYFUNCTION("""COMPUTED_VALUE"""),"2021 06")</f>
        <v>2021 06</v>
      </c>
      <c r="F39" s="30" t="str">
        <f>IFERROR(__xludf.DUMMYFUNCTION("""COMPUTED_VALUE"""),"121.07")</f>
        <v>121.07</v>
      </c>
      <c r="G39" s="30" t="str">
        <f>IFERROR(__xludf.DUMMYFUNCTION("""COMPUTED_VALUE"""),"2015 02")</f>
        <v>2015 02</v>
      </c>
      <c r="H39" s="30" t="str">
        <f>IFERROR(__xludf.DUMMYFUNCTION("""COMPUTED_VALUE"""),"71.09")</f>
        <v>71.09</v>
      </c>
      <c r="I39" s="30" t="str">
        <f>IFERROR(__xludf.DUMMYFUNCTION("""COMPUTED_VALUE"""),"2015 02")</f>
        <v>2015 02</v>
      </c>
      <c r="J39" s="30" t="str">
        <f>IFERROR(__xludf.DUMMYFUNCTION("""COMPUTED_VALUE"""),"133")</f>
        <v>133</v>
      </c>
      <c r="K39" s="30" t="str">
        <f>IFERROR(__xludf.DUMMYFUNCTION("""COMPUTED_VALUE"""),"2015 02")</f>
        <v>2015 02</v>
      </c>
      <c r="L39" s="30" t="str">
        <f>IFERROR(__xludf.DUMMYFUNCTION("""COMPUTED_VALUE"""),"60.6")</f>
        <v>60.6</v>
      </c>
      <c r="M39" s="30" t="str">
        <f>IFERROR(__xludf.DUMMYFUNCTION("""COMPUTED_VALUE"""),"2018 06")</f>
        <v>2018 06</v>
      </c>
      <c r="N39" s="30" t="str">
        <f>IFERROR(__xludf.DUMMYFUNCTION("""COMPUTED_VALUE"""),"16.09")</f>
        <v>16.09</v>
      </c>
    </row>
    <row r="40">
      <c r="A40" s="19" t="str">
        <f>IFERROR(__xludf.DUMMYFUNCTION("""COMPUTED_VALUE"""),"2018 01")</f>
        <v>2018 01</v>
      </c>
      <c r="B40" s="19" t="str">
        <f>IFERROR(__xludf.DUMMYFUNCTION("""COMPUTED_VALUE"""),"65.58")</f>
        <v>65.58</v>
      </c>
      <c r="C40" s="30" t="str">
        <f>IFERROR(__xludf.DUMMYFUNCTION("""COMPUTED_VALUE"""),"2015 03")</f>
        <v>2015 03</v>
      </c>
      <c r="D40" s="30" t="str">
        <f>IFERROR(__xludf.DUMMYFUNCTION("""COMPUTED_VALUE"""),"18.26")</f>
        <v>18.26</v>
      </c>
      <c r="E40" s="30" t="str">
        <f>IFERROR(__xludf.DUMMYFUNCTION("""COMPUTED_VALUE"""),"2021 07")</f>
        <v>2021 07</v>
      </c>
      <c r="F40" s="30" t="str">
        <f>IFERROR(__xludf.DUMMYFUNCTION("""COMPUTED_VALUE"""),"122.74")</f>
        <v>122.74</v>
      </c>
      <c r="G40" s="30" t="str">
        <f>IFERROR(__xludf.DUMMYFUNCTION("""COMPUTED_VALUE"""),"2015 03")</f>
        <v>2015 03</v>
      </c>
      <c r="H40" s="30" t="str">
        <f>IFERROR(__xludf.DUMMYFUNCTION("""COMPUTED_VALUE"""),"75.85")</f>
        <v>75.85</v>
      </c>
      <c r="I40" s="30" t="str">
        <f>IFERROR(__xludf.DUMMYFUNCTION("""COMPUTED_VALUE"""),"2015 03")</f>
        <v>2015 03</v>
      </c>
      <c r="J40" s="30" t="str">
        <f>IFERROR(__xludf.DUMMYFUNCTION("""COMPUTED_VALUE"""),"140.64")</f>
        <v>140.64</v>
      </c>
      <c r="K40" s="30" t="str">
        <f>IFERROR(__xludf.DUMMYFUNCTION("""COMPUTED_VALUE"""),"2015 03")</f>
        <v>2015 03</v>
      </c>
      <c r="L40" s="30" t="str">
        <f>IFERROR(__xludf.DUMMYFUNCTION("""COMPUTED_VALUE"""),"63.66")</f>
        <v>63.66</v>
      </c>
      <c r="M40" s="30" t="str">
        <f>IFERROR(__xludf.DUMMYFUNCTION("""COMPUTED_VALUE"""),"2018 07")</f>
        <v>2018 07</v>
      </c>
      <c r="N40" s="30" t="str">
        <f>IFERROR(__xludf.DUMMYFUNCTION("""COMPUTED_VALUE"""),"16.45")</f>
        <v>16.45</v>
      </c>
    </row>
    <row r="41">
      <c r="A41" s="19" t="str">
        <f>IFERROR(__xludf.DUMMYFUNCTION("""COMPUTED_VALUE"""),"2018 02")</f>
        <v>2018 02</v>
      </c>
      <c r="B41" s="19" t="str">
        <f>IFERROR(__xludf.DUMMYFUNCTION("""COMPUTED_VALUE"""),"67.38")</f>
        <v>67.38</v>
      </c>
      <c r="C41" s="30" t="str">
        <f>IFERROR(__xludf.DUMMYFUNCTION("""COMPUTED_VALUE"""),"2015 04")</f>
        <v>2015 04</v>
      </c>
      <c r="D41" s="30" t="str">
        <f>IFERROR(__xludf.DUMMYFUNCTION("""COMPUTED_VALUE"""),"18.05")</f>
        <v>18.05</v>
      </c>
      <c r="E41" s="30" t="str">
        <f>IFERROR(__xludf.DUMMYFUNCTION("""COMPUTED_VALUE"""),"2021 08")</f>
        <v>2021 08</v>
      </c>
      <c r="F41" s="30" t="str">
        <f>IFERROR(__xludf.DUMMYFUNCTION("""COMPUTED_VALUE"""),"126.5")</f>
        <v>126.5</v>
      </c>
      <c r="G41" s="30" t="str">
        <f>IFERROR(__xludf.DUMMYFUNCTION("""COMPUTED_VALUE"""),"2015 04")</f>
        <v>2015 04</v>
      </c>
      <c r="H41" s="30" t="str">
        <f>IFERROR(__xludf.DUMMYFUNCTION("""COMPUTED_VALUE"""),"74.32")</f>
        <v>74.32</v>
      </c>
      <c r="I41" s="30" t="str">
        <f>IFERROR(__xludf.DUMMYFUNCTION("""COMPUTED_VALUE"""),"2015 04")</f>
        <v>2015 04</v>
      </c>
      <c r="J41" s="30" t="str">
        <f>IFERROR(__xludf.DUMMYFUNCTION("""COMPUTED_VALUE"""),"139.94")</f>
        <v>139.94</v>
      </c>
      <c r="K41" s="30" t="str">
        <f>IFERROR(__xludf.DUMMYFUNCTION("""COMPUTED_VALUE"""),"2015 04")</f>
        <v>2015 04</v>
      </c>
      <c r="L41" s="30" t="str">
        <f>IFERROR(__xludf.DUMMYFUNCTION("""COMPUTED_VALUE"""),"63.66")</f>
        <v>63.66</v>
      </c>
      <c r="M41" s="30" t="str">
        <f>IFERROR(__xludf.DUMMYFUNCTION("""COMPUTED_VALUE"""),"2018 08")</f>
        <v>2018 08</v>
      </c>
      <c r="N41" s="30" t="str">
        <f>IFERROR(__xludf.DUMMYFUNCTION("""COMPUTED_VALUE"""),"16.95")</f>
        <v>16.95</v>
      </c>
    </row>
    <row r="42">
      <c r="A42" s="19" t="str">
        <f>IFERROR(__xludf.DUMMYFUNCTION("""COMPUTED_VALUE"""),"2018 03")</f>
        <v>2018 03</v>
      </c>
      <c r="B42" s="19" t="str">
        <f>IFERROR(__xludf.DUMMYFUNCTION("""COMPUTED_VALUE"""),"66.66")</f>
        <v>66.66</v>
      </c>
      <c r="C42" s="30" t="str">
        <f>IFERROR(__xludf.DUMMYFUNCTION("""COMPUTED_VALUE"""),"2015 05")</f>
        <v>2015 05</v>
      </c>
      <c r="D42" s="30" t="str">
        <f>IFERROR(__xludf.DUMMYFUNCTION("""COMPUTED_VALUE"""),"17.77")</f>
        <v>17.77</v>
      </c>
      <c r="E42" s="30" t="str">
        <f>IFERROR(__xludf.DUMMYFUNCTION("""COMPUTED_VALUE"""),"2021 09")</f>
        <v>2021 09</v>
      </c>
      <c r="F42" s="30" t="str">
        <f>IFERROR(__xludf.DUMMYFUNCTION("""COMPUTED_VALUE"""),"127.77")</f>
        <v>127.77</v>
      </c>
      <c r="G42" s="30" t="str">
        <f>IFERROR(__xludf.DUMMYFUNCTION("""COMPUTED_VALUE"""),"2015 05")</f>
        <v>2015 05</v>
      </c>
      <c r="H42" s="30" t="str">
        <f>IFERROR(__xludf.DUMMYFUNCTION("""COMPUTED_VALUE"""),"73.79")</f>
        <v>73.79</v>
      </c>
      <c r="I42" s="30" t="str">
        <f>IFERROR(__xludf.DUMMYFUNCTION("""COMPUTED_VALUE"""),"2015 05")</f>
        <v>2015 05</v>
      </c>
      <c r="J42" s="30" t="str">
        <f>IFERROR(__xludf.DUMMYFUNCTION("""COMPUTED_VALUE"""),"136.91")</f>
        <v>136.91</v>
      </c>
      <c r="K42" s="30" t="str">
        <f>IFERROR(__xludf.DUMMYFUNCTION("""COMPUTED_VALUE"""),"2015 05")</f>
        <v>2015 05</v>
      </c>
      <c r="L42" s="30" t="str">
        <f>IFERROR(__xludf.DUMMYFUNCTION("""COMPUTED_VALUE"""),"64.98")</f>
        <v>64.98</v>
      </c>
      <c r="M42" s="30" t="str">
        <f>IFERROR(__xludf.DUMMYFUNCTION("""COMPUTED_VALUE"""),"2018 09")</f>
        <v>2018 09</v>
      </c>
      <c r="N42" s="30" t="str">
        <f>IFERROR(__xludf.DUMMYFUNCTION("""COMPUTED_VALUE"""),"18.45")</f>
        <v>18.45</v>
      </c>
    </row>
    <row r="43">
      <c r="A43" s="19" t="str">
        <f>IFERROR(__xludf.DUMMYFUNCTION("""COMPUTED_VALUE"""),"2018 04")</f>
        <v>2018 04</v>
      </c>
      <c r="B43" s="19" t="str">
        <f>IFERROR(__xludf.DUMMYFUNCTION("""COMPUTED_VALUE"""),"64.63")</f>
        <v>64.63</v>
      </c>
      <c r="C43" s="30" t="str">
        <f>IFERROR(__xludf.DUMMYFUNCTION("""COMPUTED_VALUE"""),"2015 06")</f>
        <v>2015 06</v>
      </c>
      <c r="D43" s="30" t="str">
        <f>IFERROR(__xludf.DUMMYFUNCTION("""COMPUTED_VALUE"""),"18.57")</f>
        <v>18.57</v>
      </c>
      <c r="E43" s="30" t="str">
        <f>IFERROR(__xludf.DUMMYFUNCTION("""COMPUTED_VALUE"""),"2021 10")</f>
        <v>2021 10</v>
      </c>
      <c r="F43" s="30" t="str">
        <f>IFERROR(__xludf.DUMMYFUNCTION("""COMPUTED_VALUE"""),"121.4")</f>
        <v>121.4</v>
      </c>
      <c r="G43" s="30" t="str">
        <f>IFERROR(__xludf.DUMMYFUNCTION("""COMPUTED_VALUE"""),"2015 06")</f>
        <v>2015 06</v>
      </c>
      <c r="H43" s="30" t="str">
        <f>IFERROR(__xludf.DUMMYFUNCTION("""COMPUTED_VALUE"""),"73.18")</f>
        <v>73.18</v>
      </c>
      <c r="I43" s="30" t="str">
        <f>IFERROR(__xludf.DUMMYFUNCTION("""COMPUTED_VALUE"""),"2015 06")</f>
        <v>2015 06</v>
      </c>
      <c r="J43" s="30" t="str">
        <f>IFERROR(__xludf.DUMMYFUNCTION("""COMPUTED_VALUE"""),"143.3")</f>
        <v>143.3</v>
      </c>
      <c r="K43" s="30" t="str">
        <f>IFERROR(__xludf.DUMMYFUNCTION("""COMPUTED_VALUE"""),"2015 06")</f>
        <v>2015 06</v>
      </c>
      <c r="L43" s="30" t="str">
        <f>IFERROR(__xludf.DUMMYFUNCTION("""COMPUTED_VALUE"""),"66.4")</f>
        <v>66.4</v>
      </c>
      <c r="M43" s="30" t="str">
        <f>IFERROR(__xludf.DUMMYFUNCTION("""COMPUTED_VALUE"""),"2018 10")</f>
        <v>2018 10</v>
      </c>
      <c r="N43" s="30" t="str">
        <f>IFERROR(__xludf.DUMMYFUNCTION("""COMPUTED_VALUE"""),"18.46")</f>
        <v>18.46</v>
      </c>
    </row>
    <row r="44">
      <c r="A44" s="19" t="str">
        <f>IFERROR(__xludf.DUMMYFUNCTION("""COMPUTED_VALUE"""),"2018 05")</f>
        <v>2018 05</v>
      </c>
      <c r="B44" s="19" t="str">
        <f>IFERROR(__xludf.DUMMYFUNCTION("""COMPUTED_VALUE"""),"67.79")</f>
        <v>67.79</v>
      </c>
      <c r="C44" s="30" t="str">
        <f>IFERROR(__xludf.DUMMYFUNCTION("""COMPUTED_VALUE"""),"2015 07")</f>
        <v>2015 07</v>
      </c>
      <c r="D44" s="30" t="str">
        <f>IFERROR(__xludf.DUMMYFUNCTION("""COMPUTED_VALUE"""),"18")</f>
        <v>18</v>
      </c>
      <c r="E44" s="30" t="str">
        <f>IFERROR(__xludf.DUMMYFUNCTION("""COMPUTED_VALUE"""),"2021 11")</f>
        <v>2021 11</v>
      </c>
      <c r="F44" s="30" t="str">
        <f>IFERROR(__xludf.DUMMYFUNCTION("""COMPUTED_VALUE"""),"124.87")</f>
        <v>124.87</v>
      </c>
      <c r="G44" s="30" t="str">
        <f>IFERROR(__xludf.DUMMYFUNCTION("""COMPUTED_VALUE"""),"2015 07")</f>
        <v>2015 07</v>
      </c>
      <c r="H44" s="30" t="str">
        <f>IFERROR(__xludf.DUMMYFUNCTION("""COMPUTED_VALUE"""),"70.04")</f>
        <v>70.04</v>
      </c>
      <c r="I44" s="30" t="str">
        <f>IFERROR(__xludf.DUMMYFUNCTION("""COMPUTED_VALUE"""),"2015 07")</f>
        <v>2015 07</v>
      </c>
      <c r="J44" s="30" t="str">
        <f>IFERROR(__xludf.DUMMYFUNCTION("""COMPUTED_VALUE"""),"139.41")</f>
        <v>139.41</v>
      </c>
      <c r="K44" s="30" t="str">
        <f>IFERROR(__xludf.DUMMYFUNCTION("""COMPUTED_VALUE"""),"2015 07")</f>
        <v>2015 07</v>
      </c>
      <c r="L44" s="30" t="str">
        <f>IFERROR(__xludf.DUMMYFUNCTION("""COMPUTED_VALUE"""),"63.32")</f>
        <v>63.32</v>
      </c>
      <c r="M44" s="30" t="str">
        <f>IFERROR(__xludf.DUMMYFUNCTION("""COMPUTED_VALUE"""),"2018 11")</f>
        <v>2018 11</v>
      </c>
      <c r="N44" s="30" t="str">
        <f>IFERROR(__xludf.DUMMYFUNCTION("""COMPUTED_VALUE"""),"16.96")</f>
        <v>16.96</v>
      </c>
    </row>
    <row r="45">
      <c r="A45" s="19" t="str">
        <f>IFERROR(__xludf.DUMMYFUNCTION("""COMPUTED_VALUE"""),"2018 06")</f>
        <v>2018 06</v>
      </c>
      <c r="B45" s="19" t="str">
        <f>IFERROR(__xludf.DUMMYFUNCTION("""COMPUTED_VALUE"""),"68.21")</f>
        <v>68.21</v>
      </c>
      <c r="C45" s="30" t="str">
        <f>IFERROR(__xludf.DUMMYFUNCTION("""COMPUTED_VALUE"""),"2015 08")</f>
        <v>2015 08</v>
      </c>
      <c r="D45" s="30" t="str">
        <f>IFERROR(__xludf.DUMMYFUNCTION("""COMPUTED_VALUE"""),"19.34")</f>
        <v>19.34</v>
      </c>
      <c r="E45" s="30" t="str">
        <f>IFERROR(__xludf.DUMMYFUNCTION("""COMPUTED_VALUE"""),"2021 12")</f>
        <v>2021 12</v>
      </c>
      <c r="F45" s="30" t="str">
        <f>IFERROR(__xludf.DUMMYFUNCTION("""COMPUTED_VALUE"""),"122.94")</f>
        <v>122.94</v>
      </c>
      <c r="G45" s="30" t="str">
        <f>IFERROR(__xludf.DUMMYFUNCTION("""COMPUTED_VALUE"""),"2015 08")</f>
        <v>2015 08</v>
      </c>
      <c r="H45" s="30" t="str">
        <f>IFERROR(__xludf.DUMMYFUNCTION("""COMPUTED_VALUE"""),"71.95")</f>
        <v>71.95</v>
      </c>
      <c r="I45" s="30" t="str">
        <f>IFERROR(__xludf.DUMMYFUNCTION("""COMPUTED_VALUE"""),"2015 08")</f>
        <v>2015 08</v>
      </c>
      <c r="J45" s="30" t="str">
        <f>IFERROR(__xludf.DUMMYFUNCTION("""COMPUTED_VALUE"""),"149.18")</f>
        <v>149.18</v>
      </c>
      <c r="K45" s="30" t="str">
        <f>IFERROR(__xludf.DUMMYFUNCTION("""COMPUTED_VALUE"""),"2015 08")</f>
        <v>2015 08</v>
      </c>
      <c r="L45" s="30" t="str">
        <f>IFERROR(__xludf.DUMMYFUNCTION("""COMPUTED_VALUE"""),"66.29")</f>
        <v>66.29</v>
      </c>
      <c r="M45" s="30" t="str">
        <f>IFERROR(__xludf.DUMMYFUNCTION("""COMPUTED_VALUE"""),"2018 12")</f>
        <v>2018 12</v>
      </c>
      <c r="N45" s="30" t="str">
        <f>IFERROR(__xludf.DUMMYFUNCTION("""COMPUTED_VALUE"""),"16.71")</f>
        <v>16.71</v>
      </c>
    </row>
    <row r="46">
      <c r="A46" s="19" t="str">
        <f>IFERROR(__xludf.DUMMYFUNCTION("""COMPUTED_VALUE"""),"2018 07")</f>
        <v>2018 07</v>
      </c>
      <c r="B46" s="19" t="str">
        <f>IFERROR(__xludf.DUMMYFUNCTION("""COMPUTED_VALUE"""),"68.14")</f>
        <v>68.14</v>
      </c>
      <c r="C46" s="30" t="str">
        <f>IFERROR(__xludf.DUMMYFUNCTION("""COMPUTED_VALUE"""),"2015 09")</f>
        <v>2015 09</v>
      </c>
      <c r="D46" s="30" t="str">
        <f>IFERROR(__xludf.DUMMYFUNCTION("""COMPUTED_VALUE"""),"18.28")</f>
        <v>18.28</v>
      </c>
      <c r="E46" s="30" t="str">
        <f>IFERROR(__xludf.DUMMYFUNCTION("""COMPUTED_VALUE"""),"2022 01")</f>
        <v>2022 01</v>
      </c>
      <c r="F46" s="30" t="str">
        <f>IFERROR(__xludf.DUMMYFUNCTION("""COMPUTED_VALUE"""),"128.37")</f>
        <v>128.37</v>
      </c>
      <c r="G46" s="30" t="str">
        <f>IFERROR(__xludf.DUMMYFUNCTION("""COMPUTED_VALUE"""),"2015 09")</f>
        <v>2015 09</v>
      </c>
      <c r="H46" s="30" t="str">
        <f>IFERROR(__xludf.DUMMYFUNCTION("""COMPUTED_VALUE"""),"65.32")</f>
        <v>65.32</v>
      </c>
      <c r="I46" s="30" t="str">
        <f>IFERROR(__xludf.DUMMYFUNCTION("""COMPUTED_VALUE"""),"2015 09")</f>
        <v>2015 09</v>
      </c>
      <c r="J46" s="30" t="str">
        <f>IFERROR(__xludf.DUMMYFUNCTION("""COMPUTED_VALUE"""),"141.35")</f>
        <v>141.35</v>
      </c>
      <c r="K46" s="30" t="str">
        <f>IFERROR(__xludf.DUMMYFUNCTION("""COMPUTED_VALUE"""),"2015 09")</f>
        <v>2015 09</v>
      </c>
      <c r="L46" s="30" t="str">
        <f>IFERROR(__xludf.DUMMYFUNCTION("""COMPUTED_VALUE"""),"61.8")</f>
        <v>61.8</v>
      </c>
      <c r="M46" s="30" t="str">
        <f>IFERROR(__xludf.DUMMYFUNCTION("""COMPUTED_VALUE"""),"2019 01")</f>
        <v>2019 01</v>
      </c>
      <c r="N46" s="30" t="str">
        <f>IFERROR(__xludf.DUMMYFUNCTION("""COMPUTED_VALUE"""),"15.46")</f>
        <v>15.46</v>
      </c>
    </row>
    <row r="47">
      <c r="A47" s="19" t="str">
        <f>IFERROR(__xludf.DUMMYFUNCTION("""COMPUTED_VALUE"""),"2018 08")</f>
        <v>2018 08</v>
      </c>
      <c r="B47" s="19" t="str">
        <f>IFERROR(__xludf.DUMMYFUNCTION("""COMPUTED_VALUE"""),"70.66")</f>
        <v>70.66</v>
      </c>
      <c r="C47" s="30" t="str">
        <f>IFERROR(__xludf.DUMMYFUNCTION("""COMPUTED_VALUE"""),"2015 10")</f>
        <v>2015 10</v>
      </c>
      <c r="D47" s="30" t="str">
        <f>IFERROR(__xludf.DUMMYFUNCTION("""COMPUTED_VALUE"""),"18.35")</f>
        <v>18.35</v>
      </c>
      <c r="E47" s="30" t="str">
        <f>IFERROR(__xludf.DUMMYFUNCTION("""COMPUTED_VALUE"""),"2022 02")</f>
        <v>2022 02</v>
      </c>
      <c r="F47" s="30" t="str">
        <f>IFERROR(__xludf.DUMMYFUNCTION("""COMPUTED_VALUE"""),"118.57")</f>
        <v>118.57</v>
      </c>
      <c r="G47" s="30" t="str">
        <f>IFERROR(__xludf.DUMMYFUNCTION("""COMPUTED_VALUE"""),"2015 10")</f>
        <v>2015 10</v>
      </c>
      <c r="H47" s="30" t="str">
        <f>IFERROR(__xludf.DUMMYFUNCTION("""COMPUTED_VALUE"""),"65.1")</f>
        <v>65.1</v>
      </c>
      <c r="I47" s="30" t="str">
        <f>IFERROR(__xludf.DUMMYFUNCTION("""COMPUTED_VALUE"""),"2015 10")</f>
        <v>2015 10</v>
      </c>
      <c r="J47" s="30" t="str">
        <f>IFERROR(__xludf.DUMMYFUNCTION("""COMPUTED_VALUE"""),"141.2")</f>
        <v>141.2</v>
      </c>
      <c r="K47" s="30" t="str">
        <f>IFERROR(__xludf.DUMMYFUNCTION("""COMPUTED_VALUE"""),"2015 10")</f>
        <v>2015 10</v>
      </c>
      <c r="L47" s="30" t="str">
        <f>IFERROR(__xludf.DUMMYFUNCTION("""COMPUTED_VALUE"""),"60.87")</f>
        <v>60.87</v>
      </c>
      <c r="M47" s="30" t="str">
        <f>IFERROR(__xludf.DUMMYFUNCTION("""COMPUTED_VALUE"""),"2019 02")</f>
        <v>2019 02</v>
      </c>
      <c r="N47" s="30" t="str">
        <f>IFERROR(__xludf.DUMMYFUNCTION("""COMPUTED_VALUE"""),"16.44")</f>
        <v>16.44</v>
      </c>
    </row>
    <row r="48">
      <c r="A48" s="19" t="str">
        <f>IFERROR(__xludf.DUMMYFUNCTION("""COMPUTED_VALUE"""),"2018 09")</f>
        <v>2018 09</v>
      </c>
      <c r="B48" s="19" t="str">
        <f>IFERROR(__xludf.DUMMYFUNCTION("""COMPUTED_VALUE"""),"73.51")</f>
        <v>73.51</v>
      </c>
      <c r="C48" s="30" t="str">
        <f>IFERROR(__xludf.DUMMYFUNCTION("""COMPUTED_VALUE"""),"2015 11")</f>
        <v>2015 11</v>
      </c>
      <c r="D48" s="30" t="str">
        <f>IFERROR(__xludf.DUMMYFUNCTION("""COMPUTED_VALUE"""),"19.46")</f>
        <v>19.46</v>
      </c>
      <c r="E48" s="30" t="str">
        <f>IFERROR(__xludf.DUMMYFUNCTION("""COMPUTED_VALUE"""),"2022 03")</f>
        <v>2022 03</v>
      </c>
      <c r="F48" s="30" t="str">
        <f>IFERROR(__xludf.DUMMYFUNCTION("""COMPUTED_VALUE"""),"121.31")</f>
        <v>121.31</v>
      </c>
      <c r="G48" s="30" t="str">
        <f>IFERROR(__xludf.DUMMYFUNCTION("""COMPUTED_VALUE"""),"2015 11")</f>
        <v>2015 11</v>
      </c>
      <c r="H48" s="30" t="str">
        <f>IFERROR(__xludf.DUMMYFUNCTION("""COMPUTED_VALUE"""),"65.75")</f>
        <v>65.75</v>
      </c>
      <c r="I48" s="30" t="str">
        <f>IFERROR(__xludf.DUMMYFUNCTION("""COMPUTED_VALUE"""),"2015 11")</f>
        <v>2015 11</v>
      </c>
      <c r="J48" s="30" t="str">
        <f>IFERROR(__xludf.DUMMYFUNCTION("""COMPUTED_VALUE"""),"148.77")</f>
        <v>148.77</v>
      </c>
      <c r="K48" s="30" t="str">
        <f>IFERROR(__xludf.DUMMYFUNCTION("""COMPUTED_VALUE"""),"2015 11")</f>
        <v>2015 11</v>
      </c>
      <c r="L48" s="30" t="str">
        <f>IFERROR(__xludf.DUMMYFUNCTION("""COMPUTED_VALUE"""),"63.69")</f>
        <v>63.69</v>
      </c>
      <c r="M48" s="30" t="str">
        <f>IFERROR(__xludf.DUMMYFUNCTION("""COMPUTED_VALUE"""),"2019 03")</f>
        <v>2019 03</v>
      </c>
      <c r="N48" s="30" t="str">
        <f>IFERROR(__xludf.DUMMYFUNCTION("""COMPUTED_VALUE"""),"17.42")</f>
        <v>17.42</v>
      </c>
    </row>
    <row r="49">
      <c r="A49" s="19" t="str">
        <f>IFERROR(__xludf.DUMMYFUNCTION("""COMPUTED_VALUE"""),"2018 10")</f>
        <v>2018 10</v>
      </c>
      <c r="B49" s="19" t="str">
        <f>IFERROR(__xludf.DUMMYFUNCTION("""COMPUTED_VALUE"""),"73.94")</f>
        <v>73.94</v>
      </c>
      <c r="C49" s="30" t="str">
        <f>IFERROR(__xludf.DUMMYFUNCTION("""COMPUTED_VALUE"""),"2015 12")</f>
        <v>2015 12</v>
      </c>
      <c r="D49" s="30" t="str">
        <f>IFERROR(__xludf.DUMMYFUNCTION("""COMPUTED_VALUE"""),"19.38")</f>
        <v>19.38</v>
      </c>
      <c r="E49" s="30" t="str">
        <f>IFERROR(__xludf.DUMMYFUNCTION("""COMPUTED_VALUE"""),"2022 04")</f>
        <v>2022 04</v>
      </c>
      <c r="F49" s="30" t="str">
        <f>IFERROR(__xludf.DUMMYFUNCTION("""COMPUTED_VALUE"""),"127.48")</f>
        <v>127.48</v>
      </c>
      <c r="G49" s="30" t="str">
        <f>IFERROR(__xludf.DUMMYFUNCTION("""COMPUTED_VALUE"""),"2015 12")</f>
        <v>2015 12</v>
      </c>
      <c r="H49" s="30" t="str">
        <f>IFERROR(__xludf.DUMMYFUNCTION("""COMPUTED_VALUE"""),"67.31")</f>
        <v>67.31</v>
      </c>
      <c r="I49" s="30" t="str">
        <f>IFERROR(__xludf.DUMMYFUNCTION("""COMPUTED_VALUE"""),"2015 12")</f>
        <v>2015 12</v>
      </c>
      <c r="J49" s="30" t="str">
        <f>IFERROR(__xludf.DUMMYFUNCTION("""COMPUTED_VALUE"""),"148.56")</f>
        <v>148.56</v>
      </c>
      <c r="K49" s="30" t="str">
        <f>IFERROR(__xludf.DUMMYFUNCTION("""COMPUTED_VALUE"""),"2015 12")</f>
        <v>2015 12</v>
      </c>
      <c r="L49" s="30" t="str">
        <f>IFERROR(__xludf.DUMMYFUNCTION("""COMPUTED_VALUE"""),"62.38")</f>
        <v>62.38</v>
      </c>
      <c r="M49" s="30" t="str">
        <f>IFERROR(__xludf.DUMMYFUNCTION("""COMPUTED_VALUE"""),"2019 04")</f>
        <v>2019 04</v>
      </c>
      <c r="N49" s="30" t="str">
        <f>IFERROR(__xludf.DUMMYFUNCTION("""COMPUTED_VALUE"""),"18.13")</f>
        <v>18.13</v>
      </c>
    </row>
    <row r="50">
      <c r="A50" s="19" t="str">
        <f>IFERROR(__xludf.DUMMYFUNCTION("""COMPUTED_VALUE"""),"2018 11")</f>
        <v>2018 11</v>
      </c>
      <c r="B50" s="19" t="str">
        <f>IFERROR(__xludf.DUMMYFUNCTION("""COMPUTED_VALUE"""),"69.09")</f>
        <v>69.09</v>
      </c>
      <c r="C50" s="30" t="str">
        <f>IFERROR(__xludf.DUMMYFUNCTION("""COMPUTED_VALUE"""),"2016 01")</f>
        <v>2016 01</v>
      </c>
      <c r="D50" s="30" t="str">
        <f>IFERROR(__xludf.DUMMYFUNCTION("""COMPUTED_VALUE"""),"18.76")</f>
        <v>18.76</v>
      </c>
      <c r="E50" s="30" t="str">
        <f>IFERROR(__xludf.DUMMYFUNCTION("""COMPUTED_VALUE"""),"2022 05")</f>
        <v>2022 05</v>
      </c>
      <c r="F50" s="30" t="str">
        <f>IFERROR(__xludf.DUMMYFUNCTION("""COMPUTED_VALUE"""),"125.18")</f>
        <v>125.18</v>
      </c>
      <c r="G50" s="30" t="str">
        <f>IFERROR(__xludf.DUMMYFUNCTION("""COMPUTED_VALUE"""),"2016 01")</f>
        <v>2016 01</v>
      </c>
      <c r="H50" s="30" t="str">
        <f>IFERROR(__xludf.DUMMYFUNCTION("""COMPUTED_VALUE"""),"66.62")</f>
        <v>66.62</v>
      </c>
      <c r="I50" s="30" t="str">
        <f>IFERROR(__xludf.DUMMYFUNCTION("""COMPUTED_VALUE"""),"2016 01")</f>
        <v>2016 01</v>
      </c>
      <c r="J50" s="30" t="str">
        <f>IFERROR(__xludf.DUMMYFUNCTION("""COMPUTED_VALUE"""),"143.5")</f>
        <v>143.5</v>
      </c>
      <c r="K50" s="30" t="str">
        <f>IFERROR(__xludf.DUMMYFUNCTION("""COMPUTED_VALUE"""),"2016 01")</f>
        <v>2016 01</v>
      </c>
      <c r="L50" s="30" t="str">
        <f>IFERROR(__xludf.DUMMYFUNCTION("""COMPUTED_VALUE"""),"59.83")</f>
        <v>59.83</v>
      </c>
      <c r="M50" s="30" t="str">
        <f>IFERROR(__xludf.DUMMYFUNCTION("""COMPUTED_VALUE"""),"2019 05")</f>
        <v>2019 05</v>
      </c>
      <c r="N50" s="30" t="str">
        <f>IFERROR(__xludf.DUMMYFUNCTION("""COMPUTED_VALUE"""),"19.26")</f>
        <v>19.26</v>
      </c>
    </row>
    <row r="51">
      <c r="A51" s="19" t="str">
        <f>IFERROR(__xludf.DUMMYFUNCTION("""COMPUTED_VALUE"""),"2018 12")</f>
        <v>2018 12</v>
      </c>
      <c r="B51" s="19" t="str">
        <f>IFERROR(__xludf.DUMMYFUNCTION("""COMPUTED_VALUE"""),"68.58")</f>
        <v>68.58</v>
      </c>
      <c r="C51" s="30" t="str">
        <f>IFERROR(__xludf.DUMMYFUNCTION("""COMPUTED_VALUE"""),"2016 02")</f>
        <v>2016 02</v>
      </c>
      <c r="D51" s="30" t="str">
        <f>IFERROR(__xludf.DUMMYFUNCTION("""COMPUTED_VALUE"""),"18.29")</f>
        <v>18.29</v>
      </c>
      <c r="E51" s="30" t="str">
        <f>IFERROR(__xludf.DUMMYFUNCTION("""COMPUTED_VALUE"""),"2022 06")</f>
        <v>2022 06</v>
      </c>
      <c r="F51" s="30" t="str">
        <f>IFERROR(__xludf.DUMMYFUNCTION("""COMPUTED_VALUE"""),"123.86")</f>
        <v>123.86</v>
      </c>
      <c r="G51" s="30" t="str">
        <f>IFERROR(__xludf.DUMMYFUNCTION("""COMPUTED_VALUE"""),"2016 02")</f>
        <v>2016 02</v>
      </c>
      <c r="H51" s="30" t="str">
        <f>IFERROR(__xludf.DUMMYFUNCTION("""COMPUTED_VALUE"""),"64.1")</f>
        <v>64.1</v>
      </c>
      <c r="I51" s="30" t="str">
        <f>IFERROR(__xludf.DUMMYFUNCTION("""COMPUTED_VALUE"""),"2016 02")</f>
        <v>2016 02</v>
      </c>
      <c r="J51" s="30" t="str">
        <f>IFERROR(__xludf.DUMMYFUNCTION("""COMPUTED_VALUE"""),"138.62")</f>
        <v>138.62</v>
      </c>
      <c r="K51" s="30" t="str">
        <f>IFERROR(__xludf.DUMMYFUNCTION("""COMPUTED_VALUE"""),"2016 02")</f>
        <v>2016 02</v>
      </c>
      <c r="L51" s="30" t="str">
        <f>IFERROR(__xludf.DUMMYFUNCTION("""COMPUTED_VALUE"""),"57.88")</f>
        <v>57.88</v>
      </c>
      <c r="M51" s="30" t="str">
        <f>IFERROR(__xludf.DUMMYFUNCTION("""COMPUTED_VALUE"""),"2019 06")</f>
        <v>2019 06</v>
      </c>
      <c r="N51" s="30" t="str">
        <f>IFERROR(__xludf.DUMMYFUNCTION("""COMPUTED_VALUE"""),"17.68")</f>
        <v>17.68</v>
      </c>
    </row>
    <row r="52">
      <c r="A52" s="19" t="str">
        <f>IFERROR(__xludf.DUMMYFUNCTION("""COMPUTED_VALUE"""),"2019 01")</f>
        <v>2019 01</v>
      </c>
      <c r="B52" s="19" t="str">
        <f>IFERROR(__xludf.DUMMYFUNCTION("""COMPUTED_VALUE"""),"64.39")</f>
        <v>64.39</v>
      </c>
      <c r="C52" s="30" t="str">
        <f>IFERROR(__xludf.DUMMYFUNCTION("""COMPUTED_VALUE"""),"2016 03")</f>
        <v>2016 03</v>
      </c>
      <c r="D52" s="30" t="str">
        <f>IFERROR(__xludf.DUMMYFUNCTION("""COMPUTED_VALUE"""),"18.15")</f>
        <v>18.15</v>
      </c>
      <c r="E52" s="30" t="str">
        <f>IFERROR(__xludf.DUMMYFUNCTION("""COMPUTED_VALUE"""),"2022 07")</f>
        <v>2022 07</v>
      </c>
      <c r="F52" s="30" t="str">
        <f>IFERROR(__xludf.DUMMYFUNCTION("""COMPUTED_VALUE"""),"108.85")</f>
        <v>108.85</v>
      </c>
      <c r="G52" s="30" t="str">
        <f>IFERROR(__xludf.DUMMYFUNCTION("""COMPUTED_VALUE"""),"2016 03")</f>
        <v>2016 03</v>
      </c>
      <c r="H52" s="30" t="str">
        <f>IFERROR(__xludf.DUMMYFUNCTION("""COMPUTED_VALUE"""),"62.91")</f>
        <v>62.91</v>
      </c>
      <c r="I52" s="30" t="str">
        <f>IFERROR(__xludf.DUMMYFUNCTION("""COMPUTED_VALUE"""),"2016 03")</f>
        <v>2016 03</v>
      </c>
      <c r="J52" s="30" t="str">
        <f>IFERROR(__xludf.DUMMYFUNCTION("""COMPUTED_VALUE"""),"137.81")</f>
        <v>137.81</v>
      </c>
      <c r="K52" s="30" t="str">
        <f>IFERROR(__xludf.DUMMYFUNCTION("""COMPUTED_VALUE"""),"2016 03")</f>
        <v>2016 03</v>
      </c>
      <c r="L52" s="30" t="str">
        <f>IFERROR(__xludf.DUMMYFUNCTION("""COMPUTED_VALUE"""),"56.28")</f>
        <v>56.28</v>
      </c>
      <c r="M52" s="30" t="str">
        <f>IFERROR(__xludf.DUMMYFUNCTION("""COMPUTED_VALUE"""),"2019 07")</f>
        <v>2019 07</v>
      </c>
      <c r="N52" s="30" t="str">
        <f>IFERROR(__xludf.DUMMYFUNCTION("""COMPUTED_VALUE"""),"18.9")</f>
        <v>18.9</v>
      </c>
    </row>
    <row r="53">
      <c r="A53" s="19" t="str">
        <f>IFERROR(__xludf.DUMMYFUNCTION("""COMPUTED_VALUE"""),"2019 02")</f>
        <v>2019 02</v>
      </c>
      <c r="B53" s="19" t="str">
        <f>IFERROR(__xludf.DUMMYFUNCTION("""COMPUTED_VALUE"""),"67.91")</f>
        <v>67.91</v>
      </c>
      <c r="C53" s="30" t="str">
        <f>IFERROR(__xludf.DUMMYFUNCTION("""COMPUTED_VALUE"""),"2016 04")</f>
        <v>2016 04</v>
      </c>
      <c r="D53" s="30" t="str">
        <f>IFERROR(__xludf.DUMMYFUNCTION("""COMPUTED_VALUE"""),"17.95")</f>
        <v>17.95</v>
      </c>
      <c r="E53" s="30" t="str">
        <f>IFERROR(__xludf.DUMMYFUNCTION("""COMPUTED_VALUE"""),"2022 08")</f>
        <v>2022 08</v>
      </c>
      <c r="F53" s="30" t="str">
        <f>IFERROR(__xludf.DUMMYFUNCTION("""COMPUTED_VALUE"""),"116.21")</f>
        <v>116.21</v>
      </c>
      <c r="G53" s="30" t="str">
        <f>IFERROR(__xludf.DUMMYFUNCTION("""COMPUTED_VALUE"""),"2016 04")</f>
        <v>2016 04</v>
      </c>
      <c r="H53" s="30" t="str">
        <f>IFERROR(__xludf.DUMMYFUNCTION("""COMPUTED_VALUE"""),"63.4")</f>
        <v>63.4</v>
      </c>
      <c r="I53" s="30" t="str">
        <f>IFERROR(__xludf.DUMMYFUNCTION("""COMPUTED_VALUE"""),"2016 04")</f>
        <v>2016 04</v>
      </c>
      <c r="J53" s="30" t="str">
        <f>IFERROR(__xludf.DUMMYFUNCTION("""COMPUTED_VALUE"""),"136.75")</f>
        <v>136.75</v>
      </c>
      <c r="K53" s="30" t="str">
        <f>IFERROR(__xludf.DUMMYFUNCTION("""COMPUTED_VALUE"""),"2016 04")</f>
        <v>2016 04</v>
      </c>
      <c r="L53" s="30" t="str">
        <f>IFERROR(__xludf.DUMMYFUNCTION("""COMPUTED_VALUE"""),"55.88")</f>
        <v>55.88</v>
      </c>
      <c r="M53" s="30" t="str">
        <f>IFERROR(__xludf.DUMMYFUNCTION("""COMPUTED_VALUE"""),"2019 08")</f>
        <v>2019 08</v>
      </c>
      <c r="N53" s="30" t="str">
        <f>IFERROR(__xludf.DUMMYFUNCTION("""COMPUTED_VALUE"""),"19.43")</f>
        <v>19.43</v>
      </c>
    </row>
    <row r="54">
      <c r="A54" s="19" t="str">
        <f>IFERROR(__xludf.DUMMYFUNCTION("""COMPUTED_VALUE"""),"2019 03")</f>
        <v>2019 03</v>
      </c>
      <c r="B54" s="19" t="str">
        <f>IFERROR(__xludf.DUMMYFUNCTION("""COMPUTED_VALUE"""),"71.7")</f>
        <v>71.7</v>
      </c>
      <c r="C54" s="30" t="str">
        <f>IFERROR(__xludf.DUMMYFUNCTION("""COMPUTED_VALUE"""),"2016 05")</f>
        <v>2016 05</v>
      </c>
      <c r="D54" s="30" t="str">
        <f>IFERROR(__xludf.DUMMYFUNCTION("""COMPUTED_VALUE"""),"18.19")</f>
        <v>18.19</v>
      </c>
      <c r="E54" s="30" t="str">
        <f>IFERROR(__xludf.DUMMYFUNCTION("""COMPUTED_VALUE"""),"2022 09")</f>
        <v>2022 09</v>
      </c>
      <c r="F54" s="30" t="str">
        <f>IFERROR(__xludf.DUMMYFUNCTION("""COMPUTED_VALUE"""),"115.03")</f>
        <v>115.03</v>
      </c>
      <c r="G54" s="30" t="str">
        <f>IFERROR(__xludf.DUMMYFUNCTION("""COMPUTED_VALUE"""),"2016 05")</f>
        <v>2016 05</v>
      </c>
      <c r="H54" s="30" t="str">
        <f>IFERROR(__xludf.DUMMYFUNCTION("""COMPUTED_VALUE"""),"66.66")</f>
        <v>66.66</v>
      </c>
      <c r="I54" s="30" t="str">
        <f>IFERROR(__xludf.DUMMYFUNCTION("""COMPUTED_VALUE"""),"2016 05")</f>
        <v>2016 05</v>
      </c>
      <c r="J54" s="30" t="str">
        <f>IFERROR(__xludf.DUMMYFUNCTION("""COMPUTED_VALUE"""),"138.9")</f>
        <v>138.9</v>
      </c>
      <c r="K54" s="30" t="str">
        <f>IFERROR(__xludf.DUMMYFUNCTION("""COMPUTED_VALUE"""),"2016 05")</f>
        <v>2016 05</v>
      </c>
      <c r="L54" s="30" t="str">
        <f>IFERROR(__xludf.DUMMYFUNCTION("""COMPUTED_VALUE"""),"58.28")</f>
        <v>58.28</v>
      </c>
      <c r="M54" s="30" t="str">
        <f>IFERROR(__xludf.DUMMYFUNCTION("""COMPUTED_VALUE"""),"2019 09")</f>
        <v>2019 09</v>
      </c>
      <c r="N54" s="30" t="str">
        <f>IFERROR(__xludf.DUMMYFUNCTION("""COMPUTED_VALUE"""),"19.26")</f>
        <v>19.26</v>
      </c>
    </row>
    <row r="55">
      <c r="A55" s="19" t="str">
        <f>IFERROR(__xludf.DUMMYFUNCTION("""COMPUTED_VALUE"""),"2019 04")</f>
        <v>2019 04</v>
      </c>
      <c r="B55" s="19" t="str">
        <f>IFERROR(__xludf.DUMMYFUNCTION("""COMPUTED_VALUE"""),"72.03")</f>
        <v>72.03</v>
      </c>
      <c r="C55" s="30" t="str">
        <f>IFERROR(__xludf.DUMMYFUNCTION("""COMPUTED_VALUE"""),"2016 06")</f>
        <v>2016 06</v>
      </c>
      <c r="D55" s="30" t="str">
        <f>IFERROR(__xludf.DUMMYFUNCTION("""COMPUTED_VALUE"""),"19.35")</f>
        <v>19.35</v>
      </c>
      <c r="E55" s="30" t="str">
        <f>IFERROR(__xludf.DUMMYFUNCTION("""COMPUTED_VALUE"""),"2022 10")</f>
        <v>2022 10</v>
      </c>
      <c r="F55" s="30" t="str">
        <f>IFERROR(__xludf.DUMMYFUNCTION("""COMPUTED_VALUE"""),"107.32")</f>
        <v>107.32</v>
      </c>
      <c r="G55" s="30" t="str">
        <f>IFERROR(__xludf.DUMMYFUNCTION("""COMPUTED_VALUE"""),"2016 06")</f>
        <v>2016 06</v>
      </c>
      <c r="H55" s="30" t="str">
        <f>IFERROR(__xludf.DUMMYFUNCTION("""COMPUTED_VALUE"""),"67.9")</f>
        <v>67.9</v>
      </c>
      <c r="I55" s="30" t="str">
        <f>IFERROR(__xludf.DUMMYFUNCTION("""COMPUTED_VALUE"""),"2016 06")</f>
        <v>2016 06</v>
      </c>
      <c r="J55" s="30" t="str">
        <f>IFERROR(__xludf.DUMMYFUNCTION("""COMPUTED_VALUE"""),"147.5")</f>
        <v>147.5</v>
      </c>
      <c r="K55" s="30" t="str">
        <f>IFERROR(__xludf.DUMMYFUNCTION("""COMPUTED_VALUE"""),"2016 06")</f>
        <v>2016 06</v>
      </c>
      <c r="L55" s="30" t="str">
        <f>IFERROR(__xludf.DUMMYFUNCTION("""COMPUTED_VALUE"""),"60.09")</f>
        <v>60.09</v>
      </c>
      <c r="M55" s="30" t="str">
        <f>IFERROR(__xludf.DUMMYFUNCTION("""COMPUTED_VALUE"""),"2019 10")</f>
        <v>2019 10</v>
      </c>
      <c r="N55" s="30" t="str">
        <f>IFERROR(__xludf.DUMMYFUNCTION("""COMPUTED_VALUE"""),"19.71")</f>
        <v>19.71</v>
      </c>
    </row>
    <row r="56">
      <c r="A56" s="19" t="str">
        <f>IFERROR(__xludf.DUMMYFUNCTION("""COMPUTED_VALUE"""),"2019 05")</f>
        <v>2019 05</v>
      </c>
      <c r="B56" s="19" t="str">
        <f>IFERROR(__xludf.DUMMYFUNCTION("""COMPUTED_VALUE"""),"75.31")</f>
        <v>75.31</v>
      </c>
      <c r="C56" s="30" t="str">
        <f>IFERROR(__xludf.DUMMYFUNCTION("""COMPUTED_VALUE"""),"2016 07")</f>
        <v>2016 07</v>
      </c>
      <c r="D56" s="30" t="str">
        <f>IFERROR(__xludf.DUMMYFUNCTION("""COMPUTED_VALUE"""),"18.8")</f>
        <v>18.8</v>
      </c>
      <c r="E56" s="30" t="str">
        <f>IFERROR(__xludf.DUMMYFUNCTION("""COMPUTED_VALUE"""),"2022 11")</f>
        <v>2022 11</v>
      </c>
      <c r="F56" s="30" t="str">
        <f>IFERROR(__xludf.DUMMYFUNCTION("""COMPUTED_VALUE"""),"116.01")</f>
        <v>116.01</v>
      </c>
      <c r="G56" s="30" t="str">
        <f>IFERROR(__xludf.DUMMYFUNCTION("""COMPUTED_VALUE"""),"2016 07")</f>
        <v>2016 07</v>
      </c>
      <c r="H56" s="30" t="str">
        <f>IFERROR(__xludf.DUMMYFUNCTION("""COMPUTED_VALUE"""),"67.04")</f>
        <v>67.04</v>
      </c>
      <c r="I56" s="30" t="str">
        <f>IFERROR(__xludf.DUMMYFUNCTION("""COMPUTED_VALUE"""),"2016 07")</f>
        <v>2016 07</v>
      </c>
      <c r="J56" s="30" t="str">
        <f>IFERROR(__xludf.DUMMYFUNCTION("""COMPUTED_VALUE"""),"143.49")</f>
        <v>143.49</v>
      </c>
      <c r="K56" s="30" t="str">
        <f>IFERROR(__xludf.DUMMYFUNCTION("""COMPUTED_VALUE"""),"2016 07")</f>
        <v>2016 07</v>
      </c>
      <c r="L56" s="30" t="str">
        <f>IFERROR(__xludf.DUMMYFUNCTION("""COMPUTED_VALUE"""),"57.19")</f>
        <v>57.19</v>
      </c>
      <c r="M56" s="30" t="str">
        <f>IFERROR(__xludf.DUMMYFUNCTION("""COMPUTED_VALUE"""),"2019 11")</f>
        <v>2019 11</v>
      </c>
      <c r="N56" s="30" t="str">
        <f>IFERROR(__xludf.DUMMYFUNCTION("""COMPUTED_VALUE"""),"19.93")</f>
        <v>19.93</v>
      </c>
    </row>
    <row r="57">
      <c r="A57" s="19" t="str">
        <f>IFERROR(__xludf.DUMMYFUNCTION("""COMPUTED_VALUE"""),"2019 06")</f>
        <v>2019 06</v>
      </c>
      <c r="B57" s="19" t="str">
        <f>IFERROR(__xludf.DUMMYFUNCTION("""COMPUTED_VALUE"""),"71.27")</f>
        <v>71.27</v>
      </c>
      <c r="C57" s="30" t="str">
        <f>IFERROR(__xludf.DUMMYFUNCTION("""COMPUTED_VALUE"""),"2016 08")</f>
        <v>2016 08</v>
      </c>
      <c r="D57" s="30" t="str">
        <f>IFERROR(__xludf.DUMMYFUNCTION("""COMPUTED_VALUE"""),"19.22")</f>
        <v>19.22</v>
      </c>
      <c r="E57" s="30" t="str">
        <f>IFERROR(__xludf.DUMMYFUNCTION("""COMPUTED_VALUE"""),"2022 12")</f>
        <v>2022 12</v>
      </c>
      <c r="F57" s="30" t="str">
        <f>IFERROR(__xludf.DUMMYFUNCTION("""COMPUTED_VALUE"""),"122.63")</f>
        <v>122.63</v>
      </c>
      <c r="G57" s="30" t="str">
        <f>IFERROR(__xludf.DUMMYFUNCTION("""COMPUTED_VALUE"""),"2016 08")</f>
        <v>2016 08</v>
      </c>
      <c r="H57" s="30" t="str">
        <f>IFERROR(__xludf.DUMMYFUNCTION("""COMPUTED_VALUE"""),"71.26")</f>
        <v>71.26</v>
      </c>
      <c r="I57" s="30" t="str">
        <f>IFERROR(__xludf.DUMMYFUNCTION("""COMPUTED_VALUE"""),"2016 08")</f>
        <v>2016 08</v>
      </c>
      <c r="J57" s="30" t="str">
        <f>IFERROR(__xludf.DUMMYFUNCTION("""COMPUTED_VALUE"""),"147.07")</f>
        <v>147.07</v>
      </c>
      <c r="K57" s="30" t="str">
        <f>IFERROR(__xludf.DUMMYFUNCTION("""COMPUTED_VALUE"""),"2016 08")</f>
        <v>2016 08</v>
      </c>
      <c r="L57" s="30" t="str">
        <f>IFERROR(__xludf.DUMMYFUNCTION("""COMPUTED_VALUE"""),"59.27")</f>
        <v>59.27</v>
      </c>
      <c r="M57" s="30" t="str">
        <f>IFERROR(__xludf.DUMMYFUNCTION("""COMPUTED_VALUE"""),"2019 12")</f>
        <v>2019 12</v>
      </c>
      <c r="N57" s="30" t="str">
        <f>IFERROR(__xludf.DUMMYFUNCTION("""COMPUTED_VALUE"""),"21.17")</f>
        <v>21.17</v>
      </c>
    </row>
    <row r="58">
      <c r="A58" s="19" t="str">
        <f>IFERROR(__xludf.DUMMYFUNCTION("""COMPUTED_VALUE"""),"2019 07")</f>
        <v>2019 07</v>
      </c>
      <c r="B58" s="19" t="str">
        <f>IFERROR(__xludf.DUMMYFUNCTION("""COMPUTED_VALUE"""),"75.85")</f>
        <v>75.85</v>
      </c>
      <c r="C58" s="30" t="str">
        <f>IFERROR(__xludf.DUMMYFUNCTION("""COMPUTED_VALUE"""),"2016 09")</f>
        <v>2016 09</v>
      </c>
      <c r="D58" s="30" t="str">
        <f>IFERROR(__xludf.DUMMYFUNCTION("""COMPUTED_VALUE"""),"19.38")</f>
        <v>19.38</v>
      </c>
      <c r="E58" s="30" t="str">
        <f>IFERROR(__xludf.DUMMYFUNCTION("""COMPUTED_VALUE"""),"2023 01")</f>
        <v>2023 01</v>
      </c>
      <c r="F58" s="30" t="str">
        <f>IFERROR(__xludf.DUMMYFUNCTION("""COMPUTED_VALUE"""),"114.98")</f>
        <v>114.98</v>
      </c>
      <c r="G58" s="30" t="str">
        <f>IFERROR(__xludf.DUMMYFUNCTION("""COMPUTED_VALUE"""),"2016 09")</f>
        <v>2016 09</v>
      </c>
      <c r="H58" s="30" t="str">
        <f>IFERROR(__xludf.DUMMYFUNCTION("""COMPUTED_VALUE"""),"69.64")</f>
        <v>69.64</v>
      </c>
      <c r="I58" s="30" t="str">
        <f>IFERROR(__xludf.DUMMYFUNCTION("""COMPUTED_VALUE"""),"2016 09")</f>
        <v>2016 09</v>
      </c>
      <c r="J58" s="30" t="str">
        <f>IFERROR(__xludf.DUMMYFUNCTION("""COMPUTED_VALUE"""),"148.45")</f>
        <v>148.45</v>
      </c>
      <c r="K58" s="30" t="str">
        <f>IFERROR(__xludf.DUMMYFUNCTION("""COMPUTED_VALUE"""),"2016 09")</f>
        <v>2016 09</v>
      </c>
      <c r="L58" s="30" t="str">
        <f>IFERROR(__xludf.DUMMYFUNCTION("""COMPUTED_VALUE"""),"59.94")</f>
        <v>59.94</v>
      </c>
      <c r="M58" s="30" t="str">
        <f>IFERROR(__xludf.DUMMYFUNCTION("""COMPUTED_VALUE"""),"2020 01")</f>
        <v>2020 01</v>
      </c>
      <c r="N58" s="30" t="str">
        <f>IFERROR(__xludf.DUMMYFUNCTION("""COMPUTED_VALUE"""),"21.23")</f>
        <v>21.23</v>
      </c>
    </row>
    <row r="59">
      <c r="A59" s="19" t="str">
        <f>IFERROR(__xludf.DUMMYFUNCTION("""COMPUTED_VALUE"""),"2019 08")</f>
        <v>2019 08</v>
      </c>
      <c r="B59" s="19" t="str">
        <f>IFERROR(__xludf.DUMMYFUNCTION("""COMPUTED_VALUE"""),"76.84")</f>
        <v>76.84</v>
      </c>
      <c r="C59" s="30" t="str">
        <f>IFERROR(__xludf.DUMMYFUNCTION("""COMPUTED_VALUE"""),"2016 10")</f>
        <v>2016 10</v>
      </c>
      <c r="D59" s="30" t="str">
        <f>IFERROR(__xludf.DUMMYFUNCTION("""COMPUTED_VALUE"""),"18.97")</f>
        <v>18.97</v>
      </c>
      <c r="E59" s="30" t="str">
        <f>IFERROR(__xludf.DUMMYFUNCTION("""COMPUTED_VALUE"""),"2023 02")</f>
        <v>2023 02</v>
      </c>
      <c r="F59" s="30" t="str">
        <f>IFERROR(__xludf.DUMMYFUNCTION("""COMPUTED_VALUE"""),"124.24")</f>
        <v>124.24</v>
      </c>
      <c r="G59" s="30" t="str">
        <f>IFERROR(__xludf.DUMMYFUNCTION("""COMPUTED_VALUE"""),"2016 10")</f>
        <v>2016 10</v>
      </c>
      <c r="H59" s="30" t="str">
        <f>IFERROR(__xludf.DUMMYFUNCTION("""COMPUTED_VALUE"""),"70.75")</f>
        <v>70.75</v>
      </c>
      <c r="I59" s="30" t="str">
        <f>IFERROR(__xludf.DUMMYFUNCTION("""COMPUTED_VALUE"""),"2016 10")</f>
        <v>2016 10</v>
      </c>
      <c r="J59" s="30" t="str">
        <f>IFERROR(__xludf.DUMMYFUNCTION("""COMPUTED_VALUE"""),"145.5")</f>
        <v>145.5</v>
      </c>
      <c r="K59" s="30" t="str">
        <f>IFERROR(__xludf.DUMMYFUNCTION("""COMPUTED_VALUE"""),"2016 10")</f>
        <v>2016 10</v>
      </c>
      <c r="L59" s="30" t="str">
        <f>IFERROR(__xludf.DUMMYFUNCTION("""COMPUTED_VALUE"""),"59.5")</f>
        <v>59.5</v>
      </c>
      <c r="M59" s="30" t="str">
        <f>IFERROR(__xludf.DUMMYFUNCTION("""COMPUTED_VALUE"""),"2020 02")</f>
        <v>2020 02</v>
      </c>
      <c r="N59" s="30" t="str">
        <f>IFERROR(__xludf.DUMMYFUNCTION("""COMPUTED_VALUE"""),"22.96")</f>
        <v>22.96</v>
      </c>
    </row>
    <row r="60">
      <c r="A60" s="19" t="str">
        <f>IFERROR(__xludf.DUMMYFUNCTION("""COMPUTED_VALUE"""),"2019 09")</f>
        <v>2019 09</v>
      </c>
      <c r="B60" s="19" t="str">
        <f>IFERROR(__xludf.DUMMYFUNCTION("""COMPUTED_VALUE"""),"76.63")</f>
        <v>76.63</v>
      </c>
      <c r="C60" s="30" t="str">
        <f>IFERROR(__xludf.DUMMYFUNCTION("""COMPUTED_VALUE"""),"2016 11")</f>
        <v>2016 11</v>
      </c>
      <c r="D60" s="30" t="str">
        <f>IFERROR(__xludf.DUMMYFUNCTION("""COMPUTED_VALUE"""),"18.66")</f>
        <v>18.66</v>
      </c>
      <c r="E60" s="30" t="str">
        <f>IFERROR(__xludf.DUMMYFUNCTION("""COMPUTED_VALUE"""),"2023 03")</f>
        <v>2023 03</v>
      </c>
      <c r="F60" s="30" t="str">
        <f>IFERROR(__xludf.DUMMYFUNCTION("""COMPUTED_VALUE"""),"120.72")</f>
        <v>120.72</v>
      </c>
      <c r="G60" s="30" t="str">
        <f>IFERROR(__xludf.DUMMYFUNCTION("""COMPUTED_VALUE"""),"2016 11")</f>
        <v>2016 11</v>
      </c>
      <c r="H60" s="30" t="str">
        <f>IFERROR(__xludf.DUMMYFUNCTION("""COMPUTED_VALUE"""),"67.3")</f>
        <v>67.3</v>
      </c>
      <c r="I60" s="30" t="str">
        <f>IFERROR(__xludf.DUMMYFUNCTION("""COMPUTED_VALUE"""),"2016 11")</f>
        <v>2016 11</v>
      </c>
      <c r="J60" s="30" t="str">
        <f>IFERROR(__xludf.DUMMYFUNCTION("""COMPUTED_VALUE"""),"142.68")</f>
        <v>142.68</v>
      </c>
      <c r="K60" s="30" t="str">
        <f>IFERROR(__xludf.DUMMYFUNCTION("""COMPUTED_VALUE"""),"2016 11")</f>
        <v>2016 11</v>
      </c>
      <c r="L60" s="30" t="str">
        <f>IFERROR(__xludf.DUMMYFUNCTION("""COMPUTED_VALUE"""),"58.63")</f>
        <v>58.63</v>
      </c>
      <c r="M60" s="30" t="str">
        <f>IFERROR(__xludf.DUMMYFUNCTION("""COMPUTED_VALUE"""),"2020 03")</f>
        <v>2020 03</v>
      </c>
      <c r="N60" s="30" t="str">
        <f>IFERROR(__xludf.DUMMYFUNCTION("""COMPUTED_VALUE"""),"22.08")</f>
        <v>22.08</v>
      </c>
    </row>
    <row r="61">
      <c r="A61" s="19" t="str">
        <f>IFERROR(__xludf.DUMMYFUNCTION("""COMPUTED_VALUE"""),"2019 10")</f>
        <v>2019 10</v>
      </c>
      <c r="B61" s="19" t="str">
        <f>IFERROR(__xludf.DUMMYFUNCTION("""COMPUTED_VALUE"""),"78.66")</f>
        <v>78.66</v>
      </c>
      <c r="C61" s="30" t="str">
        <f>IFERROR(__xludf.DUMMYFUNCTION("""COMPUTED_VALUE"""),"2016 12")</f>
        <v>2016 12</v>
      </c>
      <c r="D61" s="30" t="str">
        <f>IFERROR(__xludf.DUMMYFUNCTION("""COMPUTED_VALUE"""),"19.96")</f>
        <v>19.96</v>
      </c>
      <c r="E61" s="30" t="str">
        <f>IFERROR(__xludf.DUMMYFUNCTION("""COMPUTED_VALUE"""),"2023 04")</f>
        <v>2023 04</v>
      </c>
      <c r="F61" s="30" t="str">
        <f>IFERROR(__xludf.DUMMYFUNCTION("""COMPUTED_VALUE"""),"120.1")</f>
        <v>120.1</v>
      </c>
      <c r="G61" s="30" t="str">
        <f>IFERROR(__xludf.DUMMYFUNCTION("""COMPUTED_VALUE"""),"2016 12")</f>
        <v>2016 12</v>
      </c>
      <c r="H61" s="30" t="str">
        <f>IFERROR(__xludf.DUMMYFUNCTION("""COMPUTED_VALUE"""),"70.22")</f>
        <v>70.22</v>
      </c>
      <c r="I61" s="30" t="str">
        <f>IFERROR(__xludf.DUMMYFUNCTION("""COMPUTED_VALUE"""),"2016 12")</f>
        <v>2016 12</v>
      </c>
      <c r="J61" s="30" t="str">
        <f>IFERROR(__xludf.DUMMYFUNCTION("""COMPUTED_VALUE"""),"153.72")</f>
        <v>153.72</v>
      </c>
      <c r="K61" s="30" t="str">
        <f>IFERROR(__xludf.DUMMYFUNCTION("""COMPUTED_VALUE"""),"2016 12")</f>
        <v>2016 12</v>
      </c>
      <c r="L61" s="30" t="str">
        <f>IFERROR(__xludf.DUMMYFUNCTION("""COMPUTED_VALUE"""),"59.11")</f>
        <v>59.11</v>
      </c>
      <c r="M61" s="30" t="str">
        <f>IFERROR(__xludf.DUMMYFUNCTION("""COMPUTED_VALUE"""),"2020 04")</f>
        <v>2020 04</v>
      </c>
      <c r="N61" s="30" t="str">
        <f>IFERROR(__xludf.DUMMYFUNCTION("""COMPUTED_VALUE"""),"21.32")</f>
        <v>21.32</v>
      </c>
    </row>
    <row r="62">
      <c r="A62" s="19" t="str">
        <f>IFERROR(__xludf.DUMMYFUNCTION("""COMPUTED_VALUE"""),"2019 11")</f>
        <v>2019 11</v>
      </c>
      <c r="B62" s="19" t="str">
        <f>IFERROR(__xludf.DUMMYFUNCTION("""COMPUTED_VALUE"""),"78.41")</f>
        <v>78.41</v>
      </c>
      <c r="C62" s="30" t="str">
        <f>IFERROR(__xludf.DUMMYFUNCTION("""COMPUTED_VALUE"""),"2017 01")</f>
        <v>2017 01</v>
      </c>
      <c r="D62" s="30" t="str">
        <f>IFERROR(__xludf.DUMMYFUNCTION("""COMPUTED_VALUE"""),"20.81")</f>
        <v>20.81</v>
      </c>
      <c r="E62" s="30" t="str">
        <f>IFERROR(__xludf.DUMMYFUNCTION("""COMPUTED_VALUE"""),"2023 05")</f>
        <v>2023 05</v>
      </c>
      <c r="F62" s="30" t="str">
        <f>IFERROR(__xludf.DUMMYFUNCTION("""COMPUTED_VALUE"""),"122.01")</f>
        <v>122.01</v>
      </c>
      <c r="G62" s="30" t="str">
        <f>IFERROR(__xludf.DUMMYFUNCTION("""COMPUTED_VALUE"""),"2017 01")</f>
        <v>2017 01</v>
      </c>
      <c r="H62" s="30" t="str">
        <f>IFERROR(__xludf.DUMMYFUNCTION("""COMPUTED_VALUE"""),"72.48")</f>
        <v>72.48</v>
      </c>
      <c r="I62" s="30" t="str">
        <f>IFERROR(__xludf.DUMMYFUNCTION("""COMPUTED_VALUE"""),"2017 01")</f>
        <v>2017 01</v>
      </c>
      <c r="J62" s="30" t="str">
        <f>IFERROR(__xludf.DUMMYFUNCTION("""COMPUTED_VALUE"""),"160.17")</f>
        <v>160.17</v>
      </c>
      <c r="K62" s="30" t="str">
        <f>IFERROR(__xludf.DUMMYFUNCTION("""COMPUTED_VALUE"""),"2017 01")</f>
        <v>2017 01</v>
      </c>
      <c r="L62" s="30" t="str">
        <f>IFERROR(__xludf.DUMMYFUNCTION("""COMPUTED_VALUE"""),"61.49")</f>
        <v>61.49</v>
      </c>
      <c r="M62" s="30" t="str">
        <f>IFERROR(__xludf.DUMMYFUNCTION("""COMPUTED_VALUE"""),"2020 05")</f>
        <v>2020 05</v>
      </c>
      <c r="N62" s="30" t="str">
        <f>IFERROR(__xludf.DUMMYFUNCTION("""COMPUTED_VALUE"""),"23.16")</f>
        <v>23.16</v>
      </c>
    </row>
    <row r="63">
      <c r="A63" s="19" t="str">
        <f>IFERROR(__xludf.DUMMYFUNCTION("""COMPUTED_VALUE"""),"2019 12")</f>
        <v>2019 12</v>
      </c>
      <c r="B63" s="19" t="str">
        <f>IFERROR(__xludf.DUMMYFUNCTION("""COMPUTED_VALUE"""),"82.2")</f>
        <v>82.2</v>
      </c>
      <c r="C63" s="30" t="str">
        <f>IFERROR(__xludf.DUMMYFUNCTION("""COMPUTED_VALUE"""),"2017 02")</f>
        <v>2017 02</v>
      </c>
      <c r="D63" s="30" t="str">
        <f>IFERROR(__xludf.DUMMYFUNCTION("""COMPUTED_VALUE"""),"20.19")</f>
        <v>20.19</v>
      </c>
      <c r="E63" s="30" t="str">
        <f>IFERROR(__xludf.DUMMYFUNCTION("""COMPUTED_VALUE"""),"2023 06")</f>
        <v>2023 06</v>
      </c>
      <c r="F63" s="30" t="str">
        <f>IFERROR(__xludf.DUMMYFUNCTION("""COMPUTED_VALUE"""),"118.82")</f>
        <v>118.82</v>
      </c>
      <c r="G63" s="30" t="str">
        <f>IFERROR(__xludf.DUMMYFUNCTION("""COMPUTED_VALUE"""),"2017 02")</f>
        <v>2017 02</v>
      </c>
      <c r="H63" s="30" t="str">
        <f>IFERROR(__xludf.DUMMYFUNCTION("""COMPUTED_VALUE"""),"71.42")</f>
        <v>71.42</v>
      </c>
      <c r="I63" s="30" t="str">
        <f>IFERROR(__xludf.DUMMYFUNCTION("""COMPUTED_VALUE"""),"2017 02")</f>
        <v>2017 02</v>
      </c>
      <c r="J63" s="30" t="str">
        <f>IFERROR(__xludf.DUMMYFUNCTION("""COMPUTED_VALUE"""),"155.48")</f>
        <v>155.48</v>
      </c>
      <c r="K63" s="30" t="str">
        <f>IFERROR(__xludf.DUMMYFUNCTION("""COMPUTED_VALUE"""),"2017 02")</f>
        <v>2017 02</v>
      </c>
      <c r="L63" s="30" t="str">
        <f>IFERROR(__xludf.DUMMYFUNCTION("""COMPUTED_VALUE"""),"60.81")</f>
        <v>60.81</v>
      </c>
      <c r="M63" s="30" t="str">
        <f>IFERROR(__xludf.DUMMYFUNCTION("""COMPUTED_VALUE"""),"2020 06")</f>
        <v>2020 06</v>
      </c>
      <c r="N63" s="30" t="str">
        <f>IFERROR(__xludf.DUMMYFUNCTION("""COMPUTED_VALUE"""),"24.09")</f>
        <v>24.09</v>
      </c>
    </row>
    <row r="64">
      <c r="A64" s="19" t="str">
        <f>IFERROR(__xludf.DUMMYFUNCTION("""COMPUTED_VALUE"""),"2020 01")</f>
        <v>2020 01</v>
      </c>
      <c r="B64" s="19" t="str">
        <f>IFERROR(__xludf.DUMMYFUNCTION("""COMPUTED_VALUE"""),"81.77")</f>
        <v>81.77</v>
      </c>
      <c r="C64" s="30" t="str">
        <f>IFERROR(__xludf.DUMMYFUNCTION("""COMPUTED_VALUE"""),"2017 03")</f>
        <v>2017 03</v>
      </c>
      <c r="D64" s="30" t="str">
        <f>IFERROR(__xludf.DUMMYFUNCTION("""COMPUTED_VALUE"""),"20.78")</f>
        <v>20.78</v>
      </c>
      <c r="E64" s="30" t="str">
        <f>IFERROR(__xludf.DUMMYFUNCTION("""COMPUTED_VALUE"""),"2023 07")</f>
        <v>2023 07</v>
      </c>
      <c r="F64" s="30" t="str">
        <f>IFERROR(__xludf.DUMMYFUNCTION("""COMPUTED_VALUE"""),"120.41")</f>
        <v>120.41</v>
      </c>
      <c r="G64" s="30" t="str">
        <f>IFERROR(__xludf.DUMMYFUNCTION("""COMPUTED_VALUE"""),"2017 03")</f>
        <v>2017 03</v>
      </c>
      <c r="H64" s="30" t="str">
        <f>IFERROR(__xludf.DUMMYFUNCTION("""COMPUTED_VALUE"""),"72.59")</f>
        <v>72.59</v>
      </c>
      <c r="I64" s="30" t="str">
        <f>IFERROR(__xludf.DUMMYFUNCTION("""COMPUTED_VALUE"""),"2017 03")</f>
        <v>2017 03</v>
      </c>
      <c r="J64" s="30" t="str">
        <f>IFERROR(__xludf.DUMMYFUNCTION("""COMPUTED_VALUE"""),"159.39")</f>
        <v>159.39</v>
      </c>
      <c r="K64" s="30" t="str">
        <f>IFERROR(__xludf.DUMMYFUNCTION("""COMPUTED_VALUE"""),"2017 03")</f>
        <v>2017 03</v>
      </c>
      <c r="L64" s="30" t="str">
        <f>IFERROR(__xludf.DUMMYFUNCTION("""COMPUTED_VALUE"""),"60.8")</f>
        <v>60.8</v>
      </c>
      <c r="M64" s="30" t="str">
        <f>IFERROR(__xludf.DUMMYFUNCTION("""COMPUTED_VALUE"""),"2020 07")</f>
        <v>2020 07</v>
      </c>
      <c r="N64" s="30" t="str">
        <f>IFERROR(__xludf.DUMMYFUNCTION("""COMPUTED_VALUE"""),"24.31")</f>
        <v>24.31</v>
      </c>
    </row>
    <row r="65">
      <c r="A65" s="19" t="str">
        <f>IFERROR(__xludf.DUMMYFUNCTION("""COMPUTED_VALUE"""),"2020 02")</f>
        <v>2020 02</v>
      </c>
      <c r="B65" s="19" t="str">
        <f>IFERROR(__xludf.DUMMYFUNCTION("""COMPUTED_VALUE"""),"84.61")</f>
        <v>84.61</v>
      </c>
      <c r="C65" s="30" t="str">
        <f>IFERROR(__xludf.DUMMYFUNCTION("""COMPUTED_VALUE"""),"2017 04")</f>
        <v>2017 04</v>
      </c>
      <c r="D65" s="30" t="str">
        <f>IFERROR(__xludf.DUMMYFUNCTION("""COMPUTED_VALUE"""),"20.85")</f>
        <v>20.85</v>
      </c>
      <c r="E65" s="30" t="str">
        <f>IFERROR(__xludf.DUMMYFUNCTION("""COMPUTED_VALUE"""),"2023 08")</f>
        <v>2023 08</v>
      </c>
      <c r="F65" s="30" t="str">
        <f>IFERROR(__xludf.DUMMYFUNCTION("""COMPUTED_VALUE"""),"123.83")</f>
        <v>123.83</v>
      </c>
      <c r="G65" s="30" t="str">
        <f>IFERROR(__xludf.DUMMYFUNCTION("""COMPUTED_VALUE"""),"2017 04")</f>
        <v>2017 04</v>
      </c>
      <c r="H65" s="30" t="str">
        <f>IFERROR(__xludf.DUMMYFUNCTION("""COMPUTED_VALUE"""),"74.5")</f>
        <v>74.5</v>
      </c>
      <c r="I65" s="30" t="str">
        <f>IFERROR(__xludf.DUMMYFUNCTION("""COMPUTED_VALUE"""),"2017 04")</f>
        <v>2017 04</v>
      </c>
      <c r="J65" s="30" t="str">
        <f>IFERROR(__xludf.DUMMYFUNCTION("""COMPUTED_VALUE"""),"159.94")</f>
        <v>159.94</v>
      </c>
      <c r="K65" s="30" t="str">
        <f>IFERROR(__xludf.DUMMYFUNCTION("""COMPUTED_VALUE"""),"2017 04")</f>
        <v>2017 04</v>
      </c>
      <c r="L65" s="30" t="str">
        <f>IFERROR(__xludf.DUMMYFUNCTION("""COMPUTED_VALUE"""),"63.08")</f>
        <v>63.08</v>
      </c>
      <c r="M65" s="30" t="str">
        <f>IFERROR(__xludf.DUMMYFUNCTION("""COMPUTED_VALUE"""),"2020 08")</f>
        <v>2020 08</v>
      </c>
      <c r="N65" s="30" t="str">
        <f>IFERROR(__xludf.DUMMYFUNCTION("""COMPUTED_VALUE"""),"25.38")</f>
        <v>25.38</v>
      </c>
    </row>
    <row r="66">
      <c r="A66" s="19" t="str">
        <f>IFERROR(__xludf.DUMMYFUNCTION("""COMPUTED_VALUE"""),"2020 03")</f>
        <v>2020 03</v>
      </c>
      <c r="B66" s="19" t="str">
        <f>IFERROR(__xludf.DUMMYFUNCTION("""COMPUTED_VALUE"""),"80.01")</f>
        <v>80.01</v>
      </c>
      <c r="C66" s="30" t="str">
        <f>IFERROR(__xludf.DUMMYFUNCTION("""COMPUTED_VALUE"""),"2017 05")</f>
        <v>2017 05</v>
      </c>
      <c r="D66" s="30" t="str">
        <f>IFERROR(__xludf.DUMMYFUNCTION("""COMPUTED_VALUE"""),"21.36")</f>
        <v>21.36</v>
      </c>
      <c r="E66" s="30" t="str">
        <f>IFERROR(__xludf.DUMMYFUNCTION("""COMPUTED_VALUE"""),"2023 09")</f>
        <v>2023 09</v>
      </c>
      <c r="F66" s="30" t="str">
        <f>IFERROR(__xludf.DUMMYFUNCTION("""COMPUTED_VALUE"""),"121.85")</f>
        <v>121.85</v>
      </c>
      <c r="G66" s="30" t="str">
        <f>IFERROR(__xludf.DUMMYFUNCTION("""COMPUTED_VALUE"""),"2017 05")</f>
        <v>2017 05</v>
      </c>
      <c r="H66" s="30" t="str">
        <f>IFERROR(__xludf.DUMMYFUNCTION("""COMPUTED_VALUE"""),"75.54")</f>
        <v>75.54</v>
      </c>
      <c r="I66" s="30" t="str">
        <f>IFERROR(__xludf.DUMMYFUNCTION("""COMPUTED_VALUE"""),"2017 05")</f>
        <v>2017 05</v>
      </c>
      <c r="J66" s="30" t="str">
        <f>IFERROR(__xludf.DUMMYFUNCTION("""COMPUTED_VALUE"""),"163.88")</f>
        <v>163.88</v>
      </c>
      <c r="K66" s="30" t="str">
        <f>IFERROR(__xludf.DUMMYFUNCTION("""COMPUTED_VALUE"""),"2017 05")</f>
        <v>2017 05</v>
      </c>
      <c r="L66" s="30" t="str">
        <f>IFERROR(__xludf.DUMMYFUNCTION("""COMPUTED_VALUE"""),"65.21")</f>
        <v>65.21</v>
      </c>
      <c r="M66" s="30" t="str">
        <f>IFERROR(__xludf.DUMMYFUNCTION("""COMPUTED_VALUE"""),"2020 09")</f>
        <v>2020 09</v>
      </c>
      <c r="N66" s="30" t="str">
        <f>IFERROR(__xludf.DUMMYFUNCTION("""COMPUTED_VALUE"""),"27.19")</f>
        <v>27.19</v>
      </c>
    </row>
    <row r="67">
      <c r="A67" s="19" t="str">
        <f>IFERROR(__xludf.DUMMYFUNCTION("""COMPUTED_VALUE"""),"2020 04")</f>
        <v>2020 04</v>
      </c>
      <c r="B67" s="19" t="str">
        <f>IFERROR(__xludf.DUMMYFUNCTION("""COMPUTED_VALUE"""),"71.69")</f>
        <v>71.69</v>
      </c>
      <c r="C67" s="30" t="str">
        <f>IFERROR(__xludf.DUMMYFUNCTION("""COMPUTED_VALUE"""),"2017 06")</f>
        <v>2017 06</v>
      </c>
      <c r="D67" s="30" t="str">
        <f>IFERROR(__xludf.DUMMYFUNCTION("""COMPUTED_VALUE"""),"21.89")</f>
        <v>21.89</v>
      </c>
      <c r="E67" s="30" t="str">
        <f>IFERROR(__xludf.DUMMYFUNCTION("""COMPUTED_VALUE"""),"2023 10")</f>
        <v>2023 10</v>
      </c>
      <c r="F67" s="30" t="str">
        <f>IFERROR(__xludf.DUMMYFUNCTION("""COMPUTED_VALUE"""),"116.8")</f>
        <v>116.8</v>
      </c>
      <c r="G67" s="30" t="str">
        <f>IFERROR(__xludf.DUMMYFUNCTION("""COMPUTED_VALUE"""),"2017 06")</f>
        <v>2017 06</v>
      </c>
      <c r="H67" s="30" t="str">
        <f>IFERROR(__xludf.DUMMYFUNCTION("""COMPUTED_VALUE"""),"73.19")</f>
        <v>73.19</v>
      </c>
      <c r="I67" s="30" t="str">
        <f>IFERROR(__xludf.DUMMYFUNCTION("""COMPUTED_VALUE"""),"2017 06")</f>
        <v>2017 06</v>
      </c>
      <c r="J67" s="30" t="str">
        <f>IFERROR(__xludf.DUMMYFUNCTION("""COMPUTED_VALUE"""),"167.65")</f>
        <v>167.65</v>
      </c>
      <c r="K67" s="30" t="str">
        <f>IFERROR(__xludf.DUMMYFUNCTION("""COMPUTED_VALUE"""),"2017 06")</f>
        <v>2017 06</v>
      </c>
      <c r="L67" s="30" t="str">
        <f>IFERROR(__xludf.DUMMYFUNCTION("""COMPUTED_VALUE"""),"68.99")</f>
        <v>68.99</v>
      </c>
      <c r="M67" s="30" t="str">
        <f>IFERROR(__xludf.DUMMYFUNCTION("""COMPUTED_VALUE"""),"2020 10")</f>
        <v>2020 10</v>
      </c>
      <c r="N67" s="30" t="str">
        <f>IFERROR(__xludf.DUMMYFUNCTION("""COMPUTED_VALUE"""),"26.47")</f>
        <v>26.47</v>
      </c>
    </row>
    <row r="68">
      <c r="A68" s="19" t="str">
        <f>IFERROR(__xludf.DUMMYFUNCTION("""COMPUTED_VALUE"""),"2020 05")</f>
        <v>2020 05</v>
      </c>
      <c r="B68" s="19" t="str">
        <f>IFERROR(__xludf.DUMMYFUNCTION("""COMPUTED_VALUE"""),"75.66")</f>
        <v>75.66</v>
      </c>
      <c r="C68" s="30" t="str">
        <f>IFERROR(__xludf.DUMMYFUNCTION("""COMPUTED_VALUE"""),"2017 07")</f>
        <v>2017 07</v>
      </c>
      <c r="D68" s="30" t="str">
        <f>IFERROR(__xludf.DUMMYFUNCTION("""COMPUTED_VALUE"""),"21.21")</f>
        <v>21.21</v>
      </c>
      <c r="E68" s="30" t="str">
        <f>IFERROR(__xludf.DUMMYFUNCTION("""COMPUTED_VALUE"""),"Date")</f>
        <v>Date</v>
      </c>
      <c r="F68" s="30" t="str">
        <f>IFERROR(__xludf.DUMMYFUNCTION("""COMPUTED_VALUE"""),"Close")</f>
        <v>Close</v>
      </c>
      <c r="G68" s="30" t="str">
        <f>IFERROR(__xludf.DUMMYFUNCTION("""COMPUTED_VALUE"""),"2017 07")</f>
        <v>2017 07</v>
      </c>
      <c r="H68" s="30" t="str">
        <f>IFERROR(__xludf.DUMMYFUNCTION("""COMPUTED_VALUE"""),"72.4")</f>
        <v>72.4</v>
      </c>
      <c r="I68" s="30" t="str">
        <f>IFERROR(__xludf.DUMMYFUNCTION("""COMPUTED_VALUE"""),"2017 07")</f>
        <v>2017 07</v>
      </c>
      <c r="J68" s="30" t="str">
        <f>IFERROR(__xludf.DUMMYFUNCTION("""COMPUTED_VALUE"""),"162.68")</f>
        <v>162.68</v>
      </c>
      <c r="K68" s="30" t="str">
        <f>IFERROR(__xludf.DUMMYFUNCTION("""COMPUTED_VALUE"""),"2017 07")</f>
        <v>2017 07</v>
      </c>
      <c r="L68" s="30" t="str">
        <f>IFERROR(__xludf.DUMMYFUNCTION("""COMPUTED_VALUE"""),"65.3")</f>
        <v>65.3</v>
      </c>
      <c r="M68" s="30" t="str">
        <f>IFERROR(__xludf.DUMMYFUNCTION("""COMPUTED_VALUE"""),"2020 11")</f>
        <v>2020 11</v>
      </c>
      <c r="N68" s="30" t="str">
        <f>IFERROR(__xludf.DUMMYFUNCTION("""COMPUTED_VALUE"""),"26.18")</f>
        <v>26.18</v>
      </c>
    </row>
    <row r="69">
      <c r="A69" s="19" t="str">
        <f>IFERROR(__xludf.DUMMYFUNCTION("""COMPUTED_VALUE"""),"2020 06")</f>
        <v>2020 06</v>
      </c>
      <c r="B69" s="19" t="str">
        <f>IFERROR(__xludf.DUMMYFUNCTION("""COMPUTED_VALUE"""),"77.61")</f>
        <v>77.61</v>
      </c>
      <c r="C69" s="30" t="str">
        <f>IFERROR(__xludf.DUMMYFUNCTION("""COMPUTED_VALUE"""),"2017 08")</f>
        <v>2017 08</v>
      </c>
      <c r="D69" s="30" t="str">
        <f>IFERROR(__xludf.DUMMYFUNCTION("""COMPUTED_VALUE"""),"20.69")</f>
        <v>20.69</v>
      </c>
      <c r="G69" s="30" t="str">
        <f>IFERROR(__xludf.DUMMYFUNCTION("""COMPUTED_VALUE"""),"2017 08")</f>
        <v>2017 08</v>
      </c>
      <c r="H69" s="30" t="str">
        <f>IFERROR(__xludf.DUMMYFUNCTION("""COMPUTED_VALUE"""),"73.44")</f>
        <v>73.44</v>
      </c>
      <c r="I69" s="30" t="str">
        <f>IFERROR(__xludf.DUMMYFUNCTION("""COMPUTED_VALUE"""),"2017 08")</f>
        <v>2017 08</v>
      </c>
      <c r="J69" s="30" t="str">
        <f>IFERROR(__xludf.DUMMYFUNCTION("""COMPUTED_VALUE"""),"158.4")</f>
        <v>158.4</v>
      </c>
      <c r="K69" s="30" t="str">
        <f>IFERROR(__xludf.DUMMYFUNCTION("""COMPUTED_VALUE"""),"2017 08")</f>
        <v>2017 08</v>
      </c>
      <c r="L69" s="30" t="str">
        <f>IFERROR(__xludf.DUMMYFUNCTION("""COMPUTED_VALUE"""),"64.93")</f>
        <v>64.93</v>
      </c>
      <c r="M69" s="30" t="str">
        <f>IFERROR(__xludf.DUMMYFUNCTION("""COMPUTED_VALUE"""),"2020 12")</f>
        <v>2020 12</v>
      </c>
      <c r="N69" s="30" t="str">
        <f>IFERROR(__xludf.DUMMYFUNCTION("""COMPUTED_VALUE"""),"27.82")</f>
        <v>27.82</v>
      </c>
    </row>
    <row r="70">
      <c r="A70" s="19" t="str">
        <f>IFERROR(__xludf.DUMMYFUNCTION("""COMPUTED_VALUE"""),"2020 07")</f>
        <v>2020 07</v>
      </c>
      <c r="B70" s="19" t="str">
        <f>IFERROR(__xludf.DUMMYFUNCTION("""COMPUTED_VALUE"""),"76.53")</f>
        <v>76.53</v>
      </c>
      <c r="C70" s="30" t="str">
        <f>IFERROR(__xludf.DUMMYFUNCTION("""COMPUTED_VALUE"""),"2017 09")</f>
        <v>2017 09</v>
      </c>
      <c r="D70" s="30" t="str">
        <f>IFERROR(__xludf.DUMMYFUNCTION("""COMPUTED_VALUE"""),"20.96")</f>
        <v>20.96</v>
      </c>
      <c r="G70" s="30" t="str">
        <f>IFERROR(__xludf.DUMMYFUNCTION("""COMPUTED_VALUE"""),"2017 09")</f>
        <v>2017 09</v>
      </c>
      <c r="H70" s="30" t="str">
        <f>IFERROR(__xludf.DUMMYFUNCTION("""COMPUTED_VALUE"""),"73.44")</f>
        <v>73.44</v>
      </c>
      <c r="I70" s="30" t="str">
        <f>IFERROR(__xludf.DUMMYFUNCTION("""COMPUTED_VALUE"""),"2017 09")</f>
        <v>2017 09</v>
      </c>
      <c r="J70" s="30" t="str">
        <f>IFERROR(__xludf.DUMMYFUNCTION("""COMPUTED_VALUE"""),"160.04")</f>
        <v>160.04</v>
      </c>
      <c r="K70" s="30" t="str">
        <f>IFERROR(__xludf.DUMMYFUNCTION("""COMPUTED_VALUE"""),"2017 09")</f>
        <v>2017 09</v>
      </c>
      <c r="L70" s="30" t="str">
        <f>IFERROR(__xludf.DUMMYFUNCTION("""COMPUTED_VALUE"""),"65.62")</f>
        <v>65.62</v>
      </c>
      <c r="M70" s="30" t="str">
        <f>IFERROR(__xludf.DUMMYFUNCTION("""COMPUTED_VALUE"""),"2021 01")</f>
        <v>2021 01</v>
      </c>
      <c r="N70" s="30" t="str">
        <f>IFERROR(__xludf.DUMMYFUNCTION("""COMPUTED_VALUE"""),"27.67")</f>
        <v>27.67</v>
      </c>
    </row>
    <row r="71">
      <c r="A71" s="19" t="str">
        <f>IFERROR(__xludf.DUMMYFUNCTION("""COMPUTED_VALUE"""),"2020 08")</f>
        <v>2020 08</v>
      </c>
      <c r="B71" s="19" t="str">
        <f>IFERROR(__xludf.DUMMYFUNCTION("""COMPUTED_VALUE"""),"77.71")</f>
        <v>77.71</v>
      </c>
      <c r="C71" s="30" t="str">
        <f>IFERROR(__xludf.DUMMYFUNCTION("""COMPUTED_VALUE"""),"2017 10")</f>
        <v>2017 10</v>
      </c>
      <c r="D71" s="30" t="str">
        <f>IFERROR(__xludf.DUMMYFUNCTION("""COMPUTED_VALUE"""),"21.57")</f>
        <v>21.57</v>
      </c>
      <c r="G71" s="30" t="str">
        <f>IFERROR(__xludf.DUMMYFUNCTION("""COMPUTED_VALUE"""),"2017 10")</f>
        <v>2017 10</v>
      </c>
      <c r="H71" s="30" t="str">
        <f>IFERROR(__xludf.DUMMYFUNCTION("""COMPUTED_VALUE"""),"72.91")</f>
        <v>72.91</v>
      </c>
      <c r="I71" s="30" t="str">
        <f>IFERROR(__xludf.DUMMYFUNCTION("""COMPUTED_VALUE"""),"2017 10")</f>
        <v>2017 10</v>
      </c>
      <c r="J71" s="30" t="str">
        <f>IFERROR(__xludf.DUMMYFUNCTION("""COMPUTED_VALUE"""),"165.72")</f>
        <v>165.72</v>
      </c>
      <c r="K71" s="30" t="str">
        <f>IFERROR(__xludf.DUMMYFUNCTION("""COMPUTED_VALUE"""),"2017 10")</f>
        <v>2017 10</v>
      </c>
      <c r="L71" s="30" t="str">
        <f>IFERROR(__xludf.DUMMYFUNCTION("""COMPUTED_VALUE"""),"67.3")</f>
        <v>67.3</v>
      </c>
      <c r="M71" s="30" t="str">
        <f>IFERROR(__xludf.DUMMYFUNCTION("""COMPUTED_VALUE"""),"2021 02")</f>
        <v>2021 02</v>
      </c>
      <c r="N71" s="30" t="str">
        <f>IFERROR(__xludf.DUMMYFUNCTION("""COMPUTED_VALUE"""),"28.06")</f>
        <v>28.06</v>
      </c>
    </row>
    <row r="72">
      <c r="A72" s="19" t="str">
        <f>IFERROR(__xludf.DUMMYFUNCTION("""COMPUTED_VALUE"""),"2020 09")</f>
        <v>2020 09</v>
      </c>
      <c r="B72" s="19" t="str">
        <f>IFERROR(__xludf.DUMMYFUNCTION("""COMPUTED_VALUE"""),"80.13")</f>
        <v>80.13</v>
      </c>
      <c r="C72" s="30" t="str">
        <f>IFERROR(__xludf.DUMMYFUNCTION("""COMPUTED_VALUE"""),"2017 11")</f>
        <v>2017 11</v>
      </c>
      <c r="D72" s="30" t="str">
        <f>IFERROR(__xludf.DUMMYFUNCTION("""COMPUTED_VALUE"""),"22.57")</f>
        <v>22.57</v>
      </c>
      <c r="G72" s="30" t="str">
        <f>IFERROR(__xludf.DUMMYFUNCTION("""COMPUTED_VALUE"""),"2017 11")</f>
        <v>2017 11</v>
      </c>
      <c r="H72" s="30" t="str">
        <f>IFERROR(__xludf.DUMMYFUNCTION("""COMPUTED_VALUE"""),"75.63")</f>
        <v>75.63</v>
      </c>
      <c r="I72" s="30" t="str">
        <f>IFERROR(__xludf.DUMMYFUNCTION("""COMPUTED_VALUE"""),"2017 11")</f>
        <v>2017 11</v>
      </c>
      <c r="J72" s="30" t="str">
        <f>IFERROR(__xludf.DUMMYFUNCTION("""COMPUTED_VALUE"""),"172.96")</f>
        <v>172.96</v>
      </c>
      <c r="K72" s="30" t="str">
        <f>IFERROR(__xludf.DUMMYFUNCTION("""COMPUTED_VALUE"""),"2017 11")</f>
        <v>2017 11</v>
      </c>
      <c r="L72" s="30" t="str">
        <f>IFERROR(__xludf.DUMMYFUNCTION("""COMPUTED_VALUE"""),"70.31")</f>
        <v>70.31</v>
      </c>
      <c r="M72" s="30" t="str">
        <f>IFERROR(__xludf.DUMMYFUNCTION("""COMPUTED_VALUE"""),"2021 03")</f>
        <v>2021 03</v>
      </c>
      <c r="N72" s="30" t="str">
        <f>IFERROR(__xludf.DUMMYFUNCTION("""COMPUTED_VALUE"""),"27.9")</f>
        <v>27.9</v>
      </c>
    </row>
    <row r="73">
      <c r="A73" s="19" t="str">
        <f>IFERROR(__xludf.DUMMYFUNCTION("""COMPUTED_VALUE"""),"2020 10")</f>
        <v>2020 10</v>
      </c>
      <c r="B73" s="19" t="str">
        <f>IFERROR(__xludf.DUMMYFUNCTION("""COMPUTED_VALUE"""),"79.69")</f>
        <v>79.69</v>
      </c>
      <c r="C73" s="30" t="str">
        <f>IFERROR(__xludf.DUMMYFUNCTION("""COMPUTED_VALUE"""),"2017 12")</f>
        <v>2017 12</v>
      </c>
      <c r="D73" s="30" t="str">
        <f>IFERROR(__xludf.DUMMYFUNCTION("""COMPUTED_VALUE"""),"23.46")</f>
        <v>23.46</v>
      </c>
      <c r="G73" s="30" t="str">
        <f>IFERROR(__xludf.DUMMYFUNCTION("""COMPUTED_VALUE"""),"2017 12")</f>
        <v>2017 12</v>
      </c>
      <c r="H73" s="30" t="str">
        <f>IFERROR(__xludf.DUMMYFUNCTION("""COMPUTED_VALUE"""),"76.8")</f>
        <v>76.8</v>
      </c>
      <c r="I73" s="30" t="str">
        <f>IFERROR(__xludf.DUMMYFUNCTION("""COMPUTED_VALUE"""),"2017 12")</f>
        <v>2017 12</v>
      </c>
      <c r="J73" s="30" t="str">
        <f>IFERROR(__xludf.DUMMYFUNCTION("""COMPUTED_VALUE"""),"179.92")</f>
        <v>179.92</v>
      </c>
      <c r="K73" s="30" t="str">
        <f>IFERROR(__xludf.DUMMYFUNCTION("""COMPUTED_VALUE"""),"2017 12")</f>
        <v>2017 12</v>
      </c>
      <c r="L73" s="30" t="str">
        <f>IFERROR(__xludf.DUMMYFUNCTION("""COMPUTED_VALUE"""),"71.41")</f>
        <v>71.41</v>
      </c>
      <c r="M73" s="30" t="str">
        <f>IFERROR(__xludf.DUMMYFUNCTION("""COMPUTED_VALUE"""),"2021 04")</f>
        <v>2021 04</v>
      </c>
      <c r="N73" s="30" t="str">
        <f>IFERROR(__xludf.DUMMYFUNCTION("""COMPUTED_VALUE"""),"28.82")</f>
        <v>28.82</v>
      </c>
    </row>
    <row r="74">
      <c r="A74" s="19" t="str">
        <f>IFERROR(__xludf.DUMMYFUNCTION("""COMPUTED_VALUE"""),"2020 11")</f>
        <v>2020 11</v>
      </c>
      <c r="B74" s="19" t="str">
        <f>IFERROR(__xludf.DUMMYFUNCTION("""COMPUTED_VALUE"""),"78.98")</f>
        <v>78.98</v>
      </c>
      <c r="C74" s="30" t="str">
        <f>IFERROR(__xludf.DUMMYFUNCTION("""COMPUTED_VALUE"""),"2018 01")</f>
        <v>2018 01</v>
      </c>
      <c r="D74" s="30" t="str">
        <f>IFERROR(__xludf.DUMMYFUNCTION("""COMPUTED_VALUE"""),"22.92")</f>
        <v>22.92</v>
      </c>
      <c r="G74" s="30" t="str">
        <f>IFERROR(__xludf.DUMMYFUNCTION("""COMPUTED_VALUE"""),"2018 01")</f>
        <v>2018 01</v>
      </c>
      <c r="H74" s="30" t="str">
        <f>IFERROR(__xludf.DUMMYFUNCTION("""COMPUTED_VALUE"""),"77.04")</f>
        <v>77.04</v>
      </c>
      <c r="I74" s="30" t="str">
        <f>IFERROR(__xludf.DUMMYFUNCTION("""COMPUTED_VALUE"""),"2018 01")</f>
        <v>2018 01</v>
      </c>
      <c r="J74" s="30" t="str">
        <f>IFERROR(__xludf.DUMMYFUNCTION("""COMPUTED_VALUE"""),"175.45")</f>
        <v>175.45</v>
      </c>
      <c r="K74" s="30" t="str">
        <f>IFERROR(__xludf.DUMMYFUNCTION("""COMPUTED_VALUE"""),"2018 01")</f>
        <v>2018 01</v>
      </c>
      <c r="L74" s="30" t="str">
        <f>IFERROR(__xludf.DUMMYFUNCTION("""COMPUTED_VALUE"""),"70.24")</f>
        <v>70.24</v>
      </c>
      <c r="M74" s="30" t="str">
        <f>IFERROR(__xludf.DUMMYFUNCTION("""COMPUTED_VALUE"""),"2021 05")</f>
        <v>2021 05</v>
      </c>
      <c r="N74" s="30" t="str">
        <f>IFERROR(__xludf.DUMMYFUNCTION("""COMPUTED_VALUE"""),"29.77")</f>
        <v>29.77</v>
      </c>
    </row>
    <row r="75">
      <c r="A75" s="19" t="str">
        <f>IFERROR(__xludf.DUMMYFUNCTION("""COMPUTED_VALUE"""),"2020 12")</f>
        <v>2020 12</v>
      </c>
      <c r="B75" s="19" t="str">
        <f>IFERROR(__xludf.DUMMYFUNCTION("""COMPUTED_VALUE"""),"85.13")</f>
        <v>85.13</v>
      </c>
      <c r="C75" s="30" t="str">
        <f>IFERROR(__xludf.DUMMYFUNCTION("""COMPUTED_VALUE"""),"2018 02")</f>
        <v>2018 02</v>
      </c>
      <c r="D75" s="30" t="str">
        <f>IFERROR(__xludf.DUMMYFUNCTION("""COMPUTED_VALUE"""),"23.64")</f>
        <v>23.64</v>
      </c>
      <c r="G75" s="30" t="str">
        <f>IFERROR(__xludf.DUMMYFUNCTION("""COMPUTED_VALUE"""),"2018 02")</f>
        <v>2018 02</v>
      </c>
      <c r="H75" s="30" t="str">
        <f>IFERROR(__xludf.DUMMYFUNCTION("""COMPUTED_VALUE"""),"77.61")</f>
        <v>77.61</v>
      </c>
      <c r="I75" s="30" t="str">
        <f>IFERROR(__xludf.DUMMYFUNCTION("""COMPUTED_VALUE"""),"2018 02")</f>
        <v>2018 02</v>
      </c>
      <c r="J75" s="30" t="str">
        <f>IFERROR(__xludf.DUMMYFUNCTION("""COMPUTED_VALUE"""),"180.42")</f>
        <v>180.42</v>
      </c>
      <c r="K75" s="30" t="str">
        <f>IFERROR(__xludf.DUMMYFUNCTION("""COMPUTED_VALUE"""),"2018 02")</f>
        <v>2018 02</v>
      </c>
      <c r="L75" s="30" t="str">
        <f>IFERROR(__xludf.DUMMYFUNCTION("""COMPUTED_VALUE"""),"72.28")</f>
        <v>72.28</v>
      </c>
      <c r="M75" s="30" t="str">
        <f>IFERROR(__xludf.DUMMYFUNCTION("""COMPUTED_VALUE"""),"2021 06")</f>
        <v>2021 06</v>
      </c>
      <c r="N75" s="30" t="str">
        <f>IFERROR(__xludf.DUMMYFUNCTION("""COMPUTED_VALUE"""),"29.28")</f>
        <v>29.28</v>
      </c>
    </row>
    <row r="76">
      <c r="A76" s="19" t="str">
        <f>IFERROR(__xludf.DUMMYFUNCTION("""COMPUTED_VALUE"""),"2021 01")</f>
        <v>2021 01</v>
      </c>
      <c r="B76" s="19" t="str">
        <f>IFERROR(__xludf.DUMMYFUNCTION("""COMPUTED_VALUE"""),"83.83")</f>
        <v>83.83</v>
      </c>
      <c r="C76" s="30" t="str">
        <f>IFERROR(__xludf.DUMMYFUNCTION("""COMPUTED_VALUE"""),"2018 03")</f>
        <v>2018 03</v>
      </c>
      <c r="D76" s="30" t="str">
        <f>IFERROR(__xludf.DUMMYFUNCTION("""COMPUTED_VALUE"""),"23.55")</f>
        <v>23.55</v>
      </c>
      <c r="G76" s="30" t="str">
        <f>IFERROR(__xludf.DUMMYFUNCTION("""COMPUTED_VALUE"""),"2018 03")</f>
        <v>2018 03</v>
      </c>
      <c r="H76" s="30" t="str">
        <f>IFERROR(__xludf.DUMMYFUNCTION("""COMPUTED_VALUE"""),"76.72")</f>
        <v>76.72</v>
      </c>
      <c r="I76" s="30" t="str">
        <f>IFERROR(__xludf.DUMMYFUNCTION("""COMPUTED_VALUE"""),"2018 03")</f>
        <v>2018 03</v>
      </c>
      <c r="J76" s="30" t="str">
        <f>IFERROR(__xludf.DUMMYFUNCTION("""COMPUTED_VALUE"""),"179.5")</f>
        <v>179.5</v>
      </c>
      <c r="K76" s="30" t="str">
        <f>IFERROR(__xludf.DUMMYFUNCTION("""COMPUTED_VALUE"""),"2018 03")</f>
        <v>2018 03</v>
      </c>
      <c r="L76" s="30" t="str">
        <f>IFERROR(__xludf.DUMMYFUNCTION("""COMPUTED_VALUE"""),"70.79")</f>
        <v>70.79</v>
      </c>
      <c r="M76" s="30" t="str">
        <f>IFERROR(__xludf.DUMMYFUNCTION("""COMPUTED_VALUE"""),"2021 07")</f>
        <v>2021 07</v>
      </c>
      <c r="N76" s="30" t="str">
        <f>IFERROR(__xludf.DUMMYFUNCTION("""COMPUTED_VALUE"""),"31.06")</f>
        <v>31.06</v>
      </c>
    </row>
    <row r="77">
      <c r="A77" s="19" t="str">
        <f>IFERROR(__xludf.DUMMYFUNCTION("""COMPUTED_VALUE"""),"2021 02")</f>
        <v>2021 02</v>
      </c>
      <c r="B77" s="19" t="str">
        <f>IFERROR(__xludf.DUMMYFUNCTION("""COMPUTED_VALUE"""),"83.72")</f>
        <v>83.72</v>
      </c>
      <c r="C77" s="30" t="str">
        <f>IFERROR(__xludf.DUMMYFUNCTION("""COMPUTED_VALUE"""),"2018 04")</f>
        <v>2018 04</v>
      </c>
      <c r="D77" s="30" t="str">
        <f>IFERROR(__xludf.DUMMYFUNCTION("""COMPUTED_VALUE"""),"22.48")</f>
        <v>22.48</v>
      </c>
      <c r="G77" s="30" t="str">
        <f>IFERROR(__xludf.DUMMYFUNCTION("""COMPUTED_VALUE"""),"2018 04")</f>
        <v>2018 04</v>
      </c>
      <c r="H77" s="30" t="str">
        <f>IFERROR(__xludf.DUMMYFUNCTION("""COMPUTED_VALUE"""),"73.53")</f>
        <v>73.53</v>
      </c>
      <c r="I77" s="30" t="str">
        <f>IFERROR(__xludf.DUMMYFUNCTION("""COMPUTED_VALUE"""),"2018 04")</f>
        <v>2018 04</v>
      </c>
      <c r="J77" s="30" t="str">
        <f>IFERROR(__xludf.DUMMYFUNCTION("""COMPUTED_VALUE"""),"172.53")</f>
        <v>172.53</v>
      </c>
      <c r="K77" s="30" t="str">
        <f>IFERROR(__xludf.DUMMYFUNCTION("""COMPUTED_VALUE"""),"2018 04")</f>
        <v>2018 04</v>
      </c>
      <c r="L77" s="30" t="str">
        <f>IFERROR(__xludf.DUMMYFUNCTION("""COMPUTED_VALUE"""),"69.81")</f>
        <v>69.81</v>
      </c>
      <c r="M77" s="30" t="str">
        <f>IFERROR(__xludf.DUMMYFUNCTION("""COMPUTED_VALUE"""),"2021 08")</f>
        <v>2021 08</v>
      </c>
      <c r="N77" s="30" t="str">
        <f>IFERROR(__xludf.DUMMYFUNCTION("""COMPUTED_VALUE"""),"32.68")</f>
        <v>32.68</v>
      </c>
    </row>
    <row r="78">
      <c r="A78" s="19" t="str">
        <f>IFERROR(__xludf.DUMMYFUNCTION("""COMPUTED_VALUE"""),"2021 03")</f>
        <v>2021 03</v>
      </c>
      <c r="B78" s="19" t="str">
        <f>IFERROR(__xludf.DUMMYFUNCTION("""COMPUTED_VALUE"""),"85.14")</f>
        <v>85.14</v>
      </c>
      <c r="C78" s="30" t="str">
        <f>IFERROR(__xludf.DUMMYFUNCTION("""COMPUTED_VALUE"""),"2018 05")</f>
        <v>2018 05</v>
      </c>
      <c r="D78" s="30" t="str">
        <f>IFERROR(__xludf.DUMMYFUNCTION("""COMPUTED_VALUE"""),"23.59")</f>
        <v>23.59</v>
      </c>
      <c r="G78" s="30" t="str">
        <f>IFERROR(__xludf.DUMMYFUNCTION("""COMPUTED_VALUE"""),"2018 05")</f>
        <v>2018 05</v>
      </c>
      <c r="H78" s="30" t="str">
        <f>IFERROR(__xludf.DUMMYFUNCTION("""COMPUTED_VALUE"""),"76.87")</f>
        <v>76.87</v>
      </c>
      <c r="I78" s="30" t="str">
        <f>IFERROR(__xludf.DUMMYFUNCTION("""COMPUTED_VALUE"""),"2018 05")</f>
        <v>2018 05</v>
      </c>
      <c r="J78" s="30" t="str">
        <f>IFERROR(__xludf.DUMMYFUNCTION("""COMPUTED_VALUE"""),"181.08")</f>
        <v>181.08</v>
      </c>
      <c r="K78" s="30" t="str">
        <f>IFERROR(__xludf.DUMMYFUNCTION("""COMPUTED_VALUE"""),"2018 05")</f>
        <v>2018 05</v>
      </c>
      <c r="L78" s="30" t="str">
        <f>IFERROR(__xludf.DUMMYFUNCTION("""COMPUTED_VALUE"""),"72.75")</f>
        <v>72.75</v>
      </c>
      <c r="M78" s="30" t="str">
        <f>IFERROR(__xludf.DUMMYFUNCTION("""COMPUTED_VALUE"""),"2021 09")</f>
        <v>2021 09</v>
      </c>
      <c r="N78" s="30" t="str">
        <f>IFERROR(__xludf.DUMMYFUNCTION("""COMPUTED_VALUE"""),"34.03")</f>
        <v>34.03</v>
      </c>
    </row>
    <row r="79">
      <c r="A79" s="19" t="str">
        <f>IFERROR(__xludf.DUMMYFUNCTION("""COMPUTED_VALUE"""),"2021 04")</f>
        <v>2021 04</v>
      </c>
      <c r="B79" s="19" t="str">
        <f>IFERROR(__xludf.DUMMYFUNCTION("""COMPUTED_VALUE"""),"89.42")</f>
        <v>89.42</v>
      </c>
      <c r="C79" s="30" t="str">
        <f>IFERROR(__xludf.DUMMYFUNCTION("""COMPUTED_VALUE"""),"2018 06")</f>
        <v>2018 06</v>
      </c>
      <c r="D79" s="30" t="str">
        <f>IFERROR(__xludf.DUMMYFUNCTION("""COMPUTED_VALUE"""),"24.16")</f>
        <v>24.16</v>
      </c>
      <c r="G79" s="30" t="str">
        <f>IFERROR(__xludf.DUMMYFUNCTION("""COMPUTED_VALUE"""),"2018 06")</f>
        <v>2018 06</v>
      </c>
      <c r="H79" s="30" t="str">
        <f>IFERROR(__xludf.DUMMYFUNCTION("""COMPUTED_VALUE"""),"77.1")</f>
        <v>77.1</v>
      </c>
      <c r="I79" s="30" t="str">
        <f>IFERROR(__xludf.DUMMYFUNCTION("""COMPUTED_VALUE"""),"2018 06")</f>
        <v>2018 06</v>
      </c>
      <c r="J79" s="30" t="str">
        <f>IFERROR(__xludf.DUMMYFUNCTION("""COMPUTED_VALUE"""),"186.04")</f>
        <v>186.04</v>
      </c>
      <c r="K79" s="30" t="str">
        <f>IFERROR(__xludf.DUMMYFUNCTION("""COMPUTED_VALUE"""),"2018 06")</f>
        <v>2018 06</v>
      </c>
      <c r="L79" s="30" t="str">
        <f>IFERROR(__xludf.DUMMYFUNCTION("""COMPUTED_VALUE"""),"71.11")</f>
        <v>71.11</v>
      </c>
      <c r="M79" s="30" t="str">
        <f>IFERROR(__xludf.DUMMYFUNCTION("""COMPUTED_VALUE"""),"2021 10")</f>
        <v>2021 10</v>
      </c>
      <c r="N79" s="30" t="str">
        <f>IFERROR(__xludf.DUMMYFUNCTION("""COMPUTED_VALUE"""),"32.38")</f>
        <v>32.38</v>
      </c>
    </row>
    <row r="80">
      <c r="A80" s="19" t="str">
        <f>IFERROR(__xludf.DUMMYFUNCTION("""COMPUTED_VALUE"""),"2021 05")</f>
        <v>2021 05</v>
      </c>
      <c r="B80" s="19" t="str">
        <f>IFERROR(__xludf.DUMMYFUNCTION("""COMPUTED_VALUE"""),"91.69")</f>
        <v>91.69</v>
      </c>
      <c r="C80" s="30" t="str">
        <f>IFERROR(__xludf.DUMMYFUNCTION("""COMPUTED_VALUE"""),"2018 07")</f>
        <v>2018 07</v>
      </c>
      <c r="D80" s="30" t="str">
        <f>IFERROR(__xludf.DUMMYFUNCTION("""COMPUTED_VALUE"""),"24.55")</f>
        <v>24.55</v>
      </c>
      <c r="G80" s="30" t="str">
        <f>IFERROR(__xludf.DUMMYFUNCTION("""COMPUTED_VALUE"""),"2018 07")</f>
        <v>2018 07</v>
      </c>
      <c r="H80" s="30" t="str">
        <f>IFERROR(__xludf.DUMMYFUNCTION("""COMPUTED_VALUE"""),"78.57")</f>
        <v>78.57</v>
      </c>
      <c r="I80" s="30" t="str">
        <f>IFERROR(__xludf.DUMMYFUNCTION("""COMPUTED_VALUE"""),"2018 07")</f>
        <v>2018 07</v>
      </c>
      <c r="J80" s="30" t="str">
        <f>IFERROR(__xludf.DUMMYFUNCTION("""COMPUTED_VALUE"""),"189.45")</f>
        <v>189.45</v>
      </c>
      <c r="K80" s="30" t="str">
        <f>IFERROR(__xludf.DUMMYFUNCTION("""COMPUTED_VALUE"""),"2018 07")</f>
        <v>2018 07</v>
      </c>
      <c r="L80" s="30" t="str">
        <f>IFERROR(__xludf.DUMMYFUNCTION("""COMPUTED_VALUE"""),"69.49")</f>
        <v>69.49</v>
      </c>
      <c r="M80" s="30" t="str">
        <f>IFERROR(__xludf.DUMMYFUNCTION("""COMPUTED_VALUE"""),"2021 11")</f>
        <v>2021 11</v>
      </c>
      <c r="N80" s="30" t="str">
        <f>IFERROR(__xludf.DUMMYFUNCTION("""COMPUTED_VALUE"""),"33.78")</f>
        <v>33.78</v>
      </c>
    </row>
    <row r="81">
      <c r="A81" s="19" t="str">
        <f>IFERROR(__xludf.DUMMYFUNCTION("""COMPUTED_VALUE"""),"2021 06")</f>
        <v>2021 06</v>
      </c>
      <c r="B81" s="19" t="str">
        <f>IFERROR(__xludf.DUMMYFUNCTION("""COMPUTED_VALUE"""),"92.61")</f>
        <v>92.61</v>
      </c>
      <c r="C81" s="30" t="str">
        <f>IFERROR(__xludf.DUMMYFUNCTION("""COMPUTED_VALUE"""),"2018 08")</f>
        <v>2018 08</v>
      </c>
      <c r="D81" s="30" t="str">
        <f>IFERROR(__xludf.DUMMYFUNCTION("""COMPUTED_VALUE"""),"25.5")</f>
        <v>25.5</v>
      </c>
      <c r="G81" s="30" t="str">
        <f>IFERROR(__xludf.DUMMYFUNCTION("""COMPUTED_VALUE"""),"2018 08")</f>
        <v>2018 08</v>
      </c>
      <c r="H81" s="30" t="str">
        <f>IFERROR(__xludf.DUMMYFUNCTION("""COMPUTED_VALUE"""),"79.71")</f>
        <v>79.71</v>
      </c>
      <c r="I81" s="30" t="str">
        <f>IFERROR(__xludf.DUMMYFUNCTION("""COMPUTED_VALUE"""),"2018 08")</f>
        <v>2018 08</v>
      </c>
      <c r="J81" s="30" t="str">
        <f>IFERROR(__xludf.DUMMYFUNCTION("""COMPUTED_VALUE"""),"195.87")</f>
        <v>195.87</v>
      </c>
      <c r="K81" s="30" t="str">
        <f>IFERROR(__xludf.DUMMYFUNCTION("""COMPUTED_VALUE"""),"2018 08")</f>
        <v>2018 08</v>
      </c>
      <c r="L81" s="30" t="str">
        <f>IFERROR(__xludf.DUMMYFUNCTION("""COMPUTED_VALUE"""),"71.93")</f>
        <v>71.93</v>
      </c>
      <c r="M81" s="30" t="str">
        <f>IFERROR(__xludf.DUMMYFUNCTION("""COMPUTED_VALUE"""),"2021 12")</f>
        <v>2021 12</v>
      </c>
      <c r="N81" s="30" t="str">
        <f>IFERROR(__xludf.DUMMYFUNCTION("""COMPUTED_VALUE"""),"36.45")</f>
        <v>36.45</v>
      </c>
    </row>
    <row r="82">
      <c r="A82" s="19" t="str">
        <f>IFERROR(__xludf.DUMMYFUNCTION("""COMPUTED_VALUE"""),"2021 07")</f>
        <v>2021 07</v>
      </c>
      <c r="B82" s="19" t="str">
        <f>IFERROR(__xludf.DUMMYFUNCTION("""COMPUTED_VALUE"""),"96.55")</f>
        <v>96.55</v>
      </c>
      <c r="C82" s="30" t="str">
        <f>IFERROR(__xludf.DUMMYFUNCTION("""COMPUTED_VALUE"""),"2018 09")</f>
        <v>2018 09</v>
      </c>
      <c r="D82" s="30" t="str">
        <f>IFERROR(__xludf.DUMMYFUNCTION("""COMPUTED_VALUE"""),"27.11")</f>
        <v>27.11</v>
      </c>
      <c r="G82" s="30" t="str">
        <f>IFERROR(__xludf.DUMMYFUNCTION("""COMPUTED_VALUE"""),"2018 09")</f>
        <v>2018 09</v>
      </c>
      <c r="H82" s="30" t="str">
        <f>IFERROR(__xludf.DUMMYFUNCTION("""COMPUTED_VALUE"""),"80.86")</f>
        <v>80.86</v>
      </c>
      <c r="I82" s="30" t="str">
        <f>IFERROR(__xludf.DUMMYFUNCTION("""COMPUTED_VALUE"""),"2018 09")</f>
        <v>2018 09</v>
      </c>
      <c r="J82" s="30" t="str">
        <f>IFERROR(__xludf.DUMMYFUNCTION("""COMPUTED_VALUE"""),"208.74")</f>
        <v>208.74</v>
      </c>
      <c r="K82" s="30" t="str">
        <f>IFERROR(__xludf.DUMMYFUNCTION("""COMPUTED_VALUE"""),"2018 09")</f>
        <v>2018 09</v>
      </c>
      <c r="L82" s="30" t="str">
        <f>IFERROR(__xludf.DUMMYFUNCTION("""COMPUTED_VALUE"""),"72.19")</f>
        <v>72.19</v>
      </c>
      <c r="M82" s="30" t="str">
        <f>IFERROR(__xludf.DUMMYFUNCTION("""COMPUTED_VALUE"""),"2022 01")</f>
        <v>2022 01</v>
      </c>
      <c r="N82" s="30" t="str">
        <f>IFERROR(__xludf.DUMMYFUNCTION("""COMPUTED_VALUE"""),"36.58")</f>
        <v>36.58</v>
      </c>
    </row>
    <row r="83">
      <c r="A83" s="19" t="str">
        <f>IFERROR(__xludf.DUMMYFUNCTION("""COMPUTED_VALUE"""),"2021 08")</f>
        <v>2021 08</v>
      </c>
      <c r="B83" s="19" t="str">
        <f>IFERROR(__xludf.DUMMYFUNCTION("""COMPUTED_VALUE"""),"100.68")</f>
        <v>100.68</v>
      </c>
      <c r="C83" s="30" t="str">
        <f>IFERROR(__xludf.DUMMYFUNCTION("""COMPUTED_VALUE"""),"2018 10")</f>
        <v>2018 10</v>
      </c>
      <c r="D83" s="30" t="str">
        <f>IFERROR(__xludf.DUMMYFUNCTION("""COMPUTED_VALUE"""),"27.3")</f>
        <v>27.3</v>
      </c>
      <c r="G83" s="30" t="str">
        <f>IFERROR(__xludf.DUMMYFUNCTION("""COMPUTED_VALUE"""),"2018 10")</f>
        <v>2018 10</v>
      </c>
      <c r="H83" s="30" t="str">
        <f>IFERROR(__xludf.DUMMYFUNCTION("""COMPUTED_VALUE"""),"78.31")</f>
        <v>78.31</v>
      </c>
      <c r="I83" s="30" t="str">
        <f>IFERROR(__xludf.DUMMYFUNCTION("""COMPUTED_VALUE"""),"2018 10")</f>
        <v>2018 10</v>
      </c>
      <c r="J83" s="30" t="str">
        <f>IFERROR(__xludf.DUMMYFUNCTION("""COMPUTED_VALUE"""),"208.66")</f>
        <v>208.66</v>
      </c>
      <c r="K83" s="30" t="str">
        <f>IFERROR(__xludf.DUMMYFUNCTION("""COMPUTED_VALUE"""),"2018 10")</f>
        <v>2018 10</v>
      </c>
      <c r="L83" s="30" t="str">
        <f>IFERROR(__xludf.DUMMYFUNCTION("""COMPUTED_VALUE"""),"72.06")</f>
        <v>72.06</v>
      </c>
      <c r="M83" s="30" t="str">
        <f>IFERROR(__xludf.DUMMYFUNCTION("""COMPUTED_VALUE"""),"2022 02")</f>
        <v>2022 02</v>
      </c>
      <c r="N83" s="30" t="str">
        <f>IFERROR(__xludf.DUMMYFUNCTION("""COMPUTED_VALUE"""),"33.6")</f>
        <v>33.6</v>
      </c>
    </row>
    <row r="84">
      <c r="A84" s="19" t="str">
        <f>IFERROR(__xludf.DUMMYFUNCTION("""COMPUTED_VALUE"""),"2021 09")</f>
        <v>2021 09</v>
      </c>
      <c r="B84" s="19" t="str">
        <f>IFERROR(__xludf.DUMMYFUNCTION("""COMPUTED_VALUE"""),"103.13")</f>
        <v>103.13</v>
      </c>
      <c r="C84" s="30" t="str">
        <f>IFERROR(__xludf.DUMMYFUNCTION("""COMPUTED_VALUE"""),"2018 11")</f>
        <v>2018 11</v>
      </c>
      <c r="D84" s="30" t="str">
        <f>IFERROR(__xludf.DUMMYFUNCTION("""COMPUTED_VALUE"""),"25.58")</f>
        <v>25.58</v>
      </c>
      <c r="G84" s="30" t="str">
        <f>IFERROR(__xludf.DUMMYFUNCTION("""COMPUTED_VALUE"""),"2018 11")</f>
        <v>2018 11</v>
      </c>
      <c r="H84" s="30" t="str">
        <f>IFERROR(__xludf.DUMMYFUNCTION("""COMPUTED_VALUE"""),"74.07")</f>
        <v>74.07</v>
      </c>
      <c r="I84" s="30" t="str">
        <f>IFERROR(__xludf.DUMMYFUNCTION("""COMPUTED_VALUE"""),"2018 11")</f>
        <v>2018 11</v>
      </c>
      <c r="J84" s="30" t="str">
        <f>IFERROR(__xludf.DUMMYFUNCTION("""COMPUTED_VALUE"""),"194.88")</f>
        <v>194.88</v>
      </c>
      <c r="K84" s="30" t="str">
        <f>IFERROR(__xludf.DUMMYFUNCTION("""COMPUTED_VALUE"""),"2018 11")</f>
        <v>2018 11</v>
      </c>
      <c r="L84" s="30" t="str">
        <f>IFERROR(__xludf.DUMMYFUNCTION("""COMPUTED_VALUE"""),"67.18")</f>
        <v>67.18</v>
      </c>
      <c r="M84" s="30" t="str">
        <f>IFERROR(__xludf.DUMMYFUNCTION("""COMPUTED_VALUE"""),"2022 03")</f>
        <v>2022 03</v>
      </c>
      <c r="N84" s="30" t="str">
        <f>IFERROR(__xludf.DUMMYFUNCTION("""COMPUTED_VALUE"""),"31.26")</f>
        <v>31.26</v>
      </c>
    </row>
    <row r="85">
      <c r="A85" s="19" t="str">
        <f>IFERROR(__xludf.DUMMYFUNCTION("""COMPUTED_VALUE"""),"2021 10")</f>
        <v>2021 10</v>
      </c>
      <c r="B85" s="19" t="str">
        <f>IFERROR(__xludf.DUMMYFUNCTION("""COMPUTED_VALUE"""),"99.13")</f>
        <v>99.13</v>
      </c>
      <c r="C85" s="30" t="str">
        <f>IFERROR(__xludf.DUMMYFUNCTION("""COMPUTED_VALUE"""),"2018 12")</f>
        <v>2018 12</v>
      </c>
      <c r="D85" s="30" t="str">
        <f>IFERROR(__xludf.DUMMYFUNCTION("""COMPUTED_VALUE"""),"25.59")</f>
        <v>25.59</v>
      </c>
      <c r="G85" s="30" t="str">
        <f>IFERROR(__xludf.DUMMYFUNCTION("""COMPUTED_VALUE"""),"2018 12")</f>
        <v>2018 12</v>
      </c>
      <c r="H85" s="30" t="str">
        <f>IFERROR(__xludf.DUMMYFUNCTION("""COMPUTED_VALUE"""),"73.6")</f>
        <v>73.6</v>
      </c>
      <c r="I85" s="30" t="str">
        <f>IFERROR(__xludf.DUMMYFUNCTION("""COMPUTED_VALUE"""),"2018 12")</f>
        <v>2018 12</v>
      </c>
      <c r="J85" s="30" t="str">
        <f>IFERROR(__xludf.DUMMYFUNCTION("""COMPUTED_VALUE"""),"195.1")</f>
        <v>195.1</v>
      </c>
      <c r="K85" s="30" t="str">
        <f>IFERROR(__xludf.DUMMYFUNCTION("""COMPUTED_VALUE"""),"2018 12")</f>
        <v>2018 12</v>
      </c>
      <c r="L85" s="30" t="str">
        <f>IFERROR(__xludf.DUMMYFUNCTION("""COMPUTED_VALUE"""),"66.9")</f>
        <v>66.9</v>
      </c>
      <c r="M85" s="30" t="str">
        <f>IFERROR(__xludf.DUMMYFUNCTION("""COMPUTED_VALUE"""),"2022 04")</f>
        <v>2022 04</v>
      </c>
      <c r="N85" s="30" t="str">
        <f>IFERROR(__xludf.DUMMYFUNCTION("""COMPUTED_VALUE"""),"31.82")</f>
        <v>31.82</v>
      </c>
    </row>
    <row r="86">
      <c r="A86" s="19" t="str">
        <f>IFERROR(__xludf.DUMMYFUNCTION("""COMPUTED_VALUE"""),"2021 11")</f>
        <v>2021 11</v>
      </c>
      <c r="B86" s="19" t="str">
        <f>IFERROR(__xludf.DUMMYFUNCTION("""COMPUTED_VALUE"""),"101.48")</f>
        <v>101.48</v>
      </c>
      <c r="C86" s="30" t="str">
        <f>IFERROR(__xludf.DUMMYFUNCTION("""COMPUTED_VALUE"""),"2019 01")</f>
        <v>2019 01</v>
      </c>
      <c r="D86" s="30" t="str">
        <f>IFERROR(__xludf.DUMMYFUNCTION("""COMPUTED_VALUE"""),"23.84")</f>
        <v>23.84</v>
      </c>
      <c r="G86" s="30" t="str">
        <f>IFERROR(__xludf.DUMMYFUNCTION("""COMPUTED_VALUE"""),"2019 01")</f>
        <v>2019 01</v>
      </c>
      <c r="H86" s="30" t="str">
        <f>IFERROR(__xludf.DUMMYFUNCTION("""COMPUTED_VALUE"""),"70.26")</f>
        <v>70.26</v>
      </c>
      <c r="I86" s="30" t="str">
        <f>IFERROR(__xludf.DUMMYFUNCTION("""COMPUTED_VALUE"""),"2019 01")</f>
        <v>2019 01</v>
      </c>
      <c r="J86" s="30" t="str">
        <f>IFERROR(__xludf.DUMMYFUNCTION("""COMPUTED_VALUE"""),"180.2")</f>
        <v>180.2</v>
      </c>
      <c r="K86" s="30" t="str">
        <f>IFERROR(__xludf.DUMMYFUNCTION("""COMPUTED_VALUE"""),"2019 01")</f>
        <v>2019 01</v>
      </c>
      <c r="L86" s="30" t="str">
        <f>IFERROR(__xludf.DUMMYFUNCTION("""COMPUTED_VALUE"""),"64.2")</f>
        <v>64.2</v>
      </c>
      <c r="M86" s="30" t="str">
        <f>IFERROR(__xludf.DUMMYFUNCTION("""COMPUTED_VALUE"""),"2022 05")</f>
        <v>2022 05</v>
      </c>
      <c r="N86" s="30" t="str">
        <f>IFERROR(__xludf.DUMMYFUNCTION("""COMPUTED_VALUE"""),"29.3")</f>
        <v>29.3</v>
      </c>
    </row>
    <row r="87">
      <c r="A87" s="19" t="str">
        <f>IFERROR(__xludf.DUMMYFUNCTION("""COMPUTED_VALUE"""),"2021 12")</f>
        <v>2021 12</v>
      </c>
      <c r="B87" s="19" t="str">
        <f>IFERROR(__xludf.DUMMYFUNCTION("""COMPUTED_VALUE"""),"104.88")</f>
        <v>104.88</v>
      </c>
      <c r="C87" s="30" t="str">
        <f>IFERROR(__xludf.DUMMYFUNCTION("""COMPUTED_VALUE"""),"2019 02")</f>
        <v>2019 02</v>
      </c>
      <c r="D87" s="30" t="str">
        <f>IFERROR(__xludf.DUMMYFUNCTION("""COMPUTED_VALUE"""),"25.04")</f>
        <v>25.04</v>
      </c>
      <c r="G87" s="30" t="str">
        <f>IFERROR(__xludf.DUMMYFUNCTION("""COMPUTED_VALUE"""),"2019 02")</f>
        <v>2019 02</v>
      </c>
      <c r="H87" s="30" t="str">
        <f>IFERROR(__xludf.DUMMYFUNCTION("""COMPUTED_VALUE"""),"74.17")</f>
        <v>74.17</v>
      </c>
      <c r="I87" s="30" t="str">
        <f>IFERROR(__xludf.DUMMYFUNCTION("""COMPUTED_VALUE"""),"2019 02")</f>
        <v>2019 02</v>
      </c>
      <c r="J87" s="30" t="str">
        <f>IFERROR(__xludf.DUMMYFUNCTION("""COMPUTED_VALUE"""),"191.42")</f>
        <v>191.42</v>
      </c>
      <c r="K87" s="30" t="str">
        <f>IFERROR(__xludf.DUMMYFUNCTION("""COMPUTED_VALUE"""),"2019 02")</f>
        <v>2019 02</v>
      </c>
      <c r="L87" s="30" t="str">
        <f>IFERROR(__xludf.DUMMYFUNCTION("""COMPUTED_VALUE"""),"67.53")</f>
        <v>67.53</v>
      </c>
      <c r="M87" s="30" t="str">
        <f>IFERROR(__xludf.DUMMYFUNCTION("""COMPUTED_VALUE"""),"2022 06")</f>
        <v>2022 06</v>
      </c>
      <c r="N87" s="30" t="str">
        <f>IFERROR(__xludf.DUMMYFUNCTION("""COMPUTED_VALUE"""),"28.16")</f>
        <v>28.16</v>
      </c>
    </row>
    <row r="88">
      <c r="A88" s="19" t="str">
        <f>IFERROR(__xludf.DUMMYFUNCTION("""COMPUTED_VALUE"""),"2022 01")</f>
        <v>2022 01</v>
      </c>
      <c r="B88" s="19" t="str">
        <f>IFERROR(__xludf.DUMMYFUNCTION("""COMPUTED_VALUE"""),"107.94")</f>
        <v>107.94</v>
      </c>
      <c r="C88" s="30" t="str">
        <f>IFERROR(__xludf.DUMMYFUNCTION("""COMPUTED_VALUE"""),"2019 03")</f>
        <v>2019 03</v>
      </c>
      <c r="D88" s="30" t="str">
        <f>IFERROR(__xludf.DUMMYFUNCTION("""COMPUTED_VALUE"""),"26.44")</f>
        <v>26.44</v>
      </c>
      <c r="G88" s="30" t="str">
        <f>IFERROR(__xludf.DUMMYFUNCTION("""COMPUTED_VALUE"""),"2019 03")</f>
        <v>2019 03</v>
      </c>
      <c r="H88" s="30" t="str">
        <f>IFERROR(__xludf.DUMMYFUNCTION("""COMPUTED_VALUE"""),"79.05")</f>
        <v>79.05</v>
      </c>
      <c r="I88" s="30" t="str">
        <f>IFERROR(__xludf.DUMMYFUNCTION("""COMPUTED_VALUE"""),"2019 03")</f>
        <v>2019 03</v>
      </c>
      <c r="J88" s="30" t="str">
        <f>IFERROR(__xludf.DUMMYFUNCTION("""COMPUTED_VALUE"""),"202.92")</f>
        <v>202.92</v>
      </c>
      <c r="K88" s="30" t="str">
        <f>IFERROR(__xludf.DUMMYFUNCTION("""COMPUTED_VALUE"""),"2019 03")</f>
        <v>2019 03</v>
      </c>
      <c r="L88" s="30" t="str">
        <f>IFERROR(__xludf.DUMMYFUNCTION("""COMPUTED_VALUE"""),"70.47")</f>
        <v>70.47</v>
      </c>
      <c r="M88" s="30" t="str">
        <f>IFERROR(__xludf.DUMMYFUNCTION("""COMPUTED_VALUE"""),"2022 07")</f>
        <v>2022 07</v>
      </c>
      <c r="N88" s="30" t="str">
        <f>IFERROR(__xludf.DUMMYFUNCTION("""COMPUTED_VALUE"""),"25.76")</f>
        <v>25.76</v>
      </c>
    </row>
    <row r="89">
      <c r="A89" s="19" t="str">
        <f>IFERROR(__xludf.DUMMYFUNCTION("""COMPUTED_VALUE"""),"2022 02")</f>
        <v>2022 02</v>
      </c>
      <c r="B89" s="19" t="str">
        <f>IFERROR(__xludf.DUMMYFUNCTION("""COMPUTED_VALUE"""),"103.53")</f>
        <v>103.53</v>
      </c>
      <c r="C89" s="30" t="str">
        <f>IFERROR(__xludf.DUMMYFUNCTION("""COMPUTED_VALUE"""),"2019 04")</f>
        <v>2019 04</v>
      </c>
      <c r="D89" s="30" t="str">
        <f>IFERROR(__xludf.DUMMYFUNCTION("""COMPUTED_VALUE"""),"26.87")</f>
        <v>26.87</v>
      </c>
      <c r="G89" s="30" t="str">
        <f>IFERROR(__xludf.DUMMYFUNCTION("""COMPUTED_VALUE"""),"2019 04")</f>
        <v>2019 04</v>
      </c>
      <c r="H89" s="30" t="str">
        <f>IFERROR(__xludf.DUMMYFUNCTION("""COMPUTED_VALUE"""),"78.72")</f>
        <v>78.72</v>
      </c>
      <c r="I89" s="30" t="str">
        <f>IFERROR(__xludf.DUMMYFUNCTION("""COMPUTED_VALUE"""),"2019 04")</f>
        <v>2019 04</v>
      </c>
      <c r="J89" s="30" t="str">
        <f>IFERROR(__xludf.DUMMYFUNCTION("""COMPUTED_VALUE"""),"204.54")</f>
        <v>204.54</v>
      </c>
      <c r="K89" s="30" t="str">
        <f>IFERROR(__xludf.DUMMYFUNCTION("""COMPUTED_VALUE"""),"2019 04")</f>
        <v>2019 04</v>
      </c>
      <c r="L89" s="30" t="str">
        <f>IFERROR(__xludf.DUMMYFUNCTION("""COMPUTED_VALUE"""),"71.02")</f>
        <v>71.02</v>
      </c>
      <c r="M89" s="30" t="str">
        <f>IFERROR(__xludf.DUMMYFUNCTION("""COMPUTED_VALUE"""),"2022 08")</f>
        <v>2022 08</v>
      </c>
      <c r="N89" s="30" t="str">
        <f>IFERROR(__xludf.DUMMYFUNCTION("""COMPUTED_VALUE"""),"28.55")</f>
        <v>28.55</v>
      </c>
    </row>
    <row r="90">
      <c r="A90" s="19" t="str">
        <f>IFERROR(__xludf.DUMMYFUNCTION("""COMPUTED_VALUE"""),"2022 03")</f>
        <v>2022 03</v>
      </c>
      <c r="B90" s="19" t="str">
        <f>IFERROR(__xludf.DUMMYFUNCTION("""COMPUTED_VALUE"""),"98.05")</f>
        <v>98.05</v>
      </c>
      <c r="C90" s="30" t="str">
        <f>IFERROR(__xludf.DUMMYFUNCTION("""COMPUTED_VALUE"""),"2019 05")</f>
        <v>2019 05</v>
      </c>
      <c r="D90" s="30" t="str">
        <f>IFERROR(__xludf.DUMMYFUNCTION("""COMPUTED_VALUE"""),"28.09")</f>
        <v>28.09</v>
      </c>
      <c r="G90" s="30" t="str">
        <f>IFERROR(__xludf.DUMMYFUNCTION("""COMPUTED_VALUE"""),"2019 05")</f>
        <v>2019 05</v>
      </c>
      <c r="H90" s="30" t="str">
        <f>IFERROR(__xludf.DUMMYFUNCTION("""COMPUTED_VALUE"""),"80.8")</f>
        <v>80.8</v>
      </c>
      <c r="I90" s="30" t="str">
        <f>IFERROR(__xludf.DUMMYFUNCTION("""COMPUTED_VALUE"""),"2019 05")</f>
        <v>2019 05</v>
      </c>
      <c r="J90" s="30" t="str">
        <f>IFERROR(__xludf.DUMMYFUNCTION("""COMPUTED_VALUE"""),"214.26")</f>
        <v>214.26</v>
      </c>
      <c r="K90" s="30" t="str">
        <f>IFERROR(__xludf.DUMMYFUNCTION("""COMPUTED_VALUE"""),"2019 05")</f>
        <v>2019 05</v>
      </c>
      <c r="L90" s="30" t="str">
        <f>IFERROR(__xludf.DUMMYFUNCTION("""COMPUTED_VALUE"""),"73.41")</f>
        <v>73.41</v>
      </c>
      <c r="M90" s="30" t="str">
        <f>IFERROR(__xludf.DUMMYFUNCTION("""COMPUTED_VALUE"""),"2022 09")</f>
        <v>2022 09</v>
      </c>
      <c r="N90" s="30" t="str">
        <f>IFERROR(__xludf.DUMMYFUNCTION("""COMPUTED_VALUE"""),"27.47")</f>
        <v>27.47</v>
      </c>
    </row>
    <row r="91">
      <c r="A91" s="19" t="str">
        <f>IFERROR(__xludf.DUMMYFUNCTION("""COMPUTED_VALUE"""),"2022 04")</f>
        <v>2022 04</v>
      </c>
      <c r="B91" s="19" t="str">
        <f>IFERROR(__xludf.DUMMYFUNCTION("""COMPUTED_VALUE"""),"97.46")</f>
        <v>97.46</v>
      </c>
      <c r="C91" s="30" t="str">
        <f>IFERROR(__xludf.DUMMYFUNCTION("""COMPUTED_VALUE"""),"2019 06")</f>
        <v>2019 06</v>
      </c>
      <c r="D91" s="30" t="str">
        <f>IFERROR(__xludf.DUMMYFUNCTION("""COMPUTED_VALUE"""),"26.49")</f>
        <v>26.49</v>
      </c>
      <c r="G91" s="30" t="str">
        <f>IFERROR(__xludf.DUMMYFUNCTION("""COMPUTED_VALUE"""),"2019 06")</f>
        <v>2019 06</v>
      </c>
      <c r="H91" s="30" t="str">
        <f>IFERROR(__xludf.DUMMYFUNCTION("""COMPUTED_VALUE"""),"80.58")</f>
        <v>80.58</v>
      </c>
      <c r="I91" s="30" t="str">
        <f>IFERROR(__xludf.DUMMYFUNCTION("""COMPUTED_VALUE"""),"2019 06")</f>
        <v>2019 06</v>
      </c>
      <c r="J91" s="30" t="str">
        <f>IFERROR(__xludf.DUMMYFUNCTION("""COMPUTED_VALUE"""),"201.73")</f>
        <v>201.73</v>
      </c>
      <c r="K91" s="30" t="str">
        <f>IFERROR(__xludf.DUMMYFUNCTION("""COMPUTED_VALUE"""),"2019 06")</f>
        <v>2019 06</v>
      </c>
      <c r="L91" s="30" t="str">
        <f>IFERROR(__xludf.DUMMYFUNCTION("""COMPUTED_VALUE"""),"70.05")</f>
        <v>70.05</v>
      </c>
      <c r="M91" s="30" t="str">
        <f>IFERROR(__xludf.DUMMYFUNCTION("""COMPUTED_VALUE"""),"2022 10")</f>
        <v>2022 10</v>
      </c>
      <c r="N91" s="30" t="str">
        <f>IFERROR(__xludf.DUMMYFUNCTION("""COMPUTED_VALUE"""),"26.27")</f>
        <v>26.27</v>
      </c>
    </row>
    <row r="92">
      <c r="A92" s="19" t="str">
        <f>IFERROR(__xludf.DUMMYFUNCTION("""COMPUTED_VALUE"""),"2022 05")</f>
        <v>2022 05</v>
      </c>
      <c r="B92" s="19" t="str">
        <f>IFERROR(__xludf.DUMMYFUNCTION("""COMPUTED_VALUE"""),"94.49")</f>
        <v>94.49</v>
      </c>
      <c r="C92" s="30" t="str">
        <f>IFERROR(__xludf.DUMMYFUNCTION("""COMPUTED_VALUE"""),"2019 07")</f>
        <v>2019 07</v>
      </c>
      <c r="D92" s="30" t="str">
        <f>IFERROR(__xludf.DUMMYFUNCTION("""COMPUTED_VALUE"""),"28.6")</f>
        <v>28.6</v>
      </c>
      <c r="G92" s="30" t="str">
        <f>IFERROR(__xludf.DUMMYFUNCTION("""COMPUTED_VALUE"""),"2019 07")</f>
        <v>2019 07</v>
      </c>
      <c r="H92" s="30" t="str">
        <f>IFERROR(__xludf.DUMMYFUNCTION("""COMPUTED_VALUE"""),"84.14")</f>
        <v>84.14</v>
      </c>
      <c r="I92" s="30" t="str">
        <f>IFERROR(__xludf.DUMMYFUNCTION("""COMPUTED_VALUE"""),"2019 07")</f>
        <v>2019 07</v>
      </c>
      <c r="J92" s="30" t="str">
        <f>IFERROR(__xludf.DUMMYFUNCTION("""COMPUTED_VALUE"""),"216.7")</f>
        <v>216.7</v>
      </c>
      <c r="K92" s="30" t="str">
        <f>IFERROR(__xludf.DUMMYFUNCTION("""COMPUTED_VALUE"""),"2019 07")</f>
        <v>2019 07</v>
      </c>
      <c r="L92" s="30" t="str">
        <f>IFERROR(__xludf.DUMMYFUNCTION("""COMPUTED_VALUE"""),"73.55")</f>
        <v>73.55</v>
      </c>
      <c r="M92" s="30" t="str">
        <f>IFERROR(__xludf.DUMMYFUNCTION("""COMPUTED_VALUE"""),"2022 11")</f>
        <v>2022 11</v>
      </c>
      <c r="N92" s="30" t="str">
        <f>IFERROR(__xludf.DUMMYFUNCTION("""COMPUTED_VALUE"""),"27.59")</f>
        <v>27.59</v>
      </c>
    </row>
    <row r="93">
      <c r="A93" s="19" t="str">
        <f>IFERROR(__xludf.DUMMYFUNCTION("""COMPUTED_VALUE"""),"2022 06")</f>
        <v>2022 06</v>
      </c>
      <c r="B93" s="19" t="str">
        <f>IFERROR(__xludf.DUMMYFUNCTION("""COMPUTED_VALUE"""),"93.33")</f>
        <v>93.33</v>
      </c>
      <c r="C93" s="30" t="str">
        <f>IFERROR(__xludf.DUMMYFUNCTION("""COMPUTED_VALUE"""),"2019 08")</f>
        <v>2019 08</v>
      </c>
      <c r="D93" s="30" t="str">
        <f>IFERROR(__xludf.DUMMYFUNCTION("""COMPUTED_VALUE"""),"29.13")</f>
        <v>29.13</v>
      </c>
      <c r="G93" s="30" t="str">
        <f>IFERROR(__xludf.DUMMYFUNCTION("""COMPUTED_VALUE"""),"2019 08")</f>
        <v>2019 08</v>
      </c>
      <c r="H93" s="30" t="str">
        <f>IFERROR(__xludf.DUMMYFUNCTION("""COMPUTED_VALUE"""),"85.94")</f>
        <v>85.94</v>
      </c>
      <c r="I93" s="30" t="str">
        <f>IFERROR(__xludf.DUMMYFUNCTION("""COMPUTED_VALUE"""),"2019 08")</f>
        <v>2019 08</v>
      </c>
      <c r="J93" s="30" t="str">
        <f>IFERROR(__xludf.DUMMYFUNCTION("""COMPUTED_VALUE"""),"222.13")</f>
        <v>222.13</v>
      </c>
      <c r="K93" s="30" t="str">
        <f>IFERROR(__xludf.DUMMYFUNCTION("""COMPUTED_VALUE"""),"2019 08")</f>
        <v>2019 08</v>
      </c>
      <c r="L93" s="30" t="str">
        <f>IFERROR(__xludf.DUMMYFUNCTION("""COMPUTED_VALUE"""),"73.14")</f>
        <v>73.14</v>
      </c>
      <c r="M93" s="30" t="str">
        <f>IFERROR(__xludf.DUMMYFUNCTION("""COMPUTED_VALUE"""),"2022 12")</f>
        <v>2022 12</v>
      </c>
      <c r="N93" s="30" t="str">
        <f>IFERROR(__xludf.DUMMYFUNCTION("""COMPUTED_VALUE"""),"27.41")</f>
        <v>27.41</v>
      </c>
    </row>
    <row r="94">
      <c r="A94" s="19" t="str">
        <f>IFERROR(__xludf.DUMMYFUNCTION("""COMPUTED_VALUE"""),"2022 07")</f>
        <v>2022 07</v>
      </c>
      <c r="B94" s="19" t="str">
        <f>IFERROR(__xludf.DUMMYFUNCTION("""COMPUTED_VALUE"""),"88.08")</f>
        <v>88.08</v>
      </c>
      <c r="C94" s="30" t="str">
        <f>IFERROR(__xludf.DUMMYFUNCTION("""COMPUTED_VALUE"""),"2019 09")</f>
        <v>2019 09</v>
      </c>
      <c r="D94" s="30" t="str">
        <f>IFERROR(__xludf.DUMMYFUNCTION("""COMPUTED_VALUE"""),"29.05")</f>
        <v>29.05</v>
      </c>
      <c r="G94" s="30" t="str">
        <f>IFERROR(__xludf.DUMMYFUNCTION("""COMPUTED_VALUE"""),"2019 09")</f>
        <v>2019 09</v>
      </c>
      <c r="H94" s="30" t="str">
        <f>IFERROR(__xludf.DUMMYFUNCTION("""COMPUTED_VALUE"""),"84.12")</f>
        <v>84.12</v>
      </c>
      <c r="I94" s="30" t="str">
        <f>IFERROR(__xludf.DUMMYFUNCTION("""COMPUTED_VALUE"""),"2019 09")</f>
        <v>2019 09</v>
      </c>
      <c r="J94" s="30" t="str">
        <f>IFERROR(__xludf.DUMMYFUNCTION("""COMPUTED_VALUE"""),"220.69")</f>
        <v>220.69</v>
      </c>
      <c r="K94" s="30" t="str">
        <f>IFERROR(__xludf.DUMMYFUNCTION("""COMPUTED_VALUE"""),"2019 09")</f>
        <v>2019 09</v>
      </c>
      <c r="L94" s="30" t="str">
        <f>IFERROR(__xludf.DUMMYFUNCTION("""COMPUTED_VALUE"""),"72.38")</f>
        <v>72.38</v>
      </c>
      <c r="M94" s="30" t="str">
        <f>IFERROR(__xludf.DUMMYFUNCTION("""COMPUTED_VALUE"""),"2023 01")</f>
        <v>2023 01</v>
      </c>
      <c r="N94" s="30" t="str">
        <f>IFERROR(__xludf.DUMMYFUNCTION("""COMPUTED_VALUE"""),"24.82")</f>
        <v>24.82</v>
      </c>
    </row>
    <row r="95">
      <c r="A95" s="19" t="str">
        <f>IFERROR(__xludf.DUMMYFUNCTION("""COMPUTED_VALUE"""),"2022 08")</f>
        <v>2022 08</v>
      </c>
      <c r="B95" s="19" t="str">
        <f>IFERROR(__xludf.DUMMYFUNCTION("""COMPUTED_VALUE"""),"93.57")</f>
        <v>93.57</v>
      </c>
      <c r="C95" s="30" t="str">
        <f>IFERROR(__xludf.DUMMYFUNCTION("""COMPUTED_VALUE"""),"2019 10")</f>
        <v>2019 10</v>
      </c>
      <c r="D95" s="30" t="str">
        <f>IFERROR(__xludf.DUMMYFUNCTION("""COMPUTED_VALUE"""),"29.93")</f>
        <v>29.93</v>
      </c>
      <c r="G95" s="30" t="str">
        <f>IFERROR(__xludf.DUMMYFUNCTION("""COMPUTED_VALUE"""),"2019 10")</f>
        <v>2019 10</v>
      </c>
      <c r="H95" s="30" t="str">
        <f>IFERROR(__xludf.DUMMYFUNCTION("""COMPUTED_VALUE"""),"85.5")</f>
        <v>85.5</v>
      </c>
      <c r="I95" s="30" t="str">
        <f>IFERROR(__xludf.DUMMYFUNCTION("""COMPUTED_VALUE"""),"2019 10")</f>
        <v>2019 10</v>
      </c>
      <c r="J95" s="30" t="str">
        <f>IFERROR(__xludf.DUMMYFUNCTION("""COMPUTED_VALUE"""),"226.02")</f>
        <v>226.02</v>
      </c>
      <c r="K95" s="30" t="str">
        <f>IFERROR(__xludf.DUMMYFUNCTION("""COMPUTED_VALUE"""),"2019 10")</f>
        <v>2019 10</v>
      </c>
      <c r="L95" s="30" t="str">
        <f>IFERROR(__xludf.DUMMYFUNCTION("""COMPUTED_VALUE"""),"74.49")</f>
        <v>74.49</v>
      </c>
      <c r="M95" s="30" t="str">
        <f>IFERROR(__xludf.DUMMYFUNCTION("""COMPUTED_VALUE"""),"2023 02")</f>
        <v>2023 02</v>
      </c>
      <c r="N95" s="30" t="str">
        <f>IFERROR(__xludf.DUMMYFUNCTION("""COMPUTED_VALUE"""),"26.4")</f>
        <v>26.4</v>
      </c>
    </row>
    <row r="96">
      <c r="A96" s="19" t="str">
        <f>IFERROR(__xludf.DUMMYFUNCTION("""COMPUTED_VALUE"""),"2022 09")</f>
        <v>2022 09</v>
      </c>
      <c r="B96" s="19" t="str">
        <f>IFERROR(__xludf.DUMMYFUNCTION("""COMPUTED_VALUE"""),"91")</f>
        <v>91</v>
      </c>
      <c r="C96" s="30" t="str">
        <f>IFERROR(__xludf.DUMMYFUNCTION("""COMPUTED_VALUE"""),"2019 11")</f>
        <v>2019 11</v>
      </c>
      <c r="D96" s="30" t="str">
        <f>IFERROR(__xludf.DUMMYFUNCTION("""COMPUTED_VALUE"""),"29.53")</f>
        <v>29.53</v>
      </c>
      <c r="G96" s="30" t="str">
        <f>IFERROR(__xludf.DUMMYFUNCTION("""COMPUTED_VALUE"""),"2019 11")</f>
        <v>2019 11</v>
      </c>
      <c r="H96" s="30" t="str">
        <f>IFERROR(__xludf.DUMMYFUNCTION("""COMPUTED_VALUE"""),"84.56")</f>
        <v>84.56</v>
      </c>
      <c r="I96" s="30" t="str">
        <f>IFERROR(__xludf.DUMMYFUNCTION("""COMPUTED_VALUE"""),"2019 11")</f>
        <v>2019 11</v>
      </c>
      <c r="J96" s="30" t="str">
        <f>IFERROR(__xludf.DUMMYFUNCTION("""COMPUTED_VALUE"""),"224")</f>
        <v>224</v>
      </c>
      <c r="K96" s="30" t="str">
        <f>IFERROR(__xludf.DUMMYFUNCTION("""COMPUTED_VALUE"""),"2019 11")</f>
        <v>2019 11</v>
      </c>
      <c r="L96" s="30" t="str">
        <f>IFERROR(__xludf.DUMMYFUNCTION("""COMPUTED_VALUE"""),"75.02")</f>
        <v>75.02</v>
      </c>
      <c r="M96" s="30" t="str">
        <f>IFERROR(__xludf.DUMMYFUNCTION("""COMPUTED_VALUE"""),"2023 03")</f>
        <v>2023 03</v>
      </c>
      <c r="N96" s="30" t="str">
        <f>IFERROR(__xludf.DUMMYFUNCTION("""COMPUTED_VALUE"""),"27.62")</f>
        <v>27.62</v>
      </c>
    </row>
    <row r="97">
      <c r="A97" s="19" t="str">
        <f>IFERROR(__xludf.DUMMYFUNCTION("""COMPUTED_VALUE"""),"2022 10")</f>
        <v>2022 10</v>
      </c>
      <c r="B97" s="19" t="str">
        <f>IFERROR(__xludf.DUMMYFUNCTION("""COMPUTED_VALUE"""),"87.88")</f>
        <v>87.88</v>
      </c>
      <c r="C97" s="30" t="str">
        <f>IFERROR(__xludf.DUMMYFUNCTION("""COMPUTED_VALUE"""),"2019 12")</f>
        <v>2019 12</v>
      </c>
      <c r="D97" s="30" t="str">
        <f>IFERROR(__xludf.DUMMYFUNCTION("""COMPUTED_VALUE"""),"31.23")</f>
        <v>31.23</v>
      </c>
      <c r="G97" s="30" t="str">
        <f>IFERROR(__xludf.DUMMYFUNCTION("""COMPUTED_VALUE"""),"2019 12")</f>
        <v>2019 12</v>
      </c>
      <c r="H97" s="30" t="str">
        <f>IFERROR(__xludf.DUMMYFUNCTION("""COMPUTED_VALUE"""),"87.5")</f>
        <v>87.5</v>
      </c>
      <c r="I97" s="30" t="str">
        <f>IFERROR(__xludf.DUMMYFUNCTION("""COMPUTED_VALUE"""),"2019 12")</f>
        <v>2019 12</v>
      </c>
      <c r="J97" s="30" t="str">
        <f>IFERROR(__xludf.DUMMYFUNCTION("""COMPUTED_VALUE"""),"237.18")</f>
        <v>237.18</v>
      </c>
      <c r="K97" s="30" t="str">
        <f>IFERROR(__xludf.DUMMYFUNCTION("""COMPUTED_VALUE"""),"2019 12")</f>
        <v>2019 12</v>
      </c>
      <c r="L97" s="30" t="str">
        <f>IFERROR(__xludf.DUMMYFUNCTION("""COMPUTED_VALUE"""),"77.37")</f>
        <v>77.37</v>
      </c>
      <c r="M97" s="30" t="str">
        <f>IFERROR(__xludf.DUMMYFUNCTION("""COMPUTED_VALUE"""),"2023 04")</f>
        <v>2023 04</v>
      </c>
      <c r="N97" s="30" t="str">
        <f>IFERROR(__xludf.DUMMYFUNCTION("""COMPUTED_VALUE"""),"30.43")</f>
        <v>30.43</v>
      </c>
    </row>
    <row r="98">
      <c r="A98" s="19" t="str">
        <f>IFERROR(__xludf.DUMMYFUNCTION("""COMPUTED_VALUE"""),"2022 11")</f>
        <v>2022 11</v>
      </c>
      <c r="B98" s="19" t="str">
        <f>IFERROR(__xludf.DUMMYFUNCTION("""COMPUTED_VALUE"""),"95")</f>
        <v>95</v>
      </c>
      <c r="C98" s="30" t="str">
        <f>IFERROR(__xludf.DUMMYFUNCTION("""COMPUTED_VALUE"""),"2020 01")</f>
        <v>2020 01</v>
      </c>
      <c r="D98" s="30" t="str">
        <f>IFERROR(__xludf.DUMMYFUNCTION("""COMPUTED_VALUE"""),"30.86")</f>
        <v>30.86</v>
      </c>
      <c r="G98" s="30" t="str">
        <f>IFERROR(__xludf.DUMMYFUNCTION("""COMPUTED_VALUE"""),"2020 01")</f>
        <v>2020 01</v>
      </c>
      <c r="H98" s="30" t="str">
        <f>IFERROR(__xludf.DUMMYFUNCTION("""COMPUTED_VALUE"""),"84.69")</f>
        <v>84.69</v>
      </c>
      <c r="I98" s="30" t="str">
        <f>IFERROR(__xludf.DUMMYFUNCTION("""COMPUTED_VALUE"""),"2020 01")</f>
        <v>2020 01</v>
      </c>
      <c r="J98" s="30" t="str">
        <f>IFERROR(__xludf.DUMMYFUNCTION("""COMPUTED_VALUE"""),"235.34")</f>
        <v>235.34</v>
      </c>
      <c r="K98" s="30" t="str">
        <f>IFERROR(__xludf.DUMMYFUNCTION("""COMPUTED_VALUE"""),"2020 01")</f>
        <v>2020 01</v>
      </c>
      <c r="L98" s="30" t="str">
        <f>IFERROR(__xludf.DUMMYFUNCTION("""COMPUTED_VALUE"""),"77.3")</f>
        <v>77.3</v>
      </c>
      <c r="M98" s="30" t="str">
        <f>IFERROR(__xludf.DUMMYFUNCTION("""COMPUTED_VALUE"""),"2023 05")</f>
        <v>2023 05</v>
      </c>
      <c r="N98" s="30" t="str">
        <f>IFERROR(__xludf.DUMMYFUNCTION("""COMPUTED_VALUE"""),"30.93")</f>
        <v>30.93</v>
      </c>
    </row>
    <row r="99">
      <c r="A99" s="19" t="str">
        <f>IFERROR(__xludf.DUMMYFUNCTION("""COMPUTED_VALUE"""),"2022 12")</f>
        <v>2022 12</v>
      </c>
      <c r="B99" s="19" t="str">
        <f>IFERROR(__xludf.DUMMYFUNCTION("""COMPUTED_VALUE"""),"96.06")</f>
        <v>96.06</v>
      </c>
      <c r="C99" s="30" t="str">
        <f>IFERROR(__xludf.DUMMYFUNCTION("""COMPUTED_VALUE"""),"2020 02")</f>
        <v>2020 02</v>
      </c>
      <c r="D99" s="30" t="str">
        <f>IFERROR(__xludf.DUMMYFUNCTION("""COMPUTED_VALUE"""),"32.42")</f>
        <v>32.42</v>
      </c>
      <c r="G99" s="30" t="str">
        <f>IFERROR(__xludf.DUMMYFUNCTION("""COMPUTED_VALUE"""),"2020 02")</f>
        <v>2020 02</v>
      </c>
      <c r="H99" s="30" t="str">
        <f>IFERROR(__xludf.DUMMYFUNCTION("""COMPUTED_VALUE"""),"87.61")</f>
        <v>87.61</v>
      </c>
      <c r="I99" s="30" t="str">
        <f>IFERROR(__xludf.DUMMYFUNCTION("""COMPUTED_VALUE"""),"2020 02")</f>
        <v>2020 02</v>
      </c>
      <c r="J99" s="30" t="str">
        <f>IFERROR(__xludf.DUMMYFUNCTION("""COMPUTED_VALUE"""),"246.01")</f>
        <v>246.01</v>
      </c>
      <c r="K99" s="30" t="str">
        <f>IFERROR(__xludf.DUMMYFUNCTION("""COMPUTED_VALUE"""),"2020 02")</f>
        <v>2020 02</v>
      </c>
      <c r="L99" s="30" t="str">
        <f>IFERROR(__xludf.DUMMYFUNCTION("""COMPUTED_VALUE"""),"78.12")</f>
        <v>78.12</v>
      </c>
      <c r="M99" s="30" t="str">
        <f>IFERROR(__xludf.DUMMYFUNCTION("""COMPUTED_VALUE"""),"2023 06")</f>
        <v>2023 06</v>
      </c>
      <c r="N99" s="30" t="str">
        <f>IFERROR(__xludf.DUMMYFUNCTION("""COMPUTED_VALUE"""),"33.94")</f>
        <v>33.94</v>
      </c>
    </row>
    <row r="100">
      <c r="A100" s="19" t="str">
        <f>IFERROR(__xludf.DUMMYFUNCTION("""COMPUTED_VALUE"""),"2023 01")</f>
        <v>2023 01</v>
      </c>
      <c r="B100" s="19" t="str">
        <f>IFERROR(__xludf.DUMMYFUNCTION("""COMPUTED_VALUE"""),"91.06")</f>
        <v>91.06</v>
      </c>
      <c r="C100" s="30" t="str">
        <f>IFERROR(__xludf.DUMMYFUNCTION("""COMPUTED_VALUE"""),"2020 03")</f>
        <v>2020 03</v>
      </c>
      <c r="D100" s="30" t="str">
        <f>IFERROR(__xludf.DUMMYFUNCTION("""COMPUTED_VALUE"""),"30.44")</f>
        <v>30.44</v>
      </c>
      <c r="G100" s="30" t="str">
        <f>IFERROR(__xludf.DUMMYFUNCTION("""COMPUTED_VALUE"""),"2020 03")</f>
        <v>2020 03</v>
      </c>
      <c r="H100" s="30" t="str">
        <f>IFERROR(__xludf.DUMMYFUNCTION("""COMPUTED_VALUE"""),"81.39")</f>
        <v>81.39</v>
      </c>
      <c r="I100" s="30" t="str">
        <f>IFERROR(__xludf.DUMMYFUNCTION("""COMPUTED_VALUE"""),"2020 03")</f>
        <v>2020 03</v>
      </c>
      <c r="J100" s="30" t="str">
        <f>IFERROR(__xludf.DUMMYFUNCTION("""COMPUTED_VALUE"""),"231.49")</f>
        <v>231.49</v>
      </c>
      <c r="K100" s="30" t="str">
        <f>IFERROR(__xludf.DUMMYFUNCTION("""COMPUTED_VALUE"""),"2020 03")</f>
        <v>2020 03</v>
      </c>
      <c r="L100" s="30" t="str">
        <f>IFERROR(__xludf.DUMMYFUNCTION("""COMPUTED_VALUE"""),"74.83")</f>
        <v>74.83</v>
      </c>
      <c r="M100" s="30" t="str">
        <f>IFERROR(__xludf.DUMMYFUNCTION("""COMPUTED_VALUE"""),"2023 07")</f>
        <v>2023 07</v>
      </c>
      <c r="N100" s="30" t="str">
        <f>IFERROR(__xludf.DUMMYFUNCTION("""COMPUTED_VALUE"""),"34.55")</f>
        <v>34.55</v>
      </c>
    </row>
    <row r="101">
      <c r="A101" s="19" t="str">
        <f>IFERROR(__xludf.DUMMYFUNCTION("""COMPUTED_VALUE"""),"2023 02")</f>
        <v>2023 02</v>
      </c>
      <c r="B101" s="19" t="str">
        <f>IFERROR(__xludf.DUMMYFUNCTION("""COMPUTED_VALUE"""),"93.67")</f>
        <v>93.67</v>
      </c>
      <c r="C101" s="30" t="str">
        <f>IFERROR(__xludf.DUMMYFUNCTION("""COMPUTED_VALUE"""),"2020 04")</f>
        <v>2020 04</v>
      </c>
      <c r="D101" s="30" t="str">
        <f>IFERROR(__xludf.DUMMYFUNCTION("""COMPUTED_VALUE"""),"27.62")</f>
        <v>27.62</v>
      </c>
      <c r="G101" s="30" t="str">
        <f>IFERROR(__xludf.DUMMYFUNCTION("""COMPUTED_VALUE"""),"2020 04")</f>
        <v>2020 04</v>
      </c>
      <c r="H101" s="30" t="str">
        <f>IFERROR(__xludf.DUMMYFUNCTION("""COMPUTED_VALUE"""),"66.14")</f>
        <v>66.14</v>
      </c>
      <c r="I101" s="30" t="str">
        <f>IFERROR(__xludf.DUMMYFUNCTION("""COMPUTED_VALUE"""),"2020 04")</f>
        <v>2020 04</v>
      </c>
      <c r="J101" s="30" t="str">
        <f>IFERROR(__xludf.DUMMYFUNCTION("""COMPUTED_VALUE"""),"206.22")</f>
        <v>206.22</v>
      </c>
      <c r="K101" s="30" t="str">
        <f>IFERROR(__xludf.DUMMYFUNCTION("""COMPUTED_VALUE"""),"2020 04")</f>
        <v>2020 04</v>
      </c>
      <c r="L101" s="30" t="str">
        <f>IFERROR(__xludf.DUMMYFUNCTION("""COMPUTED_VALUE"""),"66.32")</f>
        <v>66.32</v>
      </c>
      <c r="M101" s="30" t="str">
        <f>IFERROR(__xludf.DUMMYFUNCTION("""COMPUTED_VALUE"""),"2023 08")</f>
        <v>2023 08</v>
      </c>
      <c r="N101" s="30" t="str">
        <f>IFERROR(__xludf.DUMMYFUNCTION("""COMPUTED_VALUE"""),"35.81")</f>
        <v>35.81</v>
      </c>
    </row>
    <row r="102">
      <c r="A102" s="19" t="str">
        <f>IFERROR(__xludf.DUMMYFUNCTION("""COMPUTED_VALUE"""),"2023 03")</f>
        <v>2023 03</v>
      </c>
      <c r="B102" s="19" t="str">
        <f>IFERROR(__xludf.DUMMYFUNCTION("""COMPUTED_VALUE"""),"95.9")</f>
        <v>95.9</v>
      </c>
      <c r="C102" s="30" t="str">
        <f>IFERROR(__xludf.DUMMYFUNCTION("""COMPUTED_VALUE"""),"2020 05")</f>
        <v>2020 05</v>
      </c>
      <c r="D102" s="30" t="str">
        <f>IFERROR(__xludf.DUMMYFUNCTION("""COMPUTED_VALUE"""),"29.59")</f>
        <v>29.59</v>
      </c>
      <c r="G102" s="30" t="str">
        <f>IFERROR(__xludf.DUMMYFUNCTION("""COMPUTED_VALUE"""),"2020 05")</f>
        <v>2020 05</v>
      </c>
      <c r="H102" s="30" t="str">
        <f>IFERROR(__xludf.DUMMYFUNCTION("""COMPUTED_VALUE"""),"67")</f>
        <v>67</v>
      </c>
      <c r="I102" s="30" t="str">
        <f>IFERROR(__xludf.DUMMYFUNCTION("""COMPUTED_VALUE"""),"2020 05")</f>
        <v>2020 05</v>
      </c>
      <c r="J102" s="30" t="str">
        <f>IFERROR(__xludf.DUMMYFUNCTION("""COMPUTED_VALUE"""),"222.58")</f>
        <v>222.58</v>
      </c>
      <c r="K102" s="30" t="str">
        <f>IFERROR(__xludf.DUMMYFUNCTION("""COMPUTED_VALUE"""),"2020 05")</f>
        <v>2020 05</v>
      </c>
      <c r="L102" s="30" t="str">
        <f>IFERROR(__xludf.DUMMYFUNCTION("""COMPUTED_VALUE"""),"66.84")</f>
        <v>66.84</v>
      </c>
      <c r="M102" s="30" t="str">
        <f>IFERROR(__xludf.DUMMYFUNCTION("""COMPUTED_VALUE"""),"2023 09")</f>
        <v>2023 09</v>
      </c>
      <c r="N102" s="30" t="str">
        <f>IFERROR(__xludf.DUMMYFUNCTION("""COMPUTED_VALUE"""),"36.34")</f>
        <v>36.34</v>
      </c>
    </row>
    <row r="103">
      <c r="A103" s="19" t="str">
        <f>IFERROR(__xludf.DUMMYFUNCTION("""COMPUTED_VALUE"""),"2023 04")</f>
        <v>2023 04</v>
      </c>
      <c r="B103" s="19" t="str">
        <f>IFERROR(__xludf.DUMMYFUNCTION("""COMPUTED_VALUE"""),"99.7")</f>
        <v>99.7</v>
      </c>
      <c r="C103" s="30" t="str">
        <f>IFERROR(__xludf.DUMMYFUNCTION("""COMPUTED_VALUE"""),"2020 06")</f>
        <v>2020 06</v>
      </c>
      <c r="D103" s="30" t="str">
        <f>IFERROR(__xludf.DUMMYFUNCTION("""COMPUTED_VALUE"""),"30.2")</f>
        <v>30.2</v>
      </c>
      <c r="G103" s="30" t="str">
        <f>IFERROR(__xludf.DUMMYFUNCTION("""COMPUTED_VALUE"""),"2020 06")</f>
        <v>2020 06</v>
      </c>
      <c r="H103" s="30" t="str">
        <f>IFERROR(__xludf.DUMMYFUNCTION("""COMPUTED_VALUE"""),"74.01")</f>
        <v>74.01</v>
      </c>
      <c r="I103" s="30" t="str">
        <f>IFERROR(__xludf.DUMMYFUNCTION("""COMPUTED_VALUE"""),"2020 06")</f>
        <v>2020 06</v>
      </c>
      <c r="J103" s="30" t="str">
        <f>IFERROR(__xludf.DUMMYFUNCTION("""COMPUTED_VALUE"""),"228.24")</f>
        <v>228.24</v>
      </c>
      <c r="K103" s="30" t="str">
        <f>IFERROR(__xludf.DUMMYFUNCTION("""COMPUTED_VALUE"""),"2020 06")</f>
        <v>2020 06</v>
      </c>
      <c r="L103" s="30" t="str">
        <f>IFERROR(__xludf.DUMMYFUNCTION("""COMPUTED_VALUE"""),"69")</f>
        <v>69</v>
      </c>
      <c r="M103" s="30" t="str">
        <f>IFERROR(__xludf.DUMMYFUNCTION("""COMPUTED_VALUE"""),"2023 10")</f>
        <v>2023 10</v>
      </c>
      <c r="N103" s="30" t="str">
        <f>IFERROR(__xludf.DUMMYFUNCTION("""COMPUTED_VALUE"""),"35.08")</f>
        <v>35.08</v>
      </c>
    </row>
    <row r="104">
      <c r="A104" s="19" t="str">
        <f>IFERROR(__xludf.DUMMYFUNCTION("""COMPUTED_VALUE"""),"2023 05")</f>
        <v>2023 05</v>
      </c>
      <c r="B104" s="19" t="str">
        <f>IFERROR(__xludf.DUMMYFUNCTION("""COMPUTED_VALUE"""),"102.23")</f>
        <v>102.23</v>
      </c>
      <c r="C104" s="30" t="str">
        <f>IFERROR(__xludf.DUMMYFUNCTION("""COMPUTED_VALUE"""),"2020 07")</f>
        <v>2020 07</v>
      </c>
      <c r="D104" s="30" t="str">
        <f>IFERROR(__xludf.DUMMYFUNCTION("""COMPUTED_VALUE"""),"29.85")</f>
        <v>29.85</v>
      </c>
      <c r="G104" s="30" t="str">
        <f>IFERROR(__xludf.DUMMYFUNCTION("""COMPUTED_VALUE"""),"2020 07")</f>
        <v>2020 07</v>
      </c>
      <c r="H104" s="30" t="str">
        <f>IFERROR(__xludf.DUMMYFUNCTION("""COMPUTED_VALUE"""),"75.24")</f>
        <v>75.24</v>
      </c>
      <c r="I104" s="30" t="str">
        <f>IFERROR(__xludf.DUMMYFUNCTION("""COMPUTED_VALUE"""),"2020 07")</f>
        <v>2020 07</v>
      </c>
      <c r="J104" s="30" t="str">
        <f>IFERROR(__xludf.DUMMYFUNCTION("""COMPUTED_VALUE"""),"226.05")</f>
        <v>226.05</v>
      </c>
      <c r="K104" s="30" t="str">
        <f>IFERROR(__xludf.DUMMYFUNCTION("""COMPUTED_VALUE"""),"2020 07")</f>
        <v>2020 07</v>
      </c>
      <c r="L104" s="30" t="str">
        <f>IFERROR(__xludf.DUMMYFUNCTION("""COMPUTED_VALUE"""),"68.96")</f>
        <v>68.96</v>
      </c>
      <c r="M104" s="30" t="str">
        <f>IFERROR(__xludf.DUMMYFUNCTION("""COMPUTED_VALUE"""),"Date")</f>
        <v>Date</v>
      </c>
      <c r="N104" s="30" t="str">
        <f>IFERROR(__xludf.DUMMYFUNCTION("""COMPUTED_VALUE"""),"Close")</f>
        <v>Close</v>
      </c>
    </row>
    <row r="105">
      <c r="A105" s="19" t="str">
        <f>IFERROR(__xludf.DUMMYFUNCTION("""COMPUTED_VALUE"""),"2023 06")</f>
        <v>2023 06</v>
      </c>
      <c r="B105" s="19" t="str">
        <f>IFERROR(__xludf.DUMMYFUNCTION("""COMPUTED_VALUE"""),"103.65")</f>
        <v>103.65</v>
      </c>
      <c r="C105" s="30" t="str">
        <f>IFERROR(__xludf.DUMMYFUNCTION("""COMPUTED_VALUE"""),"2020 08")</f>
        <v>2020 08</v>
      </c>
      <c r="D105" s="30" t="str">
        <f>IFERROR(__xludf.DUMMYFUNCTION("""COMPUTED_VALUE"""),"30.57")</f>
        <v>30.57</v>
      </c>
      <c r="G105" s="30" t="str">
        <f>IFERROR(__xludf.DUMMYFUNCTION("""COMPUTED_VALUE"""),"2020 08")</f>
        <v>2020 08</v>
      </c>
      <c r="H105" s="30" t="str">
        <f>IFERROR(__xludf.DUMMYFUNCTION("""COMPUTED_VALUE"""),"75.27")</f>
        <v>75.27</v>
      </c>
      <c r="I105" s="30" t="str">
        <f>IFERROR(__xludf.DUMMYFUNCTION("""COMPUTED_VALUE"""),"2020 08")</f>
        <v>2020 08</v>
      </c>
      <c r="J105" s="30" t="str">
        <f>IFERROR(__xludf.DUMMYFUNCTION("""COMPUTED_VALUE"""),"231.64")</f>
        <v>231.64</v>
      </c>
      <c r="K105" s="30" t="str">
        <f>IFERROR(__xludf.DUMMYFUNCTION("""COMPUTED_VALUE"""),"2020 08")</f>
        <v>2020 08</v>
      </c>
      <c r="L105" s="30" t="str">
        <f>IFERROR(__xludf.DUMMYFUNCTION("""COMPUTED_VALUE"""),"69.62")</f>
        <v>69.62</v>
      </c>
    </row>
    <row r="106">
      <c r="A106" s="19" t="str">
        <f>IFERROR(__xludf.DUMMYFUNCTION("""COMPUTED_VALUE"""),"2023 07")</f>
        <v>2023 07</v>
      </c>
      <c r="B106" s="19" t="str">
        <f>IFERROR(__xludf.DUMMYFUNCTION("""COMPUTED_VALUE"""),"106.09")</f>
        <v>106.09</v>
      </c>
      <c r="C106" s="30" t="str">
        <f>IFERROR(__xludf.DUMMYFUNCTION("""COMPUTED_VALUE"""),"2020 09")</f>
        <v>2020 09</v>
      </c>
      <c r="D106" s="30" t="str">
        <f>IFERROR(__xludf.DUMMYFUNCTION("""COMPUTED_VALUE"""),"31.67")</f>
        <v>31.67</v>
      </c>
      <c r="G106" s="30" t="str">
        <f>IFERROR(__xludf.DUMMYFUNCTION("""COMPUTED_VALUE"""),"2020 09")</f>
        <v>2020 09</v>
      </c>
      <c r="H106" s="30" t="str">
        <f>IFERROR(__xludf.DUMMYFUNCTION("""COMPUTED_VALUE"""),"76.27")</f>
        <v>76.27</v>
      </c>
      <c r="I106" s="30" t="str">
        <f>IFERROR(__xludf.DUMMYFUNCTION("""COMPUTED_VALUE"""),"2020 09")</f>
        <v>2020 09</v>
      </c>
      <c r="J106" s="30" t="str">
        <f>IFERROR(__xludf.DUMMYFUNCTION("""COMPUTED_VALUE"""),"240.01")</f>
        <v>240.01</v>
      </c>
      <c r="K106" s="30" t="str">
        <f>IFERROR(__xludf.DUMMYFUNCTION("""COMPUTED_VALUE"""),"2020 09")</f>
        <v>2020 09</v>
      </c>
      <c r="L106" s="30" t="str">
        <f>IFERROR(__xludf.DUMMYFUNCTION("""COMPUTED_VALUE"""),"70.55")</f>
        <v>70.55</v>
      </c>
    </row>
    <row r="107">
      <c r="A107" s="19" t="str">
        <f>IFERROR(__xludf.DUMMYFUNCTION("""COMPUTED_VALUE"""),"2023 08")</f>
        <v>2023 08</v>
      </c>
      <c r="B107" s="19" t="str">
        <f>IFERROR(__xludf.DUMMYFUNCTION("""COMPUTED_VALUE"""),"109.38")</f>
        <v>109.38</v>
      </c>
      <c r="C107" s="30" t="str">
        <f>IFERROR(__xludf.DUMMYFUNCTION("""COMPUTED_VALUE"""),"2020 10")</f>
        <v>2020 10</v>
      </c>
      <c r="D107" s="30" t="str">
        <f>IFERROR(__xludf.DUMMYFUNCTION("""COMPUTED_VALUE"""),"31.37")</f>
        <v>31.37</v>
      </c>
      <c r="G107" s="30" t="str">
        <f>IFERROR(__xludf.DUMMYFUNCTION("""COMPUTED_VALUE"""),"2020 10")</f>
        <v>2020 10</v>
      </c>
      <c r="H107" s="30" t="str">
        <f>IFERROR(__xludf.DUMMYFUNCTION("""COMPUTED_VALUE"""),"75.1")</f>
        <v>75.1</v>
      </c>
      <c r="I107" s="30" t="str">
        <f>IFERROR(__xludf.DUMMYFUNCTION("""COMPUTED_VALUE"""),"2020 10")</f>
        <v>2020 10</v>
      </c>
      <c r="J107" s="30" t="str">
        <f>IFERROR(__xludf.DUMMYFUNCTION("""COMPUTED_VALUE"""),"238.48")</f>
        <v>238.48</v>
      </c>
      <c r="K107" s="30" t="str">
        <f>IFERROR(__xludf.DUMMYFUNCTION("""COMPUTED_VALUE"""),"2020 10")</f>
        <v>2020 10</v>
      </c>
      <c r="L107" s="30" t="str">
        <f>IFERROR(__xludf.DUMMYFUNCTION("""COMPUTED_VALUE"""),"70.9")</f>
        <v>70.9</v>
      </c>
    </row>
    <row r="108">
      <c r="A108" s="19" t="str">
        <f>IFERROR(__xludf.DUMMYFUNCTION("""COMPUTED_VALUE"""),"2023 09")</f>
        <v>2023 09</v>
      </c>
      <c r="B108" s="19" t="str">
        <f>IFERROR(__xludf.DUMMYFUNCTION("""COMPUTED_VALUE"""),"110.35")</f>
        <v>110.35</v>
      </c>
      <c r="C108" s="30" t="str">
        <f>IFERROR(__xludf.DUMMYFUNCTION("""COMPUTED_VALUE"""),"2020 11")</f>
        <v>2020 11</v>
      </c>
      <c r="D108" s="30" t="str">
        <f>IFERROR(__xludf.DUMMYFUNCTION("""COMPUTED_VALUE"""),"31.25")</f>
        <v>31.25</v>
      </c>
      <c r="G108" s="30" t="str">
        <f>IFERROR(__xludf.DUMMYFUNCTION("""COMPUTED_VALUE"""),"2020 11")</f>
        <v>2020 11</v>
      </c>
      <c r="H108" s="30" t="str">
        <f>IFERROR(__xludf.DUMMYFUNCTION("""COMPUTED_VALUE"""),"75.95")</f>
        <v>75.95</v>
      </c>
      <c r="I108" s="30" t="str">
        <f>IFERROR(__xludf.DUMMYFUNCTION("""COMPUTED_VALUE"""),"2020 11")</f>
        <v>2020 11</v>
      </c>
      <c r="J108" s="30" t="str">
        <f>IFERROR(__xludf.DUMMYFUNCTION("""COMPUTED_VALUE"""),"238.61")</f>
        <v>238.61</v>
      </c>
      <c r="K108" s="30" t="str">
        <f>IFERROR(__xludf.DUMMYFUNCTION("""COMPUTED_VALUE"""),"2020 11")</f>
        <v>2020 11</v>
      </c>
      <c r="L108" s="30" t="str">
        <f>IFERROR(__xludf.DUMMYFUNCTION("""COMPUTED_VALUE"""),"70.51")</f>
        <v>70.51</v>
      </c>
    </row>
    <row r="109">
      <c r="A109" s="19" t="str">
        <f>IFERROR(__xludf.DUMMYFUNCTION("""COMPUTED_VALUE"""),"2023 10")</f>
        <v>2023 10</v>
      </c>
      <c r="B109" s="19" t="str">
        <f>IFERROR(__xludf.DUMMYFUNCTION("""COMPUTED_VALUE"""),"106.15")</f>
        <v>106.15</v>
      </c>
      <c r="C109" s="30" t="str">
        <f>IFERROR(__xludf.DUMMYFUNCTION("""COMPUTED_VALUE"""),"2020 12")</f>
        <v>2020 12</v>
      </c>
      <c r="D109" s="30" t="str">
        <f>IFERROR(__xludf.DUMMYFUNCTION("""COMPUTED_VALUE"""),"33.16")</f>
        <v>33.16</v>
      </c>
      <c r="G109" s="30" t="str">
        <f>IFERROR(__xludf.DUMMYFUNCTION("""COMPUTED_VALUE"""),"2020 12")</f>
        <v>2020 12</v>
      </c>
      <c r="H109" s="30" t="str">
        <f>IFERROR(__xludf.DUMMYFUNCTION("""COMPUTED_VALUE"""),"84.3")</f>
        <v>84.3</v>
      </c>
      <c r="I109" s="30" t="str">
        <f>IFERROR(__xludf.DUMMYFUNCTION("""COMPUTED_VALUE"""),"2020 12")</f>
        <v>2020 12</v>
      </c>
      <c r="J109" s="30" t="str">
        <f>IFERROR(__xludf.DUMMYFUNCTION("""COMPUTED_VALUE"""),"256.31")</f>
        <v>256.31</v>
      </c>
      <c r="K109" s="30" t="str">
        <f>IFERROR(__xludf.DUMMYFUNCTION("""COMPUTED_VALUE"""),"2020 12")</f>
        <v>2020 12</v>
      </c>
      <c r="L109" s="30" t="str">
        <f>IFERROR(__xludf.DUMMYFUNCTION("""COMPUTED_VALUE"""),"76.6")</f>
        <v>76.6</v>
      </c>
    </row>
    <row r="110">
      <c r="A110" s="19" t="str">
        <f>IFERROR(__xludf.DUMMYFUNCTION("""COMPUTED_VALUE"""),"Date")</f>
        <v>Date</v>
      </c>
      <c r="B110" s="19" t="str">
        <f>IFERROR(__xludf.DUMMYFUNCTION("""COMPUTED_VALUE"""),"Close")</f>
        <v>Close</v>
      </c>
      <c r="C110" s="30" t="str">
        <f>IFERROR(__xludf.DUMMYFUNCTION("""COMPUTED_VALUE"""),"2021 01")</f>
        <v>2021 01</v>
      </c>
      <c r="D110" s="30" t="str">
        <f>IFERROR(__xludf.DUMMYFUNCTION("""COMPUTED_VALUE"""),"32.52")</f>
        <v>32.52</v>
      </c>
      <c r="G110" s="30" t="str">
        <f>IFERROR(__xludf.DUMMYFUNCTION("""COMPUTED_VALUE"""),"2021 01")</f>
        <v>2021 01</v>
      </c>
      <c r="H110" s="30" t="str">
        <f>IFERROR(__xludf.DUMMYFUNCTION("""COMPUTED_VALUE"""),"85.28")</f>
        <v>85.28</v>
      </c>
      <c r="I110" s="30" t="str">
        <f>IFERROR(__xludf.DUMMYFUNCTION("""COMPUTED_VALUE"""),"2021 01")</f>
        <v>2021 01</v>
      </c>
      <c r="J110" s="30" t="str">
        <f>IFERROR(__xludf.DUMMYFUNCTION("""COMPUTED_VALUE"""),"252.81")</f>
        <v>252.81</v>
      </c>
      <c r="K110" s="30" t="str">
        <f>IFERROR(__xludf.DUMMYFUNCTION("""COMPUTED_VALUE"""),"2021 01")</f>
        <v>2021 01</v>
      </c>
      <c r="L110" s="30" t="str">
        <f>IFERROR(__xludf.DUMMYFUNCTION("""COMPUTED_VALUE"""),"76.35")</f>
        <v>76.35</v>
      </c>
    </row>
    <row r="111">
      <c r="A111" s="19"/>
      <c r="B111" s="19"/>
      <c r="C111" s="30" t="str">
        <f>IFERROR(__xludf.DUMMYFUNCTION("""COMPUTED_VALUE"""),"2021 02")</f>
        <v>2021 02</v>
      </c>
      <c r="D111" s="30" t="str">
        <f>IFERROR(__xludf.DUMMYFUNCTION("""COMPUTED_VALUE"""),"32.53")</f>
        <v>32.53</v>
      </c>
      <c r="G111" s="30" t="str">
        <f>IFERROR(__xludf.DUMMYFUNCTION("""COMPUTED_VALUE"""),"2021 02")</f>
        <v>2021 02</v>
      </c>
      <c r="H111" s="30" t="str">
        <f>IFERROR(__xludf.DUMMYFUNCTION("""COMPUTED_VALUE"""),"85.04")</f>
        <v>85.04</v>
      </c>
      <c r="I111" s="30" t="str">
        <f>IFERROR(__xludf.DUMMYFUNCTION("""COMPUTED_VALUE"""),"2021 02")</f>
        <v>2021 02</v>
      </c>
      <c r="J111" s="30" t="str">
        <f>IFERROR(__xludf.DUMMYFUNCTION("""COMPUTED_VALUE"""),"254.48")</f>
        <v>254.48</v>
      </c>
      <c r="K111" s="30" t="str">
        <f>IFERROR(__xludf.DUMMYFUNCTION("""COMPUTED_VALUE"""),"2021 02")</f>
        <v>2021 02</v>
      </c>
      <c r="L111" s="30" t="str">
        <f>IFERROR(__xludf.DUMMYFUNCTION("""COMPUTED_VALUE"""),"77.34")</f>
        <v>77.34</v>
      </c>
    </row>
    <row r="112">
      <c r="A112" s="19"/>
      <c r="B112" s="19"/>
      <c r="C112" s="30" t="str">
        <f>IFERROR(__xludf.DUMMYFUNCTION("""COMPUTED_VALUE"""),"2021 03")</f>
        <v>2021 03</v>
      </c>
      <c r="D112" s="30" t="str">
        <f>IFERROR(__xludf.DUMMYFUNCTION("""COMPUTED_VALUE"""),"33.12")</f>
        <v>33.12</v>
      </c>
      <c r="G112" s="30" t="str">
        <f>IFERROR(__xludf.DUMMYFUNCTION("""COMPUTED_VALUE"""),"2021 03")</f>
        <v>2021 03</v>
      </c>
      <c r="H112" s="30" t="str">
        <f>IFERROR(__xludf.DUMMYFUNCTION("""COMPUTED_VALUE"""),"87.25")</f>
        <v>87.25</v>
      </c>
      <c r="I112" s="30" t="str">
        <f>IFERROR(__xludf.DUMMYFUNCTION("""COMPUTED_VALUE"""),"2021 03")</f>
        <v>2021 03</v>
      </c>
      <c r="J112" s="30" t="str">
        <f>IFERROR(__xludf.DUMMYFUNCTION("""COMPUTED_VALUE"""),"260.82")</f>
        <v>260.82</v>
      </c>
      <c r="K112" s="30" t="str">
        <f>IFERROR(__xludf.DUMMYFUNCTION("""COMPUTED_VALUE"""),"2021 03")</f>
        <v>2021 03</v>
      </c>
      <c r="L112" s="30" t="str">
        <f>IFERROR(__xludf.DUMMYFUNCTION("""COMPUTED_VALUE"""),"77.94")</f>
        <v>77.94</v>
      </c>
    </row>
    <row r="113">
      <c r="A113" s="19"/>
      <c r="B113" s="19"/>
      <c r="C113" s="30" t="str">
        <f>IFERROR(__xludf.DUMMYFUNCTION("""COMPUTED_VALUE"""),"2021 04")</f>
        <v>2021 04</v>
      </c>
      <c r="D113" s="30" t="str">
        <f>IFERROR(__xludf.DUMMYFUNCTION("""COMPUTED_VALUE"""),"35.17")</f>
        <v>35.17</v>
      </c>
      <c r="G113" s="30" t="str">
        <f>IFERROR(__xludf.DUMMYFUNCTION("""COMPUTED_VALUE"""),"2021 04")</f>
        <v>2021 04</v>
      </c>
      <c r="H113" s="30" t="str">
        <f>IFERROR(__xludf.DUMMYFUNCTION("""COMPUTED_VALUE"""),"88")</f>
        <v>88</v>
      </c>
      <c r="I113" s="30" t="str">
        <f>IFERROR(__xludf.DUMMYFUNCTION("""COMPUTED_VALUE"""),"2021 04")</f>
        <v>2021 04</v>
      </c>
      <c r="J113" s="30" t="str">
        <f>IFERROR(__xludf.DUMMYFUNCTION("""COMPUTED_VALUE"""),"274.01")</f>
        <v>274.01</v>
      </c>
      <c r="K113" s="30" t="str">
        <f>IFERROR(__xludf.DUMMYFUNCTION("""COMPUTED_VALUE"""),"2021 04")</f>
        <v>2021 04</v>
      </c>
      <c r="L113" s="30" t="str">
        <f>IFERROR(__xludf.DUMMYFUNCTION("""COMPUTED_VALUE"""),"80.25")</f>
        <v>80.25</v>
      </c>
    </row>
    <row r="114">
      <c r="A114" s="19"/>
      <c r="B114" s="19"/>
      <c r="C114" s="30" t="str">
        <f>IFERROR(__xludf.DUMMYFUNCTION("""COMPUTED_VALUE"""),"2021 05")</f>
        <v>2021 05</v>
      </c>
      <c r="D114" s="30" t="str">
        <f>IFERROR(__xludf.DUMMYFUNCTION("""COMPUTED_VALUE"""),"36.27")</f>
        <v>36.27</v>
      </c>
      <c r="G114" s="30" t="str">
        <f>IFERROR(__xludf.DUMMYFUNCTION("""COMPUTED_VALUE"""),"2021 05")</f>
        <v>2021 05</v>
      </c>
      <c r="H114" s="30" t="str">
        <f>IFERROR(__xludf.DUMMYFUNCTION("""COMPUTED_VALUE"""),"89.99")</f>
        <v>89.99</v>
      </c>
      <c r="I114" s="30" t="str">
        <f>IFERROR(__xludf.DUMMYFUNCTION("""COMPUTED_VALUE"""),"2021 05")</f>
        <v>2021 05</v>
      </c>
      <c r="J114" s="30" t="str">
        <f>IFERROR(__xludf.DUMMYFUNCTION("""COMPUTED_VALUE"""),"282.21")</f>
        <v>282.21</v>
      </c>
      <c r="K114" s="30" t="str">
        <f>IFERROR(__xludf.DUMMYFUNCTION("""COMPUTED_VALUE"""),"2021 05")</f>
        <v>2021 05</v>
      </c>
      <c r="L114" s="30" t="str">
        <f>IFERROR(__xludf.DUMMYFUNCTION("""COMPUTED_VALUE"""),"80.58")</f>
        <v>80.58</v>
      </c>
    </row>
    <row r="115">
      <c r="A115" s="19"/>
      <c r="B115" s="19"/>
      <c r="C115" s="30" t="str">
        <f>IFERROR(__xludf.DUMMYFUNCTION("""COMPUTED_VALUE"""),"2021 06")</f>
        <v>2021 06</v>
      </c>
      <c r="D115" s="30" t="str">
        <f>IFERROR(__xludf.DUMMYFUNCTION("""COMPUTED_VALUE"""),"36.31")</f>
        <v>36.31</v>
      </c>
      <c r="G115" s="30" t="str">
        <f>IFERROR(__xludf.DUMMYFUNCTION("""COMPUTED_VALUE"""),"2021 06")</f>
        <v>2021 06</v>
      </c>
      <c r="H115" s="30" t="str">
        <f>IFERROR(__xludf.DUMMYFUNCTION("""COMPUTED_VALUE"""),"91.79")</f>
        <v>91.79</v>
      </c>
      <c r="I115" s="30" t="str">
        <f>IFERROR(__xludf.DUMMYFUNCTION("""COMPUTED_VALUE"""),"2021 06")</f>
        <v>2021 06</v>
      </c>
      <c r="J115" s="30" t="str">
        <f>IFERROR(__xludf.DUMMYFUNCTION("""COMPUTED_VALUE"""),"282.09")</f>
        <v>282.09</v>
      </c>
      <c r="K115" s="30" t="str">
        <f>IFERROR(__xludf.DUMMYFUNCTION("""COMPUTED_VALUE"""),"2021 06")</f>
        <v>2021 06</v>
      </c>
      <c r="L115" s="30" t="str">
        <f>IFERROR(__xludf.DUMMYFUNCTION("""COMPUTED_VALUE"""),"83.43")</f>
        <v>83.43</v>
      </c>
    </row>
    <row r="116">
      <c r="A116" s="19"/>
      <c r="B116" s="19"/>
      <c r="C116" s="30" t="str">
        <f>IFERROR(__xludf.DUMMYFUNCTION("""COMPUTED_VALUE"""),"2021 07")</f>
        <v>2021 07</v>
      </c>
      <c r="D116" s="30" t="str">
        <f>IFERROR(__xludf.DUMMYFUNCTION("""COMPUTED_VALUE"""),"38.35")</f>
        <v>38.35</v>
      </c>
      <c r="G116" s="30" t="str">
        <f>IFERROR(__xludf.DUMMYFUNCTION("""COMPUTED_VALUE"""),"2021 07")</f>
        <v>2021 07</v>
      </c>
      <c r="H116" s="30" t="str">
        <f>IFERROR(__xludf.DUMMYFUNCTION("""COMPUTED_VALUE"""),"93.01")</f>
        <v>93.01</v>
      </c>
      <c r="I116" s="30" t="str">
        <f>IFERROR(__xludf.DUMMYFUNCTION("""COMPUTED_VALUE"""),"2021 07")</f>
        <v>2021 07</v>
      </c>
      <c r="J116" s="30" t="str">
        <f>IFERROR(__xludf.DUMMYFUNCTION("""COMPUTED_VALUE"""),"298.64")</f>
        <v>298.64</v>
      </c>
      <c r="K116" s="30" t="str">
        <f>IFERROR(__xludf.DUMMYFUNCTION("""COMPUTED_VALUE"""),"2021 07")</f>
        <v>2021 07</v>
      </c>
      <c r="L116" s="30" t="str">
        <f>IFERROR(__xludf.DUMMYFUNCTION("""COMPUTED_VALUE"""),"84.53")</f>
        <v>84.53</v>
      </c>
    </row>
    <row r="117">
      <c r="A117" s="19"/>
      <c r="B117" s="19"/>
      <c r="C117" s="30" t="str">
        <f>IFERROR(__xludf.DUMMYFUNCTION("""COMPUTED_VALUE"""),"2021 08")</f>
        <v>2021 08</v>
      </c>
      <c r="D117" s="30" t="str">
        <f>IFERROR(__xludf.DUMMYFUNCTION("""COMPUTED_VALUE"""),"40.15")</f>
        <v>40.15</v>
      </c>
      <c r="G117" s="30" t="str">
        <f>IFERROR(__xludf.DUMMYFUNCTION("""COMPUTED_VALUE"""),"2021 08")</f>
        <v>2021 08</v>
      </c>
      <c r="H117" s="30" t="str">
        <f>IFERROR(__xludf.DUMMYFUNCTION("""COMPUTED_VALUE"""),"95.81")</f>
        <v>95.81</v>
      </c>
      <c r="I117" s="30" t="str">
        <f>IFERROR(__xludf.DUMMYFUNCTION("""COMPUTED_VALUE"""),"2021 08")</f>
        <v>2021 08</v>
      </c>
      <c r="J117" s="30" t="str">
        <f>IFERROR(__xludf.DUMMYFUNCTION("""COMPUTED_VALUE"""),"310.48")</f>
        <v>310.48</v>
      </c>
      <c r="K117" s="30" t="str">
        <f>IFERROR(__xludf.DUMMYFUNCTION("""COMPUTED_VALUE"""),"2021 08")</f>
        <v>2021 08</v>
      </c>
      <c r="L117" s="30" t="str">
        <f>IFERROR(__xludf.DUMMYFUNCTION("""COMPUTED_VALUE"""),"85.6")</f>
        <v>85.6</v>
      </c>
    </row>
    <row r="118">
      <c r="A118" s="19"/>
      <c r="B118" s="19"/>
      <c r="C118" s="30" t="str">
        <f>IFERROR(__xludf.DUMMYFUNCTION("""COMPUTED_VALUE"""),"2021 09")</f>
        <v>2021 09</v>
      </c>
      <c r="D118" s="30" t="str">
        <f>IFERROR(__xludf.DUMMYFUNCTION("""COMPUTED_VALUE"""),"41.38")</f>
        <v>41.38</v>
      </c>
      <c r="G118" s="30" t="str">
        <f>IFERROR(__xludf.DUMMYFUNCTION("""COMPUTED_VALUE"""),"2021 09")</f>
        <v>2021 09</v>
      </c>
      <c r="H118" s="30" t="str">
        <f>IFERROR(__xludf.DUMMYFUNCTION("""COMPUTED_VALUE"""),"96.99")</f>
        <v>96.99</v>
      </c>
      <c r="I118" s="30" t="str">
        <f>IFERROR(__xludf.DUMMYFUNCTION("""COMPUTED_VALUE"""),"2021 09")</f>
        <v>2021 09</v>
      </c>
      <c r="J118" s="30" t="str">
        <f>IFERROR(__xludf.DUMMYFUNCTION("""COMPUTED_VALUE"""),"319.3")</f>
        <v>319.3</v>
      </c>
      <c r="K118" s="30" t="str">
        <f>IFERROR(__xludf.DUMMYFUNCTION("""COMPUTED_VALUE"""),"2021 09")</f>
        <v>2021 09</v>
      </c>
      <c r="L118" s="30" t="str">
        <f>IFERROR(__xludf.DUMMYFUNCTION("""COMPUTED_VALUE"""),"87.07")</f>
        <v>87.07</v>
      </c>
    </row>
    <row r="119">
      <c r="A119" s="19"/>
      <c r="B119" s="19"/>
      <c r="C119" s="30" t="str">
        <f>IFERROR(__xludf.DUMMYFUNCTION("""COMPUTED_VALUE"""),"2021 10")</f>
        <v>2021 10</v>
      </c>
      <c r="D119" s="30" t="str">
        <f>IFERROR(__xludf.DUMMYFUNCTION("""COMPUTED_VALUE"""),"39.66")</f>
        <v>39.66</v>
      </c>
      <c r="G119" s="30" t="str">
        <f>IFERROR(__xludf.DUMMYFUNCTION("""COMPUTED_VALUE"""),"2021 10")</f>
        <v>2021 10</v>
      </c>
      <c r="H119" s="30" t="str">
        <f>IFERROR(__xludf.DUMMYFUNCTION("""COMPUTED_VALUE"""),"92.02")</f>
        <v>92.02</v>
      </c>
      <c r="I119" s="30" t="str">
        <f>IFERROR(__xludf.DUMMYFUNCTION("""COMPUTED_VALUE"""),"2021 10")</f>
        <v>2021 10</v>
      </c>
      <c r="J119" s="30" t="str">
        <f>IFERROR(__xludf.DUMMYFUNCTION("""COMPUTED_VALUE"""),"306.83")</f>
        <v>306.83</v>
      </c>
      <c r="K119" s="30" t="str">
        <f>IFERROR(__xludf.DUMMYFUNCTION("""COMPUTED_VALUE"""),"2021 10")</f>
        <v>2021 10</v>
      </c>
      <c r="L119" s="30" t="str">
        <f>IFERROR(__xludf.DUMMYFUNCTION("""COMPUTED_VALUE"""),"83.8")</f>
        <v>83.8</v>
      </c>
    </row>
    <row r="120">
      <c r="A120" s="19"/>
      <c r="B120" s="19"/>
      <c r="C120" s="30" t="str">
        <f>IFERROR(__xludf.DUMMYFUNCTION("""COMPUTED_VALUE"""),"2021 11")</f>
        <v>2021 11</v>
      </c>
      <c r="D120" s="30" t="str">
        <f>IFERROR(__xludf.DUMMYFUNCTION("""COMPUTED_VALUE"""),"41")</f>
        <v>41</v>
      </c>
      <c r="G120" s="30" t="str">
        <f>IFERROR(__xludf.DUMMYFUNCTION("""COMPUTED_VALUE"""),"2021 11")</f>
        <v>2021 11</v>
      </c>
      <c r="H120" s="30" t="str">
        <f>IFERROR(__xludf.DUMMYFUNCTION("""COMPUTED_VALUE"""),"94.59")</f>
        <v>94.59</v>
      </c>
      <c r="I120" s="30" t="str">
        <f>IFERROR(__xludf.DUMMYFUNCTION("""COMPUTED_VALUE"""),"2021 11")</f>
        <v>2021 11</v>
      </c>
      <c r="J120" s="30" t="str">
        <f>IFERROR(__xludf.DUMMYFUNCTION("""COMPUTED_VALUE"""),"316.41")</f>
        <v>316.41</v>
      </c>
      <c r="K120" s="30" t="str">
        <f>IFERROR(__xludf.DUMMYFUNCTION("""COMPUTED_VALUE"""),"2021 11")</f>
        <v>2021 11</v>
      </c>
      <c r="L120" s="30" t="str">
        <f>IFERROR(__xludf.DUMMYFUNCTION("""COMPUTED_VALUE"""),"83.6")</f>
        <v>83.6</v>
      </c>
    </row>
    <row r="121">
      <c r="A121" s="19"/>
      <c r="B121" s="19"/>
      <c r="C121" s="30" t="str">
        <f>IFERROR(__xludf.DUMMYFUNCTION("""COMPUTED_VALUE"""),"2021 12")</f>
        <v>2021 12</v>
      </c>
      <c r="D121" s="30" t="str">
        <f>IFERROR(__xludf.DUMMYFUNCTION("""COMPUTED_VALUE"""),"42.92")</f>
        <v>42.92</v>
      </c>
      <c r="G121" s="30" t="str">
        <f>IFERROR(__xludf.DUMMYFUNCTION("""COMPUTED_VALUE"""),"2021 12")</f>
        <v>2021 12</v>
      </c>
      <c r="H121" s="30" t="str">
        <f>IFERROR(__xludf.DUMMYFUNCTION("""COMPUTED_VALUE"""),"93.23")</f>
        <v>93.23</v>
      </c>
      <c r="I121" s="30" t="str">
        <f>IFERROR(__xludf.DUMMYFUNCTION("""COMPUTED_VALUE"""),"2021 12")</f>
        <v>2021 12</v>
      </c>
      <c r="J121" s="30" t="str">
        <f>IFERROR(__xludf.DUMMYFUNCTION("""COMPUTED_VALUE"""),"328.97")</f>
        <v>328.97</v>
      </c>
      <c r="K121" s="30" t="str">
        <f>IFERROR(__xludf.DUMMYFUNCTION("""COMPUTED_VALUE"""),"2021 12")</f>
        <v>2021 12</v>
      </c>
      <c r="L121" s="30" t="str">
        <f>IFERROR(__xludf.DUMMYFUNCTION("""COMPUTED_VALUE"""),"84.64")</f>
        <v>84.64</v>
      </c>
    </row>
    <row r="122">
      <c r="A122" s="19"/>
      <c r="B122" s="19"/>
      <c r="C122" s="30" t="str">
        <f>IFERROR(__xludf.DUMMYFUNCTION("""COMPUTED_VALUE"""),"2022 01")</f>
        <v>2022 01</v>
      </c>
      <c r="D122" s="30" t="str">
        <f>IFERROR(__xludf.DUMMYFUNCTION("""COMPUTED_VALUE"""),"44.42")</f>
        <v>44.42</v>
      </c>
      <c r="G122" s="30" t="str">
        <f>IFERROR(__xludf.DUMMYFUNCTION("""COMPUTED_VALUE"""),"2022 01")</f>
        <v>2022 01</v>
      </c>
      <c r="H122" s="30" t="str">
        <f>IFERROR(__xludf.DUMMYFUNCTION("""COMPUTED_VALUE"""),"97.13")</f>
        <v>97.13</v>
      </c>
      <c r="I122" s="30" t="str">
        <f>IFERROR(__xludf.DUMMYFUNCTION("""COMPUTED_VALUE"""),"2022 01")</f>
        <v>2022 01</v>
      </c>
      <c r="J122" s="30" t="str">
        <f>IFERROR(__xludf.DUMMYFUNCTION("""COMPUTED_VALUE"""),"337.57")</f>
        <v>337.57</v>
      </c>
      <c r="K122" s="30" t="str">
        <f>IFERROR(__xludf.DUMMYFUNCTION("""COMPUTED_VALUE"""),"2022 01")</f>
        <v>2022 01</v>
      </c>
      <c r="L122" s="30" t="str">
        <f>IFERROR(__xludf.DUMMYFUNCTION("""COMPUTED_VALUE"""),"85.59")</f>
        <v>85.59</v>
      </c>
    </row>
    <row r="123">
      <c r="A123" s="19"/>
      <c r="B123" s="19"/>
      <c r="C123" s="30" t="str">
        <f>IFERROR(__xludf.DUMMYFUNCTION("""COMPUTED_VALUE"""),"2022 02")</f>
        <v>2022 02</v>
      </c>
      <c r="D123" s="30" t="str">
        <f>IFERROR(__xludf.DUMMYFUNCTION("""COMPUTED_VALUE"""),"42.5")</f>
        <v>42.5</v>
      </c>
      <c r="G123" s="30" t="str">
        <f>IFERROR(__xludf.DUMMYFUNCTION("""COMPUTED_VALUE"""),"2022 02")</f>
        <v>2022 02</v>
      </c>
      <c r="H123" s="30" t="str">
        <f>IFERROR(__xludf.DUMMYFUNCTION("""COMPUTED_VALUE"""),"89.56")</f>
        <v>89.56</v>
      </c>
      <c r="I123" s="30" t="str">
        <f>IFERROR(__xludf.DUMMYFUNCTION("""COMPUTED_VALUE"""),"2022 02")</f>
        <v>2022 02</v>
      </c>
      <c r="J123" s="30" t="str">
        <f>IFERROR(__xludf.DUMMYFUNCTION("""COMPUTED_VALUE"""),"320.58")</f>
        <v>320.58</v>
      </c>
      <c r="K123" s="30" t="str">
        <f>IFERROR(__xludf.DUMMYFUNCTION("""COMPUTED_VALUE"""),"2022 02")</f>
        <v>2022 02</v>
      </c>
      <c r="L123" s="30" t="str">
        <f>IFERROR(__xludf.DUMMYFUNCTION("""COMPUTED_VALUE"""),"84.49")</f>
        <v>84.49</v>
      </c>
    </row>
    <row r="124">
      <c r="A124" s="19"/>
      <c r="B124" s="19"/>
      <c r="C124" s="30" t="str">
        <f>IFERROR(__xludf.DUMMYFUNCTION("""COMPUTED_VALUE"""),"2022 03")</f>
        <v>2022 03</v>
      </c>
      <c r="D124" s="30" t="str">
        <f>IFERROR(__xludf.DUMMYFUNCTION("""COMPUTED_VALUE"""),"40.23")</f>
        <v>40.23</v>
      </c>
      <c r="G124" s="30" t="str">
        <f>IFERROR(__xludf.DUMMYFUNCTION("""COMPUTED_VALUE"""),"2022 03")</f>
        <v>2022 03</v>
      </c>
      <c r="H124" s="30" t="str">
        <f>IFERROR(__xludf.DUMMYFUNCTION("""COMPUTED_VALUE"""),"91.56")</f>
        <v>91.56</v>
      </c>
      <c r="I124" s="30" t="str">
        <f>IFERROR(__xludf.DUMMYFUNCTION("""COMPUTED_VALUE"""),"2022 03")</f>
        <v>2022 03</v>
      </c>
      <c r="J124" s="30" t="str">
        <f>IFERROR(__xludf.DUMMYFUNCTION("""COMPUTED_VALUE"""),"304.78")</f>
        <v>304.78</v>
      </c>
      <c r="K124" s="30" t="str">
        <f>IFERROR(__xludf.DUMMYFUNCTION("""COMPUTED_VALUE"""),"2022 03")</f>
        <v>2022 03</v>
      </c>
      <c r="L124" s="30" t="str">
        <f>IFERROR(__xludf.DUMMYFUNCTION("""COMPUTED_VALUE"""),"80.1")</f>
        <v>80.1</v>
      </c>
    </row>
    <row r="125">
      <c r="A125" s="19"/>
      <c r="B125" s="19"/>
      <c r="C125" s="30" t="str">
        <f>IFERROR(__xludf.DUMMYFUNCTION("""COMPUTED_VALUE"""),"2022 04")</f>
        <v>2022 04</v>
      </c>
      <c r="D125" s="30" t="str">
        <f>IFERROR(__xludf.DUMMYFUNCTION("""COMPUTED_VALUE"""),"40.56")</f>
        <v>40.56</v>
      </c>
      <c r="G125" s="30" t="str">
        <f>IFERROR(__xludf.DUMMYFUNCTION("""COMPUTED_VALUE"""),"2022 04")</f>
        <v>2022 04</v>
      </c>
      <c r="H125" s="30" t="str">
        <f>IFERROR(__xludf.DUMMYFUNCTION("""COMPUTED_VALUE"""),"95.11")</f>
        <v>95.11</v>
      </c>
      <c r="I125" s="30" t="str">
        <f>IFERROR(__xludf.DUMMYFUNCTION("""COMPUTED_VALUE"""),"2022 04")</f>
        <v>2022 04</v>
      </c>
      <c r="J125" s="30" t="str">
        <f>IFERROR(__xludf.DUMMYFUNCTION("""COMPUTED_VALUE"""),"305.61")</f>
        <v>305.61</v>
      </c>
      <c r="K125" s="30" t="str">
        <f>IFERROR(__xludf.DUMMYFUNCTION("""COMPUTED_VALUE"""),"2022 04")</f>
        <v>2022 04</v>
      </c>
      <c r="L125" s="30" t="str">
        <f>IFERROR(__xludf.DUMMYFUNCTION("""COMPUTED_VALUE"""),"77.4")</f>
        <v>77.4</v>
      </c>
    </row>
    <row r="126">
      <c r="A126" s="19"/>
      <c r="B126" s="19"/>
      <c r="C126" s="30" t="str">
        <f>IFERROR(__xludf.DUMMYFUNCTION("""COMPUTED_VALUE"""),"2022 05")</f>
        <v>2022 05</v>
      </c>
      <c r="D126" s="30" t="str">
        <f>IFERROR(__xludf.DUMMYFUNCTION("""COMPUTED_VALUE"""),"39.31")</f>
        <v>39.31</v>
      </c>
      <c r="G126" s="30" t="str">
        <f>IFERROR(__xludf.DUMMYFUNCTION("""COMPUTED_VALUE"""),"2022 05")</f>
        <v>2022 05</v>
      </c>
      <c r="H126" s="30" t="str">
        <f>IFERROR(__xludf.DUMMYFUNCTION("""COMPUTED_VALUE"""),"93.3")</f>
        <v>93.3</v>
      </c>
      <c r="I126" s="30" t="str">
        <f>IFERROR(__xludf.DUMMYFUNCTION("""COMPUTED_VALUE"""),"2022 05")</f>
        <v>2022 05</v>
      </c>
      <c r="J126" s="30" t="str">
        <f>IFERROR(__xludf.DUMMYFUNCTION("""COMPUTED_VALUE"""),"295")</f>
        <v>295</v>
      </c>
      <c r="K126" s="30" t="str">
        <f>IFERROR(__xludf.DUMMYFUNCTION("""COMPUTED_VALUE"""),"2022 05")</f>
        <v>2022 05</v>
      </c>
      <c r="L126" s="30" t="str">
        <f>IFERROR(__xludf.DUMMYFUNCTION("""COMPUTED_VALUE"""),"76.37")</f>
        <v>76.37</v>
      </c>
    </row>
    <row r="127">
      <c r="A127" s="19"/>
      <c r="B127" s="19"/>
      <c r="C127" s="30" t="str">
        <f>IFERROR(__xludf.DUMMYFUNCTION("""COMPUTED_VALUE"""),"2022 06")</f>
        <v>2022 06</v>
      </c>
      <c r="D127" s="30" t="str">
        <f>IFERROR(__xludf.DUMMYFUNCTION("""COMPUTED_VALUE"""),"38.52")</f>
        <v>38.52</v>
      </c>
      <c r="G127" s="30" t="str">
        <f>IFERROR(__xludf.DUMMYFUNCTION("""COMPUTED_VALUE"""),"2022 06")</f>
        <v>2022 06</v>
      </c>
      <c r="H127" s="30" t="str">
        <f>IFERROR(__xludf.DUMMYFUNCTION("""COMPUTED_VALUE"""),"92.01")</f>
        <v>92.01</v>
      </c>
      <c r="I127" s="30" t="str">
        <f>IFERROR(__xludf.DUMMYFUNCTION("""COMPUTED_VALUE"""),"2022 06")</f>
        <v>2022 06</v>
      </c>
      <c r="J127" s="30" t="str">
        <f>IFERROR(__xludf.DUMMYFUNCTION("""COMPUTED_VALUE"""),"288.45")</f>
        <v>288.45</v>
      </c>
      <c r="K127" s="30" t="str">
        <f>IFERROR(__xludf.DUMMYFUNCTION("""COMPUTED_VALUE"""),"2022 06")</f>
        <v>2022 06</v>
      </c>
      <c r="L127" s="30" t="str">
        <f>IFERROR(__xludf.DUMMYFUNCTION("""COMPUTED_VALUE"""),"76.55")</f>
        <v>76.55</v>
      </c>
    </row>
    <row r="128">
      <c r="A128" s="19"/>
      <c r="B128" s="19"/>
      <c r="C128" s="30" t="str">
        <f>IFERROR(__xludf.DUMMYFUNCTION("""COMPUTED_VALUE"""),"2022 07")</f>
        <v>2022 07</v>
      </c>
      <c r="D128" s="30" t="str">
        <f>IFERROR(__xludf.DUMMYFUNCTION("""COMPUTED_VALUE"""),"36.59")</f>
        <v>36.59</v>
      </c>
      <c r="G128" s="30" t="str">
        <f>IFERROR(__xludf.DUMMYFUNCTION("""COMPUTED_VALUE"""),"2022 07")</f>
        <v>2022 07</v>
      </c>
      <c r="H128" s="30" t="str">
        <f>IFERROR(__xludf.DUMMYFUNCTION("""COMPUTED_VALUE"""),"81.17")</f>
        <v>81.17</v>
      </c>
      <c r="I128" s="30" t="str">
        <f>IFERROR(__xludf.DUMMYFUNCTION("""COMPUTED_VALUE"""),"2022 07")</f>
        <v>2022 07</v>
      </c>
      <c r="J128" s="30" t="str">
        <f>IFERROR(__xludf.DUMMYFUNCTION("""COMPUTED_VALUE"""),"273.47")</f>
        <v>273.47</v>
      </c>
      <c r="K128" s="30" t="str">
        <f>IFERROR(__xludf.DUMMYFUNCTION("""COMPUTED_VALUE"""),"2022 07")</f>
        <v>2022 07</v>
      </c>
      <c r="L128" s="30" t="str">
        <f>IFERROR(__xludf.DUMMYFUNCTION("""COMPUTED_VALUE"""),"72.21")</f>
        <v>72.21</v>
      </c>
    </row>
    <row r="129">
      <c r="A129" s="19"/>
      <c r="B129" s="19"/>
      <c r="C129" s="30" t="str">
        <f>IFERROR(__xludf.DUMMYFUNCTION("""COMPUTED_VALUE"""),"2022 08")</f>
        <v>2022 08</v>
      </c>
      <c r="D129" s="30" t="str">
        <f>IFERROR(__xludf.DUMMYFUNCTION("""COMPUTED_VALUE"""),"39.29")</f>
        <v>39.29</v>
      </c>
      <c r="G129" s="30" t="str">
        <f>IFERROR(__xludf.DUMMYFUNCTION("""COMPUTED_VALUE"""),"2022 08")</f>
        <v>2022 08</v>
      </c>
      <c r="H129" s="30" t="str">
        <f>IFERROR(__xludf.DUMMYFUNCTION("""COMPUTED_VALUE"""),"86.86")</f>
        <v>86.86</v>
      </c>
      <c r="I129" s="30" t="str">
        <f>IFERROR(__xludf.DUMMYFUNCTION("""COMPUTED_VALUE"""),"2022 08")</f>
        <v>2022 08</v>
      </c>
      <c r="J129" s="30" t="str">
        <f>IFERROR(__xludf.DUMMYFUNCTION("""COMPUTED_VALUE"""),"293.94")</f>
        <v>293.94</v>
      </c>
      <c r="K129" s="30" t="str">
        <f>IFERROR(__xludf.DUMMYFUNCTION("""COMPUTED_VALUE"""),"2022 08")</f>
        <v>2022 08</v>
      </c>
      <c r="L129" s="30" t="str">
        <f>IFERROR(__xludf.DUMMYFUNCTION("""COMPUTED_VALUE"""),"73.78")</f>
        <v>73.78</v>
      </c>
    </row>
    <row r="130">
      <c r="A130" s="19"/>
      <c r="B130" s="19"/>
      <c r="C130" s="30" t="str">
        <f>IFERROR(__xludf.DUMMYFUNCTION("""COMPUTED_VALUE"""),"2022 09")</f>
        <v>2022 09</v>
      </c>
      <c r="D130" s="30" t="str">
        <f>IFERROR(__xludf.DUMMYFUNCTION("""COMPUTED_VALUE"""),"38.46")</f>
        <v>38.46</v>
      </c>
      <c r="G130" s="30" t="str">
        <f>IFERROR(__xludf.DUMMYFUNCTION("""COMPUTED_VALUE"""),"2022 09")</f>
        <v>2022 09</v>
      </c>
      <c r="H130" s="30" t="str">
        <f>IFERROR(__xludf.DUMMYFUNCTION("""COMPUTED_VALUE"""),"86.06")</f>
        <v>86.06</v>
      </c>
      <c r="I130" s="30" t="str">
        <f>IFERROR(__xludf.DUMMYFUNCTION("""COMPUTED_VALUE"""),"2022 09")</f>
        <v>2022 09</v>
      </c>
      <c r="J130" s="30" t="str">
        <f>IFERROR(__xludf.DUMMYFUNCTION("""COMPUTED_VALUE"""),"288.7")</f>
        <v>288.7</v>
      </c>
      <c r="K130" s="30" t="str">
        <f>IFERROR(__xludf.DUMMYFUNCTION("""COMPUTED_VALUE"""),"2022 09")</f>
        <v>2022 09</v>
      </c>
      <c r="L130" s="30" t="str">
        <f>IFERROR(__xludf.DUMMYFUNCTION("""COMPUTED_VALUE"""),"72.05")</f>
        <v>72.05</v>
      </c>
    </row>
    <row r="131">
      <c r="A131" s="19"/>
      <c r="B131" s="19"/>
      <c r="C131" s="30" t="str">
        <f>IFERROR(__xludf.DUMMYFUNCTION("""COMPUTED_VALUE"""),"2022 10")</f>
        <v>2022 10</v>
      </c>
      <c r="D131" s="30" t="str">
        <f>IFERROR(__xludf.DUMMYFUNCTION("""COMPUTED_VALUE"""),"37.1")</f>
        <v>37.1</v>
      </c>
      <c r="G131" s="30" t="str">
        <f>IFERROR(__xludf.DUMMYFUNCTION("""COMPUTED_VALUE"""),"2022 10")</f>
        <v>2022 10</v>
      </c>
      <c r="H131" s="30" t="str">
        <f>IFERROR(__xludf.DUMMYFUNCTION("""COMPUTED_VALUE"""),"80.2")</f>
        <v>80.2</v>
      </c>
      <c r="I131" s="30" t="str">
        <f>IFERROR(__xludf.DUMMYFUNCTION("""COMPUTED_VALUE"""),"2022 10")</f>
        <v>2022 10</v>
      </c>
      <c r="J131" s="30" t="str">
        <f>IFERROR(__xludf.DUMMYFUNCTION("""COMPUTED_VALUE"""),"278.75")</f>
        <v>278.75</v>
      </c>
      <c r="K131" s="30" t="str">
        <f>IFERROR(__xludf.DUMMYFUNCTION("""COMPUTED_VALUE"""),"2022 10")</f>
        <v>2022 10</v>
      </c>
      <c r="L131" s="30" t="str">
        <f>IFERROR(__xludf.DUMMYFUNCTION("""COMPUTED_VALUE"""),"68.81")</f>
        <v>68.81</v>
      </c>
    </row>
    <row r="132">
      <c r="A132" s="19"/>
      <c r="B132" s="19"/>
      <c r="C132" s="30" t="str">
        <f>IFERROR(__xludf.DUMMYFUNCTION("""COMPUTED_VALUE"""),"2022 11")</f>
        <v>2022 11</v>
      </c>
      <c r="D132" s="30" t="str">
        <f>IFERROR(__xludf.DUMMYFUNCTION("""COMPUTED_VALUE"""),"40.36")</f>
        <v>40.36</v>
      </c>
      <c r="G132" s="30" t="str">
        <f>IFERROR(__xludf.DUMMYFUNCTION("""COMPUTED_VALUE"""),"2022 11")</f>
        <v>2022 11</v>
      </c>
      <c r="H132" s="30" t="str">
        <f>IFERROR(__xludf.DUMMYFUNCTION("""COMPUTED_VALUE"""),"86.56")</f>
        <v>86.56</v>
      </c>
      <c r="I132" s="30" t="str">
        <f>IFERROR(__xludf.DUMMYFUNCTION("""COMPUTED_VALUE"""),"2022 11")</f>
        <v>2022 11</v>
      </c>
      <c r="J132" s="30" t="str">
        <f>IFERROR(__xludf.DUMMYFUNCTION("""COMPUTED_VALUE"""),"303.05")</f>
        <v>303.05</v>
      </c>
      <c r="K132" s="30" t="str">
        <f>IFERROR(__xludf.DUMMYFUNCTION("""COMPUTED_VALUE"""),"2022 11")</f>
        <v>2022 11</v>
      </c>
      <c r="L132" s="30" t="str">
        <f>IFERROR(__xludf.DUMMYFUNCTION("""COMPUTED_VALUE"""),"71.97")</f>
        <v>71.97</v>
      </c>
    </row>
    <row r="133">
      <c r="A133" s="19"/>
      <c r="B133" s="19"/>
      <c r="C133" s="30" t="str">
        <f>IFERROR(__xludf.DUMMYFUNCTION("""COMPUTED_VALUE"""),"2022 12")</f>
        <v>2022 12</v>
      </c>
      <c r="D133" s="30" t="str">
        <f>IFERROR(__xludf.DUMMYFUNCTION("""COMPUTED_VALUE"""),"40.06")</f>
        <v>40.06</v>
      </c>
      <c r="G133" s="30" t="str">
        <f>IFERROR(__xludf.DUMMYFUNCTION("""COMPUTED_VALUE"""),"2022 12")</f>
        <v>2022 12</v>
      </c>
      <c r="H133" s="30" t="str">
        <f>IFERROR(__xludf.DUMMYFUNCTION("""COMPUTED_VALUE"""),"91.54")</f>
        <v>91.54</v>
      </c>
      <c r="I133" s="30" t="str">
        <f>IFERROR(__xludf.DUMMYFUNCTION("""COMPUTED_VALUE"""),"2022 12")</f>
        <v>2022 12</v>
      </c>
      <c r="J133" s="30" t="str">
        <f>IFERROR(__xludf.DUMMYFUNCTION("""COMPUTED_VALUE"""),"300.27")</f>
        <v>300.27</v>
      </c>
      <c r="K133" s="30" t="str">
        <f>IFERROR(__xludf.DUMMYFUNCTION("""COMPUTED_VALUE"""),"2022 12")</f>
        <v>2022 12</v>
      </c>
      <c r="L133" s="30" t="str">
        <f>IFERROR(__xludf.DUMMYFUNCTION("""COMPUTED_VALUE"""),"76.64")</f>
        <v>76.64</v>
      </c>
    </row>
    <row r="134">
      <c r="A134" s="19"/>
      <c r="B134" s="19"/>
      <c r="C134" s="30" t="str">
        <f>IFERROR(__xludf.DUMMYFUNCTION("""COMPUTED_VALUE"""),"2023 01")</f>
        <v>2023 01</v>
      </c>
      <c r="D134" s="30" t="str">
        <f>IFERROR(__xludf.DUMMYFUNCTION("""COMPUTED_VALUE"""),"37.54")</f>
        <v>37.54</v>
      </c>
      <c r="G134" s="30" t="str">
        <f>IFERROR(__xludf.DUMMYFUNCTION("""COMPUTED_VALUE"""),"2023 01")</f>
        <v>2023 01</v>
      </c>
      <c r="H134" s="30" t="str">
        <f>IFERROR(__xludf.DUMMYFUNCTION("""COMPUTED_VALUE"""),"85.82")</f>
        <v>85.82</v>
      </c>
      <c r="I134" s="30" t="str">
        <f>IFERROR(__xludf.DUMMYFUNCTION("""COMPUTED_VALUE"""),"2023 01")</f>
        <v>2023 01</v>
      </c>
      <c r="J134" s="30" t="str">
        <f>IFERROR(__xludf.DUMMYFUNCTION("""COMPUTED_VALUE"""),"280.43")</f>
        <v>280.43</v>
      </c>
      <c r="K134" s="30" t="str">
        <f>IFERROR(__xludf.DUMMYFUNCTION("""COMPUTED_VALUE"""),"2023 01")</f>
        <v>2023 01</v>
      </c>
      <c r="L134" s="30" t="str">
        <f>IFERROR(__xludf.DUMMYFUNCTION("""COMPUTED_VALUE"""),"74.08")</f>
        <v>74.08</v>
      </c>
    </row>
    <row r="135">
      <c r="A135" s="19"/>
      <c r="B135" s="19"/>
      <c r="C135" s="30" t="str">
        <f>IFERROR(__xludf.DUMMYFUNCTION("""COMPUTED_VALUE"""),"2023 02")</f>
        <v>2023 02</v>
      </c>
      <c r="D135" s="30" t="str">
        <f>IFERROR(__xludf.DUMMYFUNCTION("""COMPUTED_VALUE"""),"38.39")</f>
        <v>38.39</v>
      </c>
      <c r="G135" s="30" t="str">
        <f>IFERROR(__xludf.DUMMYFUNCTION("""COMPUTED_VALUE"""),"2023 02")</f>
        <v>2023 02</v>
      </c>
      <c r="H135" s="30" t="str">
        <f>IFERROR(__xludf.DUMMYFUNCTION("""COMPUTED_VALUE"""),"92.69")</f>
        <v>92.69</v>
      </c>
      <c r="I135" s="30" t="str">
        <f>IFERROR(__xludf.DUMMYFUNCTION("""COMPUTED_VALUE"""),"2023 02")</f>
        <v>2023 02</v>
      </c>
      <c r="J135" s="30" t="str">
        <f>IFERROR(__xludf.DUMMYFUNCTION("""COMPUTED_VALUE"""),"288.64")</f>
        <v>288.64</v>
      </c>
      <c r="K135" s="30" t="str">
        <f>IFERROR(__xludf.DUMMYFUNCTION("""COMPUTED_VALUE"""),"2023 02")</f>
        <v>2023 02</v>
      </c>
      <c r="L135" s="30" t="str">
        <f>IFERROR(__xludf.DUMMYFUNCTION("""COMPUTED_VALUE"""),"76.95")</f>
        <v>76.95</v>
      </c>
    </row>
    <row r="136">
      <c r="A136" s="19"/>
      <c r="B136" s="19"/>
      <c r="C136" s="30" t="str">
        <f>IFERROR(__xludf.DUMMYFUNCTION("""COMPUTED_VALUE"""),"2023 03")</f>
        <v>2023 03</v>
      </c>
      <c r="D136" s="30" t="str">
        <f>IFERROR(__xludf.DUMMYFUNCTION("""COMPUTED_VALUE"""),"39.31")</f>
        <v>39.31</v>
      </c>
      <c r="G136" s="30" t="str">
        <f>IFERROR(__xludf.DUMMYFUNCTION("""COMPUTED_VALUE"""),"2023 03")</f>
        <v>2023 03</v>
      </c>
      <c r="H136" s="30" t="str">
        <f>IFERROR(__xludf.DUMMYFUNCTION("""COMPUTED_VALUE"""),"89.96")</f>
        <v>89.96</v>
      </c>
      <c r="I136" s="30" t="str">
        <f>IFERROR(__xludf.DUMMYFUNCTION("""COMPUTED_VALUE"""),"2023 03")</f>
        <v>2023 03</v>
      </c>
      <c r="J136" s="30" t="str">
        <f>IFERROR(__xludf.DUMMYFUNCTION("""COMPUTED_VALUE"""),"295.9")</f>
        <v>295.9</v>
      </c>
      <c r="K136" s="30" t="str">
        <f>IFERROR(__xludf.DUMMYFUNCTION("""COMPUTED_VALUE"""),"2023 03")</f>
        <v>2023 03</v>
      </c>
      <c r="L136" s="30" t="str">
        <f>IFERROR(__xludf.DUMMYFUNCTION("""COMPUTED_VALUE"""),"77.8")</f>
        <v>77.8</v>
      </c>
    </row>
    <row r="137">
      <c r="A137" s="19"/>
      <c r="B137" s="19"/>
      <c r="C137" s="30" t="str">
        <f>IFERROR(__xludf.DUMMYFUNCTION("""COMPUTED_VALUE"""),"2023 04")</f>
        <v>2023 04</v>
      </c>
      <c r="D137" s="30" t="str">
        <f>IFERROR(__xludf.DUMMYFUNCTION("""COMPUTED_VALUE"""),"40.98")</f>
        <v>40.98</v>
      </c>
      <c r="G137" s="30" t="str">
        <f>IFERROR(__xludf.DUMMYFUNCTION("""COMPUTED_VALUE"""),"2023 04")</f>
        <v>2023 04</v>
      </c>
      <c r="H137" s="30" t="str">
        <f>IFERROR(__xludf.DUMMYFUNCTION("""COMPUTED_VALUE"""),"89.79")</f>
        <v>89.79</v>
      </c>
      <c r="I137" s="30" t="str">
        <f>IFERROR(__xludf.DUMMYFUNCTION("""COMPUTED_VALUE"""),"2023 04")</f>
        <v>2023 04</v>
      </c>
      <c r="J137" s="30" t="str">
        <f>IFERROR(__xludf.DUMMYFUNCTION("""COMPUTED_VALUE"""),"305.34")</f>
        <v>305.34</v>
      </c>
      <c r="K137" s="30" t="str">
        <f>IFERROR(__xludf.DUMMYFUNCTION("""COMPUTED_VALUE"""),"2023 04")</f>
        <v>2023 04</v>
      </c>
      <c r="L137" s="30" t="str">
        <f>IFERROR(__xludf.DUMMYFUNCTION("""COMPUTED_VALUE"""),"79.84")</f>
        <v>79.84</v>
      </c>
    </row>
    <row r="138">
      <c r="A138" s="19"/>
      <c r="B138" s="19"/>
      <c r="C138" s="30" t="str">
        <f>IFERROR(__xludf.DUMMYFUNCTION("""COMPUTED_VALUE"""),"2023 05")</f>
        <v>2023 05</v>
      </c>
      <c r="D138" s="30" t="str">
        <f>IFERROR(__xludf.DUMMYFUNCTION("""COMPUTED_VALUE"""),"41.93")</f>
        <v>41.93</v>
      </c>
      <c r="G138" s="30" t="str">
        <f>IFERROR(__xludf.DUMMYFUNCTION("""COMPUTED_VALUE"""),"2023 05")</f>
        <v>2023 05</v>
      </c>
      <c r="H138" s="30" t="str">
        <f>IFERROR(__xludf.DUMMYFUNCTION("""COMPUTED_VALUE"""),"91.2")</f>
        <v>91.2</v>
      </c>
      <c r="I138" s="30" t="str">
        <f>IFERROR(__xludf.DUMMYFUNCTION("""COMPUTED_VALUE"""),"2023 05")</f>
        <v>2023 05</v>
      </c>
      <c r="J138" s="30" t="str">
        <f>IFERROR(__xludf.DUMMYFUNCTION("""COMPUTED_VALUE"""),"310.96")</f>
        <v>310.96</v>
      </c>
      <c r="K138" s="30" t="str">
        <f>IFERROR(__xludf.DUMMYFUNCTION("""COMPUTED_VALUE"""),"2023 05")</f>
        <v>2023 05</v>
      </c>
      <c r="L138" s="30" t="str">
        <f>IFERROR(__xludf.DUMMYFUNCTION("""COMPUTED_VALUE"""),"82.03")</f>
        <v>82.03</v>
      </c>
    </row>
    <row r="139">
      <c r="A139" s="19"/>
      <c r="B139" s="19"/>
      <c r="C139" s="30" t="str">
        <f>IFERROR(__xludf.DUMMYFUNCTION("""COMPUTED_VALUE"""),"2023 06")</f>
        <v>2023 06</v>
      </c>
      <c r="D139" s="30" t="str">
        <f>IFERROR(__xludf.DUMMYFUNCTION("""COMPUTED_VALUE"""),"42.99")</f>
        <v>42.99</v>
      </c>
      <c r="G139" s="30" t="str">
        <f>IFERROR(__xludf.DUMMYFUNCTION("""COMPUTED_VALUE"""),"2023 06")</f>
        <v>2023 06</v>
      </c>
      <c r="H139" s="30" t="str">
        <f>IFERROR(__xludf.DUMMYFUNCTION("""COMPUTED_VALUE"""),"88.8")</f>
        <v>88.8</v>
      </c>
      <c r="I139" s="30" t="str">
        <f>IFERROR(__xludf.DUMMYFUNCTION("""COMPUTED_VALUE"""),"2023 06")</f>
        <v>2023 06</v>
      </c>
      <c r="J139" s="30" t="str">
        <f>IFERROR(__xludf.DUMMYFUNCTION("""COMPUTED_VALUE"""),"318.51")</f>
        <v>318.51</v>
      </c>
      <c r="K139" s="30" t="str">
        <f>IFERROR(__xludf.DUMMYFUNCTION("""COMPUTED_VALUE"""),"2023 06")</f>
        <v>2023 06</v>
      </c>
      <c r="L139" s="30" t="str">
        <f>IFERROR(__xludf.DUMMYFUNCTION("""COMPUTED_VALUE"""),"81.16")</f>
        <v>81.16</v>
      </c>
    </row>
    <row r="140">
      <c r="A140" s="19"/>
      <c r="B140" s="19"/>
      <c r="C140" s="30" t="str">
        <f>IFERROR(__xludf.DUMMYFUNCTION("""COMPUTED_VALUE"""),"2023 07")</f>
        <v>2023 07</v>
      </c>
      <c r="D140" s="30" t="str">
        <f>IFERROR(__xludf.DUMMYFUNCTION("""COMPUTED_VALUE"""),"44.47")</f>
        <v>44.47</v>
      </c>
      <c r="G140" s="30" t="str">
        <f>IFERROR(__xludf.DUMMYFUNCTION("""COMPUTED_VALUE"""),"2023 07")</f>
        <v>2023 07</v>
      </c>
      <c r="H140" s="30" t="str">
        <f>IFERROR(__xludf.DUMMYFUNCTION("""COMPUTED_VALUE"""),"89.75")</f>
        <v>89.75</v>
      </c>
      <c r="I140" s="30" t="str">
        <f>IFERROR(__xludf.DUMMYFUNCTION("""COMPUTED_VALUE"""),"2023 07")</f>
        <v>2023 07</v>
      </c>
      <c r="J140" s="30" t="str">
        <f>IFERROR(__xludf.DUMMYFUNCTION("""COMPUTED_VALUE"""),"330.72")</f>
        <v>330.72</v>
      </c>
      <c r="K140" s="30" t="str">
        <f>IFERROR(__xludf.DUMMYFUNCTION("""COMPUTED_VALUE"""),"2023 07")</f>
        <v>2023 07</v>
      </c>
      <c r="L140" s="30" t="str">
        <f>IFERROR(__xludf.DUMMYFUNCTION("""COMPUTED_VALUE"""),"81.97")</f>
        <v>81.97</v>
      </c>
    </row>
    <row r="141">
      <c r="A141" s="19"/>
      <c r="B141" s="19"/>
      <c r="C141" s="30" t="str">
        <f>IFERROR(__xludf.DUMMYFUNCTION("""COMPUTED_VALUE"""),"2023 08")</f>
        <v>2023 08</v>
      </c>
      <c r="D141" s="30" t="str">
        <f>IFERROR(__xludf.DUMMYFUNCTION("""COMPUTED_VALUE"""),"45.91")</f>
        <v>45.91</v>
      </c>
      <c r="G141" s="30" t="str">
        <f>IFERROR(__xludf.DUMMYFUNCTION("""COMPUTED_VALUE"""),"2023 08")</f>
        <v>2023 08</v>
      </c>
      <c r="H141" s="30" t="str">
        <f>IFERROR(__xludf.DUMMYFUNCTION("""COMPUTED_VALUE"""),"92.28")</f>
        <v>92.28</v>
      </c>
      <c r="I141" s="30" t="str">
        <f>IFERROR(__xludf.DUMMYFUNCTION("""COMPUTED_VALUE"""),"2023 08")</f>
        <v>2023 08</v>
      </c>
      <c r="J141" s="30" t="str">
        <f>IFERROR(__xludf.DUMMYFUNCTION("""COMPUTED_VALUE"""),"342.58")</f>
        <v>342.58</v>
      </c>
      <c r="K141" s="30" t="str">
        <f>IFERROR(__xludf.DUMMYFUNCTION("""COMPUTED_VALUE"""),"2023 08")</f>
        <v>2023 08</v>
      </c>
      <c r="L141" s="30" t="str">
        <f>IFERROR(__xludf.DUMMYFUNCTION("""COMPUTED_VALUE"""),"84.64")</f>
        <v>84.64</v>
      </c>
    </row>
    <row r="142">
      <c r="A142" s="19"/>
      <c r="B142" s="19"/>
      <c r="C142" s="30" t="str">
        <f>IFERROR(__xludf.DUMMYFUNCTION("""COMPUTED_VALUE"""),"2023 09")</f>
        <v>2023 09</v>
      </c>
      <c r="D142" s="30" t="str">
        <f>IFERROR(__xludf.DUMMYFUNCTION("""COMPUTED_VALUE"""),"46.61")</f>
        <v>46.61</v>
      </c>
      <c r="G142" s="30" t="str">
        <f>IFERROR(__xludf.DUMMYFUNCTION("""COMPUTED_VALUE"""),"2023 09")</f>
        <v>2023 09</v>
      </c>
      <c r="H142" s="30" t="str">
        <f>IFERROR(__xludf.DUMMYFUNCTION("""COMPUTED_VALUE"""),"90.8")</f>
        <v>90.8</v>
      </c>
      <c r="I142" s="30" t="str">
        <f>IFERROR(__xludf.DUMMYFUNCTION("""COMPUTED_VALUE"""),"2023 09")</f>
        <v>2023 09</v>
      </c>
      <c r="J142" s="30" t="str">
        <f>IFERROR(__xludf.DUMMYFUNCTION("""COMPUTED_VALUE"""),"346.85")</f>
        <v>346.85</v>
      </c>
      <c r="K142" s="30" t="str">
        <f>IFERROR(__xludf.DUMMYFUNCTION("""COMPUTED_VALUE"""),"2023 09")</f>
        <v>2023 09</v>
      </c>
      <c r="L142" s="30" t="str">
        <f>IFERROR(__xludf.DUMMYFUNCTION("""COMPUTED_VALUE"""),"83.93")</f>
        <v>83.93</v>
      </c>
    </row>
    <row r="143">
      <c r="A143" s="19"/>
      <c r="B143" s="19"/>
      <c r="C143" s="30" t="str">
        <f>IFERROR(__xludf.DUMMYFUNCTION("""COMPUTED_VALUE"""),"2023 10")</f>
        <v>2023 10</v>
      </c>
      <c r="D143" s="30" t="str">
        <f>IFERROR(__xludf.DUMMYFUNCTION("""COMPUTED_VALUE"""),"44.94")</f>
        <v>44.94</v>
      </c>
      <c r="G143" s="30" t="str">
        <f>IFERROR(__xludf.DUMMYFUNCTION("""COMPUTED_VALUE"""),"2023 10")</f>
        <v>2023 10</v>
      </c>
      <c r="H143" s="30" t="str">
        <f>IFERROR(__xludf.DUMMYFUNCTION("""COMPUTED_VALUE"""),"86.97")</f>
        <v>86.97</v>
      </c>
      <c r="I143" s="30" t="str">
        <f>IFERROR(__xludf.DUMMYFUNCTION("""COMPUTED_VALUE"""),"2023 10")</f>
        <v>2023 10</v>
      </c>
      <c r="J143" s="30" t="str">
        <f>IFERROR(__xludf.DUMMYFUNCTION("""COMPUTED_VALUE"""),"333.39")</f>
        <v>333.39</v>
      </c>
      <c r="K143" s="30" t="str">
        <f>IFERROR(__xludf.DUMMYFUNCTION("""COMPUTED_VALUE"""),"2023 10")</f>
        <v>2023 10</v>
      </c>
      <c r="L143" s="30" t="str">
        <f>IFERROR(__xludf.DUMMYFUNCTION("""COMPUTED_VALUE"""),"81.32")</f>
        <v>81.32</v>
      </c>
    </row>
    <row r="144">
      <c r="A144" s="19"/>
      <c r="B144" s="19"/>
      <c r="C144" s="30" t="str">
        <f>IFERROR(__xludf.DUMMYFUNCTION("""COMPUTED_VALUE"""),"Date")</f>
        <v>Date</v>
      </c>
      <c r="D144" s="30" t="str">
        <f>IFERROR(__xludf.DUMMYFUNCTION("""COMPUTED_VALUE"""),"Close")</f>
        <v>Close</v>
      </c>
      <c r="G144" s="30" t="str">
        <f>IFERROR(__xludf.DUMMYFUNCTION("""COMPUTED_VALUE"""),"Date")</f>
        <v>Date</v>
      </c>
      <c r="H144" s="30" t="str">
        <f>IFERROR(__xludf.DUMMYFUNCTION("""COMPUTED_VALUE"""),"Close")</f>
        <v>Close</v>
      </c>
      <c r="I144" s="30" t="str">
        <f>IFERROR(__xludf.DUMMYFUNCTION("""COMPUTED_VALUE"""),"Date")</f>
        <v>Date</v>
      </c>
      <c r="J144" s="30" t="str">
        <f>IFERROR(__xludf.DUMMYFUNCTION("""COMPUTED_VALUE"""),"Close")</f>
        <v>Close</v>
      </c>
      <c r="K144" s="30" t="str">
        <f>IFERROR(__xludf.DUMMYFUNCTION("""COMPUTED_VALUE"""),"Date")</f>
        <v>Date</v>
      </c>
      <c r="L144" s="30" t="str">
        <f>IFERROR(__xludf.DUMMYFUNCTION("""COMPUTED_VALUE"""),"Close")</f>
        <v>Close</v>
      </c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23" t="str">
        <f>SUM(#REF!)</f>
        <v>#REF!</v>
      </c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  <row r="1002">
      <c r="A1002" s="19"/>
      <c r="B1002" s="19"/>
    </row>
    <row r="1003">
      <c r="A1003" s="19"/>
      <c r="B1003" s="19"/>
    </row>
    <row r="1004">
      <c r="A1004" s="19"/>
      <c r="B1004" s="19"/>
    </row>
    <row r="1005">
      <c r="A1005" s="19"/>
      <c r="B1005" s="19"/>
    </row>
    <row r="1006">
      <c r="A1006" s="19"/>
      <c r="B1006" s="19"/>
    </row>
    <row r="1007">
      <c r="A1007" s="19"/>
      <c r="B1007" s="19"/>
    </row>
    <row r="1008">
      <c r="A1008" s="19"/>
      <c r="B1008" s="19"/>
    </row>
    <row r="1009">
      <c r="A1009" s="19"/>
      <c r="B1009" s="19"/>
    </row>
    <row r="1010">
      <c r="A1010" s="19"/>
      <c r="B1010" s="19"/>
    </row>
    <row r="1011">
      <c r="A1011" s="19"/>
      <c r="B1011" s="19"/>
    </row>
    <row r="1012">
      <c r="A1012" s="19"/>
      <c r="B1012" s="19"/>
    </row>
    <row r="1013">
      <c r="A1013" s="19"/>
      <c r="B1013" s="19"/>
    </row>
    <row r="1014">
      <c r="A1014" s="19"/>
      <c r="B1014" s="19"/>
    </row>
    <row r="1015">
      <c r="A1015" s="19"/>
      <c r="B1015" s="19"/>
    </row>
    <row r="1016">
      <c r="A1016" s="19"/>
      <c r="B1016" s="19"/>
    </row>
    <row r="1017">
      <c r="A1017" s="19"/>
      <c r="B1017" s="19"/>
    </row>
    <row r="1018">
      <c r="A1018" s="19"/>
      <c r="B1018" s="19"/>
    </row>
    <row r="1019">
      <c r="A1019" s="19"/>
      <c r="B1019" s="19"/>
    </row>
    <row r="1020">
      <c r="A1020" s="19"/>
      <c r="B1020" s="19"/>
    </row>
    <row r="1021">
      <c r="A1021" s="19"/>
      <c r="B1021" s="19"/>
    </row>
    <row r="1022">
      <c r="A1022" s="19"/>
      <c r="B1022" s="19"/>
    </row>
    <row r="1023">
      <c r="A1023" s="19"/>
      <c r="B1023" s="19"/>
    </row>
    <row r="1024">
      <c r="A1024" s="19"/>
      <c r="B1024" s="19"/>
    </row>
    <row r="1025">
      <c r="A1025" s="19"/>
      <c r="B1025" s="19"/>
    </row>
    <row r="1026">
      <c r="A1026" s="19"/>
      <c r="B1026" s="19"/>
    </row>
    <row r="1027">
      <c r="A1027" s="19"/>
      <c r="B1027" s="19"/>
    </row>
    <row r="1028">
      <c r="A1028" s="19"/>
      <c r="B1028" s="19"/>
    </row>
    <row r="1029">
      <c r="A1029" s="19"/>
      <c r="B1029" s="19"/>
    </row>
    <row r="1030">
      <c r="A1030" s="19"/>
      <c r="B1030" s="19"/>
    </row>
    <row r="1031">
      <c r="A1031" s="19"/>
      <c r="B1031" s="19"/>
    </row>
    <row r="1032">
      <c r="A1032" s="19"/>
      <c r="B1032" s="19"/>
    </row>
    <row r="1033">
      <c r="A1033" s="19"/>
      <c r="B1033" s="19"/>
    </row>
    <row r="1034">
      <c r="A1034" s="19"/>
      <c r="B1034" s="19"/>
    </row>
    <row r="1035">
      <c r="A1035" s="19"/>
      <c r="B1035" s="19"/>
    </row>
    <row r="1036">
      <c r="A1036" s="19"/>
      <c r="B1036" s="19"/>
    </row>
    <row r="1037">
      <c r="A1037" s="19"/>
      <c r="B1037" s="19"/>
    </row>
    <row r="1038">
      <c r="A1038" s="19"/>
      <c r="B1038" s="19"/>
    </row>
    <row r="1039">
      <c r="A1039" s="19"/>
      <c r="B1039" s="19"/>
    </row>
    <row r="1040">
      <c r="A1040" s="19"/>
      <c r="B1040" s="19"/>
    </row>
    <row r="1041">
      <c r="A1041" s="19"/>
      <c r="B1041" s="19"/>
    </row>
    <row r="1042">
      <c r="A1042" s="19"/>
      <c r="B1042" s="19"/>
    </row>
    <row r="1043">
      <c r="A1043" s="19"/>
      <c r="B1043" s="19"/>
    </row>
    <row r="1044">
      <c r="A1044" s="19"/>
      <c r="B1044" s="19"/>
    </row>
    <row r="1045">
      <c r="A1045" s="19"/>
      <c r="B1045" s="19"/>
    </row>
    <row r="1046">
      <c r="A1046" s="19"/>
      <c r="B1046" s="19"/>
    </row>
    <row r="1047">
      <c r="A1047" s="19"/>
      <c r="B1047" s="19"/>
    </row>
    <row r="1048">
      <c r="A1048" s="19"/>
      <c r="B1048" s="19"/>
    </row>
    <row r="1049">
      <c r="A1049" s="19"/>
      <c r="B1049" s="19"/>
    </row>
    <row r="1050">
      <c r="A1050" s="19"/>
      <c r="B1050" s="19"/>
    </row>
    <row r="1051">
      <c r="A1051" s="19"/>
      <c r="B1051" s="19"/>
    </row>
    <row r="1052">
      <c r="A1052" s="19"/>
      <c r="B1052" s="19"/>
    </row>
    <row r="1053">
      <c r="A1053" s="19"/>
      <c r="B1053" s="19"/>
    </row>
    <row r="1054">
      <c r="A1054" s="19"/>
      <c r="B1054" s="19"/>
    </row>
    <row r="1055">
      <c r="A1055" s="19"/>
      <c r="B1055" s="19"/>
    </row>
    <row r="1056">
      <c r="A1056" s="19"/>
      <c r="B1056" s="19"/>
    </row>
    <row r="1057">
      <c r="A1057" s="19"/>
      <c r="B1057" s="19"/>
    </row>
    <row r="1058">
      <c r="A1058" s="19"/>
      <c r="B1058" s="19"/>
    </row>
    <row r="1059">
      <c r="A1059" s="19"/>
      <c r="B1059" s="19"/>
    </row>
    <row r="1060">
      <c r="A1060" s="19"/>
      <c r="B1060" s="19"/>
    </row>
    <row r="1061">
      <c r="A1061" s="19"/>
      <c r="B1061" s="19"/>
    </row>
    <row r="1062">
      <c r="A1062" s="19"/>
      <c r="B1062" s="19"/>
    </row>
    <row r="1063">
      <c r="A1063" s="19"/>
      <c r="B1063" s="19"/>
    </row>
    <row r="1064">
      <c r="A1064" s="19"/>
      <c r="B1064" s="19"/>
    </row>
    <row r="1065">
      <c r="A1065" s="19"/>
      <c r="B1065" s="19"/>
    </row>
    <row r="1066">
      <c r="A1066" s="19"/>
      <c r="B1066" s="19"/>
    </row>
    <row r="1067">
      <c r="A1067" s="19"/>
      <c r="B1067" s="19"/>
    </row>
    <row r="1068">
      <c r="A1068" s="19"/>
      <c r="B1068" s="19"/>
    </row>
    <row r="1069">
      <c r="A1069" s="19"/>
      <c r="B1069" s="19"/>
    </row>
    <row r="1070">
      <c r="A1070" s="19"/>
      <c r="B1070" s="19"/>
    </row>
    <row r="1071">
      <c r="A1071" s="19"/>
      <c r="B1071" s="19"/>
    </row>
    <row r="1072">
      <c r="A1072" s="19"/>
      <c r="B1072" s="19"/>
    </row>
    <row r="1073">
      <c r="A1073" s="19"/>
      <c r="B1073" s="19"/>
    </row>
    <row r="1074">
      <c r="A1074" s="19"/>
      <c r="B1074" s="19"/>
    </row>
    <row r="1075">
      <c r="A1075" s="19"/>
      <c r="B1075" s="19"/>
    </row>
    <row r="1076">
      <c r="A1076" s="19"/>
      <c r="B1076" s="19"/>
    </row>
    <row r="1077">
      <c r="A1077" s="19"/>
      <c r="B1077" s="19"/>
    </row>
    <row r="1078">
      <c r="A1078" s="19"/>
      <c r="B1078" s="19"/>
    </row>
    <row r="1079">
      <c r="A1079" s="19"/>
      <c r="B1079" s="19"/>
    </row>
    <row r="1080">
      <c r="A1080" s="19"/>
      <c r="B1080" s="19"/>
    </row>
    <row r="1081">
      <c r="A1081" s="19"/>
      <c r="B1081" s="19"/>
    </row>
    <row r="1082">
      <c r="A1082" s="19"/>
      <c r="B1082" s="19"/>
    </row>
    <row r="1083">
      <c r="A1083" s="19"/>
      <c r="B1083" s="19"/>
    </row>
    <row r="1084">
      <c r="A1084" s="19"/>
      <c r="B1084" s="19"/>
    </row>
    <row r="1085">
      <c r="A1085" s="19"/>
      <c r="B1085" s="19"/>
    </row>
    <row r="1086">
      <c r="A1086" s="19"/>
      <c r="B1086" s="19"/>
    </row>
    <row r="1087">
      <c r="A1087" s="19"/>
      <c r="B1087" s="19"/>
    </row>
    <row r="1088">
      <c r="A1088" s="19"/>
      <c r="B1088" s="19"/>
    </row>
    <row r="1089">
      <c r="A1089" s="19"/>
      <c r="B1089" s="19"/>
    </row>
    <row r="1090">
      <c r="A1090" s="19"/>
      <c r="B1090" s="19"/>
    </row>
    <row r="1091">
      <c r="A1091" s="19"/>
      <c r="B1091" s="19"/>
    </row>
    <row r="1092">
      <c r="A1092" s="19"/>
      <c r="B1092" s="19"/>
    </row>
    <row r="1093">
      <c r="A1093" s="19"/>
      <c r="B1093" s="19"/>
    </row>
    <row r="1094">
      <c r="A1094" s="19"/>
      <c r="B1094" s="19"/>
    </row>
    <row r="1095">
      <c r="A1095" s="19"/>
      <c r="B1095" s="19"/>
    </row>
    <row r="1096">
      <c r="A1096" s="19"/>
      <c r="B1096" s="19"/>
    </row>
    <row r="1097">
      <c r="A1097" s="19"/>
      <c r="B1097" s="19"/>
    </row>
    <row r="1098">
      <c r="A1098" s="19"/>
      <c r="B1098" s="19"/>
    </row>
    <row r="1099">
      <c r="A1099" s="19"/>
      <c r="B1099" s="19"/>
    </row>
    <row r="1100">
      <c r="A1100" s="19"/>
      <c r="B1100" s="19"/>
    </row>
    <row r="1101">
      <c r="A1101" s="19"/>
      <c r="B1101" s="19"/>
    </row>
    <row r="1102">
      <c r="A1102" s="19"/>
      <c r="B1102" s="19"/>
    </row>
    <row r="1103">
      <c r="A1103" s="19"/>
      <c r="B1103" s="19"/>
    </row>
    <row r="1104">
      <c r="A1104" s="19"/>
      <c r="B1104" s="19"/>
    </row>
    <row r="1105">
      <c r="A1105" s="19"/>
      <c r="B1105" s="19"/>
    </row>
    <row r="1106">
      <c r="A1106" s="19"/>
      <c r="B1106" s="19"/>
    </row>
    <row r="1107">
      <c r="A1107" s="19"/>
      <c r="B1107" s="19"/>
    </row>
    <row r="1108">
      <c r="A1108" s="19"/>
      <c r="B1108" s="19"/>
    </row>
    <row r="1109">
      <c r="A1109" s="19"/>
      <c r="B1109" s="19"/>
    </row>
    <row r="1110">
      <c r="A1110" s="19"/>
      <c r="B1110" s="19"/>
    </row>
    <row r="1111">
      <c r="A1111" s="19"/>
      <c r="B1111" s="19"/>
    </row>
    <row r="1112">
      <c r="A1112" s="19"/>
      <c r="B1112" s="19"/>
    </row>
    <row r="1113">
      <c r="A1113" s="19"/>
      <c r="B1113" s="19"/>
    </row>
    <row r="1114">
      <c r="A1114" s="19"/>
      <c r="B1114" s="19"/>
    </row>
    <row r="1115">
      <c r="A1115" s="19"/>
      <c r="B1115" s="19"/>
    </row>
    <row r="1116">
      <c r="A1116" s="19"/>
      <c r="B1116" s="19"/>
    </row>
    <row r="1117">
      <c r="A1117" s="19"/>
      <c r="B1117" s="19"/>
    </row>
    <row r="1118">
      <c r="A1118" s="19"/>
      <c r="B1118" s="19"/>
    </row>
    <row r="1119">
      <c r="A1119" s="19"/>
      <c r="B1119" s="19"/>
    </row>
    <row r="1120">
      <c r="A1120" s="19"/>
      <c r="B1120" s="19"/>
    </row>
    <row r="1121">
      <c r="A1121" s="19"/>
      <c r="B1121" s="19"/>
    </row>
    <row r="1122">
      <c r="A1122" s="19"/>
      <c r="B1122" s="19"/>
    </row>
    <row r="1123">
      <c r="A1123" s="19"/>
      <c r="B1123" s="19"/>
    </row>
    <row r="1124">
      <c r="A1124" s="19"/>
      <c r="B1124" s="19"/>
    </row>
    <row r="1125">
      <c r="A1125" s="19"/>
      <c r="B1125" s="19"/>
    </row>
    <row r="1126">
      <c r="A1126" s="19"/>
      <c r="B1126" s="19"/>
    </row>
    <row r="1127">
      <c r="A1127" s="19"/>
      <c r="B1127" s="19"/>
    </row>
    <row r="1128">
      <c r="A1128" s="19"/>
      <c r="B1128" s="19"/>
    </row>
    <row r="1129">
      <c r="A1129" s="19"/>
      <c r="B1129" s="19"/>
    </row>
    <row r="1130">
      <c r="A1130" s="19"/>
      <c r="B1130" s="19"/>
    </row>
    <row r="1131">
      <c r="A1131" s="19"/>
      <c r="B1131" s="19"/>
    </row>
    <row r="1132">
      <c r="A1132" s="19"/>
      <c r="B1132" s="19"/>
    </row>
    <row r="1133">
      <c r="A1133" s="19"/>
      <c r="B1133" s="19"/>
    </row>
    <row r="1134">
      <c r="A1134" s="19"/>
      <c r="B1134" s="19"/>
    </row>
    <row r="1135">
      <c r="A1135" s="19"/>
      <c r="B1135" s="19"/>
    </row>
    <row r="1136">
      <c r="A1136" s="19"/>
      <c r="B1136" s="19"/>
    </row>
    <row r="1137">
      <c r="A1137" s="19"/>
      <c r="B1137" s="19"/>
    </row>
    <row r="1138">
      <c r="A1138" s="19"/>
      <c r="B1138" s="19"/>
    </row>
    <row r="1139">
      <c r="A1139" s="19"/>
      <c r="B1139" s="19"/>
    </row>
    <row r="1140">
      <c r="A1140" s="19"/>
      <c r="B1140" s="19"/>
    </row>
    <row r="1141">
      <c r="A1141" s="19"/>
      <c r="B1141" s="19"/>
    </row>
    <row r="1142">
      <c r="A1142" s="19"/>
      <c r="B1142" s="19"/>
    </row>
    <row r="1143">
      <c r="A1143" s="19"/>
      <c r="B1143" s="19"/>
    </row>
    <row r="1144">
      <c r="A1144" s="19"/>
      <c r="B1144" s="19"/>
    </row>
    <row r="1145">
      <c r="A1145" s="19"/>
      <c r="B1145" s="19"/>
    </row>
    <row r="1146">
      <c r="A1146" s="19"/>
      <c r="B1146" s="19"/>
    </row>
    <row r="1147">
      <c r="A1147" s="19"/>
      <c r="B1147" s="19"/>
    </row>
    <row r="1148">
      <c r="A1148" s="19"/>
      <c r="B1148" s="19"/>
    </row>
    <row r="1149">
      <c r="A1149" s="19"/>
      <c r="B1149" s="19"/>
    </row>
    <row r="1150">
      <c r="A1150" s="19"/>
      <c r="B1150" s="19"/>
    </row>
    <row r="1151">
      <c r="A1151" s="19"/>
      <c r="B1151" s="19"/>
    </row>
    <row r="1152">
      <c r="A1152" s="19"/>
      <c r="B1152" s="19"/>
    </row>
    <row r="1153">
      <c r="A1153" s="19"/>
      <c r="B1153" s="19"/>
    </row>
    <row r="1154">
      <c r="A1154" s="19"/>
      <c r="B1154" s="19"/>
    </row>
    <row r="1155">
      <c r="A1155" s="19"/>
      <c r="B1155" s="19"/>
    </row>
    <row r="1156">
      <c r="A1156" s="19"/>
      <c r="B1156" s="19"/>
    </row>
    <row r="1157">
      <c r="A1157" s="19"/>
      <c r="B1157" s="19"/>
    </row>
    <row r="1158">
      <c r="A1158" s="19"/>
      <c r="B1158" s="19"/>
    </row>
    <row r="1159">
      <c r="A1159" s="19"/>
      <c r="B1159" s="19"/>
    </row>
    <row r="1160">
      <c r="A1160" s="19"/>
      <c r="B1160" s="19"/>
    </row>
    <row r="1161">
      <c r="A1161" s="19"/>
      <c r="B1161" s="19"/>
    </row>
    <row r="1162">
      <c r="A1162" s="19"/>
      <c r="B1162" s="19"/>
    </row>
    <row r="1163">
      <c r="A1163" s="19"/>
      <c r="B1163" s="19"/>
    </row>
    <row r="1164">
      <c r="A1164" s="19"/>
      <c r="B1164" s="19"/>
    </row>
    <row r="1165">
      <c r="A1165" s="19"/>
      <c r="B1165" s="19"/>
    </row>
    <row r="1166">
      <c r="A1166" s="19"/>
      <c r="B1166" s="19"/>
    </row>
    <row r="1167">
      <c r="A1167" s="19"/>
      <c r="B1167" s="19"/>
    </row>
    <row r="1168">
      <c r="A1168" s="19"/>
      <c r="B1168" s="19"/>
    </row>
    <row r="1169">
      <c r="A1169" s="19"/>
      <c r="B1169" s="19"/>
    </row>
    <row r="1170">
      <c r="A1170" s="19"/>
      <c r="B1170" s="19"/>
    </row>
    <row r="1171">
      <c r="A1171" s="19"/>
      <c r="B1171" s="19"/>
    </row>
    <row r="1172">
      <c r="A1172" s="19"/>
      <c r="B1172" s="19"/>
    </row>
    <row r="1173">
      <c r="A1173" s="19"/>
      <c r="B1173" s="19"/>
    </row>
    <row r="1174">
      <c r="A1174" s="19"/>
      <c r="B1174" s="19"/>
    </row>
    <row r="1175">
      <c r="A1175" s="19"/>
      <c r="B1175" s="19"/>
    </row>
    <row r="1176">
      <c r="A1176" s="19"/>
      <c r="B1176" s="19"/>
    </row>
    <row r="1177">
      <c r="A1177" s="19"/>
      <c r="B1177" s="19"/>
    </row>
    <row r="1178">
      <c r="A1178" s="19"/>
      <c r="B1178" s="19"/>
    </row>
    <row r="1179">
      <c r="A1179" s="19"/>
      <c r="B1179" s="19"/>
    </row>
    <row r="1180">
      <c r="A1180" s="19"/>
      <c r="B1180" s="19"/>
    </row>
    <row r="1181">
      <c r="A1181" s="19"/>
      <c r="B1181" s="19"/>
    </row>
    <row r="1182">
      <c r="A1182" s="19"/>
      <c r="B1182" s="19"/>
    </row>
    <row r="1183">
      <c r="A1183" s="19"/>
      <c r="B1183" s="19"/>
    </row>
    <row r="1184">
      <c r="A1184" s="19"/>
      <c r="B1184" s="19"/>
    </row>
    <row r="1185">
      <c r="A1185" s="19"/>
      <c r="B1185" s="19"/>
    </row>
    <row r="1186">
      <c r="A1186" s="19"/>
      <c r="B1186" s="19"/>
    </row>
    <row r="1187">
      <c r="A1187" s="19"/>
      <c r="B1187" s="19"/>
    </row>
    <row r="1188">
      <c r="A1188" s="19"/>
      <c r="B1188" s="19"/>
    </row>
    <row r="1189">
      <c r="A1189" s="19"/>
      <c r="B1189" s="19"/>
    </row>
    <row r="1190">
      <c r="A1190" s="19"/>
      <c r="B1190" s="19"/>
    </row>
    <row r="1191">
      <c r="A1191" s="19"/>
      <c r="B1191" s="19"/>
    </row>
    <row r="1192">
      <c r="A1192" s="19"/>
      <c r="B1192" s="19"/>
    </row>
    <row r="1193">
      <c r="A1193" s="19"/>
      <c r="B1193" s="19"/>
    </row>
    <row r="1194">
      <c r="A1194" s="19"/>
      <c r="B1194" s="19"/>
    </row>
    <row r="1195">
      <c r="A1195" s="19"/>
      <c r="B1195" s="19"/>
    </row>
    <row r="1196">
      <c r="A1196" s="19"/>
      <c r="B1196" s="19"/>
    </row>
    <row r="1197">
      <c r="A1197" s="19"/>
      <c r="B1197" s="19"/>
    </row>
    <row r="1198">
      <c r="A1198" s="19"/>
      <c r="B1198" s="19"/>
    </row>
    <row r="1199">
      <c r="A1199" s="19"/>
      <c r="B1199" s="19"/>
    </row>
    <row r="1200">
      <c r="A1200" s="19"/>
      <c r="B1200" s="19"/>
    </row>
    <row r="1201">
      <c r="A1201" s="19"/>
      <c r="B1201" s="19"/>
    </row>
    <row r="1202">
      <c r="A1202" s="19"/>
      <c r="B1202" s="19"/>
    </row>
    <row r="1203">
      <c r="A1203" s="19"/>
      <c r="B1203" s="19"/>
    </row>
    <row r="1204">
      <c r="A1204" s="19"/>
      <c r="B1204" s="19"/>
    </row>
    <row r="1205">
      <c r="A1205" s="19"/>
      <c r="B1205" s="19"/>
    </row>
    <row r="1206">
      <c r="A1206" s="19"/>
      <c r="B1206" s="19"/>
    </row>
    <row r="1207">
      <c r="A1207" s="19"/>
      <c r="B1207" s="19"/>
    </row>
    <row r="1208">
      <c r="A1208" s="19"/>
      <c r="B1208" s="19"/>
    </row>
    <row r="1209">
      <c r="A1209" s="19"/>
      <c r="B1209" s="19"/>
    </row>
    <row r="1210">
      <c r="A1210" s="19"/>
      <c r="B1210" s="19"/>
    </row>
    <row r="1211">
      <c r="A1211" s="19"/>
      <c r="B1211" s="19"/>
    </row>
    <row r="1212">
      <c r="A1212" s="19"/>
      <c r="B1212" s="19"/>
    </row>
    <row r="1213">
      <c r="A1213" s="19"/>
      <c r="B1213" s="19"/>
    </row>
    <row r="1214">
      <c r="A1214" s="19"/>
      <c r="B1214" s="19"/>
    </row>
    <row r="1215">
      <c r="A1215" s="19"/>
      <c r="B1215" s="19"/>
    </row>
    <row r="1216">
      <c r="A1216" s="19"/>
      <c r="B1216" s="19"/>
    </row>
    <row r="1217">
      <c r="A1217" s="19"/>
      <c r="B1217" s="19"/>
    </row>
    <row r="1218">
      <c r="A1218" s="19"/>
      <c r="B1218" s="19"/>
    </row>
    <row r="1219">
      <c r="A1219" s="19"/>
      <c r="B1219" s="19"/>
    </row>
    <row r="1220">
      <c r="A1220" s="19"/>
      <c r="B1220" s="19"/>
    </row>
    <row r="1221">
      <c r="A1221" s="19"/>
      <c r="B1221" s="19"/>
    </row>
    <row r="1222">
      <c r="A1222" s="19"/>
      <c r="B1222" s="19"/>
    </row>
    <row r="1223">
      <c r="A1223" s="19"/>
      <c r="B1223" s="19"/>
    </row>
    <row r="1224">
      <c r="A1224" s="19"/>
      <c r="B1224" s="19"/>
    </row>
    <row r="1225">
      <c r="A1225" s="19"/>
      <c r="B1225" s="19"/>
    </row>
    <row r="1226">
      <c r="A1226" s="19"/>
      <c r="B1226" s="19"/>
    </row>
    <row r="1227">
      <c r="A1227" s="19"/>
      <c r="B1227" s="19"/>
    </row>
    <row r="1228">
      <c r="A1228" s="19"/>
      <c r="B1228" s="19"/>
    </row>
    <row r="1229">
      <c r="A1229" s="19"/>
      <c r="B1229" s="19"/>
    </row>
    <row r="1230">
      <c r="A1230" s="19"/>
      <c r="B1230" s="19"/>
    </row>
    <row r="1231">
      <c r="A1231" s="19"/>
      <c r="B1231" s="19"/>
    </row>
    <row r="1232">
      <c r="A1232" s="19"/>
      <c r="B1232" s="19"/>
    </row>
    <row r="1233">
      <c r="A1233" s="19"/>
      <c r="B1233" s="19"/>
    </row>
    <row r="1234">
      <c r="A1234" s="19"/>
      <c r="B1234" s="19"/>
    </row>
    <row r="1235">
      <c r="A1235" s="19"/>
      <c r="B1235" s="19"/>
    </row>
    <row r="1236">
      <c r="A1236" s="19"/>
      <c r="B1236" s="19"/>
    </row>
    <row r="1237">
      <c r="A1237" s="19"/>
      <c r="B1237" s="19"/>
    </row>
    <row r="1238">
      <c r="A1238" s="19"/>
      <c r="B1238" s="19"/>
    </row>
    <row r="1239">
      <c r="A1239" s="19"/>
      <c r="B1239" s="19"/>
    </row>
    <row r="1240">
      <c r="A1240" s="19"/>
      <c r="B1240" s="19"/>
    </row>
    <row r="1241">
      <c r="A1241" s="19"/>
      <c r="B1241" s="19"/>
    </row>
    <row r="1242">
      <c r="A1242" s="19"/>
      <c r="B1242" s="19"/>
    </row>
    <row r="1243">
      <c r="A1243" s="19"/>
      <c r="B1243" s="19"/>
    </row>
    <row r="1244">
      <c r="A1244" s="19"/>
      <c r="B1244" s="19"/>
    </row>
    <row r="1245">
      <c r="A1245" s="19"/>
      <c r="B1245" s="19"/>
    </row>
    <row r="1246">
      <c r="A1246" s="19"/>
      <c r="B1246" s="19"/>
    </row>
    <row r="1247">
      <c r="A1247" s="19"/>
      <c r="B1247" s="19"/>
    </row>
    <row r="1248">
      <c r="A1248" s="19"/>
      <c r="B1248" s="19"/>
    </row>
    <row r="1249">
      <c r="A1249" s="19"/>
      <c r="B1249" s="19"/>
    </row>
    <row r="1250">
      <c r="A1250" s="19"/>
      <c r="B1250" s="19"/>
    </row>
    <row r="1251">
      <c r="A1251" s="19"/>
      <c r="B1251" s="19"/>
    </row>
    <row r="1252">
      <c r="A1252" s="19"/>
      <c r="B1252" s="19"/>
    </row>
    <row r="1253">
      <c r="A1253" s="19"/>
      <c r="B1253" s="19"/>
    </row>
    <row r="1254">
      <c r="A1254" s="19"/>
      <c r="B1254" s="19"/>
    </row>
    <row r="1255">
      <c r="A1255" s="19"/>
      <c r="B1255" s="19"/>
    </row>
    <row r="1256">
      <c r="A1256" s="19"/>
      <c r="B1256" s="19"/>
    </row>
    <row r="1257">
      <c r="A1257" s="19"/>
      <c r="B1257" s="19"/>
    </row>
    <row r="1258">
      <c r="A1258" s="19"/>
      <c r="B1258" s="19"/>
    </row>
    <row r="1259">
      <c r="A1259" s="19"/>
      <c r="B1259" s="19"/>
    </row>
    <row r="1260">
      <c r="A1260" s="19"/>
      <c r="B1260" s="19"/>
    </row>
    <row r="1261">
      <c r="A1261" s="19"/>
      <c r="B1261" s="19"/>
    </row>
    <row r="1262">
      <c r="A1262" s="19"/>
      <c r="B1262" s="19"/>
    </row>
    <row r="1263">
      <c r="A1263" s="19"/>
      <c r="B1263" s="19"/>
    </row>
    <row r="1264">
      <c r="A1264" s="19"/>
      <c r="B1264" s="19"/>
    </row>
    <row r="1265">
      <c r="A1265" s="19"/>
      <c r="B1265" s="19"/>
    </row>
    <row r="1266">
      <c r="A1266" s="19"/>
      <c r="B1266" s="19"/>
    </row>
    <row r="1267">
      <c r="A1267" s="19"/>
      <c r="B1267" s="19"/>
    </row>
    <row r="1268">
      <c r="A1268" s="19"/>
      <c r="B1268" s="19"/>
    </row>
    <row r="1269">
      <c r="A1269" s="19"/>
      <c r="B1269" s="19"/>
    </row>
    <row r="1270">
      <c r="A1270" s="19"/>
      <c r="B1270" s="19"/>
    </row>
    <row r="1271">
      <c r="A1271" s="19"/>
      <c r="B1271" s="19"/>
    </row>
    <row r="1272">
      <c r="A1272" s="19"/>
      <c r="B1272" s="19"/>
    </row>
    <row r="1273">
      <c r="A1273" s="19"/>
      <c r="B1273" s="19"/>
    </row>
    <row r="1274">
      <c r="A1274" s="19"/>
      <c r="B1274" s="19"/>
    </row>
    <row r="1275">
      <c r="A1275" s="19"/>
      <c r="B1275" s="19"/>
    </row>
    <row r="1276">
      <c r="A1276" s="19"/>
      <c r="B1276" s="19"/>
    </row>
    <row r="1277">
      <c r="A1277" s="19"/>
      <c r="B1277" s="19"/>
    </row>
    <row r="1278">
      <c r="A1278" s="19"/>
      <c r="B1278" s="19"/>
    </row>
    <row r="1279">
      <c r="A1279" s="19"/>
      <c r="B1279" s="19"/>
    </row>
    <row r="1280">
      <c r="A1280" s="19"/>
      <c r="B1280" s="19"/>
    </row>
    <row r="1281">
      <c r="A1281" s="19"/>
      <c r="B1281" s="19"/>
    </row>
    <row r="1282">
      <c r="A1282" s="19"/>
      <c r="B1282" s="19"/>
    </row>
    <row r="1283">
      <c r="A1283" s="19"/>
      <c r="B1283" s="19"/>
    </row>
    <row r="1284">
      <c r="A1284" s="19"/>
      <c r="B1284" s="19"/>
    </row>
    <row r="1285">
      <c r="A1285" s="19"/>
      <c r="B1285" s="19"/>
    </row>
    <row r="1286">
      <c r="A1286" s="19"/>
      <c r="B1286" s="19"/>
    </row>
    <row r="1287">
      <c r="A1287" s="19"/>
      <c r="B1287" s="19"/>
    </row>
    <row r="1288">
      <c r="A1288" s="19"/>
      <c r="B1288" s="19"/>
    </row>
    <row r="1289">
      <c r="A1289" s="19"/>
      <c r="B1289" s="19"/>
    </row>
    <row r="1290">
      <c r="A1290" s="19"/>
      <c r="B1290" s="19"/>
    </row>
    <row r="1291">
      <c r="A1291" s="19"/>
      <c r="B1291" s="19"/>
    </row>
    <row r="1292">
      <c r="A1292" s="19"/>
      <c r="B1292" s="19"/>
    </row>
    <row r="1293">
      <c r="A1293" s="19"/>
      <c r="B1293" s="19"/>
    </row>
    <row r="1294">
      <c r="A1294" s="19"/>
      <c r="B1294" s="19"/>
    </row>
    <row r="1295">
      <c r="A1295" s="19"/>
      <c r="B1295" s="19"/>
    </row>
    <row r="1296">
      <c r="A1296" s="19"/>
      <c r="B1296" s="19"/>
    </row>
    <row r="1297">
      <c r="A1297" s="19"/>
      <c r="B1297" s="19"/>
    </row>
    <row r="1298">
      <c r="A1298" s="19"/>
      <c r="B1298" s="19"/>
    </row>
    <row r="1299">
      <c r="A1299" s="19"/>
      <c r="B1299" s="19"/>
    </row>
    <row r="1300">
      <c r="A1300" s="19"/>
      <c r="B1300" s="19"/>
    </row>
    <row r="1301">
      <c r="A1301" s="19"/>
      <c r="B1301" s="19"/>
    </row>
    <row r="1302">
      <c r="A1302" s="19"/>
      <c r="B1302" s="19"/>
    </row>
    <row r="1303">
      <c r="A1303" s="19"/>
      <c r="B1303" s="19"/>
    </row>
    <row r="1304">
      <c r="A1304" s="19"/>
      <c r="B1304" s="19"/>
    </row>
    <row r="1305">
      <c r="A1305" s="19"/>
      <c r="B1305" s="19"/>
    </row>
    <row r="1306">
      <c r="A1306" s="19"/>
      <c r="B1306" s="19"/>
    </row>
    <row r="1307">
      <c r="A1307" s="19"/>
      <c r="B1307" s="19"/>
    </row>
    <row r="1308">
      <c r="A1308" s="19"/>
      <c r="B1308" s="19"/>
    </row>
    <row r="1309">
      <c r="A1309" s="19"/>
      <c r="B1309" s="19"/>
    </row>
    <row r="1310">
      <c r="A1310" s="19"/>
      <c r="B1310" s="19"/>
    </row>
    <row r="1311">
      <c r="A1311" s="19"/>
      <c r="B1311" s="19"/>
    </row>
    <row r="1312">
      <c r="A1312" s="19"/>
      <c r="B1312" s="19"/>
    </row>
    <row r="1313">
      <c r="A1313" s="19"/>
      <c r="B1313" s="19"/>
    </row>
    <row r="1314">
      <c r="A1314" s="19"/>
      <c r="B1314" s="19"/>
    </row>
    <row r="1315">
      <c r="A1315" s="19"/>
      <c r="B1315" s="19"/>
    </row>
    <row r="1316">
      <c r="A1316" s="19"/>
      <c r="B1316" s="19"/>
    </row>
    <row r="1317">
      <c r="A1317" s="19"/>
      <c r="B1317" s="19"/>
    </row>
    <row r="1318">
      <c r="A1318" s="19"/>
      <c r="B1318" s="19"/>
    </row>
    <row r="1319">
      <c r="A1319" s="19"/>
      <c r="B1319" s="19"/>
    </row>
    <row r="1320">
      <c r="A1320" s="19"/>
      <c r="B1320" s="19"/>
    </row>
    <row r="1321">
      <c r="A1321" s="19"/>
      <c r="B1321" s="19"/>
    </row>
    <row r="1322">
      <c r="A1322" s="19"/>
      <c r="B1322" s="19"/>
    </row>
    <row r="1323">
      <c r="A1323" s="19"/>
      <c r="B1323" s="19"/>
    </row>
    <row r="1324">
      <c r="A1324" s="19"/>
      <c r="B1324" s="19"/>
    </row>
    <row r="1325">
      <c r="A1325" s="19"/>
      <c r="B1325" s="19"/>
    </row>
    <row r="1326">
      <c r="A1326" s="19"/>
      <c r="B1326" s="19"/>
    </row>
    <row r="1327">
      <c r="A1327" s="19"/>
      <c r="B1327" s="19"/>
    </row>
    <row r="1328">
      <c r="A1328" s="19"/>
      <c r="B1328" s="19"/>
    </row>
    <row r="1329">
      <c r="A1329" s="19"/>
      <c r="B1329" s="19"/>
    </row>
    <row r="1330">
      <c r="A1330" s="19"/>
      <c r="B1330" s="19"/>
    </row>
    <row r="1331">
      <c r="A1331" s="19"/>
      <c r="B1331" s="19"/>
    </row>
    <row r="1332">
      <c r="A1332" s="19"/>
      <c r="B1332" s="19"/>
    </row>
    <row r="1333">
      <c r="A1333" s="19"/>
      <c r="B1333" s="19"/>
    </row>
    <row r="1334">
      <c r="A1334" s="19"/>
      <c r="B1334" s="19"/>
    </row>
    <row r="1335">
      <c r="A1335" s="19"/>
      <c r="B1335" s="19"/>
    </row>
    <row r="1336">
      <c r="A1336" s="19"/>
      <c r="B1336" s="19"/>
    </row>
    <row r="1337">
      <c r="A1337" s="19"/>
      <c r="B1337" s="19"/>
    </row>
    <row r="1338">
      <c r="A1338" s="19"/>
      <c r="B1338" s="19"/>
    </row>
    <row r="1339">
      <c r="A1339" s="19"/>
      <c r="B1339" s="19"/>
    </row>
    <row r="1340">
      <c r="A1340" s="19"/>
      <c r="B1340" s="19"/>
    </row>
    <row r="1341">
      <c r="A1341" s="19"/>
      <c r="B1341" s="19"/>
    </row>
    <row r="1342">
      <c r="A1342" s="19"/>
      <c r="B1342" s="19"/>
    </row>
    <row r="1343">
      <c r="A1343" s="19"/>
      <c r="B1343" s="19"/>
    </row>
    <row r="1344">
      <c r="A1344" s="19"/>
      <c r="B1344" s="19"/>
    </row>
    <row r="1345">
      <c r="A1345" s="19"/>
      <c r="B1345" s="19"/>
    </row>
    <row r="1346">
      <c r="A1346" s="19"/>
      <c r="B1346" s="19"/>
    </row>
    <row r="1347">
      <c r="A1347" s="19"/>
      <c r="B1347" s="19"/>
    </row>
    <row r="1348">
      <c r="A1348" s="19"/>
      <c r="B1348" s="19"/>
    </row>
    <row r="1349">
      <c r="A1349" s="19"/>
      <c r="B1349" s="19"/>
    </row>
    <row r="1350">
      <c r="A1350" s="19"/>
      <c r="B1350" s="19"/>
    </row>
    <row r="1351">
      <c r="A1351" s="19"/>
      <c r="B1351" s="19"/>
    </row>
    <row r="1352">
      <c r="A1352" s="19"/>
      <c r="B1352" s="19"/>
    </row>
    <row r="1353">
      <c r="A1353" s="19"/>
      <c r="B1353" s="19"/>
    </row>
    <row r="1354">
      <c r="A1354" s="19"/>
      <c r="B1354" s="19"/>
    </row>
    <row r="1355">
      <c r="A1355" s="19"/>
      <c r="B1355" s="19"/>
    </row>
    <row r="1356">
      <c r="A1356" s="19"/>
      <c r="B1356" s="19"/>
    </row>
    <row r="1357">
      <c r="A1357" s="19"/>
      <c r="B1357" s="19"/>
    </row>
    <row r="1358">
      <c r="A1358" s="19"/>
      <c r="B1358" s="19"/>
    </row>
    <row r="1359">
      <c r="A1359" s="19"/>
      <c r="B1359" s="19"/>
    </row>
    <row r="1360">
      <c r="A1360" s="19"/>
      <c r="B1360" s="19"/>
    </row>
    <row r="1361">
      <c r="A1361" s="19"/>
      <c r="B1361" s="19"/>
    </row>
    <row r="1362">
      <c r="A1362" s="19"/>
      <c r="B1362" s="19"/>
    </row>
    <row r="1363">
      <c r="A1363" s="19"/>
      <c r="B1363" s="19"/>
    </row>
    <row r="1364">
      <c r="A1364" s="19"/>
      <c r="B1364" s="19"/>
    </row>
    <row r="1365">
      <c r="A1365" s="19"/>
      <c r="B1365" s="19"/>
    </row>
    <row r="1366">
      <c r="A1366" s="19"/>
      <c r="B1366" s="19"/>
    </row>
    <row r="1367">
      <c r="A1367" s="19"/>
      <c r="B1367" s="19"/>
    </row>
    <row r="1368">
      <c r="A1368" s="19"/>
      <c r="B1368" s="19"/>
    </row>
    <row r="1369">
      <c r="A1369" s="19"/>
      <c r="B1369" s="19"/>
    </row>
    <row r="1370">
      <c r="A1370" s="19"/>
      <c r="B1370" s="19"/>
    </row>
    <row r="1371">
      <c r="A1371" s="19"/>
      <c r="B1371" s="19"/>
    </row>
    <row r="1372">
      <c r="A1372" s="19"/>
      <c r="B1372" s="19"/>
    </row>
    <row r="1373">
      <c r="A1373" s="19"/>
      <c r="B1373" s="19"/>
    </row>
    <row r="1374">
      <c r="A1374" s="19"/>
      <c r="B1374" s="19"/>
    </row>
    <row r="1375">
      <c r="A1375" s="19"/>
      <c r="B1375" s="19"/>
    </row>
    <row r="1376">
      <c r="A1376" s="19"/>
      <c r="B1376" s="19"/>
    </row>
    <row r="1377">
      <c r="A1377" s="19"/>
      <c r="B1377" s="19"/>
    </row>
    <row r="1378">
      <c r="A1378" s="19"/>
      <c r="B1378" s="19"/>
    </row>
    <row r="1379">
      <c r="A1379" s="19"/>
      <c r="B1379" s="19"/>
    </row>
    <row r="1380">
      <c r="A1380" s="19"/>
      <c r="B1380" s="19"/>
    </row>
    <row r="1381">
      <c r="A1381" s="19"/>
      <c r="B1381" s="19"/>
    </row>
    <row r="1382">
      <c r="A1382" s="19"/>
      <c r="B1382" s="19"/>
    </row>
    <row r="1383">
      <c r="A1383" s="19"/>
      <c r="B1383" s="19"/>
    </row>
    <row r="1384">
      <c r="A1384" s="19"/>
      <c r="B1384" s="19"/>
    </row>
    <row r="1385">
      <c r="A1385" s="19"/>
      <c r="B1385" s="19"/>
    </row>
    <row r="1386">
      <c r="A1386" s="19"/>
      <c r="B1386" s="19"/>
    </row>
    <row r="1387">
      <c r="A1387" s="19"/>
      <c r="B1387" s="19"/>
    </row>
    <row r="1388">
      <c r="A1388" s="19"/>
      <c r="B1388" s="19"/>
    </row>
    <row r="1389">
      <c r="A1389" s="19"/>
      <c r="B1389" s="19"/>
    </row>
    <row r="1390">
      <c r="A1390" s="19"/>
      <c r="B1390" s="19"/>
    </row>
    <row r="1391">
      <c r="A1391" s="19"/>
      <c r="B1391" s="19"/>
    </row>
    <row r="1392">
      <c r="A1392" s="19"/>
      <c r="B1392" s="19"/>
    </row>
    <row r="1393">
      <c r="A1393" s="19"/>
      <c r="B1393" s="19"/>
    </row>
    <row r="1394">
      <c r="A1394" s="19"/>
      <c r="B1394" s="19"/>
    </row>
    <row r="1395">
      <c r="A1395" s="19"/>
      <c r="B1395" s="19"/>
    </row>
    <row r="1396">
      <c r="A1396" s="19"/>
      <c r="B1396" s="19"/>
    </row>
    <row r="1397">
      <c r="A1397" s="19"/>
      <c r="B1397" s="19"/>
    </row>
    <row r="1398">
      <c r="A1398" s="19"/>
      <c r="B1398" s="19"/>
    </row>
    <row r="1399">
      <c r="A1399" s="19"/>
      <c r="B1399" s="19"/>
    </row>
    <row r="1400">
      <c r="A1400" s="19"/>
      <c r="B1400" s="19"/>
    </row>
    <row r="1401">
      <c r="A1401" s="19"/>
      <c r="B1401" s="19"/>
    </row>
    <row r="1402">
      <c r="A1402" s="19"/>
      <c r="B1402" s="19"/>
    </row>
    <row r="1403">
      <c r="A1403" s="19"/>
      <c r="B1403" s="19"/>
    </row>
    <row r="1404">
      <c r="A1404" s="19"/>
      <c r="B1404" s="19"/>
    </row>
    <row r="1405">
      <c r="A1405" s="19"/>
      <c r="B1405" s="19"/>
    </row>
    <row r="1406">
      <c r="A1406" s="19"/>
      <c r="B1406" s="19"/>
    </row>
    <row r="1407">
      <c r="A1407" s="19"/>
      <c r="B1407" s="19"/>
    </row>
    <row r="1408">
      <c r="A1408" s="19"/>
      <c r="B1408" s="19"/>
    </row>
    <row r="1409">
      <c r="A1409" s="19"/>
      <c r="B1409" s="19"/>
    </row>
    <row r="1410">
      <c r="A1410" s="19"/>
      <c r="B1410" s="19"/>
    </row>
    <row r="1411">
      <c r="A1411" s="19"/>
      <c r="B1411" s="19"/>
    </row>
    <row r="1412">
      <c r="A1412" s="19"/>
      <c r="B1412" s="19"/>
    </row>
    <row r="1413">
      <c r="A1413" s="19"/>
      <c r="B1413" s="19"/>
    </row>
    <row r="1414">
      <c r="A1414" s="19"/>
      <c r="B1414" s="19"/>
    </row>
    <row r="1415">
      <c r="A1415" s="19"/>
      <c r="B1415" s="19"/>
    </row>
    <row r="1416">
      <c r="A1416" s="19"/>
      <c r="B1416" s="19"/>
    </row>
    <row r="1417">
      <c r="A1417" s="19"/>
      <c r="B1417" s="19"/>
    </row>
    <row r="1418">
      <c r="A1418" s="19"/>
      <c r="B1418" s="19"/>
    </row>
    <row r="1419">
      <c r="A1419" s="19"/>
      <c r="B1419" s="19"/>
    </row>
    <row r="1420">
      <c r="A1420" s="19"/>
      <c r="B1420" s="19"/>
    </row>
    <row r="1421">
      <c r="A1421" s="19"/>
      <c r="B1421" s="19"/>
    </row>
    <row r="1422">
      <c r="A1422" s="19"/>
      <c r="B1422" s="19"/>
    </row>
    <row r="1423">
      <c r="A1423" s="19"/>
      <c r="B1423" s="19"/>
    </row>
    <row r="1424">
      <c r="A1424" s="19"/>
      <c r="B1424" s="19"/>
    </row>
    <row r="1425">
      <c r="A1425" s="19"/>
      <c r="B1425" s="19"/>
    </row>
    <row r="1426">
      <c r="A1426" s="19"/>
      <c r="B1426" s="19"/>
    </row>
    <row r="1427">
      <c r="A1427" s="19"/>
      <c r="B1427" s="19"/>
    </row>
    <row r="1428">
      <c r="A1428" s="19"/>
      <c r="B1428" s="19"/>
    </row>
    <row r="1429">
      <c r="A1429" s="19"/>
      <c r="B1429" s="19"/>
    </row>
    <row r="1430">
      <c r="A1430" s="19"/>
      <c r="B1430" s="19"/>
    </row>
    <row r="1431">
      <c r="A1431" s="19"/>
      <c r="B1431" s="19"/>
    </row>
    <row r="1432">
      <c r="A1432" s="19"/>
      <c r="B1432" s="19"/>
    </row>
    <row r="1433">
      <c r="A1433" s="19"/>
      <c r="B1433" s="19"/>
    </row>
    <row r="1434">
      <c r="A1434" s="19"/>
      <c r="B1434" s="19"/>
    </row>
    <row r="1435">
      <c r="A1435" s="19"/>
      <c r="B1435" s="19"/>
    </row>
    <row r="1436">
      <c r="A1436" s="19"/>
      <c r="B1436" s="19"/>
    </row>
    <row r="1437">
      <c r="A1437" s="19"/>
      <c r="B1437" s="19"/>
    </row>
    <row r="1438">
      <c r="A1438" s="19"/>
      <c r="B1438" s="19"/>
    </row>
    <row r="1439">
      <c r="A1439" s="19"/>
      <c r="B1439" s="19"/>
    </row>
    <row r="1440">
      <c r="A1440" s="19"/>
      <c r="B1440" s="19"/>
    </row>
    <row r="1441">
      <c r="A1441" s="19"/>
      <c r="B1441" s="19"/>
    </row>
    <row r="1442">
      <c r="A1442" s="19"/>
      <c r="B1442" s="19"/>
    </row>
    <row r="1443">
      <c r="A1443" s="19"/>
      <c r="B1443" s="19"/>
    </row>
    <row r="1444">
      <c r="A1444" s="19"/>
      <c r="B1444" s="19"/>
    </row>
    <row r="1445">
      <c r="A1445" s="19"/>
      <c r="B1445" s="19"/>
    </row>
    <row r="1446">
      <c r="A1446" s="19"/>
      <c r="B1446" s="19"/>
    </row>
    <row r="1447">
      <c r="A1447" s="19"/>
      <c r="B1447" s="19"/>
    </row>
    <row r="1448">
      <c r="A1448" s="19"/>
      <c r="B1448" s="19"/>
    </row>
    <row r="1449">
      <c r="A1449" s="19"/>
      <c r="B1449" s="19"/>
    </row>
    <row r="1450">
      <c r="A1450" s="19"/>
      <c r="B1450" s="19"/>
    </row>
    <row r="1451">
      <c r="A1451" s="19"/>
      <c r="B1451" s="19"/>
    </row>
    <row r="1452">
      <c r="A1452" s="19"/>
      <c r="B1452" s="19"/>
    </row>
    <row r="1453">
      <c r="A1453" s="19"/>
      <c r="B1453" s="19"/>
    </row>
    <row r="1454">
      <c r="A1454" s="19"/>
      <c r="B1454" s="19"/>
    </row>
    <row r="1455">
      <c r="A1455" s="19"/>
      <c r="B1455" s="19"/>
    </row>
    <row r="1456">
      <c r="A1456" s="19"/>
      <c r="B1456" s="19"/>
    </row>
    <row r="1457">
      <c r="A1457" s="19"/>
      <c r="B1457" s="19"/>
    </row>
    <row r="1458">
      <c r="A1458" s="19"/>
      <c r="B1458" s="19"/>
    </row>
    <row r="1459">
      <c r="A1459" s="19"/>
      <c r="B1459" s="19"/>
    </row>
    <row r="1460">
      <c r="A1460" s="19"/>
      <c r="B1460" s="19"/>
    </row>
    <row r="1461">
      <c r="A1461" s="19"/>
      <c r="B1461" s="19"/>
    </row>
    <row r="1462">
      <c r="A1462" s="19"/>
      <c r="B1462" s="19"/>
    </row>
    <row r="1463">
      <c r="A1463" s="19"/>
      <c r="B1463" s="19"/>
    </row>
    <row r="1464">
      <c r="A1464" s="19"/>
      <c r="B1464" s="19"/>
    </row>
    <row r="1465">
      <c r="A1465" s="19"/>
      <c r="B1465" s="19"/>
    </row>
    <row r="1466">
      <c r="A1466" s="19"/>
      <c r="B1466" s="19"/>
    </row>
    <row r="1467">
      <c r="A1467" s="19"/>
      <c r="B1467" s="19"/>
    </row>
    <row r="1468">
      <c r="A1468" s="19"/>
      <c r="B1468" s="19"/>
    </row>
    <row r="1469">
      <c r="A1469" s="19"/>
      <c r="B1469" s="19"/>
    </row>
    <row r="1470">
      <c r="A1470" s="19"/>
      <c r="B1470" s="19"/>
    </row>
    <row r="1471">
      <c r="A1471" s="19"/>
      <c r="B1471" s="19"/>
    </row>
    <row r="1472">
      <c r="A1472" s="19"/>
      <c r="B1472" s="19"/>
    </row>
    <row r="1473">
      <c r="A1473" s="19"/>
      <c r="B1473" s="19"/>
    </row>
    <row r="1474">
      <c r="A1474" s="19"/>
      <c r="B1474" s="19"/>
    </row>
    <row r="1475">
      <c r="A1475" s="19"/>
      <c r="B1475" s="19"/>
    </row>
    <row r="1476">
      <c r="A1476" s="19"/>
      <c r="B1476" s="19"/>
    </row>
    <row r="1477">
      <c r="A1477" s="19"/>
      <c r="B1477" s="19"/>
    </row>
    <row r="1478">
      <c r="A1478" s="19"/>
      <c r="B1478" s="19"/>
    </row>
    <row r="1479">
      <c r="A1479" s="19"/>
      <c r="B1479" s="19"/>
    </row>
    <row r="1480">
      <c r="A1480" s="19"/>
      <c r="B1480" s="19"/>
    </row>
    <row r="1481">
      <c r="A1481" s="19"/>
      <c r="B1481" s="19"/>
    </row>
    <row r="1482">
      <c r="A1482" s="19"/>
      <c r="B1482" s="19"/>
    </row>
    <row r="1483">
      <c r="A1483" s="19"/>
      <c r="B1483" s="19"/>
    </row>
    <row r="1484">
      <c r="A1484" s="19"/>
      <c r="B1484" s="19"/>
    </row>
    <row r="1485">
      <c r="A1485" s="19"/>
      <c r="B1485" s="19"/>
    </row>
    <row r="1486">
      <c r="A1486" s="19"/>
      <c r="B1486" s="19"/>
    </row>
    <row r="1487">
      <c r="A1487" s="19"/>
      <c r="B1487" s="19"/>
    </row>
    <row r="1488">
      <c r="A1488" s="19"/>
      <c r="B1488" s="19"/>
    </row>
    <row r="1489">
      <c r="A1489" s="19"/>
      <c r="B1489" s="19"/>
    </row>
    <row r="1490">
      <c r="A1490" s="19"/>
      <c r="B1490" s="19"/>
    </row>
    <row r="1491">
      <c r="A1491" s="19"/>
      <c r="B1491" s="19"/>
    </row>
    <row r="1492">
      <c r="A1492" s="19"/>
      <c r="B1492" s="19"/>
    </row>
    <row r="1493">
      <c r="A1493" s="19"/>
      <c r="B1493" s="19"/>
    </row>
    <row r="1494">
      <c r="A1494" s="19"/>
      <c r="B1494" s="19"/>
    </row>
    <row r="1495">
      <c r="A1495" s="19"/>
      <c r="B1495" s="19"/>
    </row>
    <row r="1496">
      <c r="A1496" s="19"/>
      <c r="B1496" s="19"/>
    </row>
    <row r="1497">
      <c r="A1497" s="19"/>
      <c r="B1497" s="19"/>
    </row>
    <row r="1498">
      <c r="A1498" s="19"/>
      <c r="B1498" s="19"/>
    </row>
    <row r="1499">
      <c r="A1499" s="19"/>
      <c r="B1499" s="19"/>
    </row>
    <row r="1500">
      <c r="A1500" s="19"/>
      <c r="B1500" s="19"/>
    </row>
    <row r="1501">
      <c r="A1501" s="19"/>
      <c r="B1501" s="19"/>
    </row>
    <row r="1502">
      <c r="A1502" s="19"/>
      <c r="B1502" s="19"/>
    </row>
    <row r="1503">
      <c r="A1503" s="19"/>
      <c r="B1503" s="19"/>
    </row>
    <row r="1504">
      <c r="A1504" s="19"/>
      <c r="B1504" s="19"/>
    </row>
    <row r="1505">
      <c r="A1505" s="19"/>
      <c r="B1505" s="19"/>
    </row>
    <row r="1506">
      <c r="A1506" s="19"/>
      <c r="B1506" s="19"/>
    </row>
    <row r="1507">
      <c r="A1507" s="19"/>
      <c r="B1507" s="19"/>
    </row>
    <row r="1508">
      <c r="A1508" s="19"/>
      <c r="B1508" s="19"/>
    </row>
    <row r="1509">
      <c r="A1509" s="19"/>
      <c r="B1509" s="19"/>
    </row>
    <row r="1510">
      <c r="A1510" s="19"/>
      <c r="B1510" s="19"/>
    </row>
    <row r="1511">
      <c r="A1511" s="19"/>
      <c r="B1511" s="19"/>
    </row>
    <row r="1512">
      <c r="A1512" s="19"/>
      <c r="B1512" s="19"/>
    </row>
    <row r="1513">
      <c r="A1513" s="19"/>
      <c r="B1513" s="19"/>
    </row>
    <row r="1514">
      <c r="A1514" s="19"/>
      <c r="B1514" s="19"/>
    </row>
    <row r="1515">
      <c r="A1515" s="19"/>
      <c r="B1515" s="19"/>
    </row>
    <row r="1516">
      <c r="A1516" s="19"/>
      <c r="B1516" s="19"/>
    </row>
    <row r="1517">
      <c r="A1517" s="19"/>
      <c r="B1517" s="19"/>
    </row>
    <row r="1518">
      <c r="A1518" s="19"/>
      <c r="B1518" s="19"/>
    </row>
    <row r="1519">
      <c r="A1519" s="19"/>
      <c r="B1519" s="19"/>
    </row>
    <row r="1520">
      <c r="A1520" s="19"/>
      <c r="B1520" s="19"/>
    </row>
    <row r="1521">
      <c r="A1521" s="19"/>
      <c r="B1521" s="19"/>
    </row>
    <row r="1522">
      <c r="A1522" s="19"/>
      <c r="B1522" s="19"/>
    </row>
    <row r="1523">
      <c r="A1523" s="19"/>
      <c r="B1523" s="19"/>
    </row>
    <row r="1524">
      <c r="A1524" s="19"/>
      <c r="B1524" s="19"/>
    </row>
    <row r="1525">
      <c r="A1525" s="19"/>
      <c r="B1525" s="19"/>
    </row>
    <row r="1526">
      <c r="A1526" s="19"/>
      <c r="B1526" s="19"/>
    </row>
    <row r="1527">
      <c r="A1527" s="19"/>
      <c r="B1527" s="19"/>
    </row>
    <row r="1528">
      <c r="A1528" s="19"/>
      <c r="B1528" s="19"/>
    </row>
    <row r="1529">
      <c r="A1529" s="19"/>
      <c r="B1529" s="19"/>
    </row>
    <row r="1530">
      <c r="A1530" s="19"/>
      <c r="B1530" s="19"/>
    </row>
    <row r="1531">
      <c r="A1531" s="19"/>
      <c r="B1531" s="19"/>
    </row>
    <row r="1532">
      <c r="A1532" s="19"/>
      <c r="B1532" s="19"/>
    </row>
    <row r="1533">
      <c r="A1533" s="19"/>
      <c r="B1533" s="19"/>
    </row>
    <row r="1534">
      <c r="A1534" s="19"/>
      <c r="B1534" s="19"/>
    </row>
    <row r="1535">
      <c r="A1535" s="19"/>
      <c r="B1535" s="19"/>
    </row>
    <row r="1536">
      <c r="A1536" s="19"/>
      <c r="B1536" s="19"/>
    </row>
    <row r="1537">
      <c r="A1537" s="19"/>
      <c r="B1537" s="19"/>
    </row>
    <row r="1538">
      <c r="A1538" s="19"/>
      <c r="B1538" s="19"/>
    </row>
    <row r="1539">
      <c r="A1539" s="19"/>
      <c r="B1539" s="19"/>
    </row>
    <row r="1540">
      <c r="A1540" s="19"/>
      <c r="B1540" s="19"/>
    </row>
    <row r="1541">
      <c r="A1541" s="19"/>
      <c r="B1541" s="19"/>
    </row>
    <row r="1542">
      <c r="A1542" s="19"/>
      <c r="B1542" s="19"/>
    </row>
    <row r="1543">
      <c r="A1543" s="19"/>
      <c r="B1543" s="19"/>
    </row>
    <row r="1544">
      <c r="A1544" s="19"/>
      <c r="B1544" s="19"/>
    </row>
    <row r="1545">
      <c r="A1545" s="19"/>
      <c r="B1545" s="19"/>
    </row>
    <row r="1546">
      <c r="A1546" s="19"/>
      <c r="B1546" s="19"/>
    </row>
    <row r="1547">
      <c r="A1547" s="19"/>
      <c r="B1547" s="19"/>
    </row>
    <row r="1548">
      <c r="A1548" s="19"/>
      <c r="B1548" s="19"/>
    </row>
    <row r="1549">
      <c r="A1549" s="19"/>
      <c r="B1549" s="19"/>
    </row>
    <row r="1550">
      <c r="A1550" s="19"/>
      <c r="B1550" s="19"/>
    </row>
    <row r="1551">
      <c r="A1551" s="19"/>
      <c r="B1551" s="19"/>
    </row>
    <row r="1552">
      <c r="A1552" s="19"/>
      <c r="B1552" s="19"/>
    </row>
    <row r="1553">
      <c r="A1553" s="19"/>
      <c r="B1553" s="19"/>
    </row>
    <row r="1554">
      <c r="A1554" s="19"/>
      <c r="B1554" s="19"/>
    </row>
    <row r="1555">
      <c r="A1555" s="19"/>
      <c r="B1555" s="19"/>
    </row>
    <row r="1556">
      <c r="A1556" s="19"/>
      <c r="B1556" s="19"/>
    </row>
    <row r="1557">
      <c r="A1557" s="19"/>
      <c r="B1557" s="19"/>
    </row>
    <row r="1558">
      <c r="A1558" s="19"/>
      <c r="B1558" s="19"/>
    </row>
    <row r="1559">
      <c r="A1559" s="19"/>
      <c r="B1559" s="19"/>
    </row>
    <row r="1560">
      <c r="A1560" s="19"/>
      <c r="B1560" s="19"/>
    </row>
    <row r="1561">
      <c r="A1561" s="19"/>
      <c r="B1561" s="19"/>
    </row>
    <row r="1562">
      <c r="A1562" s="19"/>
      <c r="B1562" s="19"/>
    </row>
    <row r="1563">
      <c r="A1563" s="19"/>
      <c r="B1563" s="19"/>
    </row>
    <row r="1564">
      <c r="A1564" s="19"/>
      <c r="B1564" s="19"/>
    </row>
    <row r="1565">
      <c r="A1565" s="19"/>
      <c r="B1565" s="19"/>
    </row>
    <row r="1566">
      <c r="A1566" s="19"/>
      <c r="B1566" s="19"/>
    </row>
    <row r="1567">
      <c r="A1567" s="19"/>
      <c r="B1567" s="19"/>
    </row>
    <row r="1568">
      <c r="A1568" s="19"/>
      <c r="B1568" s="19"/>
    </row>
    <row r="1569">
      <c r="A1569" s="19"/>
      <c r="B1569" s="19"/>
    </row>
    <row r="1570">
      <c r="A1570" s="19"/>
      <c r="B1570" s="19"/>
    </row>
    <row r="1571">
      <c r="A1571" s="19"/>
      <c r="B1571" s="19"/>
    </row>
    <row r="1572">
      <c r="A1572" s="19"/>
      <c r="B1572" s="19"/>
    </row>
    <row r="1573">
      <c r="A1573" s="19"/>
      <c r="B1573" s="19"/>
    </row>
    <row r="1574">
      <c r="A1574" s="19"/>
      <c r="B1574" s="19"/>
    </row>
    <row r="1575">
      <c r="A1575" s="19"/>
      <c r="B1575" s="19"/>
    </row>
    <row r="1576">
      <c r="A1576" s="19"/>
      <c r="B1576" s="19"/>
    </row>
    <row r="1577">
      <c r="A1577" s="19"/>
      <c r="B1577" s="19"/>
    </row>
    <row r="1578">
      <c r="A1578" s="19"/>
      <c r="B1578" s="19"/>
    </row>
    <row r="1579">
      <c r="A1579" s="19"/>
      <c r="B1579" s="19"/>
    </row>
    <row r="1580">
      <c r="A1580" s="19"/>
      <c r="B1580" s="19"/>
    </row>
    <row r="1581">
      <c r="A1581" s="19"/>
      <c r="B1581" s="19"/>
    </row>
    <row r="1582">
      <c r="A1582" s="19"/>
      <c r="B1582" s="19"/>
    </row>
    <row r="1583">
      <c r="A1583" s="19"/>
      <c r="B1583" s="19"/>
    </row>
    <row r="1584">
      <c r="A1584" s="19"/>
      <c r="B1584" s="19"/>
    </row>
    <row r="1585">
      <c r="A1585" s="19"/>
      <c r="B1585" s="19"/>
    </row>
    <row r="1586">
      <c r="A1586" s="19"/>
      <c r="B1586" s="19"/>
    </row>
    <row r="1587">
      <c r="A1587" s="19"/>
      <c r="B1587" s="19"/>
    </row>
    <row r="1588">
      <c r="A1588" s="19"/>
      <c r="B1588" s="19"/>
    </row>
    <row r="1589">
      <c r="A1589" s="19"/>
      <c r="B1589" s="19"/>
    </row>
    <row r="1590">
      <c r="A1590" s="19"/>
      <c r="B1590" s="19"/>
    </row>
    <row r="1591">
      <c r="A1591" s="19"/>
      <c r="B1591" s="19"/>
    </row>
    <row r="1592">
      <c r="A1592" s="19"/>
      <c r="B1592" s="19"/>
    </row>
    <row r="1593">
      <c r="A1593" s="19"/>
      <c r="B1593" s="19"/>
    </row>
    <row r="1594">
      <c r="A1594" s="19"/>
      <c r="B1594" s="19"/>
    </row>
    <row r="1595">
      <c r="A1595" s="19"/>
      <c r="B1595" s="19"/>
    </row>
    <row r="1596">
      <c r="A1596" s="19"/>
      <c r="B1596" s="19"/>
    </row>
    <row r="1597">
      <c r="A1597" s="19"/>
      <c r="B1597" s="19"/>
    </row>
    <row r="1598">
      <c r="A1598" s="19"/>
      <c r="B1598" s="19"/>
    </row>
    <row r="1599">
      <c r="A1599" s="19"/>
      <c r="B1599" s="19"/>
    </row>
    <row r="1600">
      <c r="A1600" s="19"/>
      <c r="B1600" s="19"/>
    </row>
    <row r="1601">
      <c r="A1601" s="19"/>
      <c r="B1601" s="19"/>
    </row>
    <row r="1602">
      <c r="A1602" s="19"/>
      <c r="B1602" s="19"/>
    </row>
    <row r="1603">
      <c r="A1603" s="19"/>
      <c r="B1603" s="19"/>
    </row>
    <row r="1604">
      <c r="A1604" s="19"/>
      <c r="B1604" s="19"/>
    </row>
    <row r="1605">
      <c r="A1605" s="19"/>
      <c r="B1605" s="19"/>
    </row>
    <row r="1606">
      <c r="A1606" s="19"/>
      <c r="B1606" s="19"/>
    </row>
    <row r="1607">
      <c r="A1607" s="19"/>
      <c r="B1607" s="19"/>
    </row>
    <row r="1608">
      <c r="A1608" s="19"/>
      <c r="B1608" s="19"/>
    </row>
    <row r="1609">
      <c r="A1609" s="19"/>
      <c r="B1609" s="19"/>
    </row>
    <row r="1610">
      <c r="A1610" s="19"/>
      <c r="B1610" s="19"/>
    </row>
    <row r="1611">
      <c r="A1611" s="19"/>
      <c r="B1611" s="19"/>
    </row>
    <row r="1612">
      <c r="A1612" s="19"/>
      <c r="B1612" s="19"/>
    </row>
    <row r="1613">
      <c r="A1613" s="19"/>
      <c r="B1613" s="19"/>
    </row>
    <row r="1614">
      <c r="A1614" s="19"/>
      <c r="B1614" s="19"/>
    </row>
    <row r="1615">
      <c r="A1615" s="19"/>
      <c r="B1615" s="19"/>
    </row>
    <row r="1616">
      <c r="A1616" s="19"/>
      <c r="B1616" s="19"/>
    </row>
    <row r="1617">
      <c r="A1617" s="19"/>
      <c r="B1617" s="19"/>
    </row>
    <row r="1618">
      <c r="A1618" s="19"/>
      <c r="B1618" s="19"/>
    </row>
    <row r="1619">
      <c r="A1619" s="19"/>
      <c r="B1619" s="19"/>
    </row>
    <row r="1620">
      <c r="A1620" s="19"/>
      <c r="B1620" s="19"/>
    </row>
    <row r="1621">
      <c r="A1621" s="19"/>
      <c r="B1621" s="19"/>
    </row>
    <row r="1622">
      <c r="A1622" s="19"/>
      <c r="B1622" s="19"/>
    </row>
    <row r="1623">
      <c r="A1623" s="19"/>
      <c r="B1623" s="19"/>
    </row>
    <row r="1624">
      <c r="A1624" s="19"/>
      <c r="B1624" s="19"/>
    </row>
    <row r="1625">
      <c r="A1625" s="19"/>
      <c r="B1625" s="19"/>
    </row>
    <row r="1626">
      <c r="A1626" s="19"/>
      <c r="B1626" s="19"/>
    </row>
    <row r="1627">
      <c r="A1627" s="19"/>
      <c r="B1627" s="19"/>
    </row>
    <row r="1628">
      <c r="A1628" s="19"/>
      <c r="B1628" s="19"/>
    </row>
    <row r="1629">
      <c r="A1629" s="19"/>
      <c r="B1629" s="19"/>
    </row>
    <row r="1630">
      <c r="A1630" s="19"/>
      <c r="B1630" s="19"/>
    </row>
    <row r="1631">
      <c r="A1631" s="19"/>
      <c r="B1631" s="19"/>
    </row>
    <row r="1632">
      <c r="A1632" s="19"/>
      <c r="B1632" s="19"/>
    </row>
    <row r="1633">
      <c r="A1633" s="19"/>
      <c r="B1633" s="19"/>
    </row>
    <row r="1634">
      <c r="A1634" s="19"/>
      <c r="B1634" s="19"/>
    </row>
    <row r="1635">
      <c r="A1635" s="19"/>
      <c r="B1635" s="19"/>
    </row>
    <row r="1636">
      <c r="A1636" s="19"/>
      <c r="B1636" s="19"/>
    </row>
    <row r="1637">
      <c r="A1637" s="19"/>
      <c r="B1637" s="19"/>
    </row>
    <row r="1638">
      <c r="A1638" s="19"/>
      <c r="B1638" s="19"/>
    </row>
    <row r="1639">
      <c r="A1639" s="19"/>
      <c r="B1639" s="19"/>
    </row>
    <row r="1640">
      <c r="A1640" s="19"/>
      <c r="B1640" s="19"/>
    </row>
    <row r="1641">
      <c r="A1641" s="19"/>
      <c r="B1641" s="19"/>
    </row>
    <row r="1642">
      <c r="A1642" s="19"/>
      <c r="B1642" s="19"/>
    </row>
    <row r="1643">
      <c r="A1643" s="19"/>
      <c r="B1643" s="19"/>
    </row>
    <row r="1644">
      <c r="A1644" s="19"/>
      <c r="B1644" s="19"/>
    </row>
    <row r="1645">
      <c r="A1645" s="19"/>
      <c r="B1645" s="19"/>
    </row>
    <row r="1646">
      <c r="A1646" s="19"/>
      <c r="B1646" s="19"/>
    </row>
    <row r="1647">
      <c r="A1647" s="19"/>
      <c r="B1647" s="19"/>
    </row>
    <row r="1648">
      <c r="A1648" s="19"/>
      <c r="B1648" s="19"/>
    </row>
    <row r="1649">
      <c r="A1649" s="19"/>
      <c r="B1649" s="19"/>
    </row>
    <row r="1650">
      <c r="A1650" s="19"/>
      <c r="B1650" s="19"/>
    </row>
    <row r="1651">
      <c r="A1651" s="19"/>
      <c r="B1651" s="19"/>
    </row>
    <row r="1652">
      <c r="A1652" s="19"/>
      <c r="B1652" s="19"/>
    </row>
    <row r="1653">
      <c r="A1653" s="19"/>
      <c r="B1653" s="19"/>
    </row>
    <row r="1654">
      <c r="A1654" s="19"/>
      <c r="B1654" s="19"/>
    </row>
    <row r="1655">
      <c r="A1655" s="19"/>
      <c r="B1655" s="19"/>
    </row>
    <row r="1656">
      <c r="A1656" s="19"/>
      <c r="B1656" s="19"/>
    </row>
    <row r="1657">
      <c r="A1657" s="19"/>
      <c r="B1657" s="19"/>
    </row>
    <row r="1658">
      <c r="A1658" s="19"/>
      <c r="B1658" s="19"/>
    </row>
    <row r="1659">
      <c r="A1659" s="19"/>
      <c r="B1659" s="19"/>
    </row>
    <row r="1660">
      <c r="A1660" s="19"/>
      <c r="B1660" s="19"/>
    </row>
    <row r="1661">
      <c r="A1661" s="19"/>
      <c r="B1661" s="19"/>
    </row>
    <row r="1662">
      <c r="A1662" s="19"/>
      <c r="B1662" s="19"/>
    </row>
    <row r="1663">
      <c r="A1663" s="19"/>
      <c r="B1663" s="19"/>
    </row>
    <row r="1664">
      <c r="A1664" s="19"/>
      <c r="B1664" s="19"/>
    </row>
    <row r="1665">
      <c r="A1665" s="19"/>
      <c r="B1665" s="19"/>
    </row>
    <row r="1666">
      <c r="A1666" s="19"/>
      <c r="B1666" s="19"/>
    </row>
    <row r="1667">
      <c r="A1667" s="19"/>
      <c r="B1667" s="19"/>
    </row>
    <row r="1668">
      <c r="A1668" s="19"/>
      <c r="B1668" s="19"/>
    </row>
    <row r="1669">
      <c r="A1669" s="19"/>
      <c r="B1669" s="19"/>
    </row>
    <row r="1670">
      <c r="A1670" s="19"/>
      <c r="B1670" s="19"/>
    </row>
    <row r="1671">
      <c r="A1671" s="19"/>
      <c r="B1671" s="19"/>
    </row>
    <row r="1672">
      <c r="A1672" s="19"/>
      <c r="B1672" s="19"/>
    </row>
    <row r="1673">
      <c r="A1673" s="19"/>
      <c r="B1673" s="19"/>
    </row>
    <row r="1674">
      <c r="A1674" s="19"/>
      <c r="B1674" s="19"/>
    </row>
    <row r="1675">
      <c r="A1675" s="19"/>
      <c r="B1675" s="19"/>
    </row>
    <row r="1676">
      <c r="A1676" s="19"/>
      <c r="B1676" s="19"/>
    </row>
    <row r="1677">
      <c r="A1677" s="19"/>
      <c r="B1677" s="19"/>
    </row>
    <row r="1678">
      <c r="A1678" s="19"/>
      <c r="B1678" s="19"/>
    </row>
    <row r="1679">
      <c r="A1679" s="19"/>
      <c r="B1679" s="19"/>
    </row>
    <row r="1680">
      <c r="A1680" s="19"/>
      <c r="B1680" s="19"/>
    </row>
    <row r="1681">
      <c r="A1681" s="19"/>
      <c r="B1681" s="19"/>
    </row>
    <row r="1682">
      <c r="A1682" s="19"/>
      <c r="B1682" s="19"/>
    </row>
    <row r="1683">
      <c r="A1683" s="19"/>
      <c r="B1683" s="19"/>
    </row>
    <row r="1684">
      <c r="A1684" s="19"/>
      <c r="B1684" s="19"/>
    </row>
    <row r="1685">
      <c r="A1685" s="19"/>
      <c r="B1685" s="19"/>
    </row>
    <row r="1686">
      <c r="A1686" s="19"/>
      <c r="B1686" s="19"/>
    </row>
    <row r="1687">
      <c r="A1687" s="19"/>
      <c r="B1687" s="19"/>
    </row>
    <row r="1688">
      <c r="A1688" s="19"/>
      <c r="B1688" s="19"/>
    </row>
    <row r="1689">
      <c r="A1689" s="19"/>
      <c r="B1689" s="19"/>
    </row>
    <row r="1690">
      <c r="A1690" s="19"/>
      <c r="B1690" s="19"/>
    </row>
    <row r="1691">
      <c r="A1691" s="19"/>
      <c r="B1691" s="19"/>
    </row>
    <row r="1692">
      <c r="A1692" s="19"/>
      <c r="B1692" s="19"/>
    </row>
    <row r="1693">
      <c r="A1693" s="19"/>
      <c r="B1693" s="19"/>
    </row>
    <row r="1694">
      <c r="A1694" s="19"/>
      <c r="B1694" s="19"/>
    </row>
    <row r="1695">
      <c r="A1695" s="19"/>
      <c r="B1695" s="19"/>
    </row>
    <row r="1696">
      <c r="A1696" s="19"/>
      <c r="B1696" s="19"/>
    </row>
    <row r="1697">
      <c r="A1697" s="19"/>
      <c r="B1697" s="19"/>
    </row>
    <row r="1698">
      <c r="A1698" s="19"/>
      <c r="B1698" s="19"/>
    </row>
    <row r="1699">
      <c r="A1699" s="19"/>
      <c r="B1699" s="19"/>
    </row>
    <row r="1700">
      <c r="A1700" s="19"/>
      <c r="B1700" s="19"/>
    </row>
    <row r="1701">
      <c r="A1701" s="19"/>
      <c r="B1701" s="19"/>
    </row>
    <row r="1702">
      <c r="A1702" s="19"/>
      <c r="B1702" s="19"/>
    </row>
    <row r="1703">
      <c r="A1703" s="19"/>
      <c r="B1703" s="19"/>
    </row>
    <row r="1704">
      <c r="A1704" s="19"/>
      <c r="B1704" s="19"/>
    </row>
    <row r="1705">
      <c r="A1705" s="19"/>
      <c r="B1705" s="19"/>
    </row>
    <row r="1706">
      <c r="A1706" s="19"/>
      <c r="B1706" s="19"/>
    </row>
    <row r="1707">
      <c r="A1707" s="19"/>
      <c r="B1707" s="19"/>
    </row>
    <row r="1708">
      <c r="A1708" s="19"/>
      <c r="B1708" s="19"/>
    </row>
    <row r="1709">
      <c r="A1709" s="19"/>
      <c r="B1709" s="19"/>
    </row>
    <row r="1710">
      <c r="A1710" s="19"/>
      <c r="B1710" s="19"/>
    </row>
    <row r="1711">
      <c r="A1711" s="19"/>
      <c r="B1711" s="19"/>
    </row>
    <row r="1712">
      <c r="A1712" s="19"/>
      <c r="B1712" s="19"/>
    </row>
    <row r="1713">
      <c r="A1713" s="19"/>
      <c r="B1713" s="19"/>
    </row>
    <row r="1714">
      <c r="A1714" s="19"/>
      <c r="B1714" s="19"/>
    </row>
    <row r="1715">
      <c r="A1715" s="19"/>
      <c r="B1715" s="19"/>
    </row>
    <row r="1716">
      <c r="A1716" s="19"/>
      <c r="B1716" s="19"/>
    </row>
    <row r="1717">
      <c r="A1717" s="19"/>
      <c r="B1717" s="19"/>
    </row>
    <row r="1718">
      <c r="A1718" s="19"/>
      <c r="B1718" s="19"/>
    </row>
    <row r="1719">
      <c r="A1719" s="19"/>
      <c r="B1719" s="19"/>
    </row>
    <row r="1720">
      <c r="A1720" s="19"/>
      <c r="B1720" s="19"/>
    </row>
    <row r="1721">
      <c r="A1721" s="19"/>
      <c r="B1721" s="19"/>
    </row>
    <row r="1722">
      <c r="A1722" s="19"/>
      <c r="B1722" s="19"/>
    </row>
    <row r="1723">
      <c r="A1723" s="19"/>
      <c r="B1723" s="19"/>
    </row>
    <row r="1724">
      <c r="A1724" s="19"/>
      <c r="B1724" s="19"/>
    </row>
    <row r="1725">
      <c r="A1725" s="19"/>
      <c r="B1725" s="19"/>
    </row>
    <row r="1726">
      <c r="A1726" s="19"/>
      <c r="B1726" s="19"/>
    </row>
    <row r="1727">
      <c r="A1727" s="19"/>
      <c r="B1727" s="19"/>
    </row>
    <row r="1728">
      <c r="A1728" s="19"/>
      <c r="B1728" s="19"/>
    </row>
    <row r="1729">
      <c r="A1729" s="19"/>
      <c r="B1729" s="19"/>
    </row>
    <row r="1730">
      <c r="A1730" s="19"/>
      <c r="B1730" s="19"/>
    </row>
    <row r="1731">
      <c r="A1731" s="19"/>
      <c r="B1731" s="19"/>
    </row>
    <row r="1732">
      <c r="A1732" s="19"/>
      <c r="B1732" s="19"/>
    </row>
    <row r="1733">
      <c r="A1733" s="19"/>
      <c r="B1733" s="19"/>
    </row>
    <row r="1734">
      <c r="A1734" s="19"/>
      <c r="B1734" s="19"/>
    </row>
    <row r="1735">
      <c r="A1735" s="19"/>
      <c r="B1735" s="19"/>
    </row>
    <row r="1736">
      <c r="A1736" s="19"/>
      <c r="B1736" s="19"/>
    </row>
    <row r="1737">
      <c r="A1737" s="19"/>
      <c r="B1737" s="19"/>
    </row>
    <row r="1738">
      <c r="A1738" s="19"/>
      <c r="B1738" s="19"/>
    </row>
    <row r="1739">
      <c r="A1739" s="19"/>
      <c r="B1739" s="19"/>
    </row>
    <row r="1740">
      <c r="A1740" s="19"/>
      <c r="B1740" s="19"/>
    </row>
    <row r="1741">
      <c r="A1741" s="19"/>
      <c r="B1741" s="19"/>
    </row>
    <row r="1742">
      <c r="A1742" s="19"/>
      <c r="B1742" s="19"/>
    </row>
    <row r="1743">
      <c r="A1743" s="19"/>
      <c r="B1743" s="19"/>
    </row>
    <row r="1744">
      <c r="A1744" s="19"/>
      <c r="B1744" s="19"/>
    </row>
    <row r="1745">
      <c r="A1745" s="19"/>
      <c r="B1745" s="19"/>
    </row>
    <row r="1746">
      <c r="A1746" s="19"/>
      <c r="B1746" s="19"/>
    </row>
    <row r="1747">
      <c r="A1747" s="19"/>
      <c r="B1747" s="19"/>
    </row>
    <row r="1748">
      <c r="A1748" s="19"/>
      <c r="B1748" s="19"/>
    </row>
    <row r="1749">
      <c r="A1749" s="19"/>
      <c r="B1749" s="19"/>
    </row>
    <row r="1750">
      <c r="A1750" s="19"/>
      <c r="B1750" s="19"/>
    </row>
    <row r="1751">
      <c r="A1751" s="19"/>
      <c r="B1751" s="19"/>
    </row>
    <row r="1752">
      <c r="A1752" s="19"/>
      <c r="B1752" s="19"/>
    </row>
    <row r="1753">
      <c r="A1753" s="19"/>
      <c r="B1753" s="19"/>
    </row>
    <row r="1754">
      <c r="A1754" s="19"/>
      <c r="B1754" s="19"/>
    </row>
    <row r="1755">
      <c r="A1755" s="19"/>
      <c r="B1755" s="19"/>
    </row>
    <row r="1756">
      <c r="A1756" s="19"/>
      <c r="B1756" s="19"/>
    </row>
    <row r="1757">
      <c r="A1757" s="19"/>
      <c r="B1757" s="19"/>
    </row>
    <row r="1758">
      <c r="A1758" s="19"/>
      <c r="B1758" s="19"/>
    </row>
    <row r="1759">
      <c r="A1759" s="19"/>
      <c r="B1759" s="19"/>
    </row>
    <row r="1760">
      <c r="A1760" s="19"/>
      <c r="B1760" s="19"/>
    </row>
    <row r="1761">
      <c r="A1761" s="19"/>
      <c r="B1761" s="19"/>
    </row>
    <row r="1762">
      <c r="A1762" s="19"/>
      <c r="B1762" s="19"/>
    </row>
    <row r="1763">
      <c r="A1763" s="19"/>
      <c r="B1763" s="19"/>
    </row>
    <row r="1764">
      <c r="A1764" s="19"/>
      <c r="B1764" s="19"/>
    </row>
    <row r="1765">
      <c r="A1765" s="19"/>
      <c r="B1765" s="19"/>
    </row>
    <row r="1766">
      <c r="A1766" s="19"/>
      <c r="B1766" s="19"/>
    </row>
    <row r="1767">
      <c r="A1767" s="19"/>
      <c r="B1767" s="19"/>
    </row>
    <row r="1768">
      <c r="A1768" s="19"/>
      <c r="B1768" s="19"/>
    </row>
    <row r="1769">
      <c r="A1769" s="19"/>
      <c r="B1769" s="19"/>
    </row>
    <row r="1770">
      <c r="A1770" s="19"/>
      <c r="B1770" s="19"/>
    </row>
    <row r="1771">
      <c r="A1771" s="19"/>
      <c r="B1771" s="19"/>
    </row>
    <row r="1772">
      <c r="A1772" s="19"/>
      <c r="B1772" s="19"/>
    </row>
    <row r="1773">
      <c r="A1773" s="19"/>
      <c r="B1773" s="19"/>
    </row>
    <row r="1774">
      <c r="A1774" s="19"/>
      <c r="B1774" s="19"/>
    </row>
    <row r="1775">
      <c r="A1775" s="19"/>
      <c r="B1775" s="19"/>
    </row>
    <row r="1776">
      <c r="A1776" s="19"/>
      <c r="B1776" s="19"/>
    </row>
    <row r="1777">
      <c r="A1777" s="19"/>
      <c r="B1777" s="19"/>
    </row>
    <row r="1778">
      <c r="A1778" s="19"/>
      <c r="B1778" s="19"/>
    </row>
    <row r="1779">
      <c r="A1779" s="19"/>
      <c r="B1779" s="19"/>
    </row>
    <row r="1780">
      <c r="A1780" s="19"/>
      <c r="B1780" s="19"/>
    </row>
    <row r="1781">
      <c r="A1781" s="19"/>
      <c r="B1781" s="19"/>
    </row>
    <row r="1782">
      <c r="A1782" s="19"/>
      <c r="B1782" s="19"/>
    </row>
    <row r="1783">
      <c r="A1783" s="19"/>
      <c r="B1783" s="19"/>
    </row>
    <row r="1784">
      <c r="A1784" s="19"/>
      <c r="B1784" s="19"/>
    </row>
    <row r="1785">
      <c r="A1785" s="19"/>
      <c r="B1785" s="19"/>
    </row>
    <row r="1786">
      <c r="A1786" s="19"/>
      <c r="B1786" s="19"/>
    </row>
    <row r="1787">
      <c r="A1787" s="19"/>
      <c r="B1787" s="19"/>
    </row>
    <row r="1788">
      <c r="A1788" s="19"/>
      <c r="B1788" s="19"/>
    </row>
    <row r="1789">
      <c r="A1789" s="19"/>
      <c r="B1789" s="19"/>
    </row>
    <row r="1790">
      <c r="A1790" s="19"/>
      <c r="B1790" s="19"/>
    </row>
    <row r="1791">
      <c r="A1791" s="19"/>
      <c r="B1791" s="19"/>
    </row>
    <row r="1792">
      <c r="A1792" s="19"/>
      <c r="B1792" s="19"/>
    </row>
    <row r="1793">
      <c r="A1793" s="19"/>
      <c r="B1793" s="19"/>
    </row>
    <row r="1794">
      <c r="A1794" s="19"/>
      <c r="B1794" s="19"/>
    </row>
    <row r="1795">
      <c r="A1795" s="19"/>
      <c r="B1795" s="19"/>
    </row>
    <row r="1796">
      <c r="A1796" s="19"/>
      <c r="B1796" s="19"/>
    </row>
    <row r="1797">
      <c r="A1797" s="19"/>
      <c r="B1797" s="19"/>
    </row>
    <row r="1798">
      <c r="A1798" s="19"/>
      <c r="B1798" s="19"/>
    </row>
    <row r="1799">
      <c r="A1799" s="19"/>
      <c r="B1799" s="19"/>
    </row>
    <row r="1800">
      <c r="A1800" s="19"/>
      <c r="B1800" s="19"/>
    </row>
    <row r="1801">
      <c r="A1801" s="19"/>
      <c r="B1801" s="19"/>
    </row>
    <row r="1802">
      <c r="A1802" s="19"/>
      <c r="B1802" s="19"/>
    </row>
    <row r="1803">
      <c r="A1803" s="19"/>
      <c r="B1803" s="19"/>
    </row>
    <row r="1804">
      <c r="A1804" s="19"/>
      <c r="B1804" s="19"/>
    </row>
    <row r="1805">
      <c r="A1805" s="19"/>
      <c r="B1805" s="19"/>
    </row>
    <row r="1806">
      <c r="A1806" s="19"/>
      <c r="B1806" s="19"/>
    </row>
    <row r="1807">
      <c r="A1807" s="19"/>
      <c r="B1807" s="19"/>
    </row>
    <row r="1808">
      <c r="A1808" s="19"/>
      <c r="B1808" s="19"/>
    </row>
    <row r="1809">
      <c r="A1809" s="19"/>
      <c r="B1809" s="19"/>
    </row>
    <row r="1810">
      <c r="A1810" s="19"/>
      <c r="B1810" s="19"/>
    </row>
    <row r="1811">
      <c r="A1811" s="19"/>
      <c r="B1811" s="19"/>
    </row>
    <row r="1812">
      <c r="A1812" s="19"/>
      <c r="B1812" s="19"/>
    </row>
    <row r="1813">
      <c r="A1813" s="19"/>
      <c r="B1813" s="19"/>
    </row>
    <row r="1814">
      <c r="A1814" s="19"/>
      <c r="B1814" s="19"/>
    </row>
    <row r="1815">
      <c r="A1815" s="19"/>
      <c r="B1815" s="19"/>
    </row>
    <row r="1816">
      <c r="A1816" s="19"/>
      <c r="B1816" s="19"/>
    </row>
    <row r="1817">
      <c r="A1817" s="19"/>
      <c r="B1817" s="19"/>
    </row>
    <row r="1818">
      <c r="A1818" s="19"/>
      <c r="B1818" s="19"/>
    </row>
    <row r="1819">
      <c r="A1819" s="19"/>
      <c r="B1819" s="19"/>
    </row>
    <row r="1820">
      <c r="A1820" s="19"/>
      <c r="B1820" s="19"/>
    </row>
    <row r="1821">
      <c r="A1821" s="19"/>
      <c r="B1821" s="19"/>
    </row>
    <row r="1822">
      <c r="A1822" s="19"/>
      <c r="B1822" s="19"/>
    </row>
    <row r="1823">
      <c r="A1823" s="19"/>
      <c r="B1823" s="19"/>
    </row>
    <row r="1824">
      <c r="A1824" s="19"/>
      <c r="B1824" s="19"/>
    </row>
    <row r="1825">
      <c r="A1825" s="19"/>
      <c r="B1825" s="19"/>
    </row>
    <row r="1826">
      <c r="A1826" s="19"/>
      <c r="B1826" s="19"/>
    </row>
    <row r="1827">
      <c r="A1827" s="19"/>
      <c r="B1827" s="19"/>
    </row>
    <row r="1828">
      <c r="A1828" s="19"/>
      <c r="B1828" s="19"/>
    </row>
    <row r="1829">
      <c r="A1829" s="19"/>
      <c r="B1829" s="19"/>
    </row>
    <row r="1830">
      <c r="A1830" s="19"/>
      <c r="B1830" s="19"/>
    </row>
    <row r="1831">
      <c r="A1831" s="19"/>
      <c r="B1831" s="19"/>
    </row>
    <row r="1832">
      <c r="A1832" s="19"/>
      <c r="B1832" s="19"/>
    </row>
    <row r="1833">
      <c r="A1833" s="19"/>
      <c r="B1833" s="19"/>
    </row>
    <row r="1834">
      <c r="A1834" s="19"/>
      <c r="B1834" s="19"/>
    </row>
    <row r="1835">
      <c r="A1835" s="19"/>
      <c r="B1835" s="19"/>
    </row>
    <row r="1836">
      <c r="A1836" s="19"/>
      <c r="B1836" s="19"/>
    </row>
    <row r="1837">
      <c r="A1837" s="19"/>
      <c r="B1837" s="19"/>
    </row>
    <row r="1838">
      <c r="A1838" s="19"/>
      <c r="B1838" s="19"/>
    </row>
    <row r="1839">
      <c r="A1839" s="19"/>
      <c r="B1839" s="19"/>
    </row>
    <row r="1840">
      <c r="A1840" s="19"/>
      <c r="B1840" s="19"/>
    </row>
    <row r="1841">
      <c r="A1841" s="19"/>
      <c r="B1841" s="19"/>
    </row>
    <row r="1842">
      <c r="A1842" s="19"/>
      <c r="B1842" s="19"/>
    </row>
    <row r="1843">
      <c r="A1843" s="19"/>
      <c r="B1843" s="19"/>
    </row>
    <row r="1844">
      <c r="A1844" s="19"/>
      <c r="B1844" s="19"/>
    </row>
    <row r="1845">
      <c r="A1845" s="19"/>
      <c r="B1845" s="19"/>
    </row>
    <row r="1846">
      <c r="A1846" s="19"/>
      <c r="B1846" s="19"/>
    </row>
    <row r="1847">
      <c r="A1847" s="19"/>
      <c r="B1847" s="19"/>
    </row>
    <row r="1848">
      <c r="A1848" s="19"/>
      <c r="B1848" s="19"/>
    </row>
    <row r="1849">
      <c r="A1849" s="19"/>
      <c r="B1849" s="19"/>
    </row>
    <row r="1850">
      <c r="A1850" s="19"/>
      <c r="B1850" s="19"/>
    </row>
    <row r="1851">
      <c r="A1851" s="19"/>
      <c r="B1851" s="19"/>
    </row>
    <row r="1852">
      <c r="A1852" s="19"/>
      <c r="B1852" s="19"/>
    </row>
    <row r="1853">
      <c r="A1853" s="19"/>
      <c r="B1853" s="19"/>
    </row>
    <row r="1854">
      <c r="A1854" s="19"/>
      <c r="B1854" s="19"/>
    </row>
    <row r="1855">
      <c r="A1855" s="19"/>
      <c r="B1855" s="19"/>
    </row>
    <row r="1856">
      <c r="A1856" s="19"/>
      <c r="B1856" s="19"/>
    </row>
    <row r="1857">
      <c r="A1857" s="19"/>
      <c r="B1857" s="19"/>
    </row>
    <row r="1858">
      <c r="A1858" s="19"/>
      <c r="B1858" s="19"/>
    </row>
    <row r="1859">
      <c r="A1859" s="19"/>
      <c r="B1859" s="19"/>
    </row>
    <row r="1860">
      <c r="A1860" s="19"/>
      <c r="B1860" s="19"/>
    </row>
    <row r="1861">
      <c r="A1861" s="19"/>
      <c r="B1861" s="19"/>
    </row>
    <row r="1862">
      <c r="A1862" s="19"/>
      <c r="B1862" s="19"/>
    </row>
    <row r="1863">
      <c r="A1863" s="19"/>
      <c r="B1863" s="19"/>
    </row>
    <row r="1864">
      <c r="A1864" s="19"/>
      <c r="B1864" s="19"/>
    </row>
    <row r="1865">
      <c r="A1865" s="19"/>
      <c r="B1865" s="19"/>
    </row>
    <row r="1866">
      <c r="A1866" s="19"/>
      <c r="B1866" s="19"/>
    </row>
    <row r="1867">
      <c r="A1867" s="19"/>
      <c r="B1867" s="19"/>
    </row>
    <row r="1868">
      <c r="A1868" s="19"/>
      <c r="B1868" s="19"/>
    </row>
    <row r="1869">
      <c r="A1869" s="19"/>
      <c r="B1869" s="19"/>
    </row>
    <row r="1870">
      <c r="A1870" s="19"/>
      <c r="B1870" s="19"/>
    </row>
    <row r="1871">
      <c r="A1871" s="19"/>
      <c r="B1871" s="19"/>
    </row>
    <row r="1872">
      <c r="A1872" s="19"/>
      <c r="B1872" s="19"/>
    </row>
    <row r="1873">
      <c r="A1873" s="19"/>
      <c r="B1873" s="19"/>
    </row>
    <row r="1874">
      <c r="A1874" s="19"/>
      <c r="B1874" s="19"/>
    </row>
    <row r="1875">
      <c r="A1875" s="19"/>
      <c r="B1875" s="19"/>
    </row>
    <row r="1876">
      <c r="A1876" s="19"/>
      <c r="B1876" s="19"/>
    </row>
    <row r="1877">
      <c r="A1877" s="19"/>
      <c r="B1877" s="19"/>
    </row>
    <row r="1878">
      <c r="A1878" s="19"/>
      <c r="B1878" s="19"/>
    </row>
    <row r="1879">
      <c r="A1879" s="19"/>
      <c r="B1879" s="19"/>
    </row>
    <row r="1880">
      <c r="A1880" s="19"/>
      <c r="B1880" s="19"/>
    </row>
    <row r="1881">
      <c r="A1881" s="19"/>
      <c r="B1881" s="19"/>
    </row>
    <row r="1882">
      <c r="A1882" s="19"/>
      <c r="B1882" s="19"/>
    </row>
    <row r="1883">
      <c r="A1883" s="19"/>
      <c r="B1883" s="19"/>
    </row>
    <row r="1884">
      <c r="A1884" s="19"/>
      <c r="B1884" s="19"/>
    </row>
    <row r="1885">
      <c r="A1885" s="19"/>
      <c r="B1885" s="19"/>
    </row>
    <row r="1886">
      <c r="A1886" s="19"/>
      <c r="B1886" s="19"/>
    </row>
    <row r="1887">
      <c r="A1887" s="19"/>
      <c r="B1887" s="19"/>
    </row>
    <row r="1888">
      <c r="A1888" s="19"/>
      <c r="B1888" s="19"/>
    </row>
    <row r="1889">
      <c r="A1889" s="19"/>
      <c r="B1889" s="19"/>
    </row>
    <row r="1890">
      <c r="A1890" s="19"/>
      <c r="B1890" s="19"/>
    </row>
    <row r="1891">
      <c r="A1891" s="19"/>
      <c r="B1891" s="19"/>
    </row>
    <row r="1892">
      <c r="A1892" s="19"/>
      <c r="B1892" s="19"/>
    </row>
    <row r="1893">
      <c r="A1893" s="19"/>
      <c r="B1893" s="19"/>
    </row>
    <row r="1894">
      <c r="A1894" s="19"/>
      <c r="B1894" s="19"/>
    </row>
    <row r="1895">
      <c r="A1895" s="19"/>
      <c r="B1895" s="19"/>
    </row>
    <row r="1896">
      <c r="A1896" s="19"/>
      <c r="B1896" s="19"/>
    </row>
    <row r="1897">
      <c r="A1897" s="19"/>
      <c r="B1897" s="19"/>
    </row>
    <row r="1898">
      <c r="A1898" s="19"/>
      <c r="B1898" s="19"/>
    </row>
    <row r="1899">
      <c r="A1899" s="19"/>
      <c r="B1899" s="19"/>
    </row>
    <row r="1900">
      <c r="A1900" s="19"/>
      <c r="B1900" s="19"/>
    </row>
    <row r="1901">
      <c r="A1901" s="19"/>
      <c r="B1901" s="19"/>
    </row>
    <row r="1902">
      <c r="A1902" s="19"/>
      <c r="B1902" s="19"/>
    </row>
    <row r="1903">
      <c r="A1903" s="19"/>
      <c r="B1903" s="19"/>
    </row>
    <row r="1904">
      <c r="A1904" s="19"/>
      <c r="B1904" s="19"/>
    </row>
    <row r="1905">
      <c r="A1905" s="19"/>
      <c r="B1905" s="19"/>
    </row>
    <row r="1906">
      <c r="A1906" s="19"/>
      <c r="B1906" s="19"/>
    </row>
    <row r="1907">
      <c r="A1907" s="19"/>
      <c r="B1907" s="19"/>
    </row>
    <row r="1908">
      <c r="A1908" s="19"/>
      <c r="B1908" s="19"/>
    </row>
    <row r="1909">
      <c r="A1909" s="19"/>
      <c r="B1909" s="19"/>
    </row>
    <row r="1910">
      <c r="A1910" s="19"/>
      <c r="B1910" s="19"/>
    </row>
    <row r="1911">
      <c r="A1911" s="19"/>
      <c r="B1911" s="19"/>
    </row>
    <row r="1912">
      <c r="A1912" s="19"/>
      <c r="B1912" s="19"/>
    </row>
    <row r="1913">
      <c r="A1913" s="19"/>
      <c r="B1913" s="19"/>
    </row>
    <row r="1914">
      <c r="A1914" s="19"/>
      <c r="B1914" s="19"/>
    </row>
    <row r="1915">
      <c r="A1915" s="19"/>
      <c r="B1915" s="19"/>
    </row>
    <row r="1916">
      <c r="A1916" s="19"/>
      <c r="B1916" s="19"/>
    </row>
    <row r="1917">
      <c r="A1917" s="19"/>
      <c r="B1917" s="19"/>
    </row>
    <row r="1918">
      <c r="A1918" s="19"/>
      <c r="B1918" s="19"/>
    </row>
    <row r="1919">
      <c r="A1919" s="19"/>
      <c r="B1919" s="19"/>
    </row>
    <row r="1920">
      <c r="A1920" s="19"/>
      <c r="B1920" s="19"/>
    </row>
    <row r="1921">
      <c r="A1921" s="19"/>
      <c r="B1921" s="19"/>
    </row>
    <row r="1922">
      <c r="A1922" s="19"/>
      <c r="B1922" s="19"/>
    </row>
    <row r="1923">
      <c r="A1923" s="19"/>
      <c r="B1923" s="19"/>
    </row>
    <row r="1924">
      <c r="A1924" s="19"/>
      <c r="B1924" s="19"/>
    </row>
    <row r="1925">
      <c r="A1925" s="19"/>
      <c r="B1925" s="19"/>
    </row>
    <row r="1926">
      <c r="A1926" s="19"/>
      <c r="B1926" s="19"/>
    </row>
    <row r="1927">
      <c r="A1927" s="19"/>
      <c r="B1927" s="19"/>
    </row>
    <row r="1928">
      <c r="A1928" s="19"/>
      <c r="B1928" s="19"/>
    </row>
    <row r="1929">
      <c r="A1929" s="19"/>
      <c r="B1929" s="19"/>
    </row>
    <row r="1930">
      <c r="A1930" s="19"/>
      <c r="B1930" s="19"/>
    </row>
    <row r="1931">
      <c r="A1931" s="19"/>
      <c r="B1931" s="19"/>
    </row>
    <row r="1932">
      <c r="A1932" s="19"/>
      <c r="B1932" s="19"/>
    </row>
    <row r="1933">
      <c r="A1933" s="19"/>
      <c r="B1933" s="19"/>
    </row>
    <row r="1934">
      <c r="A1934" s="19"/>
      <c r="B1934" s="19"/>
    </row>
    <row r="1935">
      <c r="A1935" s="19"/>
      <c r="B1935" s="19"/>
    </row>
    <row r="1936">
      <c r="A1936" s="19"/>
      <c r="B1936" s="19"/>
    </row>
    <row r="1937">
      <c r="A1937" s="19"/>
      <c r="B1937" s="19"/>
    </row>
    <row r="1938">
      <c r="A1938" s="19"/>
      <c r="B1938" s="19"/>
    </row>
    <row r="1939">
      <c r="A1939" s="19"/>
      <c r="B1939" s="19"/>
    </row>
    <row r="1940">
      <c r="A1940" s="19"/>
      <c r="B1940" s="19"/>
    </row>
    <row r="1941">
      <c r="A1941" s="19"/>
      <c r="B1941" s="19"/>
    </row>
    <row r="1942">
      <c r="A1942" s="19"/>
      <c r="B1942" s="19"/>
    </row>
    <row r="1943">
      <c r="A1943" s="19"/>
      <c r="B1943" s="19"/>
    </row>
    <row r="1944">
      <c r="A1944" s="19"/>
      <c r="B1944" s="19"/>
    </row>
    <row r="1945">
      <c r="A1945" s="19"/>
      <c r="B1945" s="19"/>
    </row>
    <row r="1946">
      <c r="A1946" s="19"/>
      <c r="B1946" s="19"/>
    </row>
    <row r="1947">
      <c r="A1947" s="19"/>
      <c r="B1947" s="19"/>
    </row>
    <row r="1948">
      <c r="A1948" s="19"/>
      <c r="B1948" s="19"/>
    </row>
    <row r="1949">
      <c r="A1949" s="19"/>
      <c r="B1949" s="19"/>
    </row>
    <row r="1950">
      <c r="A1950" s="19"/>
      <c r="B1950" s="19"/>
    </row>
    <row r="1951">
      <c r="A1951" s="19"/>
      <c r="B1951" s="19"/>
    </row>
    <row r="1952">
      <c r="A1952" s="19"/>
      <c r="B1952" s="19"/>
    </row>
    <row r="1953">
      <c r="A1953" s="19"/>
      <c r="B1953" s="19"/>
    </row>
    <row r="1954">
      <c r="A1954" s="19"/>
      <c r="B1954" s="19"/>
    </row>
    <row r="1955">
      <c r="A1955" s="19"/>
      <c r="B1955" s="19"/>
    </row>
    <row r="1956">
      <c r="A1956" s="19"/>
      <c r="B1956" s="19"/>
    </row>
    <row r="1957">
      <c r="A1957" s="19"/>
      <c r="B1957" s="19"/>
    </row>
    <row r="1958">
      <c r="A1958" s="19"/>
      <c r="B1958" s="19"/>
    </row>
    <row r="1959">
      <c r="A1959" s="19"/>
      <c r="B1959" s="19"/>
    </row>
    <row r="1960">
      <c r="A1960" s="19"/>
      <c r="B1960" s="19"/>
    </row>
    <row r="1961">
      <c r="A1961" s="19"/>
      <c r="B1961" s="19"/>
    </row>
    <row r="1962">
      <c r="A1962" s="19"/>
      <c r="B1962" s="19"/>
    </row>
    <row r="1963">
      <c r="A1963" s="19"/>
      <c r="B1963" s="19"/>
    </row>
    <row r="1964">
      <c r="A1964" s="19"/>
      <c r="B1964" s="19"/>
    </row>
    <row r="1965">
      <c r="A1965" s="19"/>
      <c r="B1965" s="19"/>
    </row>
    <row r="1966">
      <c r="A1966" s="19"/>
      <c r="B1966" s="19"/>
    </row>
    <row r="1967">
      <c r="A1967" s="19"/>
      <c r="B1967" s="19"/>
    </row>
    <row r="1968">
      <c r="A1968" s="19"/>
      <c r="B1968" s="19"/>
    </row>
    <row r="1969">
      <c r="A1969" s="19"/>
      <c r="B1969" s="19"/>
    </row>
    <row r="1970">
      <c r="A1970" s="19"/>
      <c r="B1970" s="19"/>
    </row>
    <row r="1971">
      <c r="A1971" s="19"/>
      <c r="B1971" s="19"/>
    </row>
    <row r="1972">
      <c r="A1972" s="19"/>
      <c r="B1972" s="19"/>
    </row>
    <row r="1973">
      <c r="A1973" s="19"/>
      <c r="B1973" s="19"/>
    </row>
    <row r="1974">
      <c r="A1974" s="19"/>
      <c r="B1974" s="19"/>
    </row>
    <row r="1975">
      <c r="A1975" s="19"/>
      <c r="B1975" s="19"/>
    </row>
    <row r="1976">
      <c r="A1976" s="19"/>
      <c r="B1976" s="19"/>
    </row>
    <row r="1977">
      <c r="A1977" s="19"/>
      <c r="B1977" s="19"/>
    </row>
    <row r="1978">
      <c r="A1978" s="19"/>
      <c r="B1978" s="19"/>
    </row>
    <row r="1979">
      <c r="A1979" s="19"/>
      <c r="B1979" s="19"/>
    </row>
    <row r="1980">
      <c r="A1980" s="19"/>
      <c r="B1980" s="19"/>
    </row>
    <row r="1981">
      <c r="A1981" s="19"/>
      <c r="B1981" s="19"/>
    </row>
    <row r="1982">
      <c r="A1982" s="19"/>
      <c r="B1982" s="19"/>
    </row>
    <row r="1983">
      <c r="A1983" s="19"/>
      <c r="B1983" s="19"/>
    </row>
    <row r="1984">
      <c r="A1984" s="19"/>
      <c r="B1984" s="19"/>
    </row>
    <row r="1985">
      <c r="A1985" s="19"/>
      <c r="B1985" s="19"/>
    </row>
    <row r="1986">
      <c r="A1986" s="19"/>
      <c r="B1986" s="19"/>
    </row>
    <row r="1987">
      <c r="A1987" s="19"/>
      <c r="B1987" s="19"/>
    </row>
    <row r="1988">
      <c r="A1988" s="19"/>
      <c r="B1988" s="19"/>
    </row>
    <row r="1989">
      <c r="A1989" s="19"/>
      <c r="B1989" s="19"/>
    </row>
    <row r="1990">
      <c r="A1990" s="19"/>
      <c r="B1990" s="19"/>
    </row>
    <row r="1991">
      <c r="A1991" s="19"/>
      <c r="B1991" s="19"/>
    </row>
    <row r="1992">
      <c r="A1992" s="19"/>
      <c r="B1992" s="19"/>
    </row>
    <row r="1993">
      <c r="A1993" s="19"/>
      <c r="B1993" s="19"/>
    </row>
    <row r="1994">
      <c r="A1994" s="19"/>
      <c r="B1994" s="19"/>
    </row>
    <row r="1995">
      <c r="A1995" s="19"/>
      <c r="B1995" s="19"/>
    </row>
    <row r="1996">
      <c r="A1996" s="19"/>
      <c r="B1996" s="19"/>
    </row>
    <row r="1997">
      <c r="A1997" s="19"/>
      <c r="B1997" s="19"/>
    </row>
    <row r="1998">
      <c r="A1998" s="19"/>
      <c r="B1998" s="19"/>
    </row>
    <row r="1999">
      <c r="A1999" s="19"/>
      <c r="B1999" s="19"/>
    </row>
    <row r="2000">
      <c r="A2000" s="19"/>
      <c r="B2000" s="19"/>
    </row>
    <row r="2001">
      <c r="A2001" s="19"/>
      <c r="B2001" s="19"/>
    </row>
    <row r="2002">
      <c r="A2002" s="19"/>
      <c r="B2002" s="19"/>
    </row>
    <row r="2003">
      <c r="A2003" s="19"/>
      <c r="B2003" s="19"/>
    </row>
    <row r="2004">
      <c r="A2004" s="19"/>
      <c r="B2004" s="19"/>
    </row>
    <row r="2005">
      <c r="A2005" s="19"/>
      <c r="B2005" s="19"/>
    </row>
    <row r="2006">
      <c r="A2006" s="19"/>
      <c r="B2006" s="19"/>
    </row>
    <row r="2007">
      <c r="A2007" s="19"/>
      <c r="B2007" s="19"/>
    </row>
    <row r="2008">
      <c r="A2008" s="19"/>
      <c r="B2008" s="19"/>
    </row>
    <row r="2009">
      <c r="A2009" s="19"/>
      <c r="B2009" s="19"/>
    </row>
    <row r="2010">
      <c r="A2010" s="19"/>
      <c r="B2010" s="19"/>
    </row>
    <row r="2011">
      <c r="A2011" s="19"/>
      <c r="B2011" s="19"/>
    </row>
    <row r="2012">
      <c r="A2012" s="19"/>
      <c r="B2012" s="19"/>
    </row>
    <row r="2013">
      <c r="A2013" s="19"/>
      <c r="B2013" s="19"/>
    </row>
    <row r="2014">
      <c r="A2014" s="19"/>
      <c r="B2014" s="19"/>
    </row>
    <row r="2015">
      <c r="A2015" s="19"/>
      <c r="B2015" s="19"/>
    </row>
    <row r="2016">
      <c r="A2016" s="19"/>
      <c r="B2016" s="19"/>
    </row>
    <row r="2017">
      <c r="A2017" s="19"/>
      <c r="B2017" s="19"/>
    </row>
    <row r="2018">
      <c r="A2018" s="19"/>
      <c r="B2018" s="19"/>
    </row>
    <row r="2019">
      <c r="A2019" s="19"/>
      <c r="B2019" s="19"/>
    </row>
    <row r="2020">
      <c r="A2020" s="19"/>
      <c r="B2020" s="19"/>
    </row>
    <row r="2021">
      <c r="A2021" s="19"/>
      <c r="B2021" s="19"/>
    </row>
    <row r="2022">
      <c r="A2022" s="19"/>
      <c r="B2022" s="19"/>
    </row>
    <row r="2023">
      <c r="A2023" s="19"/>
      <c r="B2023" s="19"/>
    </row>
    <row r="2024">
      <c r="A2024" s="19"/>
      <c r="B2024" s="19"/>
    </row>
    <row r="2025">
      <c r="A2025" s="19"/>
      <c r="B2025" s="19"/>
    </row>
    <row r="2026">
      <c r="A2026" s="19"/>
      <c r="B2026" s="19"/>
    </row>
    <row r="2027">
      <c r="A2027" s="19"/>
      <c r="B2027" s="19"/>
    </row>
    <row r="2028">
      <c r="A2028" s="19"/>
      <c r="B2028" s="19"/>
    </row>
    <row r="2029">
      <c r="A2029" s="19"/>
      <c r="B2029" s="19"/>
    </row>
    <row r="2030">
      <c r="A2030" s="19"/>
      <c r="B2030" s="19"/>
    </row>
    <row r="2031">
      <c r="A2031" s="19"/>
      <c r="B2031" s="19"/>
    </row>
    <row r="2032">
      <c r="A2032" s="19"/>
      <c r="B2032" s="19"/>
    </row>
    <row r="2033">
      <c r="A2033" s="19"/>
      <c r="B2033" s="19"/>
    </row>
    <row r="2034">
      <c r="A2034" s="19"/>
      <c r="B2034" s="19"/>
    </row>
    <row r="2035">
      <c r="A2035" s="19"/>
      <c r="B2035" s="19"/>
    </row>
    <row r="2036">
      <c r="A2036" s="19"/>
      <c r="B2036" s="19"/>
    </row>
    <row r="2037">
      <c r="A2037" s="19"/>
      <c r="B2037" s="19"/>
    </row>
    <row r="2038">
      <c r="A2038" s="19"/>
      <c r="B2038" s="19"/>
    </row>
    <row r="2039">
      <c r="A2039" s="19"/>
      <c r="B2039" s="19"/>
    </row>
    <row r="2040">
      <c r="A2040" s="19"/>
      <c r="B2040" s="19"/>
    </row>
    <row r="2041">
      <c r="A2041" s="19"/>
      <c r="B2041" s="19"/>
    </row>
    <row r="2042">
      <c r="A2042" s="19"/>
      <c r="B2042" s="19"/>
    </row>
    <row r="2043">
      <c r="A2043" s="19"/>
      <c r="B2043" s="19"/>
    </row>
    <row r="2044">
      <c r="A2044" s="19"/>
      <c r="B2044" s="19"/>
    </row>
    <row r="2045">
      <c r="A2045" s="19"/>
      <c r="B2045" s="19"/>
    </row>
    <row r="2046">
      <c r="A2046" s="19"/>
      <c r="B2046" s="19"/>
    </row>
    <row r="2047">
      <c r="A2047" s="19"/>
      <c r="B2047" s="19"/>
    </row>
    <row r="2048">
      <c r="A2048" s="19"/>
      <c r="B2048" s="19"/>
    </row>
    <row r="2049">
      <c r="A2049" s="19"/>
      <c r="B2049" s="19"/>
    </row>
    <row r="2050">
      <c r="A2050" s="19"/>
      <c r="B2050" s="19"/>
    </row>
    <row r="2051">
      <c r="A2051" s="19"/>
      <c r="B2051" s="19"/>
    </row>
    <row r="2052">
      <c r="A2052" s="19"/>
      <c r="B2052" s="19"/>
    </row>
    <row r="2053">
      <c r="A2053" s="19"/>
      <c r="B2053" s="19"/>
    </row>
    <row r="2054">
      <c r="A2054" s="19"/>
      <c r="B2054" s="19"/>
    </row>
    <row r="2055">
      <c r="A2055" s="19"/>
      <c r="B2055" s="19"/>
    </row>
    <row r="2056">
      <c r="A2056" s="19"/>
      <c r="B2056" s="19"/>
    </row>
    <row r="2057">
      <c r="A2057" s="19"/>
      <c r="B2057" s="19"/>
    </row>
    <row r="2058">
      <c r="A2058" s="19"/>
      <c r="B2058" s="19"/>
    </row>
    <row r="2059">
      <c r="A2059" s="19"/>
      <c r="B2059" s="19"/>
    </row>
    <row r="2060">
      <c r="A2060" s="19"/>
      <c r="B2060" s="19"/>
    </row>
    <row r="2061">
      <c r="A2061" s="19"/>
      <c r="B2061" s="19"/>
    </row>
    <row r="2062">
      <c r="A2062" s="19"/>
      <c r="B2062" s="19"/>
    </row>
    <row r="2063">
      <c r="A2063" s="19"/>
      <c r="B2063" s="19"/>
    </row>
    <row r="2064">
      <c r="A2064" s="19"/>
      <c r="B2064" s="19"/>
    </row>
    <row r="2065">
      <c r="A2065" s="19"/>
      <c r="B2065" s="19"/>
    </row>
    <row r="2066">
      <c r="A2066" s="19"/>
      <c r="B2066" s="19"/>
    </row>
    <row r="2067">
      <c r="A2067" s="19"/>
      <c r="B2067" s="19"/>
    </row>
    <row r="2068">
      <c r="A2068" s="19"/>
      <c r="B2068" s="19"/>
    </row>
    <row r="2069">
      <c r="A2069" s="19"/>
      <c r="B2069" s="19"/>
    </row>
    <row r="2070">
      <c r="A2070" s="19"/>
      <c r="B2070" s="19"/>
    </row>
    <row r="2071">
      <c r="A2071" s="19"/>
      <c r="B2071" s="19"/>
    </row>
    <row r="2072">
      <c r="A2072" s="19"/>
      <c r="B2072" s="19"/>
    </row>
    <row r="2073">
      <c r="A2073" s="19"/>
      <c r="B2073" s="19"/>
    </row>
    <row r="2074">
      <c r="A2074" s="19"/>
      <c r="B2074" s="19"/>
    </row>
    <row r="2075">
      <c r="A2075" s="19"/>
      <c r="B2075" s="19"/>
    </row>
    <row r="2076">
      <c r="A2076" s="19"/>
      <c r="B2076" s="19"/>
    </row>
    <row r="2077">
      <c r="A2077" s="19"/>
      <c r="B2077" s="19"/>
    </row>
    <row r="2078">
      <c r="A2078" s="19"/>
      <c r="B2078" s="19"/>
    </row>
    <row r="2079">
      <c r="A2079" s="19"/>
      <c r="B2079" s="19"/>
    </row>
    <row r="2080">
      <c r="A2080" s="19"/>
      <c r="B2080" s="19"/>
    </row>
    <row r="2081">
      <c r="A2081" s="19"/>
      <c r="B2081" s="19"/>
    </row>
    <row r="2082">
      <c r="A2082" s="19"/>
      <c r="B2082" s="19"/>
    </row>
    <row r="2083">
      <c r="A2083" s="19"/>
      <c r="B2083" s="19"/>
    </row>
    <row r="2084">
      <c r="A2084" s="19"/>
      <c r="B2084" s="19"/>
    </row>
    <row r="2085">
      <c r="A2085" s="19"/>
      <c r="B2085" s="19"/>
    </row>
    <row r="2086">
      <c r="A2086" s="19"/>
      <c r="B2086" s="19"/>
    </row>
    <row r="2087">
      <c r="A2087" s="19"/>
      <c r="B2087" s="19"/>
    </row>
    <row r="2088">
      <c r="A2088" s="19"/>
      <c r="B2088" s="19"/>
    </row>
    <row r="2089">
      <c r="A2089" s="19"/>
      <c r="B2089" s="19"/>
    </row>
    <row r="2090">
      <c r="A2090" s="19"/>
      <c r="B2090" s="19"/>
    </row>
    <row r="2091">
      <c r="A2091" s="19"/>
      <c r="B2091" s="19"/>
    </row>
    <row r="2092">
      <c r="A2092" s="19"/>
      <c r="B2092" s="19"/>
    </row>
    <row r="2093">
      <c r="A2093" s="19"/>
      <c r="B2093" s="19"/>
    </row>
    <row r="2094">
      <c r="A2094" s="19"/>
      <c r="B2094" s="19"/>
    </row>
    <row r="2095">
      <c r="A2095" s="19"/>
      <c r="B2095" s="19"/>
    </row>
    <row r="2096">
      <c r="A2096" s="19"/>
      <c r="B2096" s="19"/>
    </row>
    <row r="2097">
      <c r="A2097" s="19"/>
      <c r="B2097" s="19"/>
    </row>
    <row r="2098">
      <c r="A2098" s="19"/>
      <c r="B2098" s="19"/>
    </row>
    <row r="2099">
      <c r="A2099" s="19"/>
      <c r="B2099" s="19"/>
    </row>
    <row r="2100">
      <c r="A2100" s="19"/>
      <c r="B2100" s="19"/>
    </row>
    <row r="2101">
      <c r="A2101" s="19"/>
      <c r="B2101" s="19"/>
    </row>
    <row r="2102">
      <c r="A2102" s="19"/>
      <c r="B2102" s="19"/>
    </row>
    <row r="2103">
      <c r="A2103" s="19"/>
      <c r="B2103" s="19"/>
    </row>
    <row r="2104">
      <c r="A2104" s="19"/>
      <c r="B2104" s="19"/>
    </row>
    <row r="2105">
      <c r="A2105" s="19"/>
      <c r="B2105" s="19"/>
    </row>
    <row r="2106">
      <c r="A2106" s="19"/>
      <c r="B2106" s="19"/>
    </row>
    <row r="2107">
      <c r="A2107" s="19"/>
      <c r="B2107" s="19"/>
    </row>
    <row r="2108">
      <c r="A2108" s="19"/>
      <c r="B2108" s="19"/>
    </row>
    <row r="2109">
      <c r="A2109" s="19"/>
      <c r="B2109" s="19"/>
    </row>
    <row r="2110">
      <c r="A2110" s="19"/>
      <c r="B2110" s="19"/>
    </row>
    <row r="2111">
      <c r="A2111" s="19"/>
      <c r="B2111" s="19"/>
    </row>
    <row r="2112">
      <c r="A2112" s="19"/>
      <c r="B2112" s="19"/>
    </row>
    <row r="2113">
      <c r="A2113" s="19"/>
      <c r="B2113" s="19"/>
    </row>
    <row r="2114">
      <c r="A2114" s="19"/>
      <c r="B2114" s="19"/>
    </row>
    <row r="2115">
      <c r="A2115" s="19"/>
      <c r="B2115" s="19"/>
    </row>
    <row r="2116">
      <c r="A2116" s="19"/>
      <c r="B2116" s="19"/>
    </row>
    <row r="2117">
      <c r="A2117" s="19"/>
      <c r="B2117" s="19"/>
    </row>
    <row r="2118">
      <c r="A2118" s="19"/>
      <c r="B2118" s="19"/>
    </row>
    <row r="2119">
      <c r="A2119" s="19"/>
      <c r="B2119" s="19"/>
    </row>
    <row r="2120">
      <c r="A2120" s="19"/>
      <c r="B2120" s="19"/>
    </row>
    <row r="2121">
      <c r="A2121" s="19"/>
      <c r="B2121" s="19"/>
    </row>
    <row r="2122">
      <c r="A2122" s="19"/>
      <c r="B2122" s="19"/>
    </row>
    <row r="2123">
      <c r="A2123" s="19"/>
      <c r="B2123" s="19"/>
    </row>
    <row r="2124">
      <c r="A2124" s="19"/>
      <c r="B2124" s="19"/>
    </row>
    <row r="2125">
      <c r="A2125" s="19"/>
      <c r="B2125" s="19"/>
    </row>
    <row r="2126">
      <c r="A2126" s="19"/>
      <c r="B2126" s="19"/>
    </row>
    <row r="2127">
      <c r="A2127" s="19"/>
      <c r="B2127" s="19"/>
    </row>
    <row r="2128">
      <c r="A2128" s="19"/>
      <c r="B2128" s="19"/>
    </row>
    <row r="2129">
      <c r="A2129" s="19"/>
      <c r="B2129" s="19"/>
    </row>
    <row r="2130">
      <c r="A2130" s="19"/>
      <c r="B2130" s="19"/>
    </row>
    <row r="2131">
      <c r="A2131" s="19"/>
      <c r="B2131" s="19"/>
    </row>
    <row r="2132">
      <c r="A2132" s="19"/>
      <c r="B2132" s="19"/>
    </row>
    <row r="2133">
      <c r="A2133" s="19"/>
      <c r="B2133" s="19"/>
    </row>
    <row r="2134">
      <c r="A2134" s="19"/>
      <c r="B2134" s="19"/>
    </row>
    <row r="2135">
      <c r="A2135" s="19"/>
      <c r="B2135" s="19"/>
    </row>
    <row r="2136">
      <c r="A2136" s="19"/>
      <c r="B2136" s="19"/>
    </row>
    <row r="2137">
      <c r="A2137" s="19"/>
      <c r="B2137" s="19"/>
    </row>
    <row r="2138">
      <c r="A2138" s="19"/>
      <c r="B2138" s="19"/>
    </row>
    <row r="2139">
      <c r="A2139" s="19"/>
      <c r="B2139" s="19"/>
    </row>
    <row r="2140">
      <c r="A2140" s="19"/>
      <c r="B2140" s="19"/>
    </row>
    <row r="2141">
      <c r="A2141" s="19"/>
      <c r="B2141" s="19"/>
    </row>
    <row r="2142">
      <c r="A2142" s="19"/>
      <c r="B2142" s="19"/>
    </row>
    <row r="2143">
      <c r="A2143" s="19"/>
      <c r="B2143" s="19"/>
    </row>
    <row r="2144">
      <c r="A2144" s="19"/>
      <c r="B2144" s="19"/>
    </row>
    <row r="2145">
      <c r="A2145" s="19"/>
      <c r="B2145" s="19"/>
    </row>
    <row r="2146">
      <c r="A2146" s="19"/>
      <c r="B2146" s="19"/>
    </row>
    <row r="2147">
      <c r="A2147" s="19"/>
      <c r="B2147" s="19"/>
    </row>
    <row r="2148">
      <c r="A2148" s="19"/>
      <c r="B2148" s="19"/>
    </row>
    <row r="2149">
      <c r="A2149" s="19"/>
      <c r="B2149" s="19"/>
    </row>
    <row r="2150">
      <c r="A2150" s="19"/>
      <c r="B2150" s="19"/>
    </row>
    <row r="2151">
      <c r="A2151" s="19"/>
      <c r="B2151" s="19"/>
    </row>
    <row r="2152">
      <c r="A2152" s="19"/>
      <c r="B2152" s="19"/>
    </row>
    <row r="2153">
      <c r="A2153" s="19"/>
      <c r="B2153" s="19"/>
    </row>
    <row r="2154">
      <c r="A2154" s="19"/>
      <c r="B2154" s="19"/>
    </row>
    <row r="2155">
      <c r="A2155" s="19"/>
      <c r="B2155" s="19"/>
    </row>
    <row r="2156">
      <c r="A2156" s="19"/>
      <c r="B2156" s="19"/>
    </row>
    <row r="2157">
      <c r="A2157" s="19"/>
      <c r="B2157" s="19"/>
    </row>
    <row r="2158">
      <c r="A2158" s="19"/>
      <c r="B2158" s="19"/>
    </row>
    <row r="2159">
      <c r="A2159" s="19"/>
      <c r="B2159" s="19"/>
    </row>
    <row r="2160">
      <c r="A2160" s="19"/>
      <c r="B2160" s="19"/>
    </row>
    <row r="2161">
      <c r="A2161" s="19"/>
      <c r="B2161" s="19"/>
    </row>
    <row r="2162">
      <c r="A2162" s="19"/>
      <c r="B2162" s="19"/>
    </row>
    <row r="2163">
      <c r="A2163" s="19"/>
      <c r="B2163" s="19"/>
    </row>
    <row r="2164">
      <c r="A2164" s="19"/>
      <c r="B2164" s="19"/>
    </row>
    <row r="2165">
      <c r="A2165" s="19"/>
      <c r="B2165" s="19"/>
    </row>
    <row r="2166">
      <c r="A2166" s="19"/>
      <c r="B2166" s="19"/>
    </row>
    <row r="2167">
      <c r="A2167" s="19"/>
      <c r="B2167" s="19"/>
    </row>
    <row r="2168">
      <c r="A2168" s="19"/>
      <c r="B2168" s="19"/>
    </row>
    <row r="2169">
      <c r="A2169" s="19"/>
      <c r="B2169" s="19"/>
    </row>
    <row r="2170">
      <c r="A2170" s="19"/>
      <c r="B2170" s="19"/>
    </row>
    <row r="2171">
      <c r="A2171" s="19"/>
      <c r="B2171" s="19"/>
    </row>
    <row r="2172">
      <c r="A2172" s="19"/>
      <c r="B2172" s="19"/>
    </row>
    <row r="2173">
      <c r="A2173" s="19"/>
      <c r="B2173" s="19"/>
    </row>
    <row r="2174">
      <c r="A2174" s="19"/>
      <c r="B2174" s="19"/>
    </row>
    <row r="2175">
      <c r="A2175" s="19"/>
      <c r="B2175" s="19"/>
    </row>
    <row r="2176">
      <c r="A2176" s="19"/>
      <c r="B2176" s="19"/>
    </row>
    <row r="2177">
      <c r="A2177" s="19"/>
      <c r="B2177" s="19"/>
    </row>
    <row r="2178">
      <c r="A2178" s="19"/>
      <c r="B2178" s="19"/>
    </row>
    <row r="2179">
      <c r="A2179" s="19"/>
      <c r="B2179" s="19"/>
    </row>
    <row r="2180">
      <c r="A2180" s="19"/>
      <c r="B2180" s="19"/>
    </row>
    <row r="2181">
      <c r="A2181" s="19"/>
      <c r="B2181" s="19"/>
    </row>
    <row r="2182">
      <c r="A2182" s="19"/>
      <c r="B2182" s="19"/>
    </row>
    <row r="2183">
      <c r="A2183" s="19"/>
      <c r="B2183" s="19"/>
    </row>
    <row r="2184">
      <c r="A2184" s="19"/>
      <c r="B2184" s="19"/>
    </row>
    <row r="2185">
      <c r="A2185" s="19"/>
      <c r="B2185" s="19"/>
    </row>
    <row r="2186">
      <c r="A2186" s="19"/>
      <c r="B2186" s="19"/>
    </row>
    <row r="2187">
      <c r="A2187" s="19"/>
      <c r="B2187" s="19"/>
    </row>
    <row r="2188">
      <c r="A2188" s="19"/>
      <c r="B2188" s="19"/>
    </row>
    <row r="2189">
      <c r="A2189" s="19"/>
      <c r="B2189" s="19"/>
    </row>
    <row r="2190">
      <c r="A2190" s="19"/>
      <c r="B2190" s="19"/>
    </row>
    <row r="2191">
      <c r="A2191" s="19"/>
      <c r="B2191" s="19"/>
    </row>
    <row r="2192">
      <c r="A2192" s="19"/>
      <c r="B2192" s="19"/>
    </row>
    <row r="2193">
      <c r="A2193" s="19"/>
      <c r="B2193" s="19"/>
    </row>
    <row r="2194">
      <c r="A2194" s="19"/>
      <c r="B2194" s="19"/>
    </row>
    <row r="2195">
      <c r="A2195" s="19"/>
      <c r="B2195" s="19"/>
    </row>
    <row r="2196">
      <c r="A2196" s="19"/>
      <c r="B2196" s="19"/>
    </row>
    <row r="2197">
      <c r="A2197" s="19"/>
      <c r="B2197" s="19"/>
    </row>
    <row r="2198">
      <c r="A2198" s="19"/>
      <c r="B2198" s="19"/>
    </row>
    <row r="2199">
      <c r="A2199" s="19"/>
      <c r="B2199" s="19"/>
    </row>
    <row r="2200">
      <c r="A2200" s="19"/>
      <c r="B2200" s="19"/>
    </row>
    <row r="2201">
      <c r="A2201" s="19"/>
      <c r="B2201" s="19"/>
    </row>
    <row r="2202">
      <c r="A2202" s="19"/>
      <c r="B2202" s="19"/>
    </row>
    <row r="2203">
      <c r="A2203" s="19"/>
      <c r="B2203" s="19"/>
    </row>
    <row r="2204">
      <c r="A2204" s="19"/>
      <c r="B2204" s="19"/>
    </row>
    <row r="2205">
      <c r="A2205" s="19"/>
      <c r="B2205" s="19"/>
    </row>
    <row r="2206">
      <c r="A2206" s="19"/>
      <c r="B2206" s="19"/>
    </row>
    <row r="2207">
      <c r="A2207" s="19"/>
      <c r="B2207" s="19"/>
    </row>
    <row r="2208">
      <c r="A2208" s="19"/>
      <c r="B2208" s="19"/>
    </row>
    <row r="2209">
      <c r="A2209" s="19"/>
      <c r="B2209" s="19"/>
    </row>
    <row r="2210">
      <c r="A2210" s="19"/>
      <c r="B2210" s="19"/>
    </row>
    <row r="2211">
      <c r="A2211" s="19"/>
      <c r="B2211" s="19"/>
    </row>
    <row r="2212">
      <c r="A2212" s="19"/>
      <c r="B2212" s="19"/>
    </row>
    <row r="2213">
      <c r="A2213" s="19"/>
      <c r="B2213" s="19"/>
    </row>
    <row r="2214">
      <c r="A2214" s="19"/>
      <c r="B2214" s="19"/>
    </row>
    <row r="2215">
      <c r="A2215" s="19"/>
      <c r="B2215" s="19"/>
    </row>
    <row r="2216">
      <c r="A2216" s="19"/>
      <c r="B2216" s="19"/>
    </row>
    <row r="2217">
      <c r="A2217" s="19"/>
      <c r="B2217" s="19"/>
    </row>
    <row r="2218">
      <c r="A2218" s="19"/>
      <c r="B2218" s="19"/>
    </row>
    <row r="2219">
      <c r="A2219" s="19"/>
      <c r="B2219" s="19"/>
    </row>
    <row r="2220">
      <c r="A2220" s="19"/>
      <c r="B2220" s="19"/>
    </row>
    <row r="2221">
      <c r="A2221" s="19"/>
      <c r="B2221" s="19"/>
    </row>
    <row r="2222">
      <c r="A2222" s="19"/>
      <c r="B2222" s="19"/>
    </row>
    <row r="2223">
      <c r="A2223" s="19"/>
      <c r="B2223" s="19"/>
    </row>
    <row r="2224">
      <c r="A2224" s="19"/>
      <c r="B2224" s="19"/>
    </row>
    <row r="2225">
      <c r="A2225" s="19"/>
      <c r="B2225" s="19"/>
    </row>
    <row r="2226">
      <c r="A2226" s="19"/>
      <c r="B2226" s="19"/>
    </row>
    <row r="2227">
      <c r="A2227" s="19"/>
      <c r="B2227" s="19"/>
    </row>
    <row r="2228">
      <c r="A2228" s="19"/>
      <c r="B2228" s="19"/>
    </row>
    <row r="2229">
      <c r="A2229" s="19"/>
      <c r="B2229" s="19"/>
    </row>
    <row r="2230">
      <c r="A2230" s="19"/>
      <c r="B2230" s="19"/>
    </row>
    <row r="2231">
      <c r="A2231" s="19"/>
      <c r="B2231" s="19"/>
    </row>
    <row r="2232">
      <c r="A2232" s="19"/>
      <c r="B2232" s="19"/>
    </row>
    <row r="2233">
      <c r="A2233" s="19"/>
      <c r="B2233" s="19"/>
    </row>
    <row r="2234">
      <c r="A2234" s="19"/>
      <c r="B2234" s="19"/>
    </row>
    <row r="2235">
      <c r="A2235" s="19"/>
      <c r="B2235" s="19"/>
    </row>
    <row r="2236">
      <c r="A2236" s="19"/>
      <c r="B2236" s="19"/>
    </row>
    <row r="2237">
      <c r="A2237" s="19"/>
      <c r="B2237" s="19"/>
    </row>
    <row r="2238">
      <c r="A2238" s="19"/>
      <c r="B2238" s="19"/>
    </row>
    <row r="2239">
      <c r="A2239" s="19"/>
      <c r="B2239" s="19"/>
    </row>
    <row r="2240">
      <c r="A2240" s="19"/>
      <c r="B2240" s="19"/>
    </row>
    <row r="2241">
      <c r="A2241" s="19"/>
      <c r="B2241" s="19"/>
    </row>
    <row r="2242">
      <c r="A2242" s="19"/>
      <c r="B2242" s="19"/>
    </row>
    <row r="2243">
      <c r="A2243" s="19"/>
      <c r="B2243" s="19"/>
    </row>
    <row r="2244">
      <c r="A2244" s="19"/>
      <c r="B2244" s="19"/>
    </row>
    <row r="2245">
      <c r="A2245" s="19"/>
      <c r="B2245" s="19"/>
    </row>
    <row r="2246">
      <c r="A2246" s="19"/>
      <c r="B2246" s="19"/>
    </row>
    <row r="2247">
      <c r="A2247" s="19"/>
      <c r="B2247" s="19"/>
    </row>
    <row r="2248">
      <c r="A2248" s="19"/>
      <c r="B2248" s="19"/>
    </row>
    <row r="2249">
      <c r="A2249" s="19"/>
      <c r="B2249" s="19"/>
    </row>
    <row r="2250">
      <c r="A2250" s="19"/>
      <c r="B2250" s="19"/>
    </row>
    <row r="2251">
      <c r="A2251" s="19"/>
      <c r="B2251" s="19"/>
    </row>
    <row r="2252">
      <c r="A2252" s="19"/>
      <c r="B2252" s="19"/>
    </row>
    <row r="2253">
      <c r="A2253" s="19"/>
      <c r="B2253" s="19"/>
    </row>
    <row r="2254">
      <c r="A2254" s="19"/>
      <c r="B2254" s="19"/>
    </row>
    <row r="2255">
      <c r="A2255" s="19"/>
      <c r="B2255" s="19"/>
    </row>
    <row r="2256">
      <c r="A2256" s="19"/>
      <c r="B2256" s="19"/>
    </row>
    <row r="2257">
      <c r="A2257" s="19"/>
      <c r="B2257" s="19"/>
    </row>
    <row r="2258">
      <c r="A2258" s="19"/>
      <c r="B2258" s="19"/>
    </row>
    <row r="2259">
      <c r="A2259" s="19"/>
      <c r="B2259" s="19"/>
    </row>
    <row r="2260">
      <c r="A2260" s="19"/>
      <c r="B2260" s="19"/>
    </row>
    <row r="2261">
      <c r="A2261" s="19"/>
      <c r="B2261" s="19"/>
    </row>
    <row r="2262">
      <c r="A2262" s="19"/>
      <c r="B2262" s="19"/>
    </row>
    <row r="2263">
      <c r="A2263" s="19"/>
      <c r="B2263" s="19"/>
    </row>
    <row r="2264">
      <c r="A2264" s="19"/>
      <c r="B2264" s="19"/>
    </row>
    <row r="2265">
      <c r="A2265" s="19"/>
      <c r="B2265" s="19"/>
    </row>
    <row r="2266">
      <c r="A2266" s="19"/>
      <c r="B2266" s="19"/>
    </row>
    <row r="2267">
      <c r="A2267" s="19"/>
      <c r="B2267" s="19"/>
    </row>
    <row r="2268">
      <c r="A2268" s="19"/>
      <c r="B2268" s="19"/>
    </row>
    <row r="2269">
      <c r="A2269" s="19"/>
      <c r="B2269" s="19"/>
    </row>
    <row r="2270">
      <c r="A2270" s="19"/>
      <c r="B2270" s="19"/>
    </row>
    <row r="2271">
      <c r="A2271" s="19"/>
      <c r="B2271" s="19"/>
    </row>
    <row r="2272">
      <c r="A2272" s="19"/>
      <c r="B2272" s="19"/>
    </row>
    <row r="2273">
      <c r="A2273" s="19"/>
      <c r="B2273" s="19"/>
    </row>
    <row r="2274">
      <c r="A2274" s="19"/>
      <c r="B2274" s="19"/>
    </row>
    <row r="2275">
      <c r="A2275" s="19"/>
      <c r="B2275" s="19"/>
    </row>
    <row r="2276">
      <c r="A2276" s="19"/>
      <c r="B2276" s="19"/>
    </row>
    <row r="2277">
      <c r="A2277" s="19"/>
      <c r="B2277" s="19"/>
    </row>
    <row r="2278">
      <c r="A2278" s="19"/>
      <c r="B2278" s="19"/>
    </row>
    <row r="2279">
      <c r="A2279" s="19"/>
      <c r="B2279" s="19"/>
    </row>
    <row r="2280">
      <c r="A2280" s="19"/>
      <c r="B2280" s="19"/>
    </row>
    <row r="2281">
      <c r="A2281" s="19"/>
      <c r="B2281" s="19"/>
    </row>
    <row r="2282">
      <c r="A2282" s="19"/>
      <c r="B2282" s="19"/>
    </row>
    <row r="2283">
      <c r="A2283" s="19"/>
      <c r="B2283" s="19"/>
    </row>
    <row r="2284">
      <c r="A2284" s="19"/>
      <c r="B2284" s="19"/>
    </row>
    <row r="2285">
      <c r="A2285" s="19"/>
      <c r="B2285" s="19"/>
    </row>
    <row r="2286">
      <c r="A2286" s="19"/>
      <c r="B2286" s="19"/>
    </row>
    <row r="2287">
      <c r="A2287" s="19"/>
      <c r="B2287" s="19"/>
    </row>
    <row r="2288">
      <c r="A2288" s="19"/>
      <c r="B2288" s="19"/>
    </row>
    <row r="2289">
      <c r="A2289" s="19"/>
      <c r="B2289" s="19"/>
    </row>
    <row r="2290">
      <c r="A2290" s="19"/>
      <c r="B2290" s="19"/>
    </row>
    <row r="2291">
      <c r="A2291" s="19"/>
      <c r="B2291" s="19"/>
    </row>
    <row r="2292">
      <c r="A2292" s="19"/>
      <c r="B2292" s="19"/>
    </row>
    <row r="2293">
      <c r="A2293" s="19"/>
      <c r="B2293" s="19"/>
    </row>
    <row r="2294">
      <c r="A2294" s="19"/>
      <c r="B2294" s="19"/>
    </row>
    <row r="2295">
      <c r="A2295" s="19"/>
      <c r="B2295" s="19"/>
    </row>
    <row r="2296">
      <c r="A2296" s="19"/>
      <c r="B2296" s="19"/>
    </row>
    <row r="2297">
      <c r="A2297" s="19"/>
      <c r="B2297" s="19"/>
    </row>
    <row r="2298">
      <c r="A2298" s="19"/>
      <c r="B2298" s="19"/>
    </row>
    <row r="2299">
      <c r="A2299" s="19"/>
      <c r="B2299" s="19"/>
    </row>
    <row r="2300">
      <c r="A2300" s="19"/>
      <c r="B2300" s="19"/>
    </row>
    <row r="2301">
      <c r="A2301" s="19"/>
      <c r="B2301" s="19"/>
    </row>
    <row r="2302">
      <c r="A2302" s="19"/>
      <c r="B2302" s="19"/>
    </row>
    <row r="2303">
      <c r="A2303" s="19"/>
      <c r="B2303" s="19"/>
    </row>
    <row r="2304">
      <c r="A2304" s="19"/>
      <c r="B2304" s="19"/>
    </row>
    <row r="2305">
      <c r="A2305" s="19"/>
      <c r="B2305" s="19"/>
    </row>
    <row r="2306">
      <c r="A2306" s="19"/>
      <c r="B2306" s="19"/>
    </row>
    <row r="2307">
      <c r="A2307" s="19"/>
      <c r="B2307" s="19"/>
    </row>
    <row r="2308">
      <c r="A2308" s="19"/>
      <c r="B2308" s="19"/>
    </row>
    <row r="2309">
      <c r="A2309" s="19"/>
      <c r="B2309" s="19"/>
    </row>
    <row r="2310">
      <c r="A2310" s="19"/>
      <c r="B2310" s="19"/>
    </row>
    <row r="2311">
      <c r="A2311" s="19"/>
      <c r="B2311" s="19"/>
    </row>
    <row r="2312">
      <c r="A2312" s="19"/>
      <c r="B2312" s="19"/>
    </row>
    <row r="2313">
      <c r="A2313" s="19"/>
      <c r="B2313" s="19"/>
    </row>
    <row r="2314">
      <c r="A2314" s="19"/>
      <c r="B2314" s="19"/>
    </row>
    <row r="2315">
      <c r="A2315" s="19"/>
      <c r="B2315" s="19"/>
    </row>
    <row r="2316">
      <c r="A2316" s="19"/>
      <c r="B2316" s="19"/>
    </row>
    <row r="2317">
      <c r="A2317" s="19"/>
      <c r="B2317" s="19"/>
    </row>
    <row r="2318">
      <c r="A2318" s="19"/>
      <c r="B2318" s="19"/>
    </row>
    <row r="2319">
      <c r="A2319" s="19"/>
      <c r="B2319" s="19"/>
    </row>
    <row r="2320">
      <c r="A2320" s="19"/>
      <c r="B2320" s="19"/>
    </row>
    <row r="2321">
      <c r="A2321" s="19"/>
      <c r="B2321" s="19"/>
    </row>
    <row r="2322">
      <c r="A2322" s="19"/>
      <c r="B2322" s="19"/>
    </row>
    <row r="2323">
      <c r="A2323" s="19"/>
      <c r="B2323" s="19"/>
    </row>
    <row r="2324">
      <c r="A2324" s="19"/>
      <c r="B2324" s="19"/>
    </row>
    <row r="2325">
      <c r="A2325" s="19"/>
      <c r="B2325" s="19"/>
    </row>
    <row r="2326">
      <c r="A2326" s="19"/>
      <c r="B2326" s="19"/>
    </row>
    <row r="2327">
      <c r="A2327" s="19"/>
      <c r="B2327" s="19"/>
    </row>
    <row r="2328">
      <c r="A2328" s="19"/>
      <c r="B2328" s="19"/>
    </row>
    <row r="2329">
      <c r="A2329" s="19"/>
      <c r="B2329" s="19"/>
    </row>
    <row r="2330">
      <c r="A2330" s="19"/>
      <c r="B2330" s="19"/>
    </row>
    <row r="2331">
      <c r="A2331" s="19"/>
      <c r="B2331" s="19"/>
    </row>
    <row r="2332">
      <c r="A2332" s="19"/>
      <c r="B2332" s="19"/>
    </row>
    <row r="2333">
      <c r="A2333" s="19"/>
      <c r="B2333" s="19"/>
    </row>
    <row r="2334">
      <c r="A2334" s="19"/>
      <c r="B2334" s="19"/>
    </row>
    <row r="2335">
      <c r="A2335" s="19"/>
      <c r="B2335" s="19"/>
    </row>
    <row r="2336">
      <c r="A2336" s="19"/>
      <c r="B2336" s="19"/>
    </row>
    <row r="2337">
      <c r="A2337" s="19"/>
      <c r="B2337" s="19"/>
    </row>
    <row r="2338">
      <c r="A2338" s="19"/>
      <c r="B2338" s="19"/>
    </row>
    <row r="2339">
      <c r="A2339" s="19"/>
      <c r="B2339" s="19"/>
    </row>
    <row r="2340">
      <c r="A2340" s="19"/>
      <c r="B2340" s="19"/>
    </row>
    <row r="2341">
      <c r="A2341" s="19"/>
      <c r="B2341" s="19"/>
    </row>
    <row r="2342">
      <c r="A2342" s="19"/>
      <c r="B2342" s="19"/>
    </row>
    <row r="2343">
      <c r="A2343" s="19"/>
      <c r="B2343" s="19"/>
    </row>
    <row r="2344">
      <c r="A2344" s="19"/>
      <c r="B2344" s="19"/>
    </row>
    <row r="2345">
      <c r="A2345" s="19"/>
      <c r="B2345" s="19"/>
    </row>
    <row r="2346">
      <c r="A2346" s="19"/>
      <c r="B2346" s="19"/>
    </row>
    <row r="2347">
      <c r="A2347" s="19"/>
      <c r="B2347" s="19"/>
    </row>
    <row r="2348">
      <c r="A2348" s="19"/>
      <c r="B2348" s="19"/>
    </row>
    <row r="2349">
      <c r="A2349" s="19"/>
      <c r="B2349" s="19"/>
    </row>
    <row r="2350">
      <c r="A2350" s="19"/>
      <c r="B2350" s="19"/>
    </row>
    <row r="2351">
      <c r="A2351" s="19"/>
      <c r="B2351" s="19"/>
    </row>
    <row r="2352">
      <c r="A2352" s="19"/>
      <c r="B2352" s="19"/>
    </row>
    <row r="2353">
      <c r="A2353" s="19"/>
      <c r="B2353" s="19"/>
    </row>
    <row r="2354">
      <c r="A2354" s="19"/>
      <c r="B2354" s="19"/>
    </row>
    <row r="2355">
      <c r="A2355" s="19"/>
      <c r="B2355" s="19"/>
    </row>
    <row r="2356">
      <c r="A2356" s="19"/>
      <c r="B2356" s="19"/>
    </row>
    <row r="2357">
      <c r="A2357" s="19"/>
      <c r="B2357" s="19"/>
    </row>
    <row r="2358">
      <c r="A2358" s="19"/>
      <c r="B2358" s="19"/>
    </row>
    <row r="2359">
      <c r="A2359" s="19"/>
      <c r="B2359" s="19"/>
    </row>
    <row r="2360">
      <c r="A2360" s="19"/>
      <c r="B2360" s="19"/>
    </row>
    <row r="2361">
      <c r="A2361" s="19"/>
      <c r="B2361" s="19"/>
    </row>
    <row r="2362">
      <c r="A2362" s="19"/>
      <c r="B2362" s="19"/>
    </row>
    <row r="2363">
      <c r="A2363" s="19"/>
      <c r="B2363" s="19"/>
    </row>
    <row r="2364">
      <c r="A2364" s="19"/>
      <c r="B2364" s="19"/>
    </row>
    <row r="2365">
      <c r="A2365" s="19"/>
      <c r="B2365" s="19"/>
    </row>
    <row r="2366">
      <c r="A2366" s="19"/>
      <c r="B2366" s="19"/>
    </row>
    <row r="2367">
      <c r="A2367" s="19"/>
      <c r="B2367" s="19"/>
    </row>
    <row r="2368">
      <c r="A2368" s="19"/>
      <c r="B2368" s="19"/>
    </row>
    <row r="2369">
      <c r="A2369" s="19"/>
      <c r="B2369" s="19"/>
    </row>
    <row r="2370">
      <c r="A2370" s="19"/>
      <c r="B2370" s="19"/>
    </row>
    <row r="2371">
      <c r="A2371" s="19"/>
      <c r="B2371" s="19"/>
    </row>
    <row r="2372">
      <c r="A2372" s="19"/>
      <c r="B2372" s="19"/>
    </row>
    <row r="2373">
      <c r="A2373" s="19"/>
      <c r="B2373" s="19"/>
    </row>
    <row r="2374">
      <c r="A2374" s="19"/>
      <c r="B2374" s="19"/>
    </row>
    <row r="2375">
      <c r="A2375" s="19"/>
      <c r="B2375" s="19"/>
    </row>
    <row r="2376">
      <c r="A2376" s="19"/>
      <c r="B2376" s="19"/>
    </row>
    <row r="2377">
      <c r="A2377" s="19"/>
      <c r="B2377" s="19"/>
    </row>
    <row r="2378">
      <c r="A2378" s="19"/>
      <c r="B2378" s="19"/>
    </row>
    <row r="2379">
      <c r="A2379" s="19"/>
      <c r="B2379" s="19"/>
    </row>
    <row r="2380">
      <c r="A2380" s="19"/>
      <c r="B2380" s="19"/>
    </row>
    <row r="2381">
      <c r="A2381" s="19"/>
      <c r="B2381" s="19"/>
    </row>
    <row r="2382">
      <c r="A2382" s="19"/>
      <c r="B2382" s="19"/>
    </row>
    <row r="2383">
      <c r="A2383" s="19"/>
      <c r="B2383" s="19"/>
    </row>
    <row r="2384">
      <c r="A2384" s="19"/>
      <c r="B2384" s="19"/>
    </row>
    <row r="2385">
      <c r="A2385" s="19"/>
      <c r="B2385" s="19"/>
    </row>
    <row r="2386">
      <c r="A2386" s="19"/>
      <c r="B2386" s="19"/>
    </row>
    <row r="2387">
      <c r="A2387" s="19"/>
      <c r="B2387" s="19"/>
    </row>
    <row r="2388">
      <c r="A2388" s="19"/>
      <c r="B2388" s="19"/>
    </row>
    <row r="2389">
      <c r="A2389" s="19"/>
      <c r="B2389" s="19"/>
    </row>
    <row r="2390">
      <c r="A2390" s="19"/>
      <c r="B2390" s="19"/>
    </row>
    <row r="2391">
      <c r="A2391" s="19"/>
      <c r="B2391" s="19"/>
    </row>
    <row r="2392">
      <c r="A2392" s="19"/>
      <c r="B2392" s="19"/>
    </row>
    <row r="2393">
      <c r="A2393" s="19"/>
      <c r="B2393" s="19"/>
    </row>
    <row r="2394">
      <c r="A2394" s="19"/>
      <c r="B2394" s="19"/>
    </row>
    <row r="2395">
      <c r="A2395" s="19"/>
      <c r="B2395" s="19"/>
    </row>
    <row r="2396">
      <c r="A2396" s="19"/>
      <c r="B2396" s="19"/>
    </row>
    <row r="2397">
      <c r="A2397" s="19"/>
      <c r="B2397" s="19"/>
    </row>
    <row r="2398">
      <c r="A2398" s="19"/>
      <c r="B2398" s="19"/>
    </row>
    <row r="2399">
      <c r="A2399" s="19"/>
      <c r="B2399" s="19"/>
    </row>
    <row r="2400">
      <c r="A2400" s="19"/>
      <c r="B2400" s="19"/>
    </row>
    <row r="2401">
      <c r="A2401" s="19"/>
      <c r="B2401" s="19"/>
    </row>
    <row r="2402">
      <c r="A2402" s="19"/>
      <c r="B2402" s="19"/>
    </row>
    <row r="2403">
      <c r="A2403" s="19"/>
      <c r="B2403" s="19"/>
    </row>
    <row r="2404">
      <c r="A2404" s="19"/>
      <c r="B2404" s="19"/>
    </row>
    <row r="2405">
      <c r="A2405" s="19"/>
      <c r="B2405" s="19"/>
    </row>
    <row r="2406">
      <c r="A2406" s="19"/>
      <c r="B2406" s="19"/>
    </row>
    <row r="2407">
      <c r="A2407" s="19"/>
      <c r="B2407" s="19"/>
    </row>
    <row r="2408">
      <c r="A2408" s="19"/>
      <c r="B2408" s="19"/>
    </row>
    <row r="2409">
      <c r="A2409" s="19"/>
      <c r="B2409" s="19"/>
    </row>
    <row r="2410">
      <c r="A2410" s="19"/>
      <c r="B2410" s="19"/>
    </row>
    <row r="2411">
      <c r="A2411" s="19"/>
      <c r="B2411" s="19"/>
    </row>
    <row r="2412">
      <c r="A2412" s="19"/>
      <c r="B2412" s="19"/>
    </row>
    <row r="2413">
      <c r="A2413" s="19"/>
      <c r="B2413" s="19"/>
    </row>
    <row r="2414">
      <c r="A2414" s="19"/>
      <c r="B2414" s="19"/>
    </row>
    <row r="2415">
      <c r="A2415" s="19"/>
      <c r="B2415" s="19"/>
    </row>
    <row r="2416">
      <c r="A2416" s="19"/>
      <c r="B2416" s="19"/>
    </row>
    <row r="2417">
      <c r="A2417" s="19"/>
      <c r="B2417" s="19"/>
    </row>
    <row r="2418">
      <c r="A2418" s="19"/>
      <c r="B2418" s="19"/>
    </row>
    <row r="2419">
      <c r="A2419" s="19"/>
      <c r="B2419" s="19"/>
    </row>
    <row r="2420">
      <c r="A2420" s="19"/>
      <c r="B2420" s="19"/>
    </row>
    <row r="2421">
      <c r="A2421" s="19"/>
      <c r="B2421" s="19"/>
    </row>
    <row r="2422">
      <c r="A2422" s="19"/>
      <c r="B2422" s="19"/>
    </row>
    <row r="2423">
      <c r="A2423" s="19"/>
      <c r="B2423" s="19"/>
    </row>
    <row r="2424">
      <c r="A2424" s="19"/>
      <c r="B2424" s="19"/>
    </row>
    <row r="2425">
      <c r="A2425" s="19"/>
      <c r="B2425" s="19"/>
    </row>
    <row r="2426">
      <c r="A2426" s="19"/>
      <c r="B2426" s="19"/>
    </row>
    <row r="2427">
      <c r="A2427" s="19"/>
      <c r="B2427" s="19"/>
    </row>
    <row r="2428">
      <c r="A2428" s="19"/>
      <c r="B2428" s="19"/>
    </row>
    <row r="2429">
      <c r="A2429" s="19"/>
      <c r="B2429" s="19"/>
    </row>
    <row r="2430">
      <c r="A2430" s="19"/>
      <c r="B2430" s="19"/>
    </row>
    <row r="2431">
      <c r="A2431" s="19"/>
      <c r="B2431" s="19"/>
    </row>
    <row r="2432">
      <c r="A2432" s="19"/>
      <c r="B2432" s="19"/>
    </row>
    <row r="2433">
      <c r="A2433" s="19"/>
      <c r="B2433" s="19"/>
    </row>
    <row r="2434">
      <c r="A2434" s="19"/>
      <c r="B2434" s="19"/>
    </row>
    <row r="2435">
      <c r="A2435" s="19"/>
      <c r="B2435" s="19"/>
    </row>
    <row r="2436">
      <c r="A2436" s="19"/>
      <c r="B2436" s="19"/>
    </row>
    <row r="2437">
      <c r="A2437" s="19"/>
      <c r="B2437" s="19"/>
    </row>
    <row r="2438">
      <c r="A2438" s="19"/>
      <c r="B2438" s="19"/>
    </row>
    <row r="2439">
      <c r="A2439" s="19"/>
      <c r="B2439" s="19"/>
    </row>
    <row r="2440">
      <c r="A2440" s="19"/>
      <c r="B2440" s="19"/>
    </row>
    <row r="2441">
      <c r="A2441" s="19"/>
      <c r="B2441" s="19"/>
    </row>
    <row r="2442">
      <c r="A2442" s="19"/>
      <c r="B2442" s="19"/>
    </row>
    <row r="2443">
      <c r="A2443" s="19"/>
      <c r="B2443" s="19"/>
    </row>
    <row r="2444">
      <c r="A2444" s="19"/>
      <c r="B2444" s="19"/>
    </row>
    <row r="2445">
      <c r="A2445" s="19"/>
      <c r="B2445" s="19"/>
    </row>
    <row r="2446">
      <c r="A2446" s="19"/>
      <c r="B2446" s="19"/>
    </row>
    <row r="2447">
      <c r="A2447" s="19"/>
      <c r="B2447" s="19"/>
    </row>
    <row r="2448">
      <c r="A2448" s="19"/>
      <c r="B2448" s="19"/>
    </row>
    <row r="2449">
      <c r="A2449" s="19"/>
      <c r="B2449" s="19"/>
    </row>
    <row r="2450">
      <c r="A2450" s="19"/>
      <c r="B2450" s="19"/>
    </row>
    <row r="2451">
      <c r="A2451" s="19"/>
      <c r="B2451" s="19"/>
    </row>
    <row r="2452">
      <c r="A2452" s="19"/>
      <c r="B2452" s="19"/>
    </row>
    <row r="2453">
      <c r="A2453" s="19"/>
      <c r="B2453" s="19"/>
    </row>
    <row r="2454">
      <c r="A2454" s="19"/>
      <c r="B2454" s="19"/>
    </row>
    <row r="2455">
      <c r="A2455" s="19"/>
      <c r="B2455" s="19"/>
    </row>
    <row r="2456">
      <c r="A2456" s="19"/>
      <c r="B2456" s="19"/>
    </row>
    <row r="2457">
      <c r="A2457" s="19"/>
      <c r="B2457" s="19"/>
    </row>
    <row r="2458">
      <c r="A2458" s="19"/>
      <c r="B2458" s="19"/>
    </row>
    <row r="2459">
      <c r="A2459" s="19"/>
      <c r="B2459" s="19"/>
    </row>
    <row r="2460">
      <c r="A2460" s="19"/>
      <c r="B2460" s="19"/>
    </row>
    <row r="2461">
      <c r="A2461" s="19"/>
      <c r="B2461" s="19"/>
    </row>
    <row r="2462">
      <c r="A2462" s="19"/>
      <c r="B2462" s="19"/>
    </row>
    <row r="2463">
      <c r="A2463" s="19"/>
      <c r="B2463" s="19"/>
    </row>
    <row r="2464">
      <c r="A2464" s="19"/>
      <c r="B2464" s="19"/>
    </row>
    <row r="2465">
      <c r="A2465" s="19"/>
      <c r="B2465" s="19"/>
    </row>
    <row r="2466">
      <c r="A2466" s="19"/>
      <c r="B2466" s="19"/>
    </row>
    <row r="2467">
      <c r="A2467" s="19"/>
      <c r="B2467" s="19"/>
    </row>
    <row r="2468">
      <c r="A2468" s="19"/>
      <c r="B2468" s="19"/>
    </row>
    <row r="2469">
      <c r="A2469" s="19"/>
      <c r="B2469" s="19"/>
    </row>
    <row r="2470">
      <c r="A2470" s="19"/>
      <c r="B2470" s="19"/>
    </row>
    <row r="2471">
      <c r="A2471" s="19"/>
      <c r="B2471" s="19"/>
    </row>
    <row r="2472">
      <c r="A2472" s="19"/>
      <c r="B2472" s="19"/>
    </row>
    <row r="2473">
      <c r="A2473" s="19"/>
      <c r="B2473" s="19"/>
    </row>
    <row r="2474">
      <c r="A2474" s="19"/>
      <c r="B2474" s="19"/>
    </row>
    <row r="2475">
      <c r="A2475" s="19"/>
      <c r="B2475" s="19"/>
    </row>
    <row r="2476">
      <c r="A2476" s="19"/>
      <c r="B2476" s="19"/>
    </row>
    <row r="2477">
      <c r="A2477" s="19"/>
      <c r="B2477" s="19"/>
    </row>
    <row r="2478">
      <c r="A2478" s="19"/>
      <c r="B2478" s="19"/>
    </row>
    <row r="2479">
      <c r="A2479" s="19"/>
      <c r="B2479" s="19"/>
    </row>
    <row r="2480">
      <c r="A2480" s="19"/>
      <c r="B2480" s="19"/>
    </row>
    <row r="2481">
      <c r="A2481" s="19"/>
      <c r="B2481" s="19"/>
    </row>
    <row r="2482">
      <c r="A2482" s="19"/>
      <c r="B2482" s="19"/>
    </row>
    <row r="2483">
      <c r="A2483" s="19"/>
      <c r="B2483" s="19"/>
    </row>
    <row r="2484">
      <c r="A2484" s="19"/>
      <c r="B2484" s="19"/>
    </row>
    <row r="2485">
      <c r="A2485" s="19"/>
      <c r="B2485" s="19"/>
    </row>
    <row r="2486">
      <c r="A2486" s="19"/>
      <c r="B2486" s="19"/>
    </row>
    <row r="2487">
      <c r="A2487" s="19"/>
      <c r="B2487" s="19"/>
    </row>
    <row r="2488">
      <c r="A2488" s="19"/>
      <c r="B2488" s="19"/>
    </row>
    <row r="2489">
      <c r="A2489" s="19"/>
      <c r="B2489" s="19"/>
    </row>
    <row r="2490">
      <c r="A2490" s="19"/>
      <c r="B2490" s="19"/>
    </row>
    <row r="2491">
      <c r="A2491" s="19"/>
      <c r="B2491" s="19"/>
    </row>
    <row r="2492">
      <c r="A2492" s="19"/>
      <c r="B2492" s="19"/>
    </row>
    <row r="2493">
      <c r="A2493" s="19"/>
      <c r="B2493" s="19"/>
    </row>
    <row r="2494">
      <c r="A2494" s="19"/>
      <c r="B2494" s="19"/>
    </row>
    <row r="2495">
      <c r="A2495" s="19"/>
      <c r="B2495" s="19"/>
    </row>
    <row r="2496">
      <c r="A2496" s="19"/>
      <c r="B2496" s="19"/>
    </row>
    <row r="2497">
      <c r="A2497" s="19"/>
      <c r="B2497" s="19"/>
    </row>
    <row r="2498">
      <c r="A2498" s="19"/>
      <c r="B2498" s="19"/>
    </row>
    <row r="2499">
      <c r="A2499" s="19"/>
      <c r="B2499" s="19"/>
    </row>
    <row r="2500">
      <c r="A2500" s="19"/>
      <c r="B2500" s="19"/>
    </row>
    <row r="2501">
      <c r="A2501" s="19"/>
      <c r="B2501" s="19"/>
    </row>
    <row r="2502">
      <c r="A2502" s="19"/>
      <c r="B2502" s="19"/>
    </row>
    <row r="2503">
      <c r="A2503" s="19"/>
      <c r="B2503" s="19"/>
    </row>
    <row r="2504">
      <c r="A2504" s="19"/>
      <c r="B2504" s="19"/>
    </row>
    <row r="2505">
      <c r="A2505" s="19"/>
      <c r="B2505" s="19"/>
    </row>
    <row r="2506">
      <c r="A2506" s="19"/>
      <c r="B2506" s="19"/>
    </row>
    <row r="2507">
      <c r="A2507" s="19"/>
      <c r="B2507" s="19"/>
    </row>
    <row r="2508">
      <c r="A2508" s="19"/>
      <c r="B2508" s="19"/>
    </row>
    <row r="2509">
      <c r="A2509" s="19"/>
      <c r="B2509" s="19"/>
    </row>
    <row r="2510">
      <c r="A2510" s="19"/>
      <c r="B2510" s="19"/>
    </row>
    <row r="2511">
      <c r="A2511" s="19"/>
      <c r="B2511" s="19"/>
    </row>
    <row r="2512">
      <c r="A2512" s="19"/>
      <c r="B2512" s="19"/>
    </row>
    <row r="2513">
      <c r="A2513" s="19"/>
      <c r="B2513" s="19"/>
    </row>
    <row r="2514">
      <c r="A2514" s="19"/>
      <c r="B2514" s="19"/>
    </row>
    <row r="2515">
      <c r="A2515" s="19"/>
      <c r="B2515" s="19"/>
    </row>
    <row r="2516">
      <c r="A2516" s="19"/>
      <c r="B2516" s="19"/>
    </row>
    <row r="2517">
      <c r="A2517" s="19"/>
      <c r="B2517" s="19"/>
    </row>
    <row r="2518">
      <c r="A2518" s="19"/>
      <c r="B2518" s="19"/>
    </row>
    <row r="2519">
      <c r="A2519" s="19"/>
      <c r="B2519" s="19"/>
    </row>
    <row r="2520">
      <c r="A2520" s="19"/>
      <c r="B2520" s="19"/>
    </row>
    <row r="2521">
      <c r="A2521" s="19"/>
      <c r="B2521" s="19"/>
    </row>
    <row r="2522">
      <c r="A2522" s="19"/>
      <c r="B2522" s="19"/>
    </row>
    <row r="2523">
      <c r="A2523" s="19"/>
      <c r="B2523" s="19"/>
    </row>
    <row r="2524">
      <c r="A2524" s="19"/>
      <c r="B2524" s="19"/>
    </row>
    <row r="2525">
      <c r="A2525" s="19"/>
      <c r="B2525" s="19"/>
    </row>
    <row r="2526">
      <c r="A2526" s="19"/>
      <c r="B2526" s="19"/>
    </row>
    <row r="2527">
      <c r="A2527" s="19"/>
      <c r="B2527" s="19"/>
    </row>
    <row r="2528">
      <c r="A2528" s="19"/>
      <c r="B2528" s="19"/>
    </row>
    <row r="2529">
      <c r="A2529" s="19"/>
      <c r="B2529" s="19"/>
    </row>
    <row r="2530">
      <c r="A2530" s="19"/>
      <c r="B2530" s="19"/>
    </row>
    <row r="2531">
      <c r="A2531" s="19"/>
      <c r="B2531" s="19"/>
    </row>
    <row r="2532">
      <c r="A2532" s="19"/>
      <c r="B2532" s="19"/>
    </row>
    <row r="2533">
      <c r="A2533" s="19"/>
      <c r="B2533" s="19"/>
    </row>
    <row r="2534">
      <c r="A2534" s="19"/>
      <c r="B2534" s="19"/>
    </row>
    <row r="2535">
      <c r="A2535" s="19"/>
      <c r="B2535" s="19"/>
    </row>
    <row r="2536">
      <c r="A2536" s="19"/>
      <c r="B2536" s="19"/>
    </row>
    <row r="2537">
      <c r="A2537" s="19"/>
      <c r="B2537" s="19"/>
    </row>
    <row r="2538">
      <c r="A2538" s="19"/>
      <c r="B2538" s="19"/>
    </row>
    <row r="2539">
      <c r="A2539" s="19"/>
      <c r="B2539" s="19"/>
    </row>
    <row r="2540">
      <c r="A2540" s="19"/>
      <c r="B2540" s="19"/>
    </row>
    <row r="2541">
      <c r="A2541" s="19"/>
      <c r="B2541" s="19"/>
    </row>
    <row r="2542">
      <c r="A2542" s="19"/>
      <c r="B2542" s="19"/>
    </row>
    <row r="2543">
      <c r="A2543" s="19"/>
      <c r="B2543" s="19"/>
    </row>
    <row r="2544">
      <c r="A2544" s="19"/>
      <c r="B2544" s="19"/>
    </row>
    <row r="2545">
      <c r="A2545" s="19"/>
      <c r="B2545" s="19"/>
    </row>
    <row r="2546">
      <c r="A2546" s="19"/>
      <c r="B2546" s="19"/>
    </row>
    <row r="2547">
      <c r="A2547" s="19"/>
      <c r="B2547" s="19"/>
    </row>
    <row r="2548">
      <c r="A2548" s="19"/>
      <c r="B2548" s="19"/>
    </row>
    <row r="2549">
      <c r="A2549" s="19"/>
      <c r="B2549" s="19"/>
    </row>
    <row r="2550">
      <c r="A2550" s="19"/>
      <c r="B2550" s="19"/>
    </row>
    <row r="2551">
      <c r="A2551" s="19"/>
      <c r="B2551" s="19"/>
    </row>
    <row r="2552">
      <c r="A2552" s="19"/>
      <c r="B2552" s="19"/>
    </row>
    <row r="2553">
      <c r="A2553" s="19"/>
      <c r="B2553" s="19"/>
    </row>
    <row r="2554">
      <c r="A2554" s="19"/>
      <c r="B2554" s="19"/>
    </row>
    <row r="2555">
      <c r="A2555" s="19"/>
      <c r="B2555" s="19"/>
    </row>
    <row r="2556">
      <c r="A2556" s="19"/>
      <c r="B2556" s="19"/>
    </row>
    <row r="2557">
      <c r="A2557" s="19"/>
      <c r="B2557" s="19"/>
    </row>
    <row r="2558">
      <c r="A2558" s="19"/>
      <c r="B2558" s="19"/>
    </row>
    <row r="2559">
      <c r="A2559" s="19"/>
      <c r="B2559" s="19"/>
    </row>
    <row r="2560">
      <c r="A2560" s="19"/>
      <c r="B2560" s="19"/>
    </row>
    <row r="2561">
      <c r="A2561" s="19"/>
      <c r="B2561" s="19"/>
    </row>
    <row r="2562">
      <c r="A2562" s="19"/>
      <c r="B2562" s="19"/>
    </row>
    <row r="2563">
      <c r="A2563" s="19"/>
      <c r="B2563" s="19"/>
    </row>
    <row r="2564">
      <c r="A2564" s="19"/>
      <c r="B2564" s="19"/>
    </row>
    <row r="2565">
      <c r="A2565" s="19"/>
      <c r="B2565" s="19"/>
    </row>
    <row r="2566">
      <c r="A2566" s="19"/>
      <c r="B2566" s="19"/>
    </row>
    <row r="2567">
      <c r="A2567" s="19"/>
      <c r="B2567" s="19"/>
    </row>
    <row r="2568">
      <c r="A2568" s="19"/>
      <c r="B2568" s="19"/>
    </row>
    <row r="2569">
      <c r="A2569" s="19"/>
      <c r="B2569" s="19"/>
    </row>
    <row r="2570">
      <c r="A2570" s="19"/>
      <c r="B2570" s="19"/>
    </row>
    <row r="2571">
      <c r="A2571" s="19"/>
      <c r="B2571" s="19"/>
    </row>
    <row r="2572">
      <c r="A2572" s="19"/>
      <c r="B2572" s="19"/>
    </row>
    <row r="2573">
      <c r="A2573" s="19"/>
      <c r="B2573" s="19"/>
    </row>
    <row r="2574">
      <c r="A2574" s="19"/>
      <c r="B2574" s="19"/>
    </row>
    <row r="2575">
      <c r="A2575" s="19"/>
      <c r="B2575" s="19"/>
    </row>
    <row r="2576">
      <c r="A2576" s="19"/>
      <c r="B2576" s="19"/>
    </row>
    <row r="2577">
      <c r="A2577" s="19"/>
      <c r="B2577" s="19"/>
    </row>
    <row r="2578">
      <c r="A2578" s="19"/>
      <c r="B2578" s="19"/>
    </row>
    <row r="2579">
      <c r="A2579" s="19"/>
      <c r="B2579" s="19"/>
    </row>
    <row r="2580">
      <c r="A2580" s="19"/>
      <c r="B2580" s="19"/>
    </row>
    <row r="2581">
      <c r="A2581" s="19"/>
      <c r="B2581" s="19"/>
    </row>
    <row r="2582">
      <c r="A2582" s="19"/>
      <c r="B2582" s="19"/>
    </row>
    <row r="2583">
      <c r="A2583" s="19"/>
      <c r="B2583" s="19"/>
    </row>
    <row r="2584">
      <c r="A2584" s="19"/>
      <c r="B2584" s="19"/>
    </row>
    <row r="2585">
      <c r="A2585" s="19"/>
      <c r="B2585" s="19"/>
    </row>
    <row r="2586">
      <c r="A2586" s="19"/>
      <c r="B2586" s="19"/>
    </row>
    <row r="2587">
      <c r="A2587" s="19"/>
      <c r="B2587" s="19"/>
    </row>
    <row r="2588">
      <c r="A2588" s="19"/>
      <c r="B2588" s="19"/>
    </row>
    <row r="2589">
      <c r="A2589" s="19"/>
      <c r="B2589" s="19"/>
    </row>
    <row r="2590">
      <c r="A2590" s="19"/>
      <c r="B2590" s="19"/>
    </row>
    <row r="2591">
      <c r="A2591" s="19"/>
      <c r="B2591" s="19"/>
    </row>
    <row r="2592">
      <c r="A2592" s="19"/>
      <c r="B2592" s="19"/>
    </row>
    <row r="2593">
      <c r="A2593" s="19"/>
      <c r="B2593" s="19"/>
    </row>
    <row r="2594">
      <c r="A2594" s="19"/>
      <c r="B2594" s="19"/>
    </row>
    <row r="2595">
      <c r="A2595" s="19"/>
      <c r="B2595" s="19"/>
    </row>
    <row r="2596">
      <c r="A2596" s="19"/>
      <c r="B2596" s="19"/>
    </row>
    <row r="2597">
      <c r="A2597" s="19"/>
      <c r="B2597" s="19"/>
    </row>
    <row r="2598">
      <c r="A2598" s="19"/>
      <c r="B2598" s="19"/>
    </row>
    <row r="2599">
      <c r="A2599" s="19"/>
      <c r="B2599" s="19"/>
    </row>
    <row r="2600">
      <c r="A2600" s="19"/>
      <c r="B2600" s="19"/>
    </row>
    <row r="2601">
      <c r="A2601" s="19"/>
      <c r="B2601" s="19"/>
    </row>
    <row r="2602">
      <c r="A2602" s="19"/>
      <c r="B2602" s="19"/>
    </row>
    <row r="2603">
      <c r="A2603" s="19"/>
      <c r="B2603" s="19"/>
    </row>
    <row r="2604">
      <c r="A2604" s="19"/>
      <c r="B2604" s="19"/>
    </row>
    <row r="2605">
      <c r="A2605" s="19"/>
      <c r="B2605" s="19"/>
    </row>
    <row r="2606">
      <c r="A2606" s="19"/>
      <c r="B2606" s="19"/>
    </row>
    <row r="2607">
      <c r="A2607" s="19"/>
      <c r="B2607" s="19"/>
    </row>
    <row r="2608">
      <c r="A2608" s="19"/>
      <c r="B2608" s="19"/>
    </row>
    <row r="2609">
      <c r="A2609" s="19"/>
      <c r="B2609" s="19"/>
    </row>
    <row r="2610">
      <c r="A2610" s="19"/>
      <c r="B2610" s="19"/>
    </row>
    <row r="2611">
      <c r="A2611" s="19"/>
      <c r="B2611" s="19"/>
    </row>
    <row r="2612">
      <c r="A2612" s="19"/>
      <c r="B2612" s="19"/>
    </row>
    <row r="2613">
      <c r="A2613" s="19"/>
      <c r="B2613" s="19"/>
    </row>
    <row r="2614">
      <c r="A2614" s="19"/>
      <c r="B2614" s="19"/>
    </row>
    <row r="2615">
      <c r="A2615" s="19"/>
      <c r="B2615" s="19"/>
    </row>
    <row r="2616">
      <c r="A2616" s="19"/>
      <c r="B2616" s="19"/>
    </row>
    <row r="2617">
      <c r="A2617" s="19"/>
      <c r="B2617" s="19"/>
    </row>
    <row r="2618">
      <c r="A2618" s="19"/>
      <c r="B2618" s="19"/>
    </row>
    <row r="2619">
      <c r="A2619" s="19"/>
      <c r="B2619" s="19"/>
    </row>
    <row r="2620">
      <c r="A2620" s="19"/>
      <c r="B2620" s="19"/>
    </row>
    <row r="2621">
      <c r="A2621" s="19"/>
      <c r="B2621" s="19"/>
    </row>
    <row r="2622">
      <c r="A2622" s="19"/>
      <c r="B2622" s="19"/>
    </row>
    <row r="2623">
      <c r="A2623" s="19"/>
      <c r="B2623" s="19"/>
    </row>
    <row r="2624">
      <c r="A2624" s="19"/>
      <c r="B2624" s="19"/>
    </row>
    <row r="2625">
      <c r="A2625" s="19"/>
      <c r="B2625" s="19"/>
    </row>
    <row r="2626">
      <c r="A2626" s="19"/>
      <c r="B2626" s="19"/>
    </row>
    <row r="2627">
      <c r="A2627" s="19"/>
      <c r="B2627" s="19"/>
    </row>
    <row r="2628">
      <c r="A2628" s="19"/>
      <c r="B2628" s="19"/>
    </row>
    <row r="2629">
      <c r="A2629" s="19"/>
      <c r="B2629" s="19"/>
    </row>
    <row r="2630">
      <c r="A2630" s="19"/>
      <c r="B2630" s="19"/>
    </row>
    <row r="2631">
      <c r="A2631" s="19"/>
      <c r="B2631" s="19"/>
    </row>
    <row r="2632">
      <c r="A2632" s="19"/>
      <c r="B2632" s="19"/>
    </row>
    <row r="2633">
      <c r="A2633" s="19"/>
      <c r="B2633" s="19"/>
    </row>
    <row r="2634">
      <c r="A2634" s="19"/>
      <c r="B2634" s="19"/>
    </row>
    <row r="2635">
      <c r="A2635" s="19"/>
      <c r="B2635" s="19"/>
    </row>
    <row r="2636">
      <c r="A2636" s="19"/>
      <c r="B2636" s="19"/>
    </row>
    <row r="2637">
      <c r="A2637" s="19"/>
      <c r="B2637" s="19"/>
    </row>
    <row r="2638">
      <c r="A2638" s="19"/>
      <c r="B2638" s="19"/>
    </row>
    <row r="2639">
      <c r="A2639" s="19"/>
      <c r="B2639" s="19"/>
    </row>
    <row r="2640">
      <c r="A2640" s="19"/>
      <c r="B2640" s="19"/>
    </row>
    <row r="2641">
      <c r="A2641" s="19"/>
      <c r="B2641" s="19"/>
    </row>
    <row r="2642">
      <c r="A2642" s="19"/>
      <c r="B2642" s="19"/>
    </row>
    <row r="2643">
      <c r="A2643" s="19"/>
      <c r="B2643" s="19"/>
    </row>
    <row r="2644">
      <c r="A2644" s="19"/>
      <c r="B2644" s="19"/>
    </row>
    <row r="2645">
      <c r="A2645" s="19"/>
      <c r="B2645" s="19"/>
    </row>
    <row r="2646">
      <c r="A2646" s="19"/>
      <c r="B2646" s="19"/>
    </row>
    <row r="2647">
      <c r="A2647" s="19"/>
      <c r="B2647" s="19"/>
    </row>
    <row r="2648">
      <c r="A2648" s="19"/>
      <c r="B2648" s="19"/>
    </row>
    <row r="2649">
      <c r="A2649" s="19"/>
      <c r="B2649" s="19"/>
    </row>
    <row r="2650">
      <c r="A2650" s="19"/>
      <c r="B2650" s="19"/>
    </row>
    <row r="2651">
      <c r="A2651" s="19"/>
      <c r="B2651" s="19"/>
    </row>
    <row r="2652">
      <c r="A2652" s="19"/>
      <c r="B2652" s="19"/>
    </row>
    <row r="2653">
      <c r="A2653" s="19"/>
      <c r="B2653" s="19"/>
    </row>
    <row r="2654">
      <c r="A2654" s="19"/>
      <c r="B2654" s="19"/>
    </row>
    <row r="2655">
      <c r="A2655" s="19"/>
      <c r="B2655" s="19"/>
    </row>
    <row r="2656">
      <c r="A2656" s="19"/>
      <c r="B2656" s="19"/>
    </row>
    <row r="2657">
      <c r="A2657" s="19"/>
      <c r="B2657" s="19"/>
    </row>
    <row r="2658">
      <c r="A2658" s="19"/>
      <c r="B2658" s="19"/>
    </row>
    <row r="2659">
      <c r="A2659" s="19"/>
      <c r="B2659" s="19"/>
    </row>
    <row r="2660">
      <c r="A2660" s="19"/>
      <c r="B2660" s="19"/>
    </row>
    <row r="2661">
      <c r="A2661" s="19"/>
      <c r="B2661" s="19"/>
    </row>
    <row r="2662">
      <c r="A2662" s="19"/>
      <c r="B2662" s="19"/>
    </row>
    <row r="2663">
      <c r="A2663" s="19"/>
      <c r="B2663" s="19"/>
    </row>
    <row r="2664">
      <c r="A2664" s="19"/>
      <c r="B2664" s="19"/>
    </row>
    <row r="2665">
      <c r="A2665" s="19"/>
      <c r="B2665" s="19"/>
    </row>
    <row r="2666">
      <c r="A2666" s="19"/>
      <c r="B2666" s="19"/>
    </row>
    <row r="2667">
      <c r="A2667" s="19"/>
      <c r="B2667" s="19"/>
    </row>
    <row r="2668">
      <c r="A2668" s="19"/>
      <c r="B2668" s="19"/>
    </row>
    <row r="2669">
      <c r="A2669" s="19"/>
      <c r="B2669" s="19"/>
    </row>
    <row r="2670">
      <c r="A2670" s="19"/>
      <c r="B2670" s="19"/>
    </row>
    <row r="2671">
      <c r="A2671" s="19"/>
      <c r="B2671" s="19"/>
    </row>
    <row r="2672">
      <c r="A2672" s="19"/>
      <c r="B2672" s="19"/>
    </row>
    <row r="2673">
      <c r="A2673" s="19"/>
      <c r="B2673" s="19"/>
    </row>
    <row r="2674">
      <c r="A2674" s="19"/>
      <c r="B2674" s="19"/>
    </row>
    <row r="2675">
      <c r="A2675" s="19"/>
      <c r="B2675" s="19"/>
    </row>
    <row r="2676">
      <c r="A2676" s="19"/>
      <c r="B2676" s="19"/>
    </row>
    <row r="2677">
      <c r="A2677" s="19"/>
      <c r="B2677" s="19"/>
    </row>
    <row r="2678">
      <c r="A2678" s="19"/>
      <c r="B2678" s="19"/>
    </row>
    <row r="2679">
      <c r="A2679" s="19"/>
      <c r="B2679" s="19"/>
    </row>
    <row r="2680">
      <c r="A2680" s="19"/>
      <c r="B2680" s="19"/>
    </row>
    <row r="2681">
      <c r="A2681" s="19"/>
      <c r="B2681" s="19"/>
    </row>
    <row r="2682">
      <c r="A2682" s="19"/>
      <c r="B2682" s="19"/>
    </row>
    <row r="2683">
      <c r="A2683" s="19"/>
      <c r="B2683" s="19"/>
    </row>
    <row r="2684">
      <c r="A2684" s="19"/>
      <c r="B2684" s="19"/>
    </row>
    <row r="2685">
      <c r="A2685" s="19"/>
      <c r="B2685" s="19"/>
    </row>
    <row r="2686">
      <c r="A2686" s="19"/>
      <c r="B2686" s="19"/>
    </row>
    <row r="2687">
      <c r="A2687" s="19"/>
      <c r="B2687" s="19"/>
    </row>
    <row r="2688">
      <c r="A2688" s="19"/>
      <c r="B2688" s="19"/>
    </row>
    <row r="2689">
      <c r="A2689" s="19"/>
      <c r="B2689" s="19"/>
    </row>
    <row r="2690">
      <c r="A2690" s="19"/>
      <c r="B2690" s="19"/>
    </row>
    <row r="2691">
      <c r="A2691" s="19"/>
      <c r="B2691" s="19"/>
    </row>
    <row r="2692">
      <c r="A2692" s="19"/>
      <c r="B2692" s="19"/>
    </row>
    <row r="2693">
      <c r="A2693" s="19"/>
      <c r="B2693" s="19"/>
    </row>
    <row r="2694">
      <c r="A2694" s="19"/>
      <c r="B2694" s="19"/>
    </row>
    <row r="2695">
      <c r="A2695" s="19"/>
      <c r="B2695" s="19"/>
    </row>
    <row r="2696">
      <c r="A2696" s="19"/>
      <c r="B2696" s="19"/>
    </row>
    <row r="2697">
      <c r="A2697" s="19"/>
      <c r="B2697" s="19"/>
    </row>
    <row r="2698">
      <c r="A2698" s="19"/>
      <c r="B2698" s="19"/>
    </row>
    <row r="2699">
      <c r="A2699" s="19"/>
      <c r="B2699" s="19"/>
    </row>
    <row r="2700">
      <c r="A2700" s="19"/>
      <c r="B2700" s="19"/>
    </row>
    <row r="2701">
      <c r="A2701" s="19"/>
      <c r="B2701" s="19"/>
    </row>
    <row r="2702">
      <c r="A2702" s="19"/>
      <c r="B2702" s="19"/>
    </row>
    <row r="2703">
      <c r="A2703" s="19"/>
      <c r="B2703" s="19"/>
    </row>
    <row r="2704">
      <c r="A2704" s="19"/>
      <c r="B2704" s="19"/>
    </row>
    <row r="2705">
      <c r="A2705" s="19"/>
      <c r="B2705" s="19"/>
    </row>
    <row r="2706">
      <c r="A2706" s="19"/>
      <c r="B2706" s="19"/>
    </row>
    <row r="2707">
      <c r="A2707" s="19"/>
      <c r="B2707" s="19"/>
    </row>
    <row r="2708">
      <c r="A2708" s="19"/>
      <c r="B2708" s="19"/>
    </row>
    <row r="2709">
      <c r="A2709" s="19"/>
      <c r="B2709" s="19"/>
    </row>
    <row r="2710">
      <c r="A2710" s="19"/>
      <c r="B2710" s="19"/>
    </row>
    <row r="2711">
      <c r="A2711" s="19"/>
      <c r="B2711" s="19"/>
    </row>
    <row r="2712">
      <c r="A2712" s="19"/>
      <c r="B2712" s="19"/>
    </row>
    <row r="2713">
      <c r="A2713" s="19"/>
      <c r="B2713" s="19"/>
    </row>
    <row r="2714">
      <c r="A2714" s="19"/>
      <c r="B2714" s="19"/>
    </row>
    <row r="2715">
      <c r="A2715" s="19"/>
      <c r="B2715" s="19"/>
    </row>
    <row r="2716">
      <c r="A2716" s="19"/>
      <c r="B2716" s="19"/>
    </row>
    <row r="2717">
      <c r="A2717" s="19"/>
      <c r="B2717" s="19"/>
    </row>
    <row r="2718">
      <c r="A2718" s="19"/>
      <c r="B2718" s="19"/>
    </row>
    <row r="2719">
      <c r="A2719" s="19"/>
      <c r="B2719" s="19"/>
    </row>
    <row r="2720">
      <c r="A2720" s="19"/>
      <c r="B2720" s="19"/>
    </row>
    <row r="2721">
      <c r="A2721" s="19"/>
      <c r="B2721" s="19"/>
    </row>
    <row r="2722">
      <c r="A2722" s="19"/>
      <c r="B2722" s="19"/>
    </row>
    <row r="2723">
      <c r="A2723" s="19"/>
      <c r="B2723" s="19"/>
    </row>
    <row r="2724">
      <c r="A2724" s="19"/>
      <c r="B2724" s="19"/>
    </row>
    <row r="2725">
      <c r="A2725" s="19"/>
      <c r="B2725" s="19"/>
    </row>
    <row r="2726">
      <c r="A2726" s="19"/>
      <c r="B2726" s="19"/>
    </row>
    <row r="2727">
      <c r="A2727" s="19"/>
      <c r="B2727" s="19"/>
    </row>
    <row r="2728">
      <c r="A2728" s="19"/>
      <c r="B2728" s="19"/>
    </row>
    <row r="2729">
      <c r="A2729" s="19"/>
      <c r="B2729" s="19"/>
    </row>
    <row r="2730">
      <c r="A2730" s="19"/>
      <c r="B2730" s="19"/>
    </row>
    <row r="2731">
      <c r="A2731" s="19"/>
      <c r="B2731" s="19"/>
    </row>
    <row r="2732">
      <c r="A2732" s="19"/>
      <c r="B2732" s="19"/>
    </row>
    <row r="2733">
      <c r="A2733" s="19"/>
      <c r="B2733" s="19"/>
    </row>
    <row r="2734">
      <c r="A2734" s="19"/>
      <c r="B2734" s="19"/>
    </row>
    <row r="2735">
      <c r="A2735" s="19"/>
      <c r="B2735" s="19"/>
    </row>
    <row r="2736">
      <c r="A2736" s="19"/>
      <c r="B2736" s="19"/>
    </row>
    <row r="2737">
      <c r="A2737" s="19"/>
      <c r="B2737" s="19"/>
    </row>
    <row r="2738">
      <c r="A2738" s="19"/>
      <c r="B2738" s="19"/>
    </row>
    <row r="2739">
      <c r="A2739" s="19"/>
      <c r="B2739" s="19"/>
    </row>
    <row r="2740">
      <c r="A2740" s="19"/>
      <c r="B2740" s="19"/>
    </row>
    <row r="2741">
      <c r="A2741" s="19"/>
      <c r="B2741" s="19"/>
    </row>
    <row r="2742">
      <c r="A2742" s="19"/>
      <c r="B2742" s="19"/>
    </row>
    <row r="2743">
      <c r="A2743" s="19"/>
      <c r="B2743" s="19"/>
    </row>
    <row r="2744">
      <c r="A2744" s="19"/>
      <c r="B2744" s="19"/>
    </row>
    <row r="2745">
      <c r="A2745" s="19"/>
      <c r="B2745" s="19"/>
    </row>
    <row r="2746">
      <c r="A2746" s="19"/>
      <c r="B2746" s="19"/>
    </row>
    <row r="2747">
      <c r="A2747" s="19"/>
      <c r="B2747" s="19"/>
    </row>
    <row r="2748">
      <c r="A2748" s="19"/>
      <c r="B2748" s="19"/>
    </row>
    <row r="2749">
      <c r="A2749" s="19"/>
      <c r="B2749" s="19"/>
    </row>
    <row r="2750">
      <c r="A2750" s="19"/>
      <c r="B2750" s="19"/>
    </row>
    <row r="2751">
      <c r="A2751" s="19"/>
      <c r="B2751" s="19"/>
    </row>
    <row r="2752">
      <c r="A2752" s="19"/>
      <c r="B2752" s="19"/>
    </row>
    <row r="2753">
      <c r="A2753" s="19"/>
      <c r="B2753" s="19"/>
    </row>
    <row r="2754">
      <c r="A2754" s="19"/>
      <c r="B2754" s="19"/>
    </row>
    <row r="2755">
      <c r="A2755" s="19"/>
      <c r="B2755" s="19"/>
    </row>
    <row r="2756">
      <c r="A2756" s="19"/>
      <c r="B2756" s="19"/>
    </row>
    <row r="2757">
      <c r="A2757" s="19"/>
      <c r="B2757" s="19"/>
    </row>
    <row r="2758">
      <c r="A2758" s="19"/>
      <c r="B2758" s="19"/>
    </row>
    <row r="2759">
      <c r="A2759" s="19"/>
      <c r="B2759" s="19"/>
    </row>
    <row r="2760">
      <c r="A2760" s="19"/>
      <c r="B2760" s="19"/>
    </row>
    <row r="2761">
      <c r="A2761" s="19"/>
      <c r="B2761" s="19"/>
    </row>
    <row r="2762">
      <c r="A2762" s="19"/>
      <c r="B2762" s="19"/>
    </row>
    <row r="2763">
      <c r="A2763" s="19"/>
      <c r="B2763" s="19"/>
    </row>
    <row r="2764">
      <c r="A2764" s="19"/>
      <c r="B2764" s="19"/>
    </row>
    <row r="2765">
      <c r="A2765" s="19"/>
      <c r="B2765" s="19"/>
    </row>
    <row r="2766">
      <c r="A2766" s="19"/>
      <c r="B2766" s="19"/>
    </row>
    <row r="2767">
      <c r="A2767" s="19"/>
      <c r="B2767" s="19"/>
    </row>
    <row r="2768">
      <c r="A2768" s="19"/>
      <c r="B2768" s="19"/>
    </row>
    <row r="2769">
      <c r="A2769" s="19"/>
      <c r="B2769" s="19"/>
    </row>
    <row r="2770">
      <c r="A2770" s="19"/>
      <c r="B2770" s="19"/>
    </row>
    <row r="2771">
      <c r="A2771" s="19"/>
      <c r="B2771" s="19"/>
    </row>
    <row r="2772">
      <c r="A2772" s="19"/>
      <c r="B2772" s="19"/>
    </row>
    <row r="2773">
      <c r="A2773" s="19"/>
      <c r="B2773" s="19"/>
    </row>
    <row r="2774">
      <c r="A2774" s="19"/>
      <c r="B2774" s="19"/>
    </row>
    <row r="2775">
      <c r="A2775" s="19"/>
      <c r="B2775" s="19"/>
    </row>
    <row r="2776">
      <c r="A2776" s="19"/>
      <c r="B2776" s="19"/>
    </row>
    <row r="2777">
      <c r="A2777" s="19"/>
      <c r="B2777" s="19"/>
    </row>
    <row r="2778">
      <c r="A2778" s="19"/>
      <c r="B2778" s="19"/>
    </row>
    <row r="2779">
      <c r="A2779" s="19"/>
      <c r="B2779" s="19"/>
    </row>
    <row r="2780">
      <c r="A2780" s="19"/>
      <c r="B2780" s="19"/>
    </row>
    <row r="2781">
      <c r="A2781" s="19"/>
      <c r="B2781" s="19"/>
    </row>
    <row r="2782">
      <c r="A2782" s="19"/>
      <c r="B2782" s="19"/>
    </row>
    <row r="2783">
      <c r="A2783" s="19"/>
      <c r="B2783" s="19"/>
    </row>
    <row r="2784">
      <c r="A2784" s="19"/>
      <c r="B2784" s="19"/>
    </row>
    <row r="2785">
      <c r="A2785" s="19"/>
      <c r="B2785" s="19"/>
    </row>
    <row r="2786">
      <c r="A2786" s="19"/>
      <c r="B2786" s="19"/>
    </row>
    <row r="2787">
      <c r="A2787" s="19"/>
      <c r="B2787" s="19"/>
    </row>
    <row r="2788">
      <c r="A2788" s="19"/>
      <c r="B2788" s="19"/>
    </row>
    <row r="2789">
      <c r="A2789" s="19"/>
      <c r="B2789" s="19"/>
    </row>
    <row r="2790">
      <c r="A2790" s="19"/>
      <c r="B2790" s="19"/>
    </row>
    <row r="2791">
      <c r="A2791" s="19"/>
      <c r="B2791" s="19"/>
    </row>
    <row r="2792">
      <c r="A2792" s="19"/>
      <c r="B2792" s="19"/>
    </row>
    <row r="2793">
      <c r="A2793" s="19"/>
      <c r="B2793" s="19"/>
    </row>
    <row r="2794">
      <c r="A2794" s="19"/>
      <c r="B2794" s="19"/>
    </row>
    <row r="2795">
      <c r="A2795" s="19"/>
      <c r="B2795" s="19"/>
    </row>
    <row r="2796">
      <c r="A2796" s="19"/>
      <c r="B2796" s="19"/>
    </row>
    <row r="2797">
      <c r="A2797" s="19"/>
      <c r="B2797" s="19"/>
    </row>
    <row r="2798">
      <c r="A2798" s="19"/>
      <c r="B2798" s="19"/>
    </row>
    <row r="2799">
      <c r="A2799" s="19"/>
      <c r="B2799" s="19"/>
    </row>
    <row r="2800">
      <c r="A2800" s="19"/>
      <c r="B2800" s="19"/>
    </row>
    <row r="2801">
      <c r="A2801" s="19"/>
      <c r="B2801" s="19"/>
    </row>
    <row r="2802">
      <c r="A2802" s="19"/>
      <c r="B2802" s="19"/>
    </row>
    <row r="2803">
      <c r="A2803" s="19"/>
      <c r="B2803" s="19"/>
    </row>
    <row r="2804">
      <c r="A2804" s="19"/>
      <c r="B2804" s="19"/>
    </row>
    <row r="2805">
      <c r="A2805" s="19"/>
      <c r="B2805" s="19"/>
    </row>
    <row r="2806">
      <c r="A2806" s="19"/>
      <c r="B2806" s="19"/>
    </row>
    <row r="2807">
      <c r="A2807" s="19"/>
      <c r="B2807" s="19"/>
    </row>
    <row r="2808">
      <c r="A2808" s="19"/>
      <c r="B2808" s="19"/>
    </row>
    <row r="2809">
      <c r="A2809" s="19"/>
      <c r="B2809" s="19"/>
    </row>
    <row r="2810">
      <c r="A2810" s="19"/>
      <c r="B2810" s="19"/>
    </row>
    <row r="2811">
      <c r="A2811" s="19"/>
      <c r="B2811" s="19"/>
    </row>
    <row r="2812">
      <c r="A2812" s="19"/>
      <c r="B2812" s="19"/>
    </row>
    <row r="2813">
      <c r="A2813" s="19"/>
      <c r="B2813" s="19"/>
    </row>
    <row r="2814">
      <c r="A2814" s="19"/>
      <c r="B2814" s="19"/>
    </row>
    <row r="2815">
      <c r="A2815" s="19"/>
      <c r="B2815" s="19"/>
    </row>
    <row r="2816">
      <c r="A2816" s="19"/>
      <c r="B2816" s="19"/>
    </row>
    <row r="2817">
      <c r="A2817" s="19"/>
      <c r="B2817" s="19"/>
    </row>
    <row r="2818">
      <c r="A2818" s="19"/>
      <c r="B2818" s="19"/>
    </row>
    <row r="2819">
      <c r="A2819" s="19"/>
      <c r="B2819" s="19"/>
    </row>
    <row r="2820">
      <c r="A2820" s="19"/>
      <c r="B2820" s="19"/>
    </row>
    <row r="2821">
      <c r="A2821" s="19"/>
      <c r="B2821" s="19"/>
    </row>
    <row r="2822">
      <c r="A2822" s="19"/>
      <c r="B2822" s="19"/>
    </row>
    <row r="2823">
      <c r="A2823" s="19"/>
      <c r="B2823" s="19"/>
    </row>
    <row r="2824">
      <c r="A2824" s="19"/>
      <c r="B2824" s="19"/>
    </row>
    <row r="2825">
      <c r="A2825" s="19"/>
      <c r="B2825" s="19"/>
    </row>
    <row r="2826">
      <c r="A2826" s="19"/>
      <c r="B2826" s="19"/>
    </row>
    <row r="2827">
      <c r="A2827" s="19"/>
      <c r="B2827" s="19"/>
    </row>
    <row r="2828">
      <c r="A2828" s="19"/>
      <c r="B2828" s="19"/>
    </row>
    <row r="2829">
      <c r="A2829" s="19"/>
      <c r="B2829" s="19"/>
    </row>
    <row r="2830">
      <c r="A2830" s="19"/>
      <c r="B2830" s="19"/>
    </row>
    <row r="2831">
      <c r="A2831" s="19"/>
      <c r="B2831" s="19"/>
    </row>
    <row r="2832">
      <c r="A2832" s="19"/>
      <c r="B2832" s="19"/>
    </row>
    <row r="2833">
      <c r="A2833" s="19"/>
      <c r="B2833" s="19"/>
    </row>
    <row r="2834">
      <c r="A2834" s="19"/>
      <c r="B2834" s="19"/>
    </row>
    <row r="2835">
      <c r="A2835" s="19"/>
      <c r="B2835" s="19"/>
    </row>
    <row r="2836">
      <c r="A2836" s="19"/>
      <c r="B2836" s="19"/>
    </row>
    <row r="2837">
      <c r="A2837" s="19"/>
      <c r="B2837" s="19"/>
    </row>
    <row r="2838">
      <c r="A2838" s="19"/>
      <c r="B2838" s="19"/>
    </row>
    <row r="2839">
      <c r="A2839" s="19"/>
      <c r="B2839" s="19"/>
    </row>
    <row r="2840">
      <c r="A2840" s="19"/>
      <c r="B2840" s="19"/>
    </row>
    <row r="2841">
      <c r="A2841" s="19"/>
      <c r="B2841" s="19"/>
    </row>
    <row r="2842">
      <c r="A2842" s="19"/>
      <c r="B2842" s="19"/>
    </row>
    <row r="2843">
      <c r="A2843" s="19"/>
      <c r="B2843" s="19"/>
    </row>
    <row r="2844">
      <c r="A2844" s="19"/>
      <c r="B2844" s="19"/>
    </row>
    <row r="2845">
      <c r="A2845" s="19"/>
      <c r="B2845" s="19"/>
    </row>
    <row r="2846">
      <c r="A2846" s="19"/>
      <c r="B2846" s="19"/>
    </row>
    <row r="2847">
      <c r="A2847" s="19"/>
      <c r="B2847" s="19"/>
    </row>
    <row r="2848">
      <c r="A2848" s="19"/>
      <c r="B2848" s="19"/>
    </row>
    <row r="2849">
      <c r="A2849" s="19"/>
      <c r="B2849" s="19"/>
    </row>
    <row r="2850">
      <c r="A2850" s="19"/>
      <c r="B2850" s="19"/>
    </row>
    <row r="2851">
      <c r="A2851" s="19"/>
      <c r="B2851" s="19"/>
    </row>
    <row r="2852">
      <c r="A2852" s="19"/>
      <c r="B2852" s="19"/>
    </row>
    <row r="2853">
      <c r="A2853" s="19"/>
      <c r="B2853" s="19"/>
    </row>
    <row r="2854">
      <c r="A2854" s="19"/>
      <c r="B2854" s="19"/>
    </row>
    <row r="2855">
      <c r="A2855" s="19"/>
      <c r="B2855" s="19"/>
    </row>
    <row r="2856">
      <c r="A2856" s="19"/>
      <c r="B2856" s="19"/>
    </row>
    <row r="2857">
      <c r="A2857" s="19"/>
      <c r="B2857" s="19"/>
    </row>
    <row r="2858">
      <c r="A2858" s="19"/>
      <c r="B2858" s="19"/>
    </row>
    <row r="2859">
      <c r="A2859" s="19"/>
      <c r="B2859" s="19"/>
    </row>
    <row r="2860">
      <c r="A2860" s="19"/>
      <c r="B2860" s="19"/>
    </row>
    <row r="2861">
      <c r="A2861" s="19"/>
      <c r="B2861" s="19"/>
    </row>
    <row r="2862">
      <c r="A2862" s="19"/>
      <c r="B2862" s="19"/>
    </row>
    <row r="2863">
      <c r="A2863" s="19"/>
      <c r="B2863" s="19"/>
    </row>
    <row r="2864">
      <c r="A2864" s="19"/>
      <c r="B2864" s="19"/>
    </row>
    <row r="2865">
      <c r="A2865" s="19"/>
      <c r="B2865" s="19"/>
    </row>
    <row r="2866">
      <c r="A2866" s="19"/>
      <c r="B2866" s="19"/>
    </row>
    <row r="2867">
      <c r="A2867" s="19"/>
      <c r="B2867" s="19"/>
    </row>
    <row r="2868">
      <c r="A2868" s="19"/>
      <c r="B2868" s="19"/>
    </row>
    <row r="2869">
      <c r="A2869" s="19"/>
      <c r="B2869" s="19"/>
    </row>
    <row r="2870">
      <c r="A2870" s="19"/>
      <c r="B2870" s="19"/>
    </row>
    <row r="2871">
      <c r="A2871" s="19"/>
      <c r="B2871" s="19"/>
    </row>
    <row r="2872">
      <c r="A2872" s="19"/>
      <c r="B2872" s="19"/>
    </row>
    <row r="2873">
      <c r="A2873" s="19"/>
      <c r="B2873" s="19"/>
    </row>
    <row r="2874">
      <c r="A2874" s="19"/>
      <c r="B2874" s="19"/>
    </row>
    <row r="2875">
      <c r="A2875" s="19"/>
      <c r="B2875" s="19"/>
    </row>
    <row r="2876">
      <c r="A2876" s="19"/>
      <c r="B2876" s="19"/>
    </row>
    <row r="2877">
      <c r="A2877" s="19"/>
      <c r="B2877" s="19"/>
    </row>
    <row r="2878">
      <c r="A2878" s="19"/>
      <c r="B2878" s="19"/>
    </row>
    <row r="2879">
      <c r="A2879" s="19"/>
      <c r="B2879" s="19"/>
    </row>
    <row r="2880">
      <c r="A2880" s="19"/>
      <c r="B2880" s="19"/>
    </row>
    <row r="2881">
      <c r="A2881" s="19"/>
      <c r="B2881" s="19"/>
    </row>
    <row r="2882">
      <c r="A2882" s="19"/>
      <c r="B2882" s="19"/>
    </row>
    <row r="2883">
      <c r="A2883" s="19"/>
      <c r="B2883" s="19"/>
    </row>
    <row r="2884">
      <c r="A2884" s="19"/>
      <c r="B2884" s="19"/>
    </row>
    <row r="2885">
      <c r="A2885" s="19"/>
      <c r="B2885" s="19"/>
    </row>
    <row r="2886">
      <c r="A2886" s="19"/>
      <c r="B2886" s="19"/>
    </row>
    <row r="2887">
      <c r="A2887" s="19"/>
      <c r="B2887" s="19"/>
    </row>
    <row r="2888">
      <c r="A2888" s="19"/>
      <c r="B2888" s="19"/>
    </row>
    <row r="2889">
      <c r="A2889" s="19"/>
      <c r="B2889" s="19"/>
    </row>
    <row r="2890">
      <c r="A2890" s="19"/>
      <c r="B2890" s="19"/>
    </row>
    <row r="2891">
      <c r="A2891" s="19"/>
      <c r="B2891" s="19"/>
    </row>
    <row r="2892">
      <c r="A2892" s="19"/>
      <c r="B2892" s="19"/>
    </row>
    <row r="2893">
      <c r="A2893" s="19"/>
      <c r="B2893" s="19"/>
    </row>
    <row r="2894">
      <c r="A2894" s="19"/>
      <c r="B2894" s="19"/>
    </row>
    <row r="2895">
      <c r="A2895" s="19"/>
      <c r="B2895" s="19"/>
    </row>
    <row r="2896">
      <c r="A2896" s="19"/>
      <c r="B2896" s="19"/>
    </row>
    <row r="2897">
      <c r="A2897" s="19"/>
      <c r="B2897" s="19"/>
    </row>
    <row r="2898">
      <c r="A2898" s="19"/>
      <c r="B2898" s="19"/>
    </row>
    <row r="2899">
      <c r="A2899" s="19"/>
      <c r="B2899" s="19"/>
    </row>
    <row r="2900">
      <c r="A2900" s="19"/>
      <c r="B2900" s="19"/>
    </row>
    <row r="2901">
      <c r="A2901" s="19"/>
      <c r="B2901" s="19"/>
    </row>
    <row r="2902">
      <c r="A2902" s="19"/>
      <c r="B2902" s="19"/>
    </row>
    <row r="2903">
      <c r="A2903" s="19"/>
      <c r="B2903" s="19"/>
    </row>
    <row r="2904">
      <c r="A2904" s="19"/>
      <c r="B2904" s="19"/>
    </row>
    <row r="2905">
      <c r="A2905" s="19"/>
      <c r="B2905" s="19"/>
    </row>
    <row r="2906">
      <c r="A2906" s="19"/>
      <c r="B2906" s="19"/>
    </row>
    <row r="2907">
      <c r="A2907" s="19"/>
      <c r="B2907" s="19"/>
    </row>
    <row r="2908">
      <c r="A2908" s="19"/>
      <c r="B2908" s="19"/>
    </row>
    <row r="2909">
      <c r="A2909" s="19"/>
      <c r="B2909" s="19"/>
    </row>
    <row r="2910">
      <c r="A2910" s="19"/>
      <c r="B2910" s="19"/>
    </row>
    <row r="2911">
      <c r="A2911" s="19"/>
      <c r="B2911" s="19"/>
    </row>
    <row r="2912">
      <c r="A2912" s="19"/>
      <c r="B2912" s="19"/>
    </row>
    <row r="2913">
      <c r="A2913" s="19"/>
      <c r="B2913" s="19"/>
    </row>
    <row r="2914">
      <c r="A2914" s="19"/>
      <c r="B2914" s="19"/>
    </row>
    <row r="2915">
      <c r="A2915" s="19"/>
      <c r="B2915" s="19"/>
    </row>
    <row r="2916">
      <c r="A2916" s="19"/>
      <c r="B2916" s="19"/>
    </row>
    <row r="2917">
      <c r="A2917" s="19"/>
      <c r="B2917" s="19"/>
    </row>
    <row r="2918">
      <c r="A2918" s="19"/>
      <c r="B2918" s="19"/>
    </row>
    <row r="2919">
      <c r="A2919" s="19"/>
      <c r="B2919" s="19"/>
    </row>
    <row r="2920">
      <c r="A2920" s="19"/>
      <c r="B2920" s="19"/>
    </row>
    <row r="2921">
      <c r="A2921" s="19"/>
      <c r="B2921" s="19"/>
    </row>
    <row r="2922">
      <c r="A2922" s="19"/>
      <c r="B2922" s="19"/>
    </row>
    <row r="2923">
      <c r="A2923" s="19"/>
      <c r="B2923" s="19"/>
    </row>
    <row r="2924">
      <c r="A2924" s="19"/>
      <c r="B2924" s="19"/>
    </row>
    <row r="2925">
      <c r="A2925" s="19"/>
      <c r="B2925" s="19"/>
    </row>
    <row r="2926">
      <c r="A2926" s="19"/>
      <c r="B2926" s="19"/>
    </row>
    <row r="2927">
      <c r="A2927" s="19"/>
      <c r="B2927" s="19"/>
    </row>
    <row r="2928">
      <c r="A2928" s="19"/>
      <c r="B2928" s="19"/>
    </row>
    <row r="2929">
      <c r="A2929" s="19"/>
      <c r="B2929" s="19"/>
    </row>
    <row r="2930">
      <c r="A2930" s="19"/>
      <c r="B2930" s="19"/>
    </row>
    <row r="2931">
      <c r="A2931" s="19"/>
      <c r="B2931" s="19"/>
    </row>
    <row r="2932">
      <c r="A2932" s="19"/>
      <c r="B2932" s="19"/>
    </row>
    <row r="2933">
      <c r="A2933" s="19"/>
      <c r="B2933" s="19"/>
    </row>
    <row r="2934">
      <c r="A2934" s="19"/>
      <c r="B2934" s="19"/>
    </row>
    <row r="2935">
      <c r="A2935" s="19"/>
      <c r="B2935" s="19"/>
    </row>
    <row r="2936">
      <c r="A2936" s="19"/>
      <c r="B2936" s="19"/>
    </row>
    <row r="2937">
      <c r="A2937" s="19"/>
      <c r="B2937" s="19"/>
    </row>
    <row r="2938">
      <c r="A2938" s="19"/>
      <c r="B2938" s="19"/>
    </row>
    <row r="2939">
      <c r="A2939" s="19"/>
      <c r="B2939" s="19"/>
    </row>
    <row r="2940">
      <c r="A2940" s="19"/>
      <c r="B2940" s="19"/>
    </row>
    <row r="2941">
      <c r="A2941" s="19"/>
      <c r="B2941" s="19"/>
    </row>
    <row r="2942">
      <c r="A2942" s="19"/>
      <c r="B2942" s="19"/>
    </row>
    <row r="2943">
      <c r="A2943" s="19"/>
      <c r="B2943" s="19"/>
    </row>
    <row r="2944">
      <c r="A2944" s="19"/>
      <c r="B2944" s="19"/>
    </row>
    <row r="2945">
      <c r="A2945" s="19"/>
      <c r="B2945" s="19"/>
    </row>
    <row r="2946">
      <c r="A2946" s="19"/>
      <c r="B2946" s="19"/>
    </row>
    <row r="2947">
      <c r="A2947" s="19"/>
      <c r="B2947" s="19"/>
    </row>
    <row r="2948">
      <c r="A2948" s="19"/>
      <c r="B2948" s="19"/>
    </row>
    <row r="2949">
      <c r="A2949" s="19"/>
      <c r="B2949" s="19"/>
    </row>
    <row r="2950">
      <c r="A2950" s="19"/>
      <c r="B2950" s="19"/>
    </row>
    <row r="2951">
      <c r="A2951" s="19"/>
      <c r="B2951" s="19"/>
    </row>
    <row r="2952">
      <c r="A2952" s="19"/>
      <c r="B2952" s="19"/>
    </row>
    <row r="2953">
      <c r="A2953" s="19"/>
      <c r="B2953" s="19"/>
    </row>
    <row r="2954">
      <c r="A2954" s="19"/>
      <c r="B2954" s="19"/>
    </row>
    <row r="2955">
      <c r="A2955" s="19"/>
      <c r="B2955" s="19"/>
    </row>
    <row r="2956">
      <c r="A2956" s="19"/>
      <c r="B2956" s="19"/>
    </row>
    <row r="2957">
      <c r="A2957" s="19"/>
      <c r="B2957" s="19"/>
    </row>
    <row r="2958">
      <c r="A2958" s="19"/>
      <c r="B2958" s="19"/>
    </row>
    <row r="2959">
      <c r="A2959" s="19"/>
      <c r="B2959" s="19"/>
    </row>
    <row r="2960">
      <c r="A2960" s="19"/>
      <c r="B2960" s="19"/>
    </row>
    <row r="2961">
      <c r="A2961" s="19"/>
      <c r="B2961" s="19"/>
    </row>
    <row r="2962">
      <c r="A2962" s="19"/>
      <c r="B2962" s="19"/>
    </row>
    <row r="2963">
      <c r="A2963" s="19"/>
      <c r="B2963" s="19"/>
    </row>
    <row r="2964">
      <c r="A2964" s="19"/>
      <c r="B2964" s="19"/>
    </row>
    <row r="2965">
      <c r="A2965" s="19"/>
      <c r="B2965" s="19"/>
    </row>
    <row r="2966">
      <c r="A2966" s="19"/>
      <c r="B2966" s="19"/>
    </row>
    <row r="2967">
      <c r="A2967" s="19"/>
      <c r="B2967" s="19"/>
    </row>
    <row r="2968">
      <c r="A2968" s="19"/>
      <c r="B2968" s="19"/>
    </row>
    <row r="2969">
      <c r="A2969" s="19"/>
      <c r="B2969" s="19"/>
    </row>
    <row r="2970">
      <c r="A2970" s="19"/>
      <c r="B2970" s="19"/>
    </row>
    <row r="2971">
      <c r="A2971" s="19"/>
      <c r="B2971" s="19"/>
    </row>
    <row r="2972">
      <c r="A2972" s="19"/>
      <c r="B2972" s="19"/>
    </row>
    <row r="2973">
      <c r="A2973" s="19"/>
      <c r="B2973" s="19"/>
    </row>
    <row r="2974">
      <c r="A2974" s="19"/>
      <c r="B2974" s="19"/>
    </row>
    <row r="2975">
      <c r="A2975" s="19"/>
      <c r="B2975" s="19"/>
    </row>
    <row r="2976">
      <c r="A2976" s="19"/>
      <c r="B2976" s="19"/>
    </row>
    <row r="2977">
      <c r="A2977" s="19"/>
      <c r="B2977" s="19"/>
    </row>
    <row r="2978">
      <c r="A2978" s="19"/>
      <c r="B2978" s="19"/>
    </row>
    <row r="2979">
      <c r="A2979" s="19"/>
      <c r="B2979" s="19"/>
    </row>
    <row r="2980">
      <c r="A2980" s="19"/>
      <c r="B2980" s="19"/>
    </row>
    <row r="2981">
      <c r="A2981" s="19"/>
      <c r="B2981" s="19"/>
    </row>
    <row r="2982">
      <c r="A2982" s="19"/>
      <c r="B2982" s="19"/>
    </row>
    <row r="2983">
      <c r="A2983" s="19"/>
      <c r="B2983" s="19"/>
    </row>
    <row r="2984">
      <c r="A2984" s="19"/>
      <c r="B2984" s="19"/>
    </row>
    <row r="2985">
      <c r="A2985" s="19"/>
      <c r="B2985" s="19"/>
    </row>
    <row r="2986">
      <c r="A2986" s="19"/>
      <c r="B2986" s="19"/>
    </row>
    <row r="2987">
      <c r="A2987" s="19"/>
      <c r="B2987" s="19"/>
    </row>
    <row r="2988">
      <c r="A2988" s="19"/>
      <c r="B2988" s="19"/>
    </row>
    <row r="2989">
      <c r="A2989" s="19"/>
      <c r="B2989" s="19"/>
    </row>
    <row r="2990">
      <c r="A2990" s="19"/>
      <c r="B2990" s="19"/>
    </row>
    <row r="2991">
      <c r="A2991" s="19"/>
      <c r="B2991" s="19"/>
    </row>
    <row r="2992">
      <c r="A2992" s="19"/>
      <c r="B2992" s="19"/>
    </row>
    <row r="2993">
      <c r="A2993" s="19"/>
      <c r="B2993" s="19"/>
    </row>
    <row r="2994">
      <c r="A2994" s="19"/>
      <c r="B2994" s="19"/>
    </row>
    <row r="2995">
      <c r="A2995" s="19"/>
      <c r="B2995" s="19"/>
    </row>
    <row r="2996">
      <c r="A2996" s="19"/>
      <c r="B2996" s="19"/>
    </row>
    <row r="2997">
      <c r="A2997" s="19"/>
      <c r="B2997" s="19"/>
    </row>
    <row r="2998">
      <c r="A2998" s="19"/>
      <c r="B2998" s="19"/>
    </row>
    <row r="2999">
      <c r="A2999" s="19"/>
      <c r="B2999" s="19"/>
    </row>
    <row r="3000">
      <c r="A3000" s="19"/>
      <c r="B3000" s="19"/>
    </row>
    <row r="3001">
      <c r="A3001" s="19"/>
      <c r="B3001" s="19"/>
    </row>
    <row r="3002">
      <c r="A3002" s="19"/>
      <c r="B3002" s="19"/>
    </row>
    <row r="3003">
      <c r="A3003" s="19"/>
      <c r="B3003" s="19"/>
    </row>
    <row r="3004">
      <c r="A3004" s="19"/>
      <c r="B3004" s="19"/>
    </row>
    <row r="3005">
      <c r="A3005" s="19"/>
      <c r="B3005" s="19"/>
    </row>
    <row r="3006">
      <c r="A3006" s="19"/>
      <c r="B3006" s="19"/>
    </row>
    <row r="3007">
      <c r="A3007" s="19"/>
      <c r="B3007" s="19"/>
    </row>
    <row r="3008">
      <c r="A3008" s="19"/>
      <c r="B3008" s="19"/>
    </row>
    <row r="3009">
      <c r="A3009" s="19"/>
      <c r="B3009" s="19"/>
    </row>
    <row r="3010">
      <c r="A3010" s="19"/>
      <c r="B3010" s="19"/>
    </row>
    <row r="3011">
      <c r="A3011" s="19"/>
      <c r="B3011" s="19"/>
    </row>
    <row r="3012">
      <c r="A3012" s="19"/>
      <c r="B3012" s="19"/>
    </row>
    <row r="3013">
      <c r="A3013" s="19"/>
      <c r="B3013" s="19"/>
    </row>
    <row r="3014">
      <c r="A3014" s="19"/>
      <c r="B3014" s="19"/>
    </row>
    <row r="3015">
      <c r="A3015" s="19"/>
      <c r="B3015" s="19"/>
    </row>
    <row r="3016">
      <c r="A3016" s="19"/>
      <c r="B3016" s="19"/>
    </row>
    <row r="3017">
      <c r="A3017" s="19"/>
      <c r="B3017" s="19"/>
    </row>
    <row r="3018">
      <c r="A3018" s="19"/>
      <c r="B3018" s="19"/>
    </row>
    <row r="3019">
      <c r="A3019" s="19"/>
      <c r="B3019" s="19"/>
    </row>
    <row r="3020">
      <c r="A3020" s="19"/>
      <c r="B3020" s="19"/>
    </row>
    <row r="3021">
      <c r="A3021" s="19"/>
      <c r="B3021" s="19"/>
    </row>
    <row r="3022">
      <c r="A3022" s="19"/>
      <c r="B3022" s="19"/>
    </row>
    <row r="3023">
      <c r="A3023" s="19"/>
      <c r="B3023" s="19"/>
    </row>
    <row r="3024">
      <c r="A3024" s="19"/>
      <c r="B3024" s="19"/>
    </row>
    <row r="3025">
      <c r="A3025" s="19"/>
      <c r="B3025" s="19"/>
    </row>
    <row r="3026">
      <c r="A3026" s="19"/>
      <c r="B3026" s="19"/>
    </row>
    <row r="3027">
      <c r="A3027" s="19"/>
      <c r="B3027" s="19"/>
    </row>
    <row r="3028">
      <c r="A3028" s="19"/>
      <c r="B3028" s="19"/>
    </row>
    <row r="3029">
      <c r="A3029" s="19"/>
      <c r="B3029" s="19"/>
    </row>
    <row r="3030">
      <c r="A3030" s="19"/>
      <c r="B3030" s="19"/>
    </row>
    <row r="3031">
      <c r="A3031" s="19"/>
      <c r="B3031" s="19"/>
    </row>
    <row r="3032">
      <c r="A3032" s="19"/>
      <c r="B3032" s="19"/>
    </row>
    <row r="3033">
      <c r="A3033" s="19"/>
      <c r="B3033" s="19"/>
    </row>
    <row r="3034">
      <c r="A3034" s="19"/>
      <c r="B3034" s="19"/>
    </row>
    <row r="3035">
      <c r="A3035" s="19"/>
      <c r="B3035" s="19"/>
    </row>
    <row r="3036">
      <c r="A3036" s="19"/>
      <c r="B3036" s="19"/>
    </row>
    <row r="3037">
      <c r="A3037" s="19"/>
      <c r="B3037" s="19"/>
    </row>
    <row r="3038">
      <c r="A3038" s="19"/>
      <c r="B3038" s="19"/>
    </row>
    <row r="3039">
      <c r="A3039" s="19"/>
      <c r="B3039" s="19"/>
    </row>
    <row r="3040">
      <c r="A3040" s="19"/>
      <c r="B3040" s="19"/>
    </row>
    <row r="3041">
      <c r="A3041" s="19"/>
      <c r="B3041" s="19"/>
    </row>
    <row r="3042">
      <c r="A3042" s="19"/>
      <c r="B3042" s="19"/>
    </row>
    <row r="3043">
      <c r="A3043" s="19"/>
      <c r="B3043" s="19"/>
    </row>
    <row r="3044">
      <c r="A3044" s="19"/>
      <c r="B3044" s="19"/>
    </row>
    <row r="3045">
      <c r="A3045" s="19"/>
      <c r="B3045" s="19"/>
    </row>
    <row r="3046">
      <c r="A3046" s="19"/>
      <c r="B3046" s="19"/>
    </row>
    <row r="3047">
      <c r="A3047" s="19"/>
      <c r="B3047" s="19"/>
    </row>
    <row r="3048">
      <c r="A3048" s="19"/>
      <c r="B3048" s="19"/>
    </row>
    <row r="3049">
      <c r="A3049" s="19"/>
      <c r="B3049" s="19"/>
    </row>
    <row r="3050">
      <c r="A3050" s="19"/>
      <c r="B3050" s="19"/>
    </row>
    <row r="3051">
      <c r="A3051" s="19"/>
      <c r="B3051" s="19"/>
    </row>
    <row r="3052">
      <c r="A3052" s="19"/>
      <c r="B3052" s="19"/>
    </row>
    <row r="3053">
      <c r="A3053" s="19"/>
      <c r="B3053" s="19"/>
    </row>
    <row r="3054">
      <c r="A3054" s="19"/>
      <c r="B3054" s="19"/>
    </row>
    <row r="3055">
      <c r="A3055" s="19"/>
      <c r="B3055" s="19"/>
    </row>
    <row r="3056">
      <c r="A3056" s="19"/>
      <c r="B3056" s="19"/>
    </row>
    <row r="3057">
      <c r="A3057" s="19"/>
      <c r="B3057" s="19"/>
    </row>
    <row r="3058">
      <c r="A3058" s="19"/>
      <c r="B3058" s="19"/>
    </row>
    <row r="3059">
      <c r="A3059" s="19"/>
      <c r="B3059" s="19"/>
    </row>
    <row r="3060">
      <c r="A3060" s="19"/>
      <c r="B3060" s="19"/>
    </row>
    <row r="3061">
      <c r="A3061" s="19"/>
      <c r="B3061" s="19"/>
    </row>
    <row r="3062">
      <c r="A3062" s="19"/>
      <c r="B3062" s="19"/>
    </row>
    <row r="3063">
      <c r="A3063" s="19"/>
      <c r="B3063" s="19"/>
    </row>
    <row r="3064">
      <c r="A3064" s="19"/>
      <c r="B3064" s="19"/>
    </row>
    <row r="3065">
      <c r="A3065" s="19"/>
      <c r="B3065" s="19"/>
    </row>
    <row r="3066">
      <c r="A3066" s="19"/>
      <c r="B3066" s="19"/>
    </row>
    <row r="3067">
      <c r="A3067" s="19"/>
      <c r="B3067" s="19"/>
    </row>
    <row r="3068">
      <c r="A3068" s="19"/>
      <c r="B3068" s="19"/>
    </row>
    <row r="3069">
      <c r="A3069" s="19"/>
      <c r="B3069" s="19"/>
    </row>
    <row r="3070">
      <c r="A3070" s="19"/>
      <c r="B3070" s="19"/>
    </row>
    <row r="3071">
      <c r="A3071" s="19"/>
      <c r="B3071" s="19"/>
    </row>
    <row r="3072">
      <c r="A3072" s="19"/>
      <c r="B3072" s="19"/>
    </row>
    <row r="3073">
      <c r="A3073" s="19"/>
      <c r="B3073" s="19"/>
    </row>
    <row r="3074">
      <c r="A3074" s="19"/>
      <c r="B3074" s="19"/>
    </row>
    <row r="3075">
      <c r="A3075" s="19"/>
      <c r="B3075" s="19"/>
    </row>
    <row r="3076">
      <c r="A3076" s="19"/>
      <c r="B3076" s="19"/>
    </row>
    <row r="3077">
      <c r="A3077" s="19"/>
      <c r="B3077" s="19"/>
    </row>
    <row r="3078">
      <c r="A3078" s="19"/>
      <c r="B3078" s="19"/>
    </row>
    <row r="3079">
      <c r="A3079" s="19"/>
      <c r="B3079" s="19"/>
    </row>
    <row r="3080">
      <c r="A3080" s="19"/>
      <c r="B3080" s="19"/>
    </row>
    <row r="3081">
      <c r="A3081" s="19"/>
      <c r="B3081" s="19"/>
    </row>
    <row r="3082">
      <c r="A3082" s="19"/>
      <c r="B3082" s="19"/>
    </row>
    <row r="3083">
      <c r="A3083" s="19"/>
      <c r="B3083" s="19"/>
    </row>
    <row r="3084">
      <c r="A3084" s="19"/>
      <c r="B3084" s="19"/>
    </row>
    <row r="3085">
      <c r="A3085" s="19"/>
      <c r="B3085" s="19"/>
    </row>
    <row r="3086">
      <c r="A3086" s="19"/>
      <c r="B3086" s="19"/>
    </row>
    <row r="3087">
      <c r="A3087" s="19"/>
      <c r="B3087" s="19"/>
    </row>
    <row r="3088">
      <c r="A3088" s="19"/>
      <c r="B3088" s="19"/>
    </row>
    <row r="3089">
      <c r="A3089" s="19"/>
      <c r="B3089" s="19"/>
    </row>
    <row r="3090">
      <c r="A3090" s="19"/>
      <c r="B3090" s="19"/>
    </row>
    <row r="3091">
      <c r="A3091" s="19"/>
      <c r="B3091" s="19"/>
    </row>
    <row r="3092">
      <c r="A3092" s="19"/>
      <c r="B3092" s="19"/>
    </row>
    <row r="3093">
      <c r="A3093" s="19"/>
      <c r="B3093" s="19"/>
    </row>
    <row r="3094">
      <c r="A3094" s="19"/>
      <c r="B3094" s="19"/>
    </row>
    <row r="3095">
      <c r="A3095" s="19"/>
      <c r="B3095" s="19"/>
    </row>
    <row r="3096">
      <c r="A3096" s="19"/>
      <c r="B3096" s="19"/>
    </row>
    <row r="3097">
      <c r="A3097" s="19"/>
      <c r="B3097" s="19"/>
    </row>
    <row r="3098">
      <c r="A3098" s="19"/>
      <c r="B3098" s="19"/>
    </row>
    <row r="3099">
      <c r="A3099" s="19"/>
      <c r="B3099" s="19"/>
    </row>
    <row r="3100">
      <c r="A3100" s="19"/>
      <c r="B3100" s="19"/>
    </row>
    <row r="3101">
      <c r="A3101" s="19"/>
      <c r="B3101" s="19"/>
    </row>
    <row r="3102">
      <c r="A3102" s="19"/>
      <c r="B3102" s="19"/>
    </row>
    <row r="3103">
      <c r="A3103" s="19"/>
      <c r="B3103" s="19"/>
    </row>
    <row r="3104">
      <c r="A3104" s="19"/>
      <c r="B3104" s="19"/>
    </row>
    <row r="3105">
      <c r="A3105" s="19"/>
      <c r="B3105" s="19"/>
    </row>
    <row r="3106">
      <c r="A3106" s="19"/>
      <c r="B3106" s="19"/>
    </row>
    <row r="3107">
      <c r="A3107" s="19"/>
      <c r="B3107" s="19"/>
    </row>
    <row r="3108">
      <c r="A3108" s="19"/>
      <c r="B3108" s="19"/>
    </row>
    <row r="3109">
      <c r="A3109" s="19"/>
      <c r="B3109" s="19"/>
    </row>
    <row r="3110">
      <c r="A3110" s="19"/>
      <c r="B3110" s="19"/>
    </row>
    <row r="3111">
      <c r="A3111" s="19"/>
      <c r="B3111" s="19"/>
    </row>
    <row r="3112">
      <c r="A3112" s="19"/>
      <c r="B3112" s="19"/>
    </row>
    <row r="3113">
      <c r="A3113" s="19"/>
      <c r="B3113" s="19"/>
    </row>
    <row r="3114">
      <c r="A3114" s="19"/>
      <c r="B3114" s="19"/>
    </row>
    <row r="3115">
      <c r="A3115" s="19"/>
      <c r="B3115" s="19"/>
    </row>
    <row r="3116">
      <c r="A3116" s="19"/>
      <c r="B3116" s="19"/>
    </row>
    <row r="3117">
      <c r="A3117" s="19"/>
      <c r="B3117" s="19"/>
    </row>
    <row r="3118">
      <c r="A3118" s="19"/>
      <c r="B3118" s="19"/>
    </row>
    <row r="3119">
      <c r="A3119" s="19"/>
      <c r="B3119" s="19"/>
    </row>
    <row r="3120">
      <c r="A3120" s="19"/>
      <c r="B3120" s="19"/>
    </row>
    <row r="3121">
      <c r="A3121" s="19"/>
      <c r="B3121" s="19"/>
    </row>
    <row r="3122">
      <c r="A3122" s="19"/>
      <c r="B3122" s="19"/>
    </row>
    <row r="3123">
      <c r="A3123" s="19"/>
      <c r="B3123" s="19"/>
    </row>
    <row r="3124">
      <c r="A3124" s="19"/>
      <c r="B3124" s="19"/>
    </row>
    <row r="3125">
      <c r="A3125" s="19"/>
      <c r="B3125" s="19"/>
    </row>
    <row r="3126">
      <c r="A3126" s="19"/>
      <c r="B3126" s="19"/>
    </row>
    <row r="3127">
      <c r="A3127" s="19"/>
      <c r="B3127" s="19"/>
    </row>
    <row r="3128">
      <c r="A3128" s="19"/>
      <c r="B3128" s="19"/>
    </row>
    <row r="3129">
      <c r="A3129" s="19"/>
      <c r="B3129" s="19"/>
    </row>
    <row r="3130">
      <c r="A3130" s="19"/>
      <c r="B3130" s="19"/>
    </row>
    <row r="3131">
      <c r="A3131" s="19"/>
      <c r="B3131" s="19"/>
    </row>
    <row r="3132">
      <c r="A3132" s="19"/>
      <c r="B3132" s="19"/>
    </row>
    <row r="3133">
      <c r="A3133" s="19"/>
      <c r="B3133" s="19"/>
    </row>
    <row r="3134">
      <c r="A3134" s="19"/>
      <c r="B3134" s="19"/>
    </row>
    <row r="3135">
      <c r="A3135" s="19"/>
      <c r="B3135" s="19"/>
    </row>
    <row r="3136">
      <c r="A3136" s="19"/>
      <c r="B3136" s="19"/>
    </row>
    <row r="3137">
      <c r="A3137" s="19"/>
      <c r="B3137" s="19"/>
    </row>
    <row r="3138">
      <c r="A3138" s="19"/>
      <c r="B3138" s="19"/>
    </row>
    <row r="3139">
      <c r="A3139" s="19"/>
      <c r="B3139" s="19"/>
    </row>
    <row r="3140">
      <c r="A3140" s="19"/>
      <c r="B3140" s="19"/>
    </row>
    <row r="3141">
      <c r="A3141" s="19"/>
      <c r="B3141" s="19"/>
    </row>
    <row r="3142">
      <c r="A3142" s="19"/>
      <c r="B3142" s="19"/>
    </row>
    <row r="3143">
      <c r="A3143" s="19"/>
      <c r="B3143" s="19"/>
    </row>
    <row r="3144">
      <c r="A3144" s="19"/>
      <c r="B3144" s="19"/>
    </row>
    <row r="3145">
      <c r="A3145" s="19"/>
      <c r="B3145" s="19"/>
    </row>
    <row r="3146">
      <c r="A3146" s="19"/>
      <c r="B3146" s="19"/>
    </row>
    <row r="3147">
      <c r="A3147" s="19"/>
      <c r="B3147" s="19"/>
    </row>
    <row r="3148">
      <c r="A3148" s="19"/>
      <c r="B3148" s="19"/>
    </row>
    <row r="3149">
      <c r="A3149" s="19"/>
      <c r="B3149" s="19"/>
    </row>
    <row r="3150">
      <c r="A3150" s="19"/>
      <c r="B3150" s="19"/>
    </row>
    <row r="3151">
      <c r="A3151" s="19"/>
      <c r="B3151" s="19"/>
    </row>
    <row r="3152">
      <c r="A3152" s="19"/>
      <c r="B3152" s="19"/>
    </row>
    <row r="3153">
      <c r="A3153" s="19"/>
      <c r="B3153" s="19"/>
    </row>
    <row r="3154">
      <c r="A3154" s="19"/>
      <c r="B3154" s="19"/>
    </row>
    <row r="3155">
      <c r="A3155" s="19"/>
      <c r="B3155" s="19"/>
    </row>
    <row r="3156">
      <c r="A3156" s="19"/>
      <c r="B3156" s="19"/>
    </row>
    <row r="3157">
      <c r="A3157" s="19"/>
      <c r="B3157" s="19"/>
    </row>
    <row r="3158">
      <c r="A3158" s="19"/>
      <c r="B3158" s="19"/>
    </row>
    <row r="3159">
      <c r="A3159" s="19"/>
      <c r="B3159" s="19"/>
    </row>
    <row r="3160">
      <c r="A3160" s="19"/>
      <c r="B3160" s="19"/>
    </row>
    <row r="3161">
      <c r="A3161" s="19"/>
      <c r="B3161" s="19"/>
    </row>
    <row r="3162">
      <c r="A3162" s="19"/>
      <c r="B3162" s="19"/>
    </row>
    <row r="3163">
      <c r="A3163" s="19"/>
      <c r="B3163" s="19"/>
    </row>
    <row r="3164">
      <c r="A3164" s="19"/>
      <c r="B3164" s="19"/>
    </row>
    <row r="3165">
      <c r="A3165" s="19"/>
      <c r="B3165" s="19"/>
    </row>
    <row r="3166">
      <c r="A3166" s="19"/>
      <c r="B3166" s="19"/>
    </row>
    <row r="3167">
      <c r="A3167" s="19"/>
      <c r="B3167" s="19"/>
    </row>
    <row r="3168">
      <c r="A3168" s="19"/>
      <c r="B3168" s="19"/>
    </row>
    <row r="3169">
      <c r="A3169" s="19"/>
      <c r="B3169" s="19"/>
    </row>
    <row r="3170">
      <c r="A3170" s="19"/>
      <c r="B3170" s="19"/>
    </row>
    <row r="3171">
      <c r="A3171" s="19"/>
      <c r="B3171" s="19"/>
    </row>
    <row r="3172">
      <c r="A3172" s="19"/>
      <c r="B3172" s="19"/>
    </row>
    <row r="3173">
      <c r="A3173" s="19"/>
      <c r="B3173" s="19"/>
    </row>
    <row r="3174">
      <c r="A3174" s="19"/>
      <c r="B3174" s="19"/>
    </row>
    <row r="3175">
      <c r="A3175" s="19"/>
      <c r="B3175" s="19"/>
    </row>
    <row r="3176">
      <c r="A3176" s="19"/>
      <c r="B3176" s="19"/>
    </row>
    <row r="3177">
      <c r="A3177" s="19"/>
      <c r="B3177" s="19"/>
    </row>
    <row r="3178">
      <c r="A3178" s="19"/>
      <c r="B3178" s="19"/>
    </row>
    <row r="3179">
      <c r="A3179" s="19"/>
      <c r="B3179" s="19"/>
    </row>
    <row r="3180">
      <c r="A3180" s="19"/>
      <c r="B3180" s="19"/>
    </row>
    <row r="3181">
      <c r="A3181" s="19"/>
      <c r="B3181" s="19"/>
    </row>
    <row r="3182">
      <c r="A3182" s="19"/>
      <c r="B3182" s="19"/>
    </row>
    <row r="3183">
      <c r="A3183" s="19"/>
      <c r="B3183" s="19"/>
    </row>
    <row r="3184">
      <c r="A3184" s="19"/>
      <c r="B3184" s="19"/>
    </row>
    <row r="3185">
      <c r="A3185" s="19"/>
      <c r="B3185" s="19"/>
    </row>
    <row r="3186">
      <c r="A3186" s="19"/>
      <c r="B3186" s="19"/>
    </row>
    <row r="3187">
      <c r="A3187" s="19"/>
      <c r="B3187" s="19"/>
    </row>
    <row r="3188">
      <c r="A3188" s="19"/>
      <c r="B3188" s="19"/>
    </row>
    <row r="3189">
      <c r="A3189" s="19"/>
      <c r="B3189" s="19"/>
    </row>
    <row r="3190">
      <c r="A3190" s="19"/>
      <c r="B3190" s="19"/>
    </row>
    <row r="3191">
      <c r="A3191" s="19"/>
      <c r="B3191" s="19"/>
    </row>
    <row r="3192">
      <c r="A3192" s="19"/>
      <c r="B3192" s="19"/>
    </row>
    <row r="3193">
      <c r="A3193" s="19"/>
      <c r="B3193" s="19"/>
    </row>
    <row r="3194">
      <c r="A3194" s="19"/>
      <c r="B3194" s="19"/>
    </row>
    <row r="3195">
      <c r="A3195" s="19"/>
      <c r="B3195" s="19"/>
    </row>
    <row r="3196">
      <c r="A3196" s="19"/>
      <c r="B3196" s="19"/>
    </row>
    <row r="3197">
      <c r="A3197" s="19"/>
      <c r="B3197" s="19"/>
    </row>
    <row r="3198">
      <c r="A3198" s="19"/>
      <c r="B3198" s="19"/>
    </row>
    <row r="3199">
      <c r="A3199" s="19"/>
      <c r="B3199" s="19"/>
    </row>
    <row r="3200">
      <c r="A3200" s="19"/>
      <c r="B3200" s="19"/>
    </row>
    <row r="3201">
      <c r="A3201" s="19"/>
      <c r="B3201" s="19"/>
    </row>
    <row r="3202">
      <c r="A3202" s="19"/>
      <c r="B3202" s="19"/>
    </row>
    <row r="3203">
      <c r="A3203" s="19"/>
      <c r="B3203" s="19"/>
    </row>
    <row r="3204">
      <c r="A3204" s="19"/>
      <c r="B3204" s="19"/>
    </row>
    <row r="3205">
      <c r="A3205" s="19"/>
      <c r="B3205" s="19"/>
    </row>
    <row r="3206">
      <c r="A3206" s="19"/>
      <c r="B3206" s="19"/>
    </row>
    <row r="3207">
      <c r="A3207" s="19"/>
      <c r="B3207" s="19"/>
    </row>
    <row r="3208">
      <c r="A3208" s="19"/>
      <c r="B3208" s="19"/>
    </row>
    <row r="3209">
      <c r="A3209" s="19"/>
      <c r="B3209" s="19"/>
    </row>
    <row r="3210">
      <c r="A3210" s="19"/>
      <c r="B3210" s="19"/>
    </row>
    <row r="3211">
      <c r="A3211" s="19"/>
      <c r="B3211" s="19"/>
    </row>
    <row r="3212">
      <c r="A3212" s="19"/>
      <c r="B3212" s="19"/>
    </row>
    <row r="3213">
      <c r="A3213" s="19"/>
      <c r="B3213" s="19"/>
    </row>
    <row r="3214">
      <c r="A3214" s="19"/>
      <c r="B3214" s="19"/>
    </row>
    <row r="3215">
      <c r="A3215" s="19"/>
      <c r="B3215" s="19"/>
    </row>
    <row r="3216">
      <c r="A3216" s="19"/>
      <c r="B3216" s="19"/>
    </row>
    <row r="3217">
      <c r="A3217" s="19"/>
      <c r="B3217" s="19"/>
    </row>
    <row r="3218">
      <c r="A3218" s="19"/>
      <c r="B3218" s="19"/>
    </row>
    <row r="3219">
      <c r="A3219" s="19"/>
      <c r="B3219" s="19"/>
    </row>
    <row r="3220">
      <c r="A3220" s="19"/>
      <c r="B3220" s="19"/>
    </row>
    <row r="3221">
      <c r="A3221" s="19"/>
      <c r="B3221" s="19"/>
    </row>
    <row r="3222">
      <c r="A3222" s="19"/>
      <c r="B3222" s="19"/>
    </row>
    <row r="3223">
      <c r="A3223" s="19"/>
      <c r="B3223" s="19"/>
    </row>
    <row r="3224">
      <c r="A3224" s="19"/>
      <c r="B3224" s="19"/>
    </row>
    <row r="3225">
      <c r="A3225" s="19"/>
      <c r="B3225" s="19"/>
    </row>
    <row r="3226">
      <c r="A3226" s="19"/>
      <c r="B3226" s="19"/>
    </row>
    <row r="3227">
      <c r="A3227" s="19"/>
      <c r="B3227" s="19"/>
    </row>
    <row r="3228">
      <c r="A3228" s="19"/>
      <c r="B3228" s="19"/>
    </row>
    <row r="3229">
      <c r="A3229" s="19"/>
      <c r="B3229" s="19"/>
    </row>
    <row r="3230">
      <c r="A3230" s="19"/>
      <c r="B3230" s="19"/>
    </row>
    <row r="3231">
      <c r="A3231" s="19"/>
      <c r="B3231" s="19"/>
    </row>
    <row r="3232">
      <c r="A3232" s="19"/>
      <c r="B3232" s="19"/>
    </row>
    <row r="3233">
      <c r="A3233" s="19"/>
      <c r="B3233" s="19"/>
    </row>
    <row r="3234">
      <c r="A3234" s="19"/>
      <c r="B3234" s="19"/>
    </row>
    <row r="3235">
      <c r="A3235" s="19"/>
      <c r="B3235" s="19"/>
    </row>
    <row r="3236">
      <c r="A3236" s="19"/>
      <c r="B3236" s="19"/>
    </row>
    <row r="3237">
      <c r="A3237" s="19"/>
      <c r="B3237" s="19"/>
    </row>
    <row r="3238">
      <c r="A3238" s="19"/>
      <c r="B3238" s="19"/>
    </row>
    <row r="3239">
      <c r="A3239" s="19"/>
      <c r="B3239" s="19"/>
    </row>
    <row r="3240">
      <c r="A3240" s="19"/>
      <c r="B3240" s="19"/>
    </row>
    <row r="3241">
      <c r="A3241" s="19"/>
      <c r="B3241" s="19"/>
    </row>
    <row r="3242">
      <c r="A3242" s="19"/>
      <c r="B3242" s="19"/>
    </row>
    <row r="3243">
      <c r="A3243" s="19"/>
      <c r="B3243" s="19"/>
    </row>
    <row r="3244">
      <c r="A3244" s="19"/>
      <c r="B3244" s="19"/>
    </row>
    <row r="3245">
      <c r="A3245" s="19"/>
      <c r="B3245" s="19"/>
    </row>
    <row r="3246">
      <c r="A3246" s="19"/>
      <c r="B3246" s="19"/>
    </row>
    <row r="3247">
      <c r="A3247" s="19"/>
      <c r="B3247" s="19"/>
    </row>
    <row r="3248">
      <c r="A3248" s="19"/>
      <c r="B3248" s="19"/>
    </row>
    <row r="3249">
      <c r="A3249" s="19"/>
      <c r="B3249" s="19"/>
    </row>
    <row r="3250">
      <c r="A3250" s="19"/>
      <c r="B3250" s="19"/>
    </row>
    <row r="3251">
      <c r="A3251" s="19"/>
      <c r="B3251" s="19"/>
    </row>
    <row r="3252">
      <c r="A3252" s="19"/>
      <c r="B3252" s="19"/>
    </row>
    <row r="3253">
      <c r="A3253" s="19"/>
      <c r="B3253" s="19"/>
    </row>
    <row r="3254">
      <c r="A3254" s="19"/>
      <c r="B3254" s="19"/>
    </row>
    <row r="3255">
      <c r="A3255" s="19"/>
      <c r="B3255" s="19"/>
    </row>
    <row r="3256">
      <c r="A3256" s="19"/>
      <c r="B3256" s="19"/>
    </row>
    <row r="3257">
      <c r="A3257" s="19"/>
      <c r="B3257" s="19"/>
    </row>
    <row r="3258">
      <c r="A3258" s="19"/>
      <c r="B3258" s="19"/>
    </row>
    <row r="3259">
      <c r="A3259" s="19"/>
      <c r="B3259" s="19"/>
    </row>
    <row r="3260">
      <c r="A3260" s="19"/>
      <c r="B3260" s="19"/>
    </row>
    <row r="3261">
      <c r="A3261" s="19"/>
      <c r="B3261" s="19"/>
    </row>
    <row r="3262">
      <c r="A3262" s="19"/>
      <c r="B3262" s="19"/>
    </row>
    <row r="3263">
      <c r="A3263" s="19"/>
      <c r="B3263" s="19"/>
    </row>
    <row r="3264">
      <c r="A3264" s="19"/>
      <c r="B3264" s="19"/>
    </row>
    <row r="3265">
      <c r="A3265" s="19"/>
      <c r="B3265" s="19"/>
    </row>
    <row r="3266">
      <c r="A3266" s="19"/>
      <c r="B3266" s="19"/>
    </row>
    <row r="3267">
      <c r="A3267" s="19"/>
      <c r="B3267" s="19"/>
    </row>
    <row r="3268">
      <c r="A3268" s="19"/>
      <c r="B3268" s="19"/>
    </row>
    <row r="3269">
      <c r="A3269" s="19"/>
      <c r="B3269" s="19"/>
    </row>
    <row r="3270">
      <c r="A3270" s="19"/>
      <c r="B3270" s="19"/>
    </row>
    <row r="3271">
      <c r="A3271" s="19"/>
      <c r="B3271" s="19"/>
    </row>
    <row r="3272">
      <c r="A3272" s="19"/>
      <c r="B3272" s="19"/>
    </row>
    <row r="3273">
      <c r="A3273" s="19"/>
      <c r="B3273" s="19"/>
    </row>
    <row r="3274">
      <c r="A3274" s="19"/>
      <c r="B3274" s="19"/>
    </row>
    <row r="3275">
      <c r="A3275" s="19"/>
      <c r="B3275" s="19"/>
    </row>
    <row r="3276">
      <c r="A3276" s="19"/>
      <c r="B3276" s="19"/>
    </row>
    <row r="3277">
      <c r="A3277" s="19"/>
      <c r="B3277" s="19"/>
    </row>
    <row r="3278">
      <c r="A3278" s="19"/>
      <c r="B3278" s="19"/>
    </row>
    <row r="3279">
      <c r="A3279" s="19"/>
      <c r="B3279" s="19"/>
    </row>
    <row r="3280">
      <c r="A3280" s="19"/>
      <c r="B3280" s="19"/>
    </row>
    <row r="3281">
      <c r="A3281" s="19"/>
      <c r="B3281" s="19"/>
    </row>
    <row r="3282">
      <c r="A3282" s="19"/>
      <c r="B3282" s="19"/>
    </row>
    <row r="3283">
      <c r="A3283" s="19"/>
      <c r="B3283" s="19"/>
    </row>
    <row r="3284">
      <c r="A3284" s="19"/>
      <c r="B3284" s="19"/>
    </row>
    <row r="3285">
      <c r="A3285" s="19"/>
      <c r="B3285" s="19"/>
    </row>
    <row r="3286">
      <c r="A3286" s="19"/>
      <c r="B3286" s="19"/>
    </row>
    <row r="3287">
      <c r="A3287" s="19"/>
      <c r="B3287" s="19"/>
    </row>
    <row r="3288">
      <c r="A3288" s="19"/>
      <c r="B3288" s="19"/>
    </row>
    <row r="3289">
      <c r="A3289" s="19"/>
      <c r="B3289" s="19"/>
    </row>
    <row r="3290">
      <c r="A3290" s="19"/>
      <c r="B3290" s="19"/>
    </row>
    <row r="3291">
      <c r="A3291" s="19"/>
      <c r="B3291" s="19"/>
    </row>
    <row r="3292">
      <c r="A3292" s="19"/>
      <c r="B3292" s="19"/>
    </row>
    <row r="3293">
      <c r="A3293" s="19"/>
      <c r="B3293" s="19"/>
    </row>
    <row r="3294">
      <c r="A3294" s="19"/>
      <c r="B3294" s="19"/>
    </row>
    <row r="3295">
      <c r="A3295" s="19"/>
      <c r="B3295" s="19"/>
    </row>
    <row r="3296">
      <c r="A3296" s="19"/>
      <c r="B3296" s="19"/>
    </row>
    <row r="3297">
      <c r="A3297" s="19"/>
      <c r="B3297" s="19"/>
    </row>
    <row r="3298">
      <c r="A3298" s="19"/>
      <c r="B3298" s="19"/>
    </row>
    <row r="3299">
      <c r="A3299" s="19"/>
      <c r="B3299" s="19"/>
    </row>
    <row r="3300">
      <c r="A3300" s="19"/>
      <c r="B3300" s="19"/>
    </row>
    <row r="3301">
      <c r="A3301" s="19"/>
      <c r="B3301" s="19"/>
    </row>
    <row r="3302">
      <c r="A3302" s="19"/>
      <c r="B3302" s="19"/>
    </row>
    <row r="3303">
      <c r="A3303" s="19"/>
      <c r="B3303" s="19"/>
    </row>
    <row r="3304">
      <c r="A3304" s="19"/>
      <c r="B3304" s="19"/>
    </row>
    <row r="3305">
      <c r="A3305" s="19"/>
      <c r="B3305" s="19"/>
    </row>
    <row r="3306">
      <c r="A3306" s="19"/>
      <c r="B3306" s="19"/>
    </row>
    <row r="3307">
      <c r="A3307" s="19"/>
      <c r="B3307" s="19"/>
    </row>
    <row r="3308">
      <c r="A3308" s="19"/>
      <c r="B3308" s="19"/>
    </row>
    <row r="3309">
      <c r="A3309" s="19"/>
      <c r="B3309" s="19"/>
    </row>
    <row r="3310">
      <c r="A3310" s="19"/>
      <c r="B3310" s="19"/>
    </row>
    <row r="3311">
      <c r="A3311" s="19"/>
      <c r="B3311" s="19"/>
    </row>
    <row r="3312">
      <c r="A3312" s="19"/>
      <c r="B3312" s="19"/>
    </row>
    <row r="3313">
      <c r="A3313" s="19"/>
      <c r="B3313" s="19"/>
    </row>
    <row r="3314">
      <c r="A3314" s="19"/>
      <c r="B3314" s="19"/>
    </row>
    <row r="3315">
      <c r="A3315" s="19"/>
      <c r="B3315" s="19"/>
    </row>
    <row r="3316">
      <c r="A3316" s="19"/>
      <c r="B3316" s="19"/>
    </row>
    <row r="3317">
      <c r="A3317" s="19"/>
      <c r="B3317" s="19"/>
    </row>
    <row r="3318">
      <c r="A3318" s="19"/>
      <c r="B3318" s="19"/>
    </row>
    <row r="3319">
      <c r="A3319" s="19"/>
      <c r="B3319" s="19"/>
    </row>
    <row r="3320">
      <c r="A3320" s="19"/>
      <c r="B3320" s="19"/>
    </row>
    <row r="3321">
      <c r="A3321" s="19"/>
      <c r="B3321" s="19"/>
    </row>
    <row r="3322">
      <c r="A3322" s="19"/>
      <c r="B3322" s="19"/>
    </row>
    <row r="3323">
      <c r="A3323" s="19"/>
      <c r="B3323" s="19"/>
    </row>
    <row r="3324">
      <c r="A3324" s="19"/>
      <c r="B3324" s="19"/>
    </row>
    <row r="3325">
      <c r="A3325" s="19"/>
      <c r="B3325" s="19"/>
    </row>
    <row r="3326">
      <c r="A3326" s="19"/>
      <c r="B3326" s="19"/>
    </row>
    <row r="3327">
      <c r="A3327" s="19"/>
      <c r="B3327" s="19"/>
    </row>
    <row r="3328">
      <c r="A3328" s="19"/>
      <c r="B3328" s="19"/>
    </row>
    <row r="3329">
      <c r="A3329" s="19"/>
      <c r="B3329" s="19"/>
    </row>
    <row r="3330">
      <c r="A3330" s="19"/>
      <c r="B3330" s="19"/>
    </row>
    <row r="3331">
      <c r="A3331" s="19"/>
      <c r="B3331" s="19"/>
    </row>
    <row r="3332">
      <c r="A3332" s="19"/>
      <c r="B3332" s="19"/>
    </row>
    <row r="3333">
      <c r="A3333" s="19"/>
      <c r="B3333" s="19"/>
    </row>
    <row r="3334">
      <c r="A3334" s="19"/>
      <c r="B3334" s="19"/>
    </row>
    <row r="3335">
      <c r="A3335" s="19"/>
      <c r="B333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4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0</v>
      </c>
      <c r="G4" s="7">
        <f t="shared" si="3"/>
        <v>100</v>
      </c>
      <c r="H4" s="7">
        <f t="shared" si="4"/>
        <v>0</v>
      </c>
      <c r="I4" s="7">
        <f t="shared" si="5"/>
        <v>150</v>
      </c>
      <c r="J4" s="7">
        <f t="shared" si="6"/>
        <v>0</v>
      </c>
      <c r="K4" s="7">
        <f t="shared" si="7"/>
        <v>200</v>
      </c>
      <c r="L4" s="7">
        <f t="shared" si="8"/>
        <v>0</v>
      </c>
      <c r="M4" s="7">
        <f t="shared" si="9"/>
        <v>300</v>
      </c>
      <c r="N4" s="7">
        <f t="shared" si="10"/>
        <v>0</v>
      </c>
      <c r="O4" s="7">
        <f t="shared" si="11"/>
        <v>400</v>
      </c>
      <c r="P4" s="7">
        <f t="shared" si="12"/>
        <v>0</v>
      </c>
      <c r="Q4" s="7">
        <f t="shared" si="13"/>
        <v>500</v>
      </c>
      <c r="R4" s="7">
        <f t="shared" si="14"/>
        <v>0</v>
      </c>
      <c r="S4" s="7">
        <f t="shared" si="15"/>
        <v>600</v>
      </c>
      <c r="T4" s="7">
        <f t="shared" si="16"/>
        <v>0</v>
      </c>
      <c r="U4" s="7">
        <f t="shared" si="17"/>
        <v>700</v>
      </c>
      <c r="V4" s="7">
        <f t="shared" si="18"/>
        <v>0</v>
      </c>
      <c r="W4" s="7">
        <f t="shared" si="19"/>
        <v>800</v>
      </c>
      <c r="X4" s="7">
        <f t="shared" si="20"/>
        <v>0</v>
      </c>
      <c r="Y4" s="7">
        <f t="shared" si="21"/>
        <v>900</v>
      </c>
      <c r="Z4" s="7">
        <f t="shared" si="22"/>
        <v>0</v>
      </c>
    </row>
    <row r="5"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0</v>
      </c>
      <c r="G5" s="7">
        <f t="shared" si="3"/>
        <v>100</v>
      </c>
      <c r="H5" s="7">
        <f t="shared" si="4"/>
        <v>0</v>
      </c>
      <c r="I5" s="7">
        <f t="shared" si="5"/>
        <v>150</v>
      </c>
      <c r="J5" s="7">
        <f t="shared" si="6"/>
        <v>0</v>
      </c>
      <c r="K5" s="7">
        <f t="shared" si="7"/>
        <v>200</v>
      </c>
      <c r="L5" s="7">
        <f t="shared" si="8"/>
        <v>0</v>
      </c>
      <c r="M5" s="7">
        <f t="shared" si="9"/>
        <v>300</v>
      </c>
      <c r="N5" s="7">
        <f t="shared" si="10"/>
        <v>0</v>
      </c>
      <c r="O5" s="7">
        <f t="shared" si="11"/>
        <v>400</v>
      </c>
      <c r="P5" s="7">
        <f t="shared" si="12"/>
        <v>0</v>
      </c>
      <c r="Q5" s="7">
        <f t="shared" si="13"/>
        <v>500</v>
      </c>
      <c r="R5" s="7">
        <f t="shared" si="14"/>
        <v>0</v>
      </c>
      <c r="S5" s="7">
        <f t="shared" si="15"/>
        <v>600</v>
      </c>
      <c r="T5" s="7">
        <f t="shared" si="16"/>
        <v>0</v>
      </c>
      <c r="U5" s="7">
        <f t="shared" si="17"/>
        <v>700</v>
      </c>
      <c r="V5" s="7">
        <f t="shared" si="18"/>
        <v>0</v>
      </c>
      <c r="W5" s="7">
        <f t="shared" si="19"/>
        <v>800</v>
      </c>
      <c r="X5" s="7">
        <f t="shared" si="20"/>
        <v>0</v>
      </c>
      <c r="Y5" s="7">
        <f t="shared" si="21"/>
        <v>900</v>
      </c>
      <c r="Z5" s="7">
        <f t="shared" si="22"/>
        <v>0</v>
      </c>
    </row>
    <row r="6"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0</v>
      </c>
      <c r="G6" s="7">
        <f t="shared" si="3"/>
        <v>100</v>
      </c>
      <c r="H6" s="7">
        <f t="shared" si="4"/>
        <v>0</v>
      </c>
      <c r="I6" s="7">
        <f t="shared" si="5"/>
        <v>150</v>
      </c>
      <c r="J6" s="7">
        <f t="shared" si="6"/>
        <v>0</v>
      </c>
      <c r="K6" s="7">
        <f t="shared" si="7"/>
        <v>200</v>
      </c>
      <c r="L6" s="7">
        <f t="shared" si="8"/>
        <v>0</v>
      </c>
      <c r="M6" s="7">
        <f t="shared" si="9"/>
        <v>300</v>
      </c>
      <c r="N6" s="7">
        <f t="shared" si="10"/>
        <v>0</v>
      </c>
      <c r="O6" s="7">
        <f t="shared" si="11"/>
        <v>400</v>
      </c>
      <c r="P6" s="7">
        <f t="shared" si="12"/>
        <v>0</v>
      </c>
      <c r="Q6" s="7">
        <f t="shared" si="13"/>
        <v>500</v>
      </c>
      <c r="R6" s="7">
        <f t="shared" si="14"/>
        <v>0</v>
      </c>
      <c r="S6" s="7">
        <f t="shared" si="15"/>
        <v>600</v>
      </c>
      <c r="T6" s="7">
        <f t="shared" si="16"/>
        <v>0</v>
      </c>
      <c r="U6" s="7">
        <f t="shared" si="17"/>
        <v>700</v>
      </c>
      <c r="V6" s="7">
        <f t="shared" si="18"/>
        <v>0</v>
      </c>
      <c r="W6" s="7">
        <f t="shared" si="19"/>
        <v>800</v>
      </c>
      <c r="X6" s="7">
        <f t="shared" si="20"/>
        <v>0</v>
      </c>
      <c r="Y6" s="7">
        <f t="shared" si="21"/>
        <v>900</v>
      </c>
      <c r="Z6" s="7">
        <f t="shared" si="22"/>
        <v>0</v>
      </c>
    </row>
    <row r="7"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0</v>
      </c>
      <c r="G7" s="7">
        <f t="shared" si="3"/>
        <v>100</v>
      </c>
      <c r="H7" s="7">
        <f t="shared" si="4"/>
        <v>0</v>
      </c>
      <c r="I7" s="7">
        <f t="shared" si="5"/>
        <v>150</v>
      </c>
      <c r="J7" s="7">
        <f t="shared" si="6"/>
        <v>0</v>
      </c>
      <c r="K7" s="7">
        <f t="shared" si="7"/>
        <v>200</v>
      </c>
      <c r="L7" s="7">
        <f t="shared" si="8"/>
        <v>0</v>
      </c>
      <c r="M7" s="7">
        <f t="shared" si="9"/>
        <v>300</v>
      </c>
      <c r="N7" s="7">
        <f t="shared" si="10"/>
        <v>0</v>
      </c>
      <c r="O7" s="7">
        <f t="shared" si="11"/>
        <v>400</v>
      </c>
      <c r="P7" s="7">
        <f t="shared" si="12"/>
        <v>0</v>
      </c>
      <c r="Q7" s="7">
        <f t="shared" si="13"/>
        <v>500</v>
      </c>
      <c r="R7" s="7">
        <f t="shared" si="14"/>
        <v>0</v>
      </c>
      <c r="S7" s="7">
        <f t="shared" si="15"/>
        <v>600</v>
      </c>
      <c r="T7" s="7">
        <f t="shared" si="16"/>
        <v>0</v>
      </c>
      <c r="U7" s="7">
        <f t="shared" si="17"/>
        <v>700</v>
      </c>
      <c r="V7" s="7">
        <f t="shared" si="18"/>
        <v>0</v>
      </c>
      <c r="W7" s="7">
        <f t="shared" si="19"/>
        <v>800</v>
      </c>
      <c r="X7" s="7">
        <f t="shared" si="20"/>
        <v>0</v>
      </c>
      <c r="Y7" s="7">
        <f t="shared" si="21"/>
        <v>900</v>
      </c>
      <c r="Z7" s="7">
        <f t="shared" si="22"/>
        <v>0</v>
      </c>
    </row>
    <row r="8"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0</v>
      </c>
      <c r="G8" s="7">
        <f t="shared" si="3"/>
        <v>100</v>
      </c>
      <c r="H8" s="7">
        <f t="shared" si="4"/>
        <v>0</v>
      </c>
      <c r="I8" s="7">
        <f t="shared" si="5"/>
        <v>150</v>
      </c>
      <c r="J8" s="7">
        <f t="shared" si="6"/>
        <v>0</v>
      </c>
      <c r="K8" s="7">
        <f t="shared" si="7"/>
        <v>200</v>
      </c>
      <c r="L8" s="7">
        <f t="shared" si="8"/>
        <v>0</v>
      </c>
      <c r="M8" s="7">
        <f t="shared" si="9"/>
        <v>300</v>
      </c>
      <c r="N8" s="7">
        <f t="shared" si="10"/>
        <v>0</v>
      </c>
      <c r="O8" s="7">
        <f t="shared" si="11"/>
        <v>400</v>
      </c>
      <c r="P8" s="7">
        <f t="shared" si="12"/>
        <v>0</v>
      </c>
      <c r="Q8" s="7">
        <f t="shared" si="13"/>
        <v>500</v>
      </c>
      <c r="R8" s="7">
        <f t="shared" si="14"/>
        <v>0</v>
      </c>
      <c r="S8" s="7">
        <f t="shared" si="15"/>
        <v>600</v>
      </c>
      <c r="T8" s="7">
        <f t="shared" si="16"/>
        <v>0</v>
      </c>
      <c r="U8" s="7">
        <f t="shared" si="17"/>
        <v>700</v>
      </c>
      <c r="V8" s="7">
        <f t="shared" si="18"/>
        <v>0</v>
      </c>
      <c r="W8" s="7">
        <f t="shared" si="19"/>
        <v>800</v>
      </c>
      <c r="X8" s="7">
        <f t="shared" si="20"/>
        <v>0</v>
      </c>
      <c r="Y8" s="7">
        <f t="shared" si="21"/>
        <v>900</v>
      </c>
      <c r="Z8" s="7">
        <f t="shared" si="22"/>
        <v>0</v>
      </c>
    </row>
    <row r="9"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0</v>
      </c>
      <c r="G9" s="7">
        <f t="shared" si="3"/>
        <v>100</v>
      </c>
      <c r="H9" s="7">
        <f t="shared" si="4"/>
        <v>0</v>
      </c>
      <c r="I9" s="7">
        <f t="shared" si="5"/>
        <v>150</v>
      </c>
      <c r="J9" s="7">
        <f t="shared" si="6"/>
        <v>0</v>
      </c>
      <c r="K9" s="7">
        <f t="shared" si="7"/>
        <v>200</v>
      </c>
      <c r="L9" s="7">
        <f t="shared" si="8"/>
        <v>0</v>
      </c>
      <c r="M9" s="7">
        <f t="shared" si="9"/>
        <v>300</v>
      </c>
      <c r="N9" s="7">
        <f t="shared" si="10"/>
        <v>0</v>
      </c>
      <c r="O9" s="7">
        <f t="shared" si="11"/>
        <v>400</v>
      </c>
      <c r="P9" s="7">
        <f t="shared" si="12"/>
        <v>0</v>
      </c>
      <c r="Q9" s="7">
        <f t="shared" si="13"/>
        <v>500</v>
      </c>
      <c r="R9" s="7">
        <f t="shared" si="14"/>
        <v>0</v>
      </c>
      <c r="S9" s="7">
        <f t="shared" si="15"/>
        <v>600</v>
      </c>
      <c r="T9" s="7">
        <f t="shared" si="16"/>
        <v>0</v>
      </c>
      <c r="U9" s="7">
        <f t="shared" si="17"/>
        <v>700</v>
      </c>
      <c r="V9" s="7">
        <f t="shared" si="18"/>
        <v>0</v>
      </c>
      <c r="W9" s="7">
        <f t="shared" si="19"/>
        <v>800</v>
      </c>
      <c r="X9" s="7">
        <f t="shared" si="20"/>
        <v>0</v>
      </c>
      <c r="Y9" s="7">
        <f t="shared" si="21"/>
        <v>900</v>
      </c>
      <c r="Z9" s="7">
        <f t="shared" si="22"/>
        <v>0</v>
      </c>
    </row>
    <row r="10"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0</v>
      </c>
      <c r="G10" s="7">
        <f t="shared" si="3"/>
        <v>100</v>
      </c>
      <c r="H10" s="7">
        <f t="shared" si="4"/>
        <v>0</v>
      </c>
      <c r="I10" s="7">
        <f t="shared" si="5"/>
        <v>150</v>
      </c>
      <c r="J10" s="7">
        <f t="shared" si="6"/>
        <v>0</v>
      </c>
      <c r="K10" s="7">
        <f t="shared" si="7"/>
        <v>200</v>
      </c>
      <c r="L10" s="7">
        <f t="shared" si="8"/>
        <v>0</v>
      </c>
      <c r="M10" s="7">
        <f t="shared" si="9"/>
        <v>300</v>
      </c>
      <c r="N10" s="7">
        <f t="shared" si="10"/>
        <v>0</v>
      </c>
      <c r="O10" s="7">
        <f t="shared" si="11"/>
        <v>400</v>
      </c>
      <c r="P10" s="7">
        <f t="shared" si="12"/>
        <v>0</v>
      </c>
      <c r="Q10" s="7">
        <f t="shared" si="13"/>
        <v>500</v>
      </c>
      <c r="R10" s="7">
        <f t="shared" si="14"/>
        <v>0</v>
      </c>
      <c r="S10" s="7">
        <f t="shared" si="15"/>
        <v>600</v>
      </c>
      <c r="T10" s="7">
        <f t="shared" si="16"/>
        <v>0</v>
      </c>
      <c r="U10" s="7">
        <f t="shared" si="17"/>
        <v>700</v>
      </c>
      <c r="V10" s="7">
        <f t="shared" si="18"/>
        <v>0</v>
      </c>
      <c r="W10" s="7">
        <f t="shared" si="19"/>
        <v>800</v>
      </c>
      <c r="X10" s="7">
        <f t="shared" si="20"/>
        <v>0</v>
      </c>
      <c r="Y10" s="7">
        <f t="shared" si="21"/>
        <v>900</v>
      </c>
      <c r="Z10" s="7">
        <f t="shared" si="22"/>
        <v>0</v>
      </c>
    </row>
    <row r="11"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0</v>
      </c>
      <c r="G11" s="7">
        <f t="shared" si="3"/>
        <v>100</v>
      </c>
      <c r="H11" s="7">
        <f t="shared" si="4"/>
        <v>0</v>
      </c>
      <c r="I11" s="7">
        <f t="shared" si="5"/>
        <v>150</v>
      </c>
      <c r="J11" s="7">
        <f t="shared" si="6"/>
        <v>0</v>
      </c>
      <c r="K11" s="7">
        <f t="shared" si="7"/>
        <v>200</v>
      </c>
      <c r="L11" s="7">
        <f t="shared" si="8"/>
        <v>0</v>
      </c>
      <c r="M11" s="7">
        <f t="shared" si="9"/>
        <v>300</v>
      </c>
      <c r="N11" s="7">
        <f t="shared" si="10"/>
        <v>0</v>
      </c>
      <c r="O11" s="7">
        <f t="shared" si="11"/>
        <v>400</v>
      </c>
      <c r="P11" s="7">
        <f t="shared" si="12"/>
        <v>0</v>
      </c>
      <c r="Q11" s="7">
        <f t="shared" si="13"/>
        <v>500</v>
      </c>
      <c r="R11" s="7">
        <f t="shared" si="14"/>
        <v>0</v>
      </c>
      <c r="S11" s="7">
        <f t="shared" si="15"/>
        <v>600</v>
      </c>
      <c r="T11" s="7">
        <f t="shared" si="16"/>
        <v>0</v>
      </c>
      <c r="U11" s="7">
        <f t="shared" si="17"/>
        <v>700</v>
      </c>
      <c r="V11" s="7">
        <f t="shared" si="18"/>
        <v>0</v>
      </c>
      <c r="W11" s="7">
        <f t="shared" si="19"/>
        <v>800</v>
      </c>
      <c r="X11" s="7">
        <f t="shared" si="20"/>
        <v>0</v>
      </c>
      <c r="Y11" s="7">
        <f t="shared" si="21"/>
        <v>900</v>
      </c>
      <c r="Z11" s="7">
        <f t="shared" si="22"/>
        <v>0</v>
      </c>
    </row>
    <row r="12"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0</v>
      </c>
      <c r="G12" s="7">
        <f t="shared" si="3"/>
        <v>100</v>
      </c>
      <c r="H12" s="7">
        <f t="shared" si="4"/>
        <v>0</v>
      </c>
      <c r="I12" s="7">
        <f t="shared" si="5"/>
        <v>150</v>
      </c>
      <c r="J12" s="7">
        <f t="shared" si="6"/>
        <v>0</v>
      </c>
      <c r="K12" s="7">
        <f t="shared" si="7"/>
        <v>200</v>
      </c>
      <c r="L12" s="7">
        <f t="shared" si="8"/>
        <v>0</v>
      </c>
      <c r="M12" s="7">
        <f t="shared" si="9"/>
        <v>300</v>
      </c>
      <c r="N12" s="7">
        <f t="shared" si="10"/>
        <v>0</v>
      </c>
      <c r="O12" s="7">
        <f t="shared" si="11"/>
        <v>400</v>
      </c>
      <c r="P12" s="7">
        <f t="shared" si="12"/>
        <v>0</v>
      </c>
      <c r="Q12" s="7">
        <f t="shared" si="13"/>
        <v>500</v>
      </c>
      <c r="R12" s="7">
        <f t="shared" si="14"/>
        <v>0</v>
      </c>
      <c r="S12" s="7">
        <f t="shared" si="15"/>
        <v>600</v>
      </c>
      <c r="T12" s="7">
        <f t="shared" si="16"/>
        <v>0</v>
      </c>
      <c r="U12" s="7">
        <f t="shared" si="17"/>
        <v>700</v>
      </c>
      <c r="V12" s="7">
        <f t="shared" si="18"/>
        <v>0</v>
      </c>
      <c r="W12" s="7">
        <f t="shared" si="19"/>
        <v>800</v>
      </c>
      <c r="X12" s="7">
        <f t="shared" si="20"/>
        <v>0</v>
      </c>
      <c r="Y12" s="7">
        <f t="shared" si="21"/>
        <v>900</v>
      </c>
      <c r="Z12" s="7">
        <f t="shared" si="22"/>
        <v>0</v>
      </c>
    </row>
    <row r="13"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0</v>
      </c>
      <c r="G13" s="7">
        <f t="shared" si="3"/>
        <v>100</v>
      </c>
      <c r="H13" s="7">
        <f t="shared" si="4"/>
        <v>0</v>
      </c>
      <c r="I13" s="7">
        <f t="shared" si="5"/>
        <v>150</v>
      </c>
      <c r="J13" s="7">
        <f t="shared" si="6"/>
        <v>0</v>
      </c>
      <c r="K13" s="7">
        <f t="shared" si="7"/>
        <v>200</v>
      </c>
      <c r="L13" s="7">
        <f t="shared" si="8"/>
        <v>0</v>
      </c>
      <c r="M13" s="7">
        <f t="shared" si="9"/>
        <v>300</v>
      </c>
      <c r="N13" s="7">
        <f t="shared" si="10"/>
        <v>0</v>
      </c>
      <c r="O13" s="7">
        <f t="shared" si="11"/>
        <v>400</v>
      </c>
      <c r="P13" s="7">
        <f t="shared" si="12"/>
        <v>0</v>
      </c>
      <c r="Q13" s="7">
        <f t="shared" si="13"/>
        <v>500</v>
      </c>
      <c r="R13" s="7">
        <f t="shared" si="14"/>
        <v>0</v>
      </c>
      <c r="S13" s="7">
        <f t="shared" si="15"/>
        <v>600</v>
      </c>
      <c r="T13" s="7">
        <f t="shared" si="16"/>
        <v>0</v>
      </c>
      <c r="U13" s="7">
        <f t="shared" si="17"/>
        <v>700</v>
      </c>
      <c r="V13" s="7">
        <f t="shared" si="18"/>
        <v>0</v>
      </c>
      <c r="W13" s="7">
        <f t="shared" si="19"/>
        <v>800</v>
      </c>
      <c r="X13" s="7">
        <f t="shared" si="20"/>
        <v>0</v>
      </c>
      <c r="Y13" s="7">
        <f t="shared" si="21"/>
        <v>900</v>
      </c>
      <c r="Z13" s="7">
        <f t="shared" si="22"/>
        <v>0</v>
      </c>
    </row>
    <row r="14"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0</v>
      </c>
      <c r="G14" s="7">
        <f t="shared" si="3"/>
        <v>100</v>
      </c>
      <c r="H14" s="7">
        <f t="shared" si="4"/>
        <v>0</v>
      </c>
      <c r="I14" s="7">
        <f t="shared" si="5"/>
        <v>150</v>
      </c>
      <c r="J14" s="7">
        <f t="shared" si="6"/>
        <v>0</v>
      </c>
      <c r="K14" s="7">
        <f t="shared" si="7"/>
        <v>200</v>
      </c>
      <c r="L14" s="7">
        <f t="shared" si="8"/>
        <v>0</v>
      </c>
      <c r="M14" s="7">
        <f t="shared" si="9"/>
        <v>300</v>
      </c>
      <c r="N14" s="7">
        <f t="shared" si="10"/>
        <v>0</v>
      </c>
      <c r="O14" s="7">
        <f t="shared" si="11"/>
        <v>400</v>
      </c>
      <c r="P14" s="7">
        <f t="shared" si="12"/>
        <v>0</v>
      </c>
      <c r="Q14" s="7">
        <f t="shared" si="13"/>
        <v>500</v>
      </c>
      <c r="R14" s="7">
        <f t="shared" si="14"/>
        <v>0</v>
      </c>
      <c r="S14" s="7">
        <f t="shared" si="15"/>
        <v>600</v>
      </c>
      <c r="T14" s="7">
        <f t="shared" si="16"/>
        <v>0</v>
      </c>
      <c r="U14" s="7">
        <f t="shared" si="17"/>
        <v>700</v>
      </c>
      <c r="V14" s="7">
        <f t="shared" si="18"/>
        <v>0</v>
      </c>
      <c r="W14" s="7">
        <f t="shared" si="19"/>
        <v>800</v>
      </c>
      <c r="X14" s="7">
        <f t="shared" si="20"/>
        <v>0</v>
      </c>
      <c r="Y14" s="7">
        <f t="shared" si="21"/>
        <v>900</v>
      </c>
      <c r="Z14" s="7">
        <f t="shared" si="22"/>
        <v>0</v>
      </c>
    </row>
    <row r="15"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0</v>
      </c>
      <c r="G15" s="7">
        <f t="shared" si="3"/>
        <v>100</v>
      </c>
      <c r="H15" s="7">
        <f t="shared" si="4"/>
        <v>0</v>
      </c>
      <c r="I15" s="7">
        <f t="shared" si="5"/>
        <v>150</v>
      </c>
      <c r="J15" s="7">
        <f t="shared" si="6"/>
        <v>0</v>
      </c>
      <c r="K15" s="7">
        <f t="shared" si="7"/>
        <v>200</v>
      </c>
      <c r="L15" s="7">
        <f t="shared" si="8"/>
        <v>0</v>
      </c>
      <c r="M15" s="7">
        <f t="shared" si="9"/>
        <v>300</v>
      </c>
      <c r="N15" s="7">
        <f t="shared" si="10"/>
        <v>0</v>
      </c>
      <c r="O15" s="7">
        <f t="shared" si="11"/>
        <v>400</v>
      </c>
      <c r="P15" s="7">
        <f t="shared" si="12"/>
        <v>0</v>
      </c>
      <c r="Q15" s="7">
        <f t="shared" si="13"/>
        <v>500</v>
      </c>
      <c r="R15" s="7">
        <f t="shared" si="14"/>
        <v>0</v>
      </c>
      <c r="S15" s="7">
        <f t="shared" si="15"/>
        <v>600</v>
      </c>
      <c r="T15" s="7">
        <f t="shared" si="16"/>
        <v>0</v>
      </c>
      <c r="U15" s="7">
        <f t="shared" si="17"/>
        <v>700</v>
      </c>
      <c r="V15" s="7">
        <f t="shared" si="18"/>
        <v>0</v>
      </c>
      <c r="W15" s="7">
        <f t="shared" si="19"/>
        <v>800</v>
      </c>
      <c r="X15" s="7">
        <f t="shared" si="20"/>
        <v>0</v>
      </c>
      <c r="Y15" s="7">
        <f t="shared" si="21"/>
        <v>900</v>
      </c>
      <c r="Z15" s="7">
        <f t="shared" si="22"/>
        <v>0</v>
      </c>
    </row>
    <row r="16"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0</v>
      </c>
      <c r="G16" s="7">
        <f t="shared" si="3"/>
        <v>100</v>
      </c>
      <c r="H16" s="7">
        <f t="shared" si="4"/>
        <v>0</v>
      </c>
      <c r="I16" s="7">
        <f t="shared" si="5"/>
        <v>150</v>
      </c>
      <c r="J16" s="7">
        <f t="shared" si="6"/>
        <v>0</v>
      </c>
      <c r="K16" s="7">
        <f t="shared" si="7"/>
        <v>200</v>
      </c>
      <c r="L16" s="7">
        <f t="shared" si="8"/>
        <v>0</v>
      </c>
      <c r="M16" s="7">
        <f t="shared" si="9"/>
        <v>300</v>
      </c>
      <c r="N16" s="7">
        <f t="shared" si="10"/>
        <v>0</v>
      </c>
      <c r="O16" s="7">
        <f t="shared" si="11"/>
        <v>400</v>
      </c>
      <c r="P16" s="7">
        <f t="shared" si="12"/>
        <v>0</v>
      </c>
      <c r="Q16" s="7">
        <f t="shared" si="13"/>
        <v>500</v>
      </c>
      <c r="R16" s="7">
        <f t="shared" si="14"/>
        <v>0</v>
      </c>
      <c r="S16" s="7">
        <f t="shared" si="15"/>
        <v>600</v>
      </c>
      <c r="T16" s="7">
        <f t="shared" si="16"/>
        <v>0</v>
      </c>
      <c r="U16" s="7">
        <f t="shared" si="17"/>
        <v>700</v>
      </c>
      <c r="V16" s="7">
        <f t="shared" si="18"/>
        <v>0</v>
      </c>
      <c r="W16" s="7">
        <f t="shared" si="19"/>
        <v>800</v>
      </c>
      <c r="X16" s="7">
        <f t="shared" si="20"/>
        <v>0</v>
      </c>
      <c r="Y16" s="7">
        <f t="shared" si="21"/>
        <v>900</v>
      </c>
      <c r="Z16" s="7">
        <f t="shared" si="22"/>
        <v>0</v>
      </c>
    </row>
    <row r="17"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0</v>
      </c>
      <c r="G17" s="7">
        <f t="shared" si="3"/>
        <v>100</v>
      </c>
      <c r="H17" s="7">
        <f t="shared" si="4"/>
        <v>0</v>
      </c>
      <c r="I17" s="7">
        <f t="shared" si="5"/>
        <v>150</v>
      </c>
      <c r="J17" s="7">
        <f t="shared" si="6"/>
        <v>0</v>
      </c>
      <c r="K17" s="7">
        <f t="shared" si="7"/>
        <v>200</v>
      </c>
      <c r="L17" s="7">
        <f t="shared" si="8"/>
        <v>0</v>
      </c>
      <c r="M17" s="7">
        <f t="shared" si="9"/>
        <v>300</v>
      </c>
      <c r="N17" s="7">
        <f t="shared" si="10"/>
        <v>0</v>
      </c>
      <c r="O17" s="7">
        <f t="shared" si="11"/>
        <v>400</v>
      </c>
      <c r="P17" s="7">
        <f t="shared" si="12"/>
        <v>0</v>
      </c>
      <c r="Q17" s="7">
        <f t="shared" si="13"/>
        <v>500</v>
      </c>
      <c r="R17" s="7">
        <f t="shared" si="14"/>
        <v>0</v>
      </c>
      <c r="S17" s="7">
        <f t="shared" si="15"/>
        <v>600</v>
      </c>
      <c r="T17" s="7">
        <f t="shared" si="16"/>
        <v>0</v>
      </c>
      <c r="U17" s="7">
        <f t="shared" si="17"/>
        <v>700</v>
      </c>
      <c r="V17" s="7">
        <f t="shared" si="18"/>
        <v>0</v>
      </c>
      <c r="W17" s="7">
        <f t="shared" si="19"/>
        <v>800</v>
      </c>
      <c r="X17" s="7">
        <f t="shared" si="20"/>
        <v>0</v>
      </c>
      <c r="Y17" s="7">
        <f t="shared" si="21"/>
        <v>900</v>
      </c>
      <c r="Z17" s="7">
        <f t="shared" si="22"/>
        <v>0</v>
      </c>
    </row>
    <row r="18"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0</v>
      </c>
      <c r="G18" s="7">
        <f t="shared" si="3"/>
        <v>100</v>
      </c>
      <c r="H18" s="7">
        <f t="shared" si="4"/>
        <v>0</v>
      </c>
      <c r="I18" s="7">
        <f t="shared" si="5"/>
        <v>150</v>
      </c>
      <c r="J18" s="7">
        <f t="shared" si="6"/>
        <v>0</v>
      </c>
      <c r="K18" s="7">
        <f t="shared" si="7"/>
        <v>200</v>
      </c>
      <c r="L18" s="7">
        <f t="shared" si="8"/>
        <v>0</v>
      </c>
      <c r="M18" s="7">
        <f t="shared" si="9"/>
        <v>300</v>
      </c>
      <c r="N18" s="7">
        <f t="shared" si="10"/>
        <v>0</v>
      </c>
      <c r="O18" s="7">
        <f t="shared" si="11"/>
        <v>400</v>
      </c>
      <c r="P18" s="7">
        <f t="shared" si="12"/>
        <v>0</v>
      </c>
      <c r="Q18" s="7">
        <f t="shared" si="13"/>
        <v>500</v>
      </c>
      <c r="R18" s="7">
        <f t="shared" si="14"/>
        <v>0</v>
      </c>
      <c r="S18" s="7">
        <f t="shared" si="15"/>
        <v>600</v>
      </c>
      <c r="T18" s="7">
        <f t="shared" si="16"/>
        <v>0</v>
      </c>
      <c r="U18" s="7">
        <f t="shared" si="17"/>
        <v>700</v>
      </c>
      <c r="V18" s="7">
        <f t="shared" si="18"/>
        <v>0</v>
      </c>
      <c r="W18" s="7">
        <f t="shared" si="19"/>
        <v>800</v>
      </c>
      <c r="X18" s="7">
        <f t="shared" si="20"/>
        <v>0</v>
      </c>
      <c r="Y18" s="7">
        <f t="shared" si="21"/>
        <v>900</v>
      </c>
      <c r="Z18" s="7">
        <f t="shared" si="22"/>
        <v>0</v>
      </c>
    </row>
    <row r="19"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0</v>
      </c>
      <c r="G19" s="7">
        <f t="shared" si="3"/>
        <v>100</v>
      </c>
      <c r="H19" s="7">
        <f t="shared" si="4"/>
        <v>0</v>
      </c>
      <c r="I19" s="7">
        <f t="shared" si="5"/>
        <v>150</v>
      </c>
      <c r="J19" s="7">
        <f t="shared" si="6"/>
        <v>0</v>
      </c>
      <c r="K19" s="7">
        <f t="shared" si="7"/>
        <v>200</v>
      </c>
      <c r="L19" s="7">
        <f t="shared" si="8"/>
        <v>0</v>
      </c>
      <c r="M19" s="7">
        <f t="shared" si="9"/>
        <v>300</v>
      </c>
      <c r="N19" s="7">
        <f t="shared" si="10"/>
        <v>0</v>
      </c>
      <c r="O19" s="7">
        <f t="shared" si="11"/>
        <v>400</v>
      </c>
      <c r="P19" s="7">
        <f t="shared" si="12"/>
        <v>0</v>
      </c>
      <c r="Q19" s="7">
        <f t="shared" si="13"/>
        <v>500</v>
      </c>
      <c r="R19" s="7">
        <f t="shared" si="14"/>
        <v>0</v>
      </c>
      <c r="S19" s="7">
        <f t="shared" si="15"/>
        <v>600</v>
      </c>
      <c r="T19" s="7">
        <f t="shared" si="16"/>
        <v>0</v>
      </c>
      <c r="U19" s="7">
        <f t="shared" si="17"/>
        <v>700</v>
      </c>
      <c r="V19" s="7">
        <f t="shared" si="18"/>
        <v>0</v>
      </c>
      <c r="W19" s="7">
        <f t="shared" si="19"/>
        <v>800</v>
      </c>
      <c r="X19" s="7">
        <f t="shared" si="20"/>
        <v>0</v>
      </c>
      <c r="Y19" s="7">
        <f t="shared" si="21"/>
        <v>900</v>
      </c>
      <c r="Z19" s="7">
        <f t="shared" si="22"/>
        <v>0</v>
      </c>
    </row>
    <row r="20"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0</v>
      </c>
      <c r="G20" s="7">
        <f t="shared" si="3"/>
        <v>100</v>
      </c>
      <c r="H20" s="7">
        <f t="shared" si="4"/>
        <v>0</v>
      </c>
      <c r="I20" s="7">
        <f t="shared" si="5"/>
        <v>150</v>
      </c>
      <c r="J20" s="7">
        <f t="shared" si="6"/>
        <v>0</v>
      </c>
      <c r="K20" s="7">
        <f t="shared" si="7"/>
        <v>200</v>
      </c>
      <c r="L20" s="7">
        <f t="shared" si="8"/>
        <v>0</v>
      </c>
      <c r="M20" s="7">
        <f t="shared" si="9"/>
        <v>300</v>
      </c>
      <c r="N20" s="7">
        <f t="shared" si="10"/>
        <v>0</v>
      </c>
      <c r="O20" s="7">
        <f t="shared" si="11"/>
        <v>400</v>
      </c>
      <c r="P20" s="7">
        <f t="shared" si="12"/>
        <v>0</v>
      </c>
      <c r="Q20" s="7">
        <f t="shared" si="13"/>
        <v>500</v>
      </c>
      <c r="R20" s="7">
        <f t="shared" si="14"/>
        <v>0</v>
      </c>
      <c r="S20" s="7">
        <f t="shared" si="15"/>
        <v>600</v>
      </c>
      <c r="T20" s="7">
        <f t="shared" si="16"/>
        <v>0</v>
      </c>
      <c r="U20" s="7">
        <f t="shared" si="17"/>
        <v>700</v>
      </c>
      <c r="V20" s="7">
        <f t="shared" si="18"/>
        <v>0</v>
      </c>
      <c r="W20" s="7">
        <f t="shared" si="19"/>
        <v>800</v>
      </c>
      <c r="X20" s="7">
        <f t="shared" si="20"/>
        <v>0</v>
      </c>
      <c r="Y20" s="7">
        <f t="shared" si="21"/>
        <v>900</v>
      </c>
      <c r="Z20" s="7">
        <f t="shared" si="22"/>
        <v>0</v>
      </c>
    </row>
    <row r="21"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0</v>
      </c>
      <c r="G21" s="7">
        <f t="shared" si="3"/>
        <v>100</v>
      </c>
      <c r="H21" s="7">
        <f t="shared" si="4"/>
        <v>0</v>
      </c>
      <c r="I21" s="7">
        <f t="shared" si="5"/>
        <v>150</v>
      </c>
      <c r="J21" s="7">
        <f t="shared" si="6"/>
        <v>0</v>
      </c>
      <c r="K21" s="7">
        <f t="shared" si="7"/>
        <v>200</v>
      </c>
      <c r="L21" s="7">
        <f t="shared" si="8"/>
        <v>0</v>
      </c>
      <c r="M21" s="7">
        <f t="shared" si="9"/>
        <v>300</v>
      </c>
      <c r="N21" s="7">
        <f t="shared" si="10"/>
        <v>0</v>
      </c>
      <c r="O21" s="7">
        <f t="shared" si="11"/>
        <v>400</v>
      </c>
      <c r="P21" s="7">
        <f t="shared" si="12"/>
        <v>0</v>
      </c>
      <c r="Q21" s="7">
        <f t="shared" si="13"/>
        <v>500</v>
      </c>
      <c r="R21" s="7">
        <f t="shared" si="14"/>
        <v>0</v>
      </c>
      <c r="S21" s="7">
        <f t="shared" si="15"/>
        <v>600</v>
      </c>
      <c r="T21" s="7">
        <f t="shared" si="16"/>
        <v>0</v>
      </c>
      <c r="U21" s="7">
        <f t="shared" si="17"/>
        <v>700</v>
      </c>
      <c r="V21" s="7">
        <f t="shared" si="18"/>
        <v>0</v>
      </c>
      <c r="W21" s="7">
        <f t="shared" si="19"/>
        <v>800</v>
      </c>
      <c r="X21" s="7">
        <f t="shared" si="20"/>
        <v>0</v>
      </c>
      <c r="Y21" s="7">
        <f t="shared" si="21"/>
        <v>900</v>
      </c>
      <c r="Z21" s="7">
        <f t="shared" si="22"/>
        <v>0</v>
      </c>
    </row>
    <row r="22"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0</v>
      </c>
      <c r="G22" s="7">
        <f t="shared" si="3"/>
        <v>100</v>
      </c>
      <c r="H22" s="7">
        <f t="shared" si="4"/>
        <v>0</v>
      </c>
      <c r="I22" s="7">
        <f t="shared" si="5"/>
        <v>150</v>
      </c>
      <c r="J22" s="7">
        <f t="shared" si="6"/>
        <v>0</v>
      </c>
      <c r="K22" s="7">
        <f t="shared" si="7"/>
        <v>200</v>
      </c>
      <c r="L22" s="7">
        <f t="shared" si="8"/>
        <v>0</v>
      </c>
      <c r="M22" s="7">
        <f t="shared" si="9"/>
        <v>300</v>
      </c>
      <c r="N22" s="7">
        <f t="shared" si="10"/>
        <v>0</v>
      </c>
      <c r="O22" s="7">
        <f t="shared" si="11"/>
        <v>400</v>
      </c>
      <c r="P22" s="7">
        <f t="shared" si="12"/>
        <v>0</v>
      </c>
      <c r="Q22" s="7">
        <f t="shared" si="13"/>
        <v>500</v>
      </c>
      <c r="R22" s="7">
        <f t="shared" si="14"/>
        <v>0</v>
      </c>
      <c r="S22" s="7">
        <f t="shared" si="15"/>
        <v>600</v>
      </c>
      <c r="T22" s="7">
        <f t="shared" si="16"/>
        <v>0</v>
      </c>
      <c r="U22" s="7">
        <f t="shared" si="17"/>
        <v>700</v>
      </c>
      <c r="V22" s="7">
        <f t="shared" si="18"/>
        <v>0</v>
      </c>
      <c r="W22" s="7">
        <f t="shared" si="19"/>
        <v>800</v>
      </c>
      <c r="X22" s="7">
        <f t="shared" si="20"/>
        <v>0</v>
      </c>
      <c r="Y22" s="7">
        <f t="shared" si="21"/>
        <v>900</v>
      </c>
      <c r="Z22" s="7">
        <f t="shared" si="22"/>
        <v>0</v>
      </c>
    </row>
    <row r="23"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0</v>
      </c>
      <c r="G23" s="7">
        <f t="shared" si="3"/>
        <v>100</v>
      </c>
      <c r="H23" s="7">
        <f t="shared" si="4"/>
        <v>0</v>
      </c>
      <c r="I23" s="7">
        <f t="shared" si="5"/>
        <v>150</v>
      </c>
      <c r="J23" s="7">
        <f t="shared" si="6"/>
        <v>0</v>
      </c>
      <c r="K23" s="7">
        <f t="shared" si="7"/>
        <v>200</v>
      </c>
      <c r="L23" s="7">
        <f t="shared" si="8"/>
        <v>0</v>
      </c>
      <c r="M23" s="7">
        <f t="shared" si="9"/>
        <v>300</v>
      </c>
      <c r="N23" s="7">
        <f t="shared" si="10"/>
        <v>0</v>
      </c>
      <c r="O23" s="7">
        <f t="shared" si="11"/>
        <v>400</v>
      </c>
      <c r="P23" s="7">
        <f t="shared" si="12"/>
        <v>0</v>
      </c>
      <c r="Q23" s="7">
        <f t="shared" si="13"/>
        <v>500</v>
      </c>
      <c r="R23" s="7">
        <f t="shared" si="14"/>
        <v>0</v>
      </c>
      <c r="S23" s="7">
        <f t="shared" si="15"/>
        <v>600</v>
      </c>
      <c r="T23" s="7">
        <f t="shared" si="16"/>
        <v>0</v>
      </c>
      <c r="U23" s="7">
        <f t="shared" si="17"/>
        <v>700</v>
      </c>
      <c r="V23" s="7">
        <f t="shared" si="18"/>
        <v>0</v>
      </c>
      <c r="W23" s="7">
        <f t="shared" si="19"/>
        <v>800</v>
      </c>
      <c r="X23" s="7">
        <f t="shared" si="20"/>
        <v>0</v>
      </c>
      <c r="Y23" s="7">
        <f t="shared" si="21"/>
        <v>900</v>
      </c>
      <c r="Z23" s="7">
        <f t="shared" si="22"/>
        <v>0</v>
      </c>
    </row>
    <row r="24"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0</v>
      </c>
      <c r="G24" s="7">
        <f t="shared" si="3"/>
        <v>100</v>
      </c>
      <c r="H24" s="7">
        <f t="shared" si="4"/>
        <v>0</v>
      </c>
      <c r="I24" s="7">
        <f t="shared" si="5"/>
        <v>150</v>
      </c>
      <c r="J24" s="7">
        <f t="shared" si="6"/>
        <v>0</v>
      </c>
      <c r="K24" s="7">
        <f t="shared" si="7"/>
        <v>200</v>
      </c>
      <c r="L24" s="7">
        <f t="shared" si="8"/>
        <v>0</v>
      </c>
      <c r="M24" s="7">
        <f t="shared" si="9"/>
        <v>300</v>
      </c>
      <c r="N24" s="7">
        <f t="shared" si="10"/>
        <v>0</v>
      </c>
      <c r="O24" s="7">
        <f t="shared" si="11"/>
        <v>400</v>
      </c>
      <c r="P24" s="7">
        <f t="shared" si="12"/>
        <v>0</v>
      </c>
      <c r="Q24" s="7">
        <f t="shared" si="13"/>
        <v>500</v>
      </c>
      <c r="R24" s="7">
        <f t="shared" si="14"/>
        <v>0</v>
      </c>
      <c r="S24" s="7">
        <f t="shared" si="15"/>
        <v>600</v>
      </c>
      <c r="T24" s="7">
        <f t="shared" si="16"/>
        <v>0</v>
      </c>
      <c r="U24" s="7">
        <f t="shared" si="17"/>
        <v>700</v>
      </c>
      <c r="V24" s="7">
        <f t="shared" si="18"/>
        <v>0</v>
      </c>
      <c r="W24" s="7">
        <f t="shared" si="19"/>
        <v>800</v>
      </c>
      <c r="X24" s="7">
        <f t="shared" si="20"/>
        <v>0</v>
      </c>
      <c r="Y24" s="7">
        <f t="shared" si="21"/>
        <v>900</v>
      </c>
      <c r="Z24" s="7">
        <f t="shared" si="22"/>
        <v>0</v>
      </c>
    </row>
    <row r="25"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0</v>
      </c>
      <c r="G25" s="7">
        <f t="shared" si="3"/>
        <v>100</v>
      </c>
      <c r="H25" s="7">
        <f t="shared" si="4"/>
        <v>0</v>
      </c>
      <c r="I25" s="7">
        <f t="shared" si="5"/>
        <v>150</v>
      </c>
      <c r="J25" s="7">
        <f t="shared" si="6"/>
        <v>0</v>
      </c>
      <c r="K25" s="7">
        <f t="shared" si="7"/>
        <v>200</v>
      </c>
      <c r="L25" s="7">
        <f t="shared" si="8"/>
        <v>0</v>
      </c>
      <c r="M25" s="7">
        <f t="shared" si="9"/>
        <v>300</v>
      </c>
      <c r="N25" s="7">
        <f t="shared" si="10"/>
        <v>0</v>
      </c>
      <c r="O25" s="7">
        <f t="shared" si="11"/>
        <v>400</v>
      </c>
      <c r="P25" s="7">
        <f t="shared" si="12"/>
        <v>0</v>
      </c>
      <c r="Q25" s="7">
        <f t="shared" si="13"/>
        <v>500</v>
      </c>
      <c r="R25" s="7">
        <f t="shared" si="14"/>
        <v>0</v>
      </c>
      <c r="S25" s="7">
        <f t="shared" si="15"/>
        <v>600</v>
      </c>
      <c r="T25" s="7">
        <f t="shared" si="16"/>
        <v>0</v>
      </c>
      <c r="U25" s="7">
        <f t="shared" si="17"/>
        <v>700</v>
      </c>
      <c r="V25" s="7">
        <f t="shared" si="18"/>
        <v>0</v>
      </c>
      <c r="W25" s="7">
        <f t="shared" si="19"/>
        <v>800</v>
      </c>
      <c r="X25" s="7">
        <f t="shared" si="20"/>
        <v>0</v>
      </c>
      <c r="Y25" s="7">
        <f t="shared" si="21"/>
        <v>900</v>
      </c>
      <c r="Z25" s="7">
        <f t="shared" si="22"/>
        <v>0</v>
      </c>
    </row>
    <row r="26"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0</v>
      </c>
      <c r="G26" s="7">
        <f t="shared" si="3"/>
        <v>100</v>
      </c>
      <c r="H26" s="7">
        <f t="shared" si="4"/>
        <v>0</v>
      </c>
      <c r="I26" s="7">
        <f t="shared" si="5"/>
        <v>150</v>
      </c>
      <c r="J26" s="7">
        <f t="shared" si="6"/>
        <v>0</v>
      </c>
      <c r="K26" s="7">
        <f t="shared" si="7"/>
        <v>200</v>
      </c>
      <c r="L26" s="7">
        <f t="shared" si="8"/>
        <v>0</v>
      </c>
      <c r="M26" s="7">
        <f t="shared" si="9"/>
        <v>300</v>
      </c>
      <c r="N26" s="7">
        <f t="shared" si="10"/>
        <v>0</v>
      </c>
      <c r="O26" s="7">
        <f t="shared" si="11"/>
        <v>400</v>
      </c>
      <c r="P26" s="7">
        <f t="shared" si="12"/>
        <v>0</v>
      </c>
      <c r="Q26" s="7">
        <f t="shared" si="13"/>
        <v>500</v>
      </c>
      <c r="R26" s="7">
        <f t="shared" si="14"/>
        <v>0</v>
      </c>
      <c r="S26" s="7">
        <f t="shared" si="15"/>
        <v>600</v>
      </c>
      <c r="T26" s="7">
        <f t="shared" si="16"/>
        <v>0</v>
      </c>
      <c r="U26" s="7">
        <f t="shared" si="17"/>
        <v>700</v>
      </c>
      <c r="V26" s="7">
        <f t="shared" si="18"/>
        <v>0</v>
      </c>
      <c r="W26" s="7">
        <f t="shared" si="19"/>
        <v>800</v>
      </c>
      <c r="X26" s="7">
        <f t="shared" si="20"/>
        <v>0</v>
      </c>
      <c r="Y26" s="7">
        <f t="shared" si="21"/>
        <v>900</v>
      </c>
      <c r="Z26" s="7">
        <f t="shared" si="22"/>
        <v>0</v>
      </c>
    </row>
    <row r="27"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0</v>
      </c>
      <c r="G27" s="7">
        <f t="shared" si="3"/>
        <v>100</v>
      </c>
      <c r="H27" s="7">
        <f t="shared" si="4"/>
        <v>0</v>
      </c>
      <c r="I27" s="7">
        <f t="shared" si="5"/>
        <v>150</v>
      </c>
      <c r="J27" s="7">
        <f t="shared" si="6"/>
        <v>0</v>
      </c>
      <c r="K27" s="7">
        <f t="shared" si="7"/>
        <v>200</v>
      </c>
      <c r="L27" s="7">
        <f t="shared" si="8"/>
        <v>0</v>
      </c>
      <c r="M27" s="7">
        <f t="shared" si="9"/>
        <v>300</v>
      </c>
      <c r="N27" s="7">
        <f t="shared" si="10"/>
        <v>0</v>
      </c>
      <c r="O27" s="7">
        <f t="shared" si="11"/>
        <v>400</v>
      </c>
      <c r="P27" s="7">
        <f t="shared" si="12"/>
        <v>0</v>
      </c>
      <c r="Q27" s="7">
        <f t="shared" si="13"/>
        <v>500</v>
      </c>
      <c r="R27" s="7">
        <f t="shared" si="14"/>
        <v>0</v>
      </c>
      <c r="S27" s="7">
        <f t="shared" si="15"/>
        <v>600</v>
      </c>
      <c r="T27" s="7">
        <f t="shared" si="16"/>
        <v>0</v>
      </c>
      <c r="U27" s="7">
        <f t="shared" si="17"/>
        <v>700</v>
      </c>
      <c r="V27" s="7">
        <f t="shared" si="18"/>
        <v>0</v>
      </c>
      <c r="W27" s="7">
        <f t="shared" si="19"/>
        <v>800</v>
      </c>
      <c r="X27" s="7">
        <f t="shared" si="20"/>
        <v>0</v>
      </c>
      <c r="Y27" s="7">
        <f t="shared" si="21"/>
        <v>900</v>
      </c>
      <c r="Z27" s="7">
        <f t="shared" si="22"/>
        <v>0</v>
      </c>
    </row>
    <row r="28"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0</v>
      </c>
      <c r="G28" s="7">
        <f t="shared" si="3"/>
        <v>100</v>
      </c>
      <c r="H28" s="7">
        <f t="shared" si="4"/>
        <v>0</v>
      </c>
      <c r="I28" s="7">
        <f t="shared" si="5"/>
        <v>150</v>
      </c>
      <c r="J28" s="7">
        <f t="shared" si="6"/>
        <v>0</v>
      </c>
      <c r="K28" s="7">
        <f t="shared" si="7"/>
        <v>200</v>
      </c>
      <c r="L28" s="7">
        <f t="shared" si="8"/>
        <v>0</v>
      </c>
      <c r="M28" s="7">
        <f t="shared" si="9"/>
        <v>300</v>
      </c>
      <c r="N28" s="7">
        <f t="shared" si="10"/>
        <v>0</v>
      </c>
      <c r="O28" s="7">
        <f t="shared" si="11"/>
        <v>400</v>
      </c>
      <c r="P28" s="7">
        <f t="shared" si="12"/>
        <v>0</v>
      </c>
      <c r="Q28" s="7">
        <f t="shared" si="13"/>
        <v>500</v>
      </c>
      <c r="R28" s="7">
        <f t="shared" si="14"/>
        <v>0</v>
      </c>
      <c r="S28" s="7">
        <f t="shared" si="15"/>
        <v>600</v>
      </c>
      <c r="T28" s="7">
        <f t="shared" si="16"/>
        <v>0</v>
      </c>
      <c r="U28" s="7">
        <f t="shared" si="17"/>
        <v>700</v>
      </c>
      <c r="V28" s="7">
        <f t="shared" si="18"/>
        <v>0</v>
      </c>
      <c r="W28" s="7">
        <f t="shared" si="19"/>
        <v>800</v>
      </c>
      <c r="X28" s="7">
        <f t="shared" si="20"/>
        <v>0</v>
      </c>
      <c r="Y28" s="7">
        <f t="shared" si="21"/>
        <v>900</v>
      </c>
      <c r="Z28" s="7">
        <f t="shared" si="22"/>
        <v>0</v>
      </c>
    </row>
    <row r="29"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0</v>
      </c>
      <c r="G29" s="7">
        <f t="shared" si="3"/>
        <v>100</v>
      </c>
      <c r="H29" s="7">
        <f t="shared" si="4"/>
        <v>0</v>
      </c>
      <c r="I29" s="7">
        <f t="shared" si="5"/>
        <v>150</v>
      </c>
      <c r="J29" s="7">
        <f t="shared" si="6"/>
        <v>0</v>
      </c>
      <c r="K29" s="7">
        <f t="shared" si="7"/>
        <v>200</v>
      </c>
      <c r="L29" s="7">
        <f t="shared" si="8"/>
        <v>0</v>
      </c>
      <c r="M29" s="7">
        <f t="shared" si="9"/>
        <v>300</v>
      </c>
      <c r="N29" s="7">
        <f t="shared" si="10"/>
        <v>0</v>
      </c>
      <c r="O29" s="7">
        <f t="shared" si="11"/>
        <v>400</v>
      </c>
      <c r="P29" s="7">
        <f t="shared" si="12"/>
        <v>0</v>
      </c>
      <c r="Q29" s="7">
        <f t="shared" si="13"/>
        <v>500</v>
      </c>
      <c r="R29" s="7">
        <f t="shared" si="14"/>
        <v>0</v>
      </c>
      <c r="S29" s="7">
        <f t="shared" si="15"/>
        <v>600</v>
      </c>
      <c r="T29" s="7">
        <f t="shared" si="16"/>
        <v>0</v>
      </c>
      <c r="U29" s="7">
        <f t="shared" si="17"/>
        <v>700</v>
      </c>
      <c r="V29" s="7">
        <f t="shared" si="18"/>
        <v>0</v>
      </c>
      <c r="W29" s="7">
        <f t="shared" si="19"/>
        <v>800</v>
      </c>
      <c r="X29" s="7">
        <f t="shared" si="20"/>
        <v>0</v>
      </c>
      <c r="Y29" s="7">
        <f t="shared" si="21"/>
        <v>900</v>
      </c>
      <c r="Z29" s="7">
        <f t="shared" si="22"/>
        <v>0</v>
      </c>
    </row>
    <row r="30"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0</v>
      </c>
      <c r="G30" s="7">
        <f t="shared" si="3"/>
        <v>100</v>
      </c>
      <c r="H30" s="7">
        <f t="shared" si="4"/>
        <v>0</v>
      </c>
      <c r="I30" s="7">
        <f t="shared" si="5"/>
        <v>150</v>
      </c>
      <c r="J30" s="7">
        <f t="shared" si="6"/>
        <v>0</v>
      </c>
      <c r="K30" s="7">
        <f t="shared" si="7"/>
        <v>200</v>
      </c>
      <c r="L30" s="7">
        <f t="shared" si="8"/>
        <v>0</v>
      </c>
      <c r="M30" s="7">
        <f t="shared" si="9"/>
        <v>300</v>
      </c>
      <c r="N30" s="7">
        <f t="shared" si="10"/>
        <v>0</v>
      </c>
      <c r="O30" s="7">
        <f t="shared" si="11"/>
        <v>400</v>
      </c>
      <c r="P30" s="7">
        <f t="shared" si="12"/>
        <v>0</v>
      </c>
      <c r="Q30" s="7">
        <f t="shared" si="13"/>
        <v>500</v>
      </c>
      <c r="R30" s="7">
        <f t="shared" si="14"/>
        <v>0</v>
      </c>
      <c r="S30" s="7">
        <f t="shared" si="15"/>
        <v>600</v>
      </c>
      <c r="T30" s="7">
        <f t="shared" si="16"/>
        <v>0</v>
      </c>
      <c r="U30" s="7">
        <f t="shared" si="17"/>
        <v>700</v>
      </c>
      <c r="V30" s="7">
        <f t="shared" si="18"/>
        <v>0</v>
      </c>
      <c r="W30" s="7">
        <f t="shared" si="19"/>
        <v>800</v>
      </c>
      <c r="X30" s="7">
        <f t="shared" si="20"/>
        <v>0</v>
      </c>
      <c r="Y30" s="7">
        <f t="shared" si="21"/>
        <v>900</v>
      </c>
      <c r="Z30" s="7">
        <f t="shared" si="22"/>
        <v>0</v>
      </c>
    </row>
    <row r="31"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0</v>
      </c>
      <c r="G31" s="7">
        <f t="shared" si="3"/>
        <v>100</v>
      </c>
      <c r="H31" s="7">
        <f t="shared" si="4"/>
        <v>0</v>
      </c>
      <c r="I31" s="7">
        <f t="shared" si="5"/>
        <v>150</v>
      </c>
      <c r="J31" s="7">
        <f t="shared" si="6"/>
        <v>0</v>
      </c>
      <c r="K31" s="7">
        <f t="shared" si="7"/>
        <v>200</v>
      </c>
      <c r="L31" s="7">
        <f t="shared" si="8"/>
        <v>0</v>
      </c>
      <c r="M31" s="7">
        <f t="shared" si="9"/>
        <v>300</v>
      </c>
      <c r="N31" s="7">
        <f t="shared" si="10"/>
        <v>0</v>
      </c>
      <c r="O31" s="7">
        <f t="shared" si="11"/>
        <v>400</v>
      </c>
      <c r="P31" s="7">
        <f t="shared" si="12"/>
        <v>0</v>
      </c>
      <c r="Q31" s="7">
        <f t="shared" si="13"/>
        <v>500</v>
      </c>
      <c r="R31" s="7">
        <f t="shared" si="14"/>
        <v>0</v>
      </c>
      <c r="S31" s="7">
        <f t="shared" si="15"/>
        <v>600</v>
      </c>
      <c r="T31" s="7">
        <f t="shared" si="16"/>
        <v>0</v>
      </c>
      <c r="U31" s="7">
        <f t="shared" si="17"/>
        <v>700</v>
      </c>
      <c r="V31" s="7">
        <f t="shared" si="18"/>
        <v>0</v>
      </c>
      <c r="W31" s="7">
        <f t="shared" si="19"/>
        <v>800</v>
      </c>
      <c r="X31" s="7">
        <f t="shared" si="20"/>
        <v>0</v>
      </c>
      <c r="Y31" s="7">
        <f t="shared" si="21"/>
        <v>900</v>
      </c>
      <c r="Z31" s="7">
        <f t="shared" si="22"/>
        <v>0</v>
      </c>
    </row>
    <row r="32"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0</v>
      </c>
      <c r="G32" s="7">
        <f t="shared" si="3"/>
        <v>100</v>
      </c>
      <c r="H32" s="7">
        <f t="shared" si="4"/>
        <v>0</v>
      </c>
      <c r="I32" s="7">
        <f t="shared" si="5"/>
        <v>150</v>
      </c>
      <c r="J32" s="7">
        <f t="shared" si="6"/>
        <v>0</v>
      </c>
      <c r="K32" s="7">
        <f t="shared" si="7"/>
        <v>200</v>
      </c>
      <c r="L32" s="7">
        <f t="shared" si="8"/>
        <v>0</v>
      </c>
      <c r="M32" s="7">
        <f t="shared" si="9"/>
        <v>300</v>
      </c>
      <c r="N32" s="7">
        <f t="shared" si="10"/>
        <v>0</v>
      </c>
      <c r="O32" s="7">
        <f t="shared" si="11"/>
        <v>400</v>
      </c>
      <c r="P32" s="7">
        <f t="shared" si="12"/>
        <v>0</v>
      </c>
      <c r="Q32" s="7">
        <f t="shared" si="13"/>
        <v>500</v>
      </c>
      <c r="R32" s="7">
        <f t="shared" si="14"/>
        <v>0</v>
      </c>
      <c r="S32" s="7">
        <f t="shared" si="15"/>
        <v>600</v>
      </c>
      <c r="T32" s="7">
        <f t="shared" si="16"/>
        <v>0</v>
      </c>
      <c r="U32" s="7">
        <f t="shared" si="17"/>
        <v>700</v>
      </c>
      <c r="V32" s="7">
        <f t="shared" si="18"/>
        <v>0</v>
      </c>
      <c r="W32" s="7">
        <f t="shared" si="19"/>
        <v>800</v>
      </c>
      <c r="X32" s="7">
        <f t="shared" si="20"/>
        <v>0</v>
      </c>
      <c r="Y32" s="7">
        <f t="shared" si="21"/>
        <v>900</v>
      </c>
      <c r="Z32" s="7">
        <f t="shared" si="22"/>
        <v>0</v>
      </c>
    </row>
    <row r="33"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0</v>
      </c>
      <c r="G33" s="7">
        <f t="shared" si="3"/>
        <v>100</v>
      </c>
      <c r="H33" s="7">
        <f t="shared" si="4"/>
        <v>0</v>
      </c>
      <c r="I33" s="7">
        <f t="shared" si="5"/>
        <v>150</v>
      </c>
      <c r="J33" s="7">
        <f t="shared" si="6"/>
        <v>0</v>
      </c>
      <c r="K33" s="7">
        <f t="shared" si="7"/>
        <v>200</v>
      </c>
      <c r="L33" s="7">
        <f t="shared" si="8"/>
        <v>0</v>
      </c>
      <c r="M33" s="7">
        <f t="shared" si="9"/>
        <v>300</v>
      </c>
      <c r="N33" s="7">
        <f t="shared" si="10"/>
        <v>0</v>
      </c>
      <c r="O33" s="7">
        <f t="shared" si="11"/>
        <v>400</v>
      </c>
      <c r="P33" s="7">
        <f t="shared" si="12"/>
        <v>0</v>
      </c>
      <c r="Q33" s="7">
        <f t="shared" si="13"/>
        <v>500</v>
      </c>
      <c r="R33" s="7">
        <f t="shared" si="14"/>
        <v>0</v>
      </c>
      <c r="S33" s="7">
        <f t="shared" si="15"/>
        <v>600</v>
      </c>
      <c r="T33" s="7">
        <f t="shared" si="16"/>
        <v>0</v>
      </c>
      <c r="U33" s="7">
        <f t="shared" si="17"/>
        <v>700</v>
      </c>
      <c r="V33" s="7">
        <f t="shared" si="18"/>
        <v>0</v>
      </c>
      <c r="W33" s="7">
        <f t="shared" si="19"/>
        <v>800</v>
      </c>
      <c r="X33" s="7">
        <f t="shared" si="20"/>
        <v>0</v>
      </c>
      <c r="Y33" s="7">
        <f t="shared" si="21"/>
        <v>900</v>
      </c>
      <c r="Z33" s="7">
        <f t="shared" si="22"/>
        <v>0</v>
      </c>
    </row>
    <row r="34"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0</v>
      </c>
      <c r="G34" s="7">
        <f t="shared" si="3"/>
        <v>100</v>
      </c>
      <c r="H34" s="7">
        <f t="shared" si="4"/>
        <v>0</v>
      </c>
      <c r="I34" s="7">
        <f t="shared" si="5"/>
        <v>150</v>
      </c>
      <c r="J34" s="7">
        <f t="shared" si="6"/>
        <v>0</v>
      </c>
      <c r="K34" s="7">
        <f t="shared" si="7"/>
        <v>200</v>
      </c>
      <c r="L34" s="7">
        <f t="shared" si="8"/>
        <v>0</v>
      </c>
      <c r="M34" s="7">
        <f t="shared" si="9"/>
        <v>300</v>
      </c>
      <c r="N34" s="7">
        <f t="shared" si="10"/>
        <v>0</v>
      </c>
      <c r="O34" s="7">
        <f t="shared" si="11"/>
        <v>400</v>
      </c>
      <c r="P34" s="7">
        <f t="shared" si="12"/>
        <v>0</v>
      </c>
      <c r="Q34" s="7">
        <f t="shared" si="13"/>
        <v>500</v>
      </c>
      <c r="R34" s="7">
        <f t="shared" si="14"/>
        <v>0</v>
      </c>
      <c r="S34" s="7">
        <f t="shared" si="15"/>
        <v>600</v>
      </c>
      <c r="T34" s="7">
        <f t="shared" si="16"/>
        <v>0</v>
      </c>
      <c r="U34" s="7">
        <f t="shared" si="17"/>
        <v>700</v>
      </c>
      <c r="V34" s="7">
        <f t="shared" si="18"/>
        <v>0</v>
      </c>
      <c r="W34" s="7">
        <f t="shared" si="19"/>
        <v>800</v>
      </c>
      <c r="X34" s="7">
        <f t="shared" si="20"/>
        <v>0</v>
      </c>
      <c r="Y34" s="7">
        <f t="shared" si="21"/>
        <v>900</v>
      </c>
      <c r="Z34" s="7">
        <f t="shared" si="22"/>
        <v>0</v>
      </c>
    </row>
    <row r="35"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0</v>
      </c>
      <c r="G35" s="7">
        <f t="shared" si="3"/>
        <v>100</v>
      </c>
      <c r="H35" s="7">
        <f t="shared" si="4"/>
        <v>0</v>
      </c>
      <c r="I35" s="7">
        <f t="shared" si="5"/>
        <v>150</v>
      </c>
      <c r="J35" s="7">
        <f t="shared" si="6"/>
        <v>0</v>
      </c>
      <c r="K35" s="7">
        <f t="shared" si="7"/>
        <v>200</v>
      </c>
      <c r="L35" s="7">
        <f t="shared" si="8"/>
        <v>0</v>
      </c>
      <c r="M35" s="7">
        <f t="shared" si="9"/>
        <v>300</v>
      </c>
      <c r="N35" s="7">
        <f t="shared" si="10"/>
        <v>0</v>
      </c>
      <c r="O35" s="7">
        <f t="shared" si="11"/>
        <v>400</v>
      </c>
      <c r="P35" s="7">
        <f t="shared" si="12"/>
        <v>0</v>
      </c>
      <c r="Q35" s="7">
        <f t="shared" si="13"/>
        <v>500</v>
      </c>
      <c r="R35" s="7">
        <f t="shared" si="14"/>
        <v>0</v>
      </c>
      <c r="S35" s="7">
        <f t="shared" si="15"/>
        <v>600</v>
      </c>
      <c r="T35" s="7">
        <f t="shared" si="16"/>
        <v>0</v>
      </c>
      <c r="U35" s="7">
        <f t="shared" si="17"/>
        <v>700</v>
      </c>
      <c r="V35" s="7">
        <f t="shared" si="18"/>
        <v>0</v>
      </c>
      <c r="W35" s="7">
        <f t="shared" si="19"/>
        <v>800</v>
      </c>
      <c r="X35" s="7">
        <f t="shared" si="20"/>
        <v>0</v>
      </c>
      <c r="Y35" s="7">
        <f t="shared" si="21"/>
        <v>900</v>
      </c>
      <c r="Z35" s="7">
        <f t="shared" si="22"/>
        <v>0</v>
      </c>
    </row>
    <row r="36"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0</v>
      </c>
      <c r="G36" s="7">
        <f t="shared" si="3"/>
        <v>100</v>
      </c>
      <c r="H36" s="7">
        <f t="shared" si="4"/>
        <v>0</v>
      </c>
      <c r="I36" s="7">
        <f t="shared" si="5"/>
        <v>150</v>
      </c>
      <c r="J36" s="7">
        <f t="shared" si="6"/>
        <v>0</v>
      </c>
      <c r="K36" s="7">
        <f t="shared" si="7"/>
        <v>200</v>
      </c>
      <c r="L36" s="7">
        <f t="shared" si="8"/>
        <v>0</v>
      </c>
      <c r="M36" s="7">
        <f t="shared" si="9"/>
        <v>300</v>
      </c>
      <c r="N36" s="7">
        <f t="shared" si="10"/>
        <v>0</v>
      </c>
      <c r="O36" s="7">
        <f t="shared" si="11"/>
        <v>400</v>
      </c>
      <c r="P36" s="7">
        <f t="shared" si="12"/>
        <v>0</v>
      </c>
      <c r="Q36" s="7">
        <f t="shared" si="13"/>
        <v>500</v>
      </c>
      <c r="R36" s="7">
        <f t="shared" si="14"/>
        <v>0</v>
      </c>
      <c r="S36" s="7">
        <f t="shared" si="15"/>
        <v>600</v>
      </c>
      <c r="T36" s="7">
        <f t="shared" si="16"/>
        <v>0</v>
      </c>
      <c r="U36" s="7">
        <f t="shared" si="17"/>
        <v>700</v>
      </c>
      <c r="V36" s="7">
        <f t="shared" si="18"/>
        <v>0</v>
      </c>
      <c r="W36" s="7">
        <f t="shared" si="19"/>
        <v>800</v>
      </c>
      <c r="X36" s="7">
        <f t="shared" si="20"/>
        <v>0</v>
      </c>
      <c r="Y36" s="7">
        <f t="shared" si="21"/>
        <v>900</v>
      </c>
      <c r="Z36" s="7">
        <f t="shared" si="22"/>
        <v>0</v>
      </c>
    </row>
    <row r="37"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0</v>
      </c>
      <c r="G37" s="7">
        <f t="shared" si="3"/>
        <v>100</v>
      </c>
      <c r="H37" s="7">
        <f t="shared" si="4"/>
        <v>0</v>
      </c>
      <c r="I37" s="7">
        <f t="shared" si="5"/>
        <v>150</v>
      </c>
      <c r="J37" s="7">
        <f t="shared" si="6"/>
        <v>0</v>
      </c>
      <c r="K37" s="7">
        <f t="shared" si="7"/>
        <v>200</v>
      </c>
      <c r="L37" s="7">
        <f t="shared" si="8"/>
        <v>0</v>
      </c>
      <c r="M37" s="7">
        <f t="shared" si="9"/>
        <v>300</v>
      </c>
      <c r="N37" s="7">
        <f t="shared" si="10"/>
        <v>0</v>
      </c>
      <c r="O37" s="7">
        <f t="shared" si="11"/>
        <v>400</v>
      </c>
      <c r="P37" s="7">
        <f t="shared" si="12"/>
        <v>0</v>
      </c>
      <c r="Q37" s="7">
        <f t="shared" si="13"/>
        <v>500</v>
      </c>
      <c r="R37" s="7">
        <f t="shared" si="14"/>
        <v>0</v>
      </c>
      <c r="S37" s="7">
        <f t="shared" si="15"/>
        <v>600</v>
      </c>
      <c r="T37" s="7">
        <f t="shared" si="16"/>
        <v>0</v>
      </c>
      <c r="U37" s="7">
        <f t="shared" si="17"/>
        <v>700</v>
      </c>
      <c r="V37" s="7">
        <f t="shared" si="18"/>
        <v>0</v>
      </c>
      <c r="W37" s="7">
        <f t="shared" si="19"/>
        <v>800</v>
      </c>
      <c r="X37" s="7">
        <f t="shared" si="20"/>
        <v>0</v>
      </c>
      <c r="Y37" s="7">
        <f t="shared" si="21"/>
        <v>900</v>
      </c>
      <c r="Z37" s="7">
        <f t="shared" si="22"/>
        <v>0</v>
      </c>
    </row>
    <row r="38">
      <c r="A38" s="29" t="str">
        <f>IFERROR(__xludf.DUMMYFUNCTION("ARRAYFORMULA(SORTN(TEXT(GOOGLEFINANCE(CONCAT(""ASX:"",A2), ""price"", DATE(2012,1,1), DATE(2030,12,1), ""daily""), 
 {""yyyy mm"", ""@""}), 9^9, 2, 1, 1))"),"2014 11")</f>
        <v>2014 11</v>
      </c>
      <c r="B38" s="19" t="str">
        <f>IFERROR(__xludf.DUMMYFUNCTION("""COMPUTED_VALUE"""),"50.86")</f>
        <v>50.86</v>
      </c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0.9830908376</v>
      </c>
      <c r="G38" s="7">
        <f t="shared" si="3"/>
        <v>100</v>
      </c>
      <c r="H38" s="7">
        <f t="shared" si="4"/>
        <v>1.966181675</v>
      </c>
      <c r="I38" s="7">
        <f t="shared" si="5"/>
        <v>150</v>
      </c>
      <c r="J38" s="7">
        <f t="shared" si="6"/>
        <v>2.949272513</v>
      </c>
      <c r="K38" s="7">
        <f t="shared" si="7"/>
        <v>200</v>
      </c>
      <c r="L38" s="7">
        <f t="shared" si="8"/>
        <v>3.93236335</v>
      </c>
      <c r="M38" s="7">
        <f t="shared" si="9"/>
        <v>300</v>
      </c>
      <c r="N38" s="7">
        <f t="shared" si="10"/>
        <v>5.898545026</v>
      </c>
      <c r="O38" s="7">
        <f t="shared" si="11"/>
        <v>400</v>
      </c>
      <c r="P38" s="7">
        <f t="shared" si="12"/>
        <v>7.864726701</v>
      </c>
      <c r="Q38" s="7">
        <f t="shared" si="13"/>
        <v>500</v>
      </c>
      <c r="R38" s="7">
        <f t="shared" si="14"/>
        <v>9.830908376</v>
      </c>
      <c r="S38" s="7">
        <f t="shared" si="15"/>
        <v>600</v>
      </c>
      <c r="T38" s="7">
        <f t="shared" si="16"/>
        <v>11.79709005</v>
      </c>
      <c r="U38" s="7">
        <f t="shared" si="17"/>
        <v>700</v>
      </c>
      <c r="V38" s="7">
        <f t="shared" si="18"/>
        <v>13.76327173</v>
      </c>
      <c r="W38" s="7">
        <f t="shared" si="19"/>
        <v>800</v>
      </c>
      <c r="X38" s="7">
        <f t="shared" si="20"/>
        <v>15.7294534</v>
      </c>
      <c r="Y38" s="7">
        <f t="shared" si="21"/>
        <v>900</v>
      </c>
      <c r="Z38" s="7">
        <f t="shared" si="22"/>
        <v>17.69563508</v>
      </c>
    </row>
    <row r="39">
      <c r="A39" s="19" t="str">
        <f>IFERROR(__xludf.DUMMYFUNCTION("""COMPUTED_VALUE"""),"2014 12")</f>
        <v>2014 12</v>
      </c>
      <c r="B39" s="19" t="str">
        <f>IFERROR(__xludf.DUMMYFUNCTION("""COMPUTED_VALUE"""),"52.26")</f>
        <v>52.26</v>
      </c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0.9567546881</v>
      </c>
      <c r="G39" s="7">
        <f t="shared" si="3"/>
        <v>100</v>
      </c>
      <c r="H39" s="7">
        <f t="shared" si="4"/>
        <v>1.913509376</v>
      </c>
      <c r="I39" s="7">
        <f t="shared" si="5"/>
        <v>150</v>
      </c>
      <c r="J39" s="7">
        <f t="shared" si="6"/>
        <v>2.870264064</v>
      </c>
      <c r="K39" s="7">
        <f t="shared" si="7"/>
        <v>200</v>
      </c>
      <c r="L39" s="7">
        <f t="shared" si="8"/>
        <v>3.827018752</v>
      </c>
      <c r="M39" s="7">
        <f t="shared" si="9"/>
        <v>300</v>
      </c>
      <c r="N39" s="7">
        <f t="shared" si="10"/>
        <v>5.740528129</v>
      </c>
      <c r="O39" s="7">
        <f t="shared" si="11"/>
        <v>400</v>
      </c>
      <c r="P39" s="7">
        <f t="shared" si="12"/>
        <v>7.654037505</v>
      </c>
      <c r="Q39" s="7">
        <f t="shared" si="13"/>
        <v>500</v>
      </c>
      <c r="R39" s="7">
        <f t="shared" si="14"/>
        <v>9.567546881</v>
      </c>
      <c r="S39" s="7">
        <f t="shared" si="15"/>
        <v>600</v>
      </c>
      <c r="T39" s="7">
        <f t="shared" si="16"/>
        <v>11.48105626</v>
      </c>
      <c r="U39" s="7">
        <f t="shared" si="17"/>
        <v>700</v>
      </c>
      <c r="V39" s="7">
        <f t="shared" si="18"/>
        <v>13.39456563</v>
      </c>
      <c r="W39" s="7">
        <f t="shared" si="19"/>
        <v>800</v>
      </c>
      <c r="X39" s="7">
        <f t="shared" si="20"/>
        <v>15.30807501</v>
      </c>
      <c r="Y39" s="7">
        <f t="shared" si="21"/>
        <v>900</v>
      </c>
      <c r="Z39" s="7">
        <f t="shared" si="22"/>
        <v>17.22158439</v>
      </c>
    </row>
    <row r="40">
      <c r="A40" s="19" t="str">
        <f>IFERROR(__xludf.DUMMYFUNCTION("""COMPUTED_VALUE"""),"2015 01")</f>
        <v>2015 01</v>
      </c>
      <c r="B40" s="19" t="str">
        <f>IFERROR(__xludf.DUMMYFUNCTION("""COMPUTED_VALUE"""),"53.43")</f>
        <v>53.43</v>
      </c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0.9358038555</v>
      </c>
      <c r="G40" s="7">
        <f t="shared" si="3"/>
        <v>100</v>
      </c>
      <c r="H40" s="7">
        <f t="shared" si="4"/>
        <v>1.871607711</v>
      </c>
      <c r="I40" s="7">
        <f t="shared" si="5"/>
        <v>150</v>
      </c>
      <c r="J40" s="7">
        <f t="shared" si="6"/>
        <v>2.807411567</v>
      </c>
      <c r="K40" s="7">
        <f t="shared" si="7"/>
        <v>200</v>
      </c>
      <c r="L40" s="7">
        <f t="shared" si="8"/>
        <v>3.743215422</v>
      </c>
      <c r="M40" s="7">
        <f t="shared" si="9"/>
        <v>300</v>
      </c>
      <c r="N40" s="7">
        <f t="shared" si="10"/>
        <v>5.614823133</v>
      </c>
      <c r="O40" s="7">
        <f t="shared" si="11"/>
        <v>400</v>
      </c>
      <c r="P40" s="7">
        <f t="shared" si="12"/>
        <v>7.486430844</v>
      </c>
      <c r="Q40" s="7">
        <f t="shared" si="13"/>
        <v>500</v>
      </c>
      <c r="R40" s="7">
        <f t="shared" si="14"/>
        <v>9.358038555</v>
      </c>
      <c r="S40" s="7">
        <f t="shared" si="15"/>
        <v>600</v>
      </c>
      <c r="T40" s="7">
        <f t="shared" si="16"/>
        <v>11.22964627</v>
      </c>
      <c r="U40" s="7">
        <f t="shared" si="17"/>
        <v>700</v>
      </c>
      <c r="V40" s="7">
        <f t="shared" si="18"/>
        <v>13.10125398</v>
      </c>
      <c r="W40" s="7">
        <f t="shared" si="19"/>
        <v>800</v>
      </c>
      <c r="X40" s="7">
        <f t="shared" si="20"/>
        <v>14.97286169</v>
      </c>
      <c r="Y40" s="7">
        <f t="shared" si="21"/>
        <v>900</v>
      </c>
      <c r="Z40" s="7">
        <f t="shared" si="22"/>
        <v>16.8444694</v>
      </c>
    </row>
    <row r="41">
      <c r="A41" s="19" t="str">
        <f>IFERROR(__xludf.DUMMYFUNCTION("""COMPUTED_VALUE"""),"2015 02")</f>
        <v>2015 02</v>
      </c>
      <c r="B41" s="19" t="str">
        <f>IFERROR(__xludf.DUMMYFUNCTION("""COMPUTED_VALUE"""),"54.79")</f>
        <v>54.79</v>
      </c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0.9125752875</v>
      </c>
      <c r="G41" s="7">
        <f t="shared" si="3"/>
        <v>100</v>
      </c>
      <c r="H41" s="7">
        <f t="shared" si="4"/>
        <v>1.825150575</v>
      </c>
      <c r="I41" s="7">
        <f t="shared" si="5"/>
        <v>150</v>
      </c>
      <c r="J41" s="7">
        <f t="shared" si="6"/>
        <v>2.737725862</v>
      </c>
      <c r="K41" s="7">
        <f t="shared" si="7"/>
        <v>200</v>
      </c>
      <c r="L41" s="7">
        <f t="shared" si="8"/>
        <v>3.65030115</v>
      </c>
      <c r="M41" s="7">
        <f t="shared" si="9"/>
        <v>300</v>
      </c>
      <c r="N41" s="7">
        <f t="shared" si="10"/>
        <v>5.475451725</v>
      </c>
      <c r="O41" s="7">
        <f t="shared" si="11"/>
        <v>400</v>
      </c>
      <c r="P41" s="7">
        <f t="shared" si="12"/>
        <v>7.3006023</v>
      </c>
      <c r="Q41" s="7">
        <f t="shared" si="13"/>
        <v>500</v>
      </c>
      <c r="R41" s="7">
        <f t="shared" si="14"/>
        <v>9.125752875</v>
      </c>
      <c r="S41" s="7">
        <f t="shared" si="15"/>
        <v>600</v>
      </c>
      <c r="T41" s="7">
        <f t="shared" si="16"/>
        <v>10.95090345</v>
      </c>
      <c r="U41" s="7">
        <f t="shared" si="17"/>
        <v>700</v>
      </c>
      <c r="V41" s="7">
        <f t="shared" si="18"/>
        <v>12.77605402</v>
      </c>
      <c r="W41" s="7">
        <f t="shared" si="19"/>
        <v>800</v>
      </c>
      <c r="X41" s="7">
        <f t="shared" si="20"/>
        <v>14.6012046</v>
      </c>
      <c r="Y41" s="7">
        <f t="shared" si="21"/>
        <v>900</v>
      </c>
      <c r="Z41" s="7">
        <f t="shared" si="22"/>
        <v>16.42635517</v>
      </c>
    </row>
    <row r="42">
      <c r="A42" s="19" t="str">
        <f>IFERROR(__xludf.DUMMYFUNCTION("""COMPUTED_VALUE"""),"2015 03")</f>
        <v>2015 03</v>
      </c>
      <c r="B42" s="19" t="str">
        <f>IFERROR(__xludf.DUMMYFUNCTION("""COMPUTED_VALUE"""),"58.13")</f>
        <v>58.13</v>
      </c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0.8601410631</v>
      </c>
      <c r="G42" s="7">
        <f t="shared" si="3"/>
        <v>100</v>
      </c>
      <c r="H42" s="7">
        <f t="shared" si="4"/>
        <v>1.720282126</v>
      </c>
      <c r="I42" s="7">
        <f t="shared" si="5"/>
        <v>150</v>
      </c>
      <c r="J42" s="7">
        <f t="shared" si="6"/>
        <v>2.580423189</v>
      </c>
      <c r="K42" s="7">
        <f t="shared" si="7"/>
        <v>200</v>
      </c>
      <c r="L42" s="7">
        <f t="shared" si="8"/>
        <v>3.440564253</v>
      </c>
      <c r="M42" s="7">
        <f t="shared" si="9"/>
        <v>300</v>
      </c>
      <c r="N42" s="7">
        <f t="shared" si="10"/>
        <v>5.160846379</v>
      </c>
      <c r="O42" s="7">
        <f t="shared" si="11"/>
        <v>400</v>
      </c>
      <c r="P42" s="7">
        <f t="shared" si="12"/>
        <v>6.881128505</v>
      </c>
      <c r="Q42" s="7">
        <f t="shared" si="13"/>
        <v>500</v>
      </c>
      <c r="R42" s="7">
        <f t="shared" si="14"/>
        <v>8.601410631</v>
      </c>
      <c r="S42" s="7">
        <f t="shared" si="15"/>
        <v>600</v>
      </c>
      <c r="T42" s="7">
        <f t="shared" si="16"/>
        <v>10.32169276</v>
      </c>
      <c r="U42" s="7">
        <f t="shared" si="17"/>
        <v>700</v>
      </c>
      <c r="V42" s="7">
        <f t="shared" si="18"/>
        <v>12.04197488</v>
      </c>
      <c r="W42" s="7">
        <f t="shared" si="19"/>
        <v>800</v>
      </c>
      <c r="X42" s="7">
        <f t="shared" si="20"/>
        <v>13.76225701</v>
      </c>
      <c r="Y42" s="7">
        <f t="shared" si="21"/>
        <v>900</v>
      </c>
      <c r="Z42" s="7">
        <f t="shared" si="22"/>
        <v>15.48253914</v>
      </c>
    </row>
    <row r="43">
      <c r="A43" s="19" t="str">
        <f>IFERROR(__xludf.DUMMYFUNCTION("""COMPUTED_VALUE"""),"2015 04")</f>
        <v>2015 04</v>
      </c>
      <c r="B43" s="19" t="str">
        <f>IFERROR(__xludf.DUMMYFUNCTION("""COMPUTED_VALUE"""),"57.75")</f>
        <v>57.75</v>
      </c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0.8658008658</v>
      </c>
      <c r="G43" s="7">
        <f t="shared" si="3"/>
        <v>100</v>
      </c>
      <c r="H43" s="7">
        <f t="shared" si="4"/>
        <v>1.731601732</v>
      </c>
      <c r="I43" s="7">
        <f t="shared" si="5"/>
        <v>150</v>
      </c>
      <c r="J43" s="7">
        <f t="shared" si="6"/>
        <v>2.597402597</v>
      </c>
      <c r="K43" s="7">
        <f t="shared" si="7"/>
        <v>200</v>
      </c>
      <c r="L43" s="7">
        <f t="shared" si="8"/>
        <v>3.463203463</v>
      </c>
      <c r="M43" s="7">
        <f t="shared" si="9"/>
        <v>300</v>
      </c>
      <c r="N43" s="7">
        <f t="shared" si="10"/>
        <v>5.194805195</v>
      </c>
      <c r="O43" s="7">
        <f t="shared" si="11"/>
        <v>400</v>
      </c>
      <c r="P43" s="7">
        <f t="shared" si="12"/>
        <v>6.926406926</v>
      </c>
      <c r="Q43" s="7">
        <f t="shared" si="13"/>
        <v>500</v>
      </c>
      <c r="R43" s="7">
        <f t="shared" si="14"/>
        <v>8.658008658</v>
      </c>
      <c r="S43" s="7">
        <f t="shared" si="15"/>
        <v>600</v>
      </c>
      <c r="T43" s="7">
        <f t="shared" si="16"/>
        <v>10.38961039</v>
      </c>
      <c r="U43" s="7">
        <f t="shared" si="17"/>
        <v>700</v>
      </c>
      <c r="V43" s="7">
        <f t="shared" si="18"/>
        <v>12.12121212</v>
      </c>
      <c r="W43" s="7">
        <f t="shared" si="19"/>
        <v>800</v>
      </c>
      <c r="X43" s="7">
        <f t="shared" si="20"/>
        <v>13.85281385</v>
      </c>
      <c r="Y43" s="7">
        <f t="shared" si="21"/>
        <v>900</v>
      </c>
      <c r="Z43" s="7">
        <f t="shared" si="22"/>
        <v>15.58441558</v>
      </c>
    </row>
    <row r="44">
      <c r="A44" s="19" t="str">
        <f>IFERROR(__xludf.DUMMYFUNCTION("""COMPUTED_VALUE"""),"2015 05")</f>
        <v>2015 05</v>
      </c>
      <c r="B44" s="19" t="str">
        <f>IFERROR(__xludf.DUMMYFUNCTION("""COMPUTED_VALUE"""),"57.19")</f>
        <v>57.19</v>
      </c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0.8742787201</v>
      </c>
      <c r="G44" s="7">
        <f t="shared" si="3"/>
        <v>100</v>
      </c>
      <c r="H44" s="7">
        <f t="shared" si="4"/>
        <v>1.74855744</v>
      </c>
      <c r="I44" s="7">
        <f t="shared" si="5"/>
        <v>150</v>
      </c>
      <c r="J44" s="7">
        <f t="shared" si="6"/>
        <v>2.62283616</v>
      </c>
      <c r="K44" s="7">
        <f t="shared" si="7"/>
        <v>200</v>
      </c>
      <c r="L44" s="7">
        <f t="shared" si="8"/>
        <v>3.49711488</v>
      </c>
      <c r="M44" s="7">
        <f t="shared" si="9"/>
        <v>300</v>
      </c>
      <c r="N44" s="7">
        <f t="shared" si="10"/>
        <v>5.24567232</v>
      </c>
      <c r="O44" s="7">
        <f t="shared" si="11"/>
        <v>400</v>
      </c>
      <c r="P44" s="7">
        <f t="shared" si="12"/>
        <v>6.99422976</v>
      </c>
      <c r="Q44" s="7">
        <f t="shared" si="13"/>
        <v>500</v>
      </c>
      <c r="R44" s="7">
        <f t="shared" si="14"/>
        <v>8.742787201</v>
      </c>
      <c r="S44" s="7">
        <f t="shared" si="15"/>
        <v>600</v>
      </c>
      <c r="T44" s="7">
        <f t="shared" si="16"/>
        <v>10.49134464</v>
      </c>
      <c r="U44" s="7">
        <f t="shared" si="17"/>
        <v>700</v>
      </c>
      <c r="V44" s="7">
        <f t="shared" si="18"/>
        <v>12.23990208</v>
      </c>
      <c r="W44" s="7">
        <f t="shared" si="19"/>
        <v>800</v>
      </c>
      <c r="X44" s="7">
        <f t="shared" si="20"/>
        <v>13.98845952</v>
      </c>
      <c r="Y44" s="7">
        <f t="shared" si="21"/>
        <v>900</v>
      </c>
      <c r="Z44" s="7">
        <f t="shared" si="22"/>
        <v>15.73701696</v>
      </c>
    </row>
    <row r="45">
      <c r="A45" s="19" t="str">
        <f>IFERROR(__xludf.DUMMYFUNCTION("""COMPUTED_VALUE"""),"2015 06")</f>
        <v>2015 06</v>
      </c>
      <c r="B45" s="19" t="str">
        <f>IFERROR(__xludf.DUMMYFUNCTION("""COMPUTED_VALUE"""),"59.38")</f>
        <v>59.38</v>
      </c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0.842034355</v>
      </c>
      <c r="G45" s="7">
        <f t="shared" si="3"/>
        <v>100</v>
      </c>
      <c r="H45" s="7">
        <f t="shared" si="4"/>
        <v>1.68406871</v>
      </c>
      <c r="I45" s="7">
        <f t="shared" si="5"/>
        <v>150</v>
      </c>
      <c r="J45" s="7">
        <f t="shared" si="6"/>
        <v>2.526103065</v>
      </c>
      <c r="K45" s="7">
        <f t="shared" si="7"/>
        <v>200</v>
      </c>
      <c r="L45" s="7">
        <f t="shared" si="8"/>
        <v>3.36813742</v>
      </c>
      <c r="M45" s="7">
        <f t="shared" si="9"/>
        <v>300</v>
      </c>
      <c r="N45" s="7">
        <f t="shared" si="10"/>
        <v>5.05220613</v>
      </c>
      <c r="O45" s="7">
        <f t="shared" si="11"/>
        <v>400</v>
      </c>
      <c r="P45" s="7">
        <f t="shared" si="12"/>
        <v>6.73627484</v>
      </c>
      <c r="Q45" s="7">
        <f t="shared" si="13"/>
        <v>500</v>
      </c>
      <c r="R45" s="7">
        <f t="shared" si="14"/>
        <v>8.42034355</v>
      </c>
      <c r="S45" s="7">
        <f t="shared" si="15"/>
        <v>600</v>
      </c>
      <c r="T45" s="7">
        <f t="shared" si="16"/>
        <v>10.10441226</v>
      </c>
      <c r="U45" s="7">
        <f t="shared" si="17"/>
        <v>700</v>
      </c>
      <c r="V45" s="7">
        <f t="shared" si="18"/>
        <v>11.78848097</v>
      </c>
      <c r="W45" s="7">
        <f t="shared" si="19"/>
        <v>800</v>
      </c>
      <c r="X45" s="7">
        <f t="shared" si="20"/>
        <v>13.47254968</v>
      </c>
      <c r="Y45" s="7">
        <f t="shared" si="21"/>
        <v>900</v>
      </c>
      <c r="Z45" s="7">
        <f t="shared" si="22"/>
        <v>15.15661839</v>
      </c>
    </row>
    <row r="46">
      <c r="A46" s="19" t="str">
        <f>IFERROR(__xludf.DUMMYFUNCTION("""COMPUTED_VALUE"""),"2015 07")</f>
        <v>2015 07</v>
      </c>
      <c r="B46" s="19" t="str">
        <f>IFERROR(__xludf.DUMMYFUNCTION("""COMPUTED_VALUE"""),"57.16")</f>
        <v>57.16</v>
      </c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0.8747375787</v>
      </c>
      <c r="G46" s="7">
        <f t="shared" si="3"/>
        <v>100</v>
      </c>
      <c r="H46" s="7">
        <f t="shared" si="4"/>
        <v>1.749475157</v>
      </c>
      <c r="I46" s="7">
        <f t="shared" si="5"/>
        <v>150</v>
      </c>
      <c r="J46" s="7">
        <f t="shared" si="6"/>
        <v>2.624212736</v>
      </c>
      <c r="K46" s="7">
        <f t="shared" si="7"/>
        <v>200</v>
      </c>
      <c r="L46" s="7">
        <f t="shared" si="8"/>
        <v>3.498950315</v>
      </c>
      <c r="M46" s="7">
        <f t="shared" si="9"/>
        <v>300</v>
      </c>
      <c r="N46" s="7">
        <f t="shared" si="10"/>
        <v>5.248425472</v>
      </c>
      <c r="O46" s="7">
        <f t="shared" si="11"/>
        <v>400</v>
      </c>
      <c r="P46" s="7">
        <f t="shared" si="12"/>
        <v>6.99790063</v>
      </c>
      <c r="Q46" s="7">
        <f t="shared" si="13"/>
        <v>500</v>
      </c>
      <c r="R46" s="7">
        <f t="shared" si="14"/>
        <v>8.747375787</v>
      </c>
      <c r="S46" s="7">
        <f t="shared" si="15"/>
        <v>600</v>
      </c>
      <c r="T46" s="7">
        <f t="shared" si="16"/>
        <v>10.49685094</v>
      </c>
      <c r="U46" s="7">
        <f t="shared" si="17"/>
        <v>700</v>
      </c>
      <c r="V46" s="7">
        <f t="shared" si="18"/>
        <v>12.2463261</v>
      </c>
      <c r="W46" s="7">
        <f t="shared" si="19"/>
        <v>800</v>
      </c>
      <c r="X46" s="7">
        <f t="shared" si="20"/>
        <v>13.99580126</v>
      </c>
      <c r="Y46" s="7">
        <f t="shared" si="21"/>
        <v>900</v>
      </c>
      <c r="Z46" s="7">
        <f t="shared" si="22"/>
        <v>15.74527642</v>
      </c>
    </row>
    <row r="47">
      <c r="A47" s="19" t="str">
        <f>IFERROR(__xludf.DUMMYFUNCTION("""COMPUTED_VALUE"""),"2015 08")</f>
        <v>2015 08</v>
      </c>
      <c r="B47" s="19" t="str">
        <f>IFERROR(__xludf.DUMMYFUNCTION("""COMPUTED_VALUE"""),"60.9")</f>
        <v>60.9</v>
      </c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0.8210180624</v>
      </c>
      <c r="G47" s="7">
        <f t="shared" si="3"/>
        <v>100</v>
      </c>
      <c r="H47" s="7">
        <f t="shared" si="4"/>
        <v>1.642036125</v>
      </c>
      <c r="I47" s="7">
        <f t="shared" si="5"/>
        <v>150</v>
      </c>
      <c r="J47" s="7">
        <f t="shared" si="6"/>
        <v>2.463054187</v>
      </c>
      <c r="K47" s="7">
        <f t="shared" si="7"/>
        <v>200</v>
      </c>
      <c r="L47" s="7">
        <f t="shared" si="8"/>
        <v>3.28407225</v>
      </c>
      <c r="M47" s="7">
        <f t="shared" si="9"/>
        <v>300</v>
      </c>
      <c r="N47" s="7">
        <f t="shared" si="10"/>
        <v>4.926108374</v>
      </c>
      <c r="O47" s="7">
        <f t="shared" si="11"/>
        <v>400</v>
      </c>
      <c r="P47" s="7">
        <f t="shared" si="12"/>
        <v>6.568144499</v>
      </c>
      <c r="Q47" s="7">
        <f t="shared" si="13"/>
        <v>500</v>
      </c>
      <c r="R47" s="7">
        <f t="shared" si="14"/>
        <v>8.210180624</v>
      </c>
      <c r="S47" s="7">
        <f t="shared" si="15"/>
        <v>600</v>
      </c>
      <c r="T47" s="7">
        <f t="shared" si="16"/>
        <v>9.852216749</v>
      </c>
      <c r="U47" s="7">
        <f t="shared" si="17"/>
        <v>700</v>
      </c>
      <c r="V47" s="7">
        <f t="shared" si="18"/>
        <v>11.49425287</v>
      </c>
      <c r="W47" s="7">
        <f t="shared" si="19"/>
        <v>800</v>
      </c>
      <c r="X47" s="7">
        <f t="shared" si="20"/>
        <v>13.136289</v>
      </c>
      <c r="Y47" s="7">
        <f t="shared" si="21"/>
        <v>900</v>
      </c>
      <c r="Z47" s="7">
        <f t="shared" si="22"/>
        <v>14.77832512</v>
      </c>
    </row>
    <row r="48">
      <c r="A48" s="19" t="str">
        <f>IFERROR(__xludf.DUMMYFUNCTION("""COMPUTED_VALUE"""),"2015 09")</f>
        <v>2015 09</v>
      </c>
      <c r="B48" s="19" t="str">
        <f>IFERROR(__xludf.DUMMYFUNCTION("""COMPUTED_VALUE"""),"57.8")</f>
        <v>57.8</v>
      </c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0.8650519031</v>
      </c>
      <c r="G48" s="7">
        <f t="shared" si="3"/>
        <v>100</v>
      </c>
      <c r="H48" s="7">
        <f t="shared" si="4"/>
        <v>1.730103806</v>
      </c>
      <c r="I48" s="7">
        <f t="shared" si="5"/>
        <v>150</v>
      </c>
      <c r="J48" s="7">
        <f t="shared" si="6"/>
        <v>2.595155709</v>
      </c>
      <c r="K48" s="7">
        <f t="shared" si="7"/>
        <v>200</v>
      </c>
      <c r="L48" s="7">
        <f t="shared" si="8"/>
        <v>3.460207612</v>
      </c>
      <c r="M48" s="7">
        <f t="shared" si="9"/>
        <v>300</v>
      </c>
      <c r="N48" s="7">
        <f t="shared" si="10"/>
        <v>5.190311419</v>
      </c>
      <c r="O48" s="7">
        <f t="shared" si="11"/>
        <v>400</v>
      </c>
      <c r="P48" s="7">
        <f t="shared" si="12"/>
        <v>6.920415225</v>
      </c>
      <c r="Q48" s="7">
        <f t="shared" si="13"/>
        <v>500</v>
      </c>
      <c r="R48" s="7">
        <f t="shared" si="14"/>
        <v>8.650519031</v>
      </c>
      <c r="S48" s="7">
        <f t="shared" si="15"/>
        <v>600</v>
      </c>
      <c r="T48" s="7">
        <f t="shared" si="16"/>
        <v>10.38062284</v>
      </c>
      <c r="U48" s="7">
        <f t="shared" si="17"/>
        <v>700</v>
      </c>
      <c r="V48" s="7">
        <f t="shared" si="18"/>
        <v>12.11072664</v>
      </c>
      <c r="W48" s="7">
        <f t="shared" si="19"/>
        <v>800</v>
      </c>
      <c r="X48" s="7">
        <f t="shared" si="20"/>
        <v>13.84083045</v>
      </c>
      <c r="Y48" s="7">
        <f t="shared" si="21"/>
        <v>900</v>
      </c>
      <c r="Z48" s="7">
        <f t="shared" si="22"/>
        <v>15.57093426</v>
      </c>
    </row>
    <row r="49">
      <c r="A49" s="19" t="str">
        <f>IFERROR(__xludf.DUMMYFUNCTION("""COMPUTED_VALUE"""),"2015 10")</f>
        <v>2015 10</v>
      </c>
      <c r="B49" s="19" t="str">
        <f>IFERROR(__xludf.DUMMYFUNCTION("""COMPUTED_VALUE"""),"57.15")</f>
        <v>57.15</v>
      </c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0.8748906387</v>
      </c>
      <c r="G49" s="7">
        <f t="shared" si="3"/>
        <v>100</v>
      </c>
      <c r="H49" s="7">
        <f t="shared" si="4"/>
        <v>1.749781277</v>
      </c>
      <c r="I49" s="7">
        <f t="shared" si="5"/>
        <v>150</v>
      </c>
      <c r="J49" s="7">
        <f t="shared" si="6"/>
        <v>2.624671916</v>
      </c>
      <c r="K49" s="7">
        <f t="shared" si="7"/>
        <v>200</v>
      </c>
      <c r="L49" s="7">
        <f t="shared" si="8"/>
        <v>3.499562555</v>
      </c>
      <c r="M49" s="7">
        <f t="shared" si="9"/>
        <v>300</v>
      </c>
      <c r="N49" s="7">
        <f t="shared" si="10"/>
        <v>5.249343832</v>
      </c>
      <c r="O49" s="7">
        <f t="shared" si="11"/>
        <v>400</v>
      </c>
      <c r="P49" s="7">
        <f t="shared" si="12"/>
        <v>6.999125109</v>
      </c>
      <c r="Q49" s="7">
        <f t="shared" si="13"/>
        <v>500</v>
      </c>
      <c r="R49" s="7">
        <f t="shared" si="14"/>
        <v>8.748906387</v>
      </c>
      <c r="S49" s="7">
        <f t="shared" si="15"/>
        <v>600</v>
      </c>
      <c r="T49" s="7">
        <f t="shared" si="16"/>
        <v>10.49868766</v>
      </c>
      <c r="U49" s="7">
        <f t="shared" si="17"/>
        <v>700</v>
      </c>
      <c r="V49" s="7">
        <f t="shared" si="18"/>
        <v>12.24846894</v>
      </c>
      <c r="W49" s="7">
        <f t="shared" si="19"/>
        <v>800</v>
      </c>
      <c r="X49" s="7">
        <f t="shared" si="20"/>
        <v>13.99825022</v>
      </c>
      <c r="Y49" s="7">
        <f t="shared" si="21"/>
        <v>900</v>
      </c>
      <c r="Z49" s="7">
        <f t="shared" si="22"/>
        <v>15.7480315</v>
      </c>
    </row>
    <row r="50">
      <c r="A50" s="19" t="str">
        <f>IFERROR(__xludf.DUMMYFUNCTION("""COMPUTED_VALUE"""),"2015 11")</f>
        <v>2015 11</v>
      </c>
      <c r="B50" s="19" t="str">
        <f>IFERROR(__xludf.DUMMYFUNCTION("""COMPUTED_VALUE"""),"60.25")</f>
        <v>60.25</v>
      </c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0.8298755187</v>
      </c>
      <c r="G50" s="7">
        <f t="shared" si="3"/>
        <v>100</v>
      </c>
      <c r="H50" s="7">
        <f t="shared" si="4"/>
        <v>1.659751037</v>
      </c>
      <c r="I50" s="7">
        <f t="shared" si="5"/>
        <v>150</v>
      </c>
      <c r="J50" s="7">
        <f t="shared" si="6"/>
        <v>2.489626556</v>
      </c>
      <c r="K50" s="7">
        <f t="shared" si="7"/>
        <v>200</v>
      </c>
      <c r="L50" s="7">
        <f t="shared" si="8"/>
        <v>3.319502075</v>
      </c>
      <c r="M50" s="7">
        <f t="shared" si="9"/>
        <v>300</v>
      </c>
      <c r="N50" s="7">
        <f t="shared" si="10"/>
        <v>4.979253112</v>
      </c>
      <c r="O50" s="7">
        <f t="shared" si="11"/>
        <v>400</v>
      </c>
      <c r="P50" s="7">
        <f t="shared" si="12"/>
        <v>6.639004149</v>
      </c>
      <c r="Q50" s="7">
        <f t="shared" si="13"/>
        <v>500</v>
      </c>
      <c r="R50" s="7">
        <f t="shared" si="14"/>
        <v>8.298755187</v>
      </c>
      <c r="S50" s="7">
        <f t="shared" si="15"/>
        <v>600</v>
      </c>
      <c r="T50" s="7">
        <f t="shared" si="16"/>
        <v>9.958506224</v>
      </c>
      <c r="U50" s="7">
        <f t="shared" si="17"/>
        <v>700</v>
      </c>
      <c r="V50" s="7">
        <f t="shared" si="18"/>
        <v>11.61825726</v>
      </c>
      <c r="W50" s="7">
        <f t="shared" si="19"/>
        <v>800</v>
      </c>
      <c r="X50" s="7">
        <f t="shared" si="20"/>
        <v>13.2780083</v>
      </c>
      <c r="Y50" s="7">
        <f t="shared" si="21"/>
        <v>900</v>
      </c>
      <c r="Z50" s="7">
        <f t="shared" si="22"/>
        <v>14.93775934</v>
      </c>
    </row>
    <row r="51">
      <c r="A51" s="19" t="str">
        <f>IFERROR(__xludf.DUMMYFUNCTION("""COMPUTED_VALUE"""),"2015 12")</f>
        <v>2015 12</v>
      </c>
      <c r="B51" s="19" t="str">
        <f>IFERROR(__xludf.DUMMYFUNCTION("""COMPUTED_VALUE"""),"59.39")</f>
        <v>59.39</v>
      </c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0.8418925745</v>
      </c>
      <c r="G51" s="7">
        <f t="shared" si="3"/>
        <v>100</v>
      </c>
      <c r="H51" s="7">
        <f t="shared" si="4"/>
        <v>1.683785149</v>
      </c>
      <c r="I51" s="7">
        <f t="shared" si="5"/>
        <v>150</v>
      </c>
      <c r="J51" s="7">
        <f t="shared" si="6"/>
        <v>2.525677724</v>
      </c>
      <c r="K51" s="7">
        <f t="shared" si="7"/>
        <v>200</v>
      </c>
      <c r="L51" s="7">
        <f t="shared" si="8"/>
        <v>3.367570298</v>
      </c>
      <c r="M51" s="7">
        <f t="shared" si="9"/>
        <v>300</v>
      </c>
      <c r="N51" s="7">
        <f t="shared" si="10"/>
        <v>5.051355447</v>
      </c>
      <c r="O51" s="7">
        <f t="shared" si="11"/>
        <v>400</v>
      </c>
      <c r="P51" s="7">
        <f t="shared" si="12"/>
        <v>6.735140596</v>
      </c>
      <c r="Q51" s="7">
        <f t="shared" si="13"/>
        <v>500</v>
      </c>
      <c r="R51" s="7">
        <f t="shared" si="14"/>
        <v>8.418925745</v>
      </c>
      <c r="S51" s="7">
        <f t="shared" si="15"/>
        <v>600</v>
      </c>
      <c r="T51" s="7">
        <f t="shared" si="16"/>
        <v>10.10271089</v>
      </c>
      <c r="U51" s="7">
        <f t="shared" si="17"/>
        <v>700</v>
      </c>
      <c r="V51" s="7">
        <f t="shared" si="18"/>
        <v>11.78649604</v>
      </c>
      <c r="W51" s="7">
        <f t="shared" si="19"/>
        <v>800</v>
      </c>
      <c r="X51" s="7">
        <f t="shared" si="20"/>
        <v>13.47028119</v>
      </c>
      <c r="Y51" s="7">
        <f t="shared" si="21"/>
        <v>900</v>
      </c>
      <c r="Z51" s="7">
        <f t="shared" si="22"/>
        <v>15.15406634</v>
      </c>
    </row>
    <row r="52">
      <c r="A52" s="19" t="str">
        <f>IFERROR(__xludf.DUMMYFUNCTION("""COMPUTED_VALUE"""),"2016 01")</f>
        <v>2016 01</v>
      </c>
      <c r="B52" s="19" t="str">
        <f>IFERROR(__xludf.DUMMYFUNCTION("""COMPUTED_VALUE"""),"57.25")</f>
        <v>57.25</v>
      </c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0.8733624454</v>
      </c>
      <c r="G52" s="7">
        <f t="shared" si="3"/>
        <v>100</v>
      </c>
      <c r="H52" s="7">
        <f t="shared" si="4"/>
        <v>1.746724891</v>
      </c>
      <c r="I52" s="7">
        <f t="shared" si="5"/>
        <v>150</v>
      </c>
      <c r="J52" s="7">
        <f t="shared" si="6"/>
        <v>2.620087336</v>
      </c>
      <c r="K52" s="7">
        <f t="shared" si="7"/>
        <v>200</v>
      </c>
      <c r="L52" s="7">
        <f t="shared" si="8"/>
        <v>3.493449782</v>
      </c>
      <c r="M52" s="7">
        <f t="shared" si="9"/>
        <v>300</v>
      </c>
      <c r="N52" s="7">
        <f t="shared" si="10"/>
        <v>5.240174672</v>
      </c>
      <c r="O52" s="7">
        <f t="shared" si="11"/>
        <v>400</v>
      </c>
      <c r="P52" s="7">
        <f t="shared" si="12"/>
        <v>6.986899563</v>
      </c>
      <c r="Q52" s="7">
        <f t="shared" si="13"/>
        <v>500</v>
      </c>
      <c r="R52" s="7">
        <f t="shared" si="14"/>
        <v>8.733624454</v>
      </c>
      <c r="S52" s="7">
        <f t="shared" si="15"/>
        <v>600</v>
      </c>
      <c r="T52" s="7">
        <f t="shared" si="16"/>
        <v>10.48034934</v>
      </c>
      <c r="U52" s="7">
        <f t="shared" si="17"/>
        <v>700</v>
      </c>
      <c r="V52" s="7">
        <f t="shared" si="18"/>
        <v>12.22707424</v>
      </c>
      <c r="W52" s="7">
        <f t="shared" si="19"/>
        <v>800</v>
      </c>
      <c r="X52" s="7">
        <f t="shared" si="20"/>
        <v>13.97379913</v>
      </c>
      <c r="Y52" s="7">
        <f t="shared" si="21"/>
        <v>900</v>
      </c>
      <c r="Z52" s="7">
        <f t="shared" si="22"/>
        <v>15.72052402</v>
      </c>
    </row>
    <row r="53">
      <c r="A53" s="19" t="str">
        <f>IFERROR(__xludf.DUMMYFUNCTION("""COMPUTED_VALUE"""),"2016 02")</f>
        <v>2016 02</v>
      </c>
      <c r="B53" s="19" t="str">
        <f>IFERROR(__xludf.DUMMYFUNCTION("""COMPUTED_VALUE"""),"55.61")</f>
        <v>55.61</v>
      </c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0.8991188635</v>
      </c>
      <c r="G53" s="7">
        <f t="shared" si="3"/>
        <v>100</v>
      </c>
      <c r="H53" s="7">
        <f t="shared" si="4"/>
        <v>1.798237727</v>
      </c>
      <c r="I53" s="7">
        <f t="shared" si="5"/>
        <v>150</v>
      </c>
      <c r="J53" s="7">
        <f t="shared" si="6"/>
        <v>2.697356591</v>
      </c>
      <c r="K53" s="7">
        <f t="shared" si="7"/>
        <v>200</v>
      </c>
      <c r="L53" s="7">
        <f t="shared" si="8"/>
        <v>3.596475454</v>
      </c>
      <c r="M53" s="7">
        <f t="shared" si="9"/>
        <v>300</v>
      </c>
      <c r="N53" s="7">
        <f t="shared" si="10"/>
        <v>5.394713181</v>
      </c>
      <c r="O53" s="7">
        <f t="shared" si="11"/>
        <v>400</v>
      </c>
      <c r="P53" s="7">
        <f t="shared" si="12"/>
        <v>7.192950908</v>
      </c>
      <c r="Q53" s="7">
        <f t="shared" si="13"/>
        <v>500</v>
      </c>
      <c r="R53" s="7">
        <f t="shared" si="14"/>
        <v>8.991188635</v>
      </c>
      <c r="S53" s="7">
        <f t="shared" si="15"/>
        <v>600</v>
      </c>
      <c r="T53" s="7">
        <f t="shared" si="16"/>
        <v>10.78942636</v>
      </c>
      <c r="U53" s="7">
        <f t="shared" si="17"/>
        <v>700</v>
      </c>
      <c r="V53" s="7">
        <f t="shared" si="18"/>
        <v>12.58766409</v>
      </c>
      <c r="W53" s="7">
        <f t="shared" si="19"/>
        <v>800</v>
      </c>
      <c r="X53" s="7">
        <f t="shared" si="20"/>
        <v>14.38590182</v>
      </c>
      <c r="Y53" s="7">
        <f t="shared" si="21"/>
        <v>900</v>
      </c>
      <c r="Z53" s="7">
        <f t="shared" si="22"/>
        <v>16.18413954</v>
      </c>
    </row>
    <row r="54">
      <c r="A54" s="19" t="str">
        <f>IFERROR(__xludf.DUMMYFUNCTION("""COMPUTED_VALUE"""),"2016 03")</f>
        <v>2016 03</v>
      </c>
      <c r="B54" s="19" t="str">
        <f>IFERROR(__xludf.DUMMYFUNCTION("""COMPUTED_VALUE"""),"54.62")</f>
        <v>54.62</v>
      </c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0.9154155987</v>
      </c>
      <c r="G54" s="7">
        <f t="shared" si="3"/>
        <v>100</v>
      </c>
      <c r="H54" s="7">
        <f t="shared" si="4"/>
        <v>1.830831197</v>
      </c>
      <c r="I54" s="7">
        <f t="shared" si="5"/>
        <v>150</v>
      </c>
      <c r="J54" s="7">
        <f t="shared" si="6"/>
        <v>2.746246796</v>
      </c>
      <c r="K54" s="7">
        <f t="shared" si="7"/>
        <v>200</v>
      </c>
      <c r="L54" s="7">
        <f t="shared" si="8"/>
        <v>3.661662395</v>
      </c>
      <c r="M54" s="7">
        <f t="shared" si="9"/>
        <v>300</v>
      </c>
      <c r="N54" s="7">
        <f t="shared" si="10"/>
        <v>5.492493592</v>
      </c>
      <c r="O54" s="7">
        <f t="shared" si="11"/>
        <v>400</v>
      </c>
      <c r="P54" s="7">
        <f t="shared" si="12"/>
        <v>7.323324789</v>
      </c>
      <c r="Q54" s="7">
        <f t="shared" si="13"/>
        <v>500</v>
      </c>
      <c r="R54" s="7">
        <f t="shared" si="14"/>
        <v>9.154155987</v>
      </c>
      <c r="S54" s="7">
        <f t="shared" si="15"/>
        <v>600</v>
      </c>
      <c r="T54" s="7">
        <f t="shared" si="16"/>
        <v>10.98498718</v>
      </c>
      <c r="U54" s="7">
        <f t="shared" si="17"/>
        <v>700</v>
      </c>
      <c r="V54" s="7">
        <f t="shared" si="18"/>
        <v>12.81581838</v>
      </c>
      <c r="W54" s="7">
        <f t="shared" si="19"/>
        <v>800</v>
      </c>
      <c r="X54" s="7">
        <f t="shared" si="20"/>
        <v>14.64664958</v>
      </c>
      <c r="Y54" s="7">
        <f t="shared" si="21"/>
        <v>900</v>
      </c>
      <c r="Z54" s="7">
        <f t="shared" si="22"/>
        <v>16.47748078</v>
      </c>
    </row>
    <row r="55">
      <c r="A55" s="19" t="str">
        <f>IFERROR(__xludf.DUMMYFUNCTION("""COMPUTED_VALUE"""),"2016 04")</f>
        <v>2016 04</v>
      </c>
      <c r="B55" s="19" t="str">
        <f>IFERROR(__xludf.DUMMYFUNCTION("""COMPUTED_VALUE"""),"53.98")</f>
        <v>53.98</v>
      </c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0.9262689885</v>
      </c>
      <c r="G55" s="7">
        <f t="shared" si="3"/>
        <v>100</v>
      </c>
      <c r="H55" s="7">
        <f t="shared" si="4"/>
        <v>1.852537977</v>
      </c>
      <c r="I55" s="7">
        <f t="shared" si="5"/>
        <v>150</v>
      </c>
      <c r="J55" s="7">
        <f t="shared" si="6"/>
        <v>2.778806966</v>
      </c>
      <c r="K55" s="7">
        <f t="shared" si="7"/>
        <v>200</v>
      </c>
      <c r="L55" s="7">
        <f t="shared" si="8"/>
        <v>3.705075954</v>
      </c>
      <c r="M55" s="7">
        <f t="shared" si="9"/>
        <v>300</v>
      </c>
      <c r="N55" s="7">
        <f t="shared" si="10"/>
        <v>5.557613931</v>
      </c>
      <c r="O55" s="7">
        <f t="shared" si="11"/>
        <v>400</v>
      </c>
      <c r="P55" s="7">
        <f t="shared" si="12"/>
        <v>7.410151908</v>
      </c>
      <c r="Q55" s="7">
        <f t="shared" si="13"/>
        <v>500</v>
      </c>
      <c r="R55" s="7">
        <f t="shared" si="14"/>
        <v>9.262689885</v>
      </c>
      <c r="S55" s="7">
        <f t="shared" si="15"/>
        <v>600</v>
      </c>
      <c r="T55" s="7">
        <f t="shared" si="16"/>
        <v>11.11522786</v>
      </c>
      <c r="U55" s="7">
        <f t="shared" si="17"/>
        <v>700</v>
      </c>
      <c r="V55" s="7">
        <f t="shared" si="18"/>
        <v>12.96776584</v>
      </c>
      <c r="W55" s="7">
        <f t="shared" si="19"/>
        <v>800</v>
      </c>
      <c r="X55" s="7">
        <f t="shared" si="20"/>
        <v>14.82030382</v>
      </c>
      <c r="Y55" s="7">
        <f t="shared" si="21"/>
        <v>900</v>
      </c>
      <c r="Z55" s="7">
        <f t="shared" si="22"/>
        <v>16.67284179</v>
      </c>
    </row>
    <row r="56">
      <c r="A56" s="19" t="str">
        <f>IFERROR(__xludf.DUMMYFUNCTION("""COMPUTED_VALUE"""),"2016 05")</f>
        <v>2016 05</v>
      </c>
      <c r="B56" s="19" t="str">
        <f>IFERROR(__xludf.DUMMYFUNCTION("""COMPUTED_VALUE"""),"55.4")</f>
        <v>55.4</v>
      </c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0.9025270758</v>
      </c>
      <c r="G56" s="7">
        <f t="shared" si="3"/>
        <v>100</v>
      </c>
      <c r="H56" s="7">
        <f t="shared" si="4"/>
        <v>1.805054152</v>
      </c>
      <c r="I56" s="7">
        <f t="shared" si="5"/>
        <v>150</v>
      </c>
      <c r="J56" s="7">
        <f t="shared" si="6"/>
        <v>2.707581227</v>
      </c>
      <c r="K56" s="7">
        <f t="shared" si="7"/>
        <v>200</v>
      </c>
      <c r="L56" s="7">
        <f t="shared" si="8"/>
        <v>3.610108303</v>
      </c>
      <c r="M56" s="7">
        <f t="shared" si="9"/>
        <v>300</v>
      </c>
      <c r="N56" s="7">
        <f t="shared" si="10"/>
        <v>5.415162455</v>
      </c>
      <c r="O56" s="7">
        <f t="shared" si="11"/>
        <v>400</v>
      </c>
      <c r="P56" s="7">
        <f t="shared" si="12"/>
        <v>7.220216606</v>
      </c>
      <c r="Q56" s="7">
        <f t="shared" si="13"/>
        <v>500</v>
      </c>
      <c r="R56" s="7">
        <f t="shared" si="14"/>
        <v>9.025270758</v>
      </c>
      <c r="S56" s="7">
        <f t="shared" si="15"/>
        <v>600</v>
      </c>
      <c r="T56" s="7">
        <f t="shared" si="16"/>
        <v>10.83032491</v>
      </c>
      <c r="U56" s="7">
        <f t="shared" si="17"/>
        <v>700</v>
      </c>
      <c r="V56" s="7">
        <f t="shared" si="18"/>
        <v>12.63537906</v>
      </c>
      <c r="W56" s="7">
        <f t="shared" si="19"/>
        <v>800</v>
      </c>
      <c r="X56" s="7">
        <f t="shared" si="20"/>
        <v>14.44043321</v>
      </c>
      <c r="Y56" s="7">
        <f t="shared" si="21"/>
        <v>900</v>
      </c>
      <c r="Z56" s="7">
        <f t="shared" si="22"/>
        <v>16.24548736</v>
      </c>
    </row>
    <row r="57">
      <c r="A57" s="19" t="str">
        <f>IFERROR(__xludf.DUMMYFUNCTION("""COMPUTED_VALUE"""),"2016 06")</f>
        <v>2016 06</v>
      </c>
      <c r="B57" s="19" t="str">
        <f>IFERROR(__xludf.DUMMYFUNCTION("""COMPUTED_VALUE"""),"58.22")</f>
        <v>58.22</v>
      </c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0.858811405</v>
      </c>
      <c r="G57" s="7">
        <f t="shared" si="3"/>
        <v>100</v>
      </c>
      <c r="H57" s="7">
        <f t="shared" si="4"/>
        <v>1.71762281</v>
      </c>
      <c r="I57" s="7">
        <f t="shared" si="5"/>
        <v>150</v>
      </c>
      <c r="J57" s="7">
        <f t="shared" si="6"/>
        <v>2.576434215</v>
      </c>
      <c r="K57" s="7">
        <f t="shared" si="7"/>
        <v>200</v>
      </c>
      <c r="L57" s="7">
        <f t="shared" si="8"/>
        <v>3.43524562</v>
      </c>
      <c r="M57" s="7">
        <f t="shared" si="9"/>
        <v>300</v>
      </c>
      <c r="N57" s="7">
        <f t="shared" si="10"/>
        <v>5.15286843</v>
      </c>
      <c r="O57" s="7">
        <f t="shared" si="11"/>
        <v>400</v>
      </c>
      <c r="P57" s="7">
        <f t="shared" si="12"/>
        <v>6.87049124</v>
      </c>
      <c r="Q57" s="7">
        <f t="shared" si="13"/>
        <v>500</v>
      </c>
      <c r="R57" s="7">
        <f t="shared" si="14"/>
        <v>8.58811405</v>
      </c>
      <c r="S57" s="7">
        <f t="shared" si="15"/>
        <v>600</v>
      </c>
      <c r="T57" s="7">
        <f t="shared" si="16"/>
        <v>10.30573686</v>
      </c>
      <c r="U57" s="7">
        <f t="shared" si="17"/>
        <v>700</v>
      </c>
      <c r="V57" s="7">
        <f t="shared" si="18"/>
        <v>12.02335967</v>
      </c>
      <c r="W57" s="7">
        <f t="shared" si="19"/>
        <v>800</v>
      </c>
      <c r="X57" s="7">
        <f t="shared" si="20"/>
        <v>13.74098248</v>
      </c>
      <c r="Y57" s="7">
        <f t="shared" si="21"/>
        <v>900</v>
      </c>
      <c r="Z57" s="7">
        <f t="shared" si="22"/>
        <v>15.45860529</v>
      </c>
    </row>
    <row r="58">
      <c r="A58" s="19" t="str">
        <f>IFERROR(__xludf.DUMMYFUNCTION("""COMPUTED_VALUE"""),"2016 07")</f>
        <v>2016 07</v>
      </c>
      <c r="B58" s="19" t="str">
        <f>IFERROR(__xludf.DUMMYFUNCTION("""COMPUTED_VALUE"""),"54.4")</f>
        <v>54.4</v>
      </c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0.9191176471</v>
      </c>
      <c r="G58" s="7">
        <f t="shared" si="3"/>
        <v>100</v>
      </c>
      <c r="H58" s="7">
        <f t="shared" si="4"/>
        <v>1.838235294</v>
      </c>
      <c r="I58" s="7">
        <f t="shared" si="5"/>
        <v>150</v>
      </c>
      <c r="J58" s="7">
        <f t="shared" si="6"/>
        <v>2.757352941</v>
      </c>
      <c r="K58" s="7">
        <f t="shared" si="7"/>
        <v>200</v>
      </c>
      <c r="L58" s="7">
        <f t="shared" si="8"/>
        <v>3.676470588</v>
      </c>
      <c r="M58" s="7">
        <f t="shared" si="9"/>
        <v>300</v>
      </c>
      <c r="N58" s="7">
        <f t="shared" si="10"/>
        <v>5.514705882</v>
      </c>
      <c r="O58" s="7">
        <f t="shared" si="11"/>
        <v>400</v>
      </c>
      <c r="P58" s="7">
        <f t="shared" si="12"/>
        <v>7.352941176</v>
      </c>
      <c r="Q58" s="7">
        <f t="shared" si="13"/>
        <v>500</v>
      </c>
      <c r="R58" s="7">
        <f t="shared" si="14"/>
        <v>9.191176471</v>
      </c>
      <c r="S58" s="7">
        <f t="shared" si="15"/>
        <v>600</v>
      </c>
      <c r="T58" s="7">
        <f t="shared" si="16"/>
        <v>11.02941176</v>
      </c>
      <c r="U58" s="7">
        <f t="shared" si="17"/>
        <v>700</v>
      </c>
      <c r="V58" s="7">
        <f t="shared" si="18"/>
        <v>12.86764706</v>
      </c>
      <c r="W58" s="7">
        <f t="shared" si="19"/>
        <v>800</v>
      </c>
      <c r="X58" s="7">
        <f t="shared" si="20"/>
        <v>14.70588235</v>
      </c>
      <c r="Y58" s="7">
        <f t="shared" si="21"/>
        <v>900</v>
      </c>
      <c r="Z58" s="7">
        <f t="shared" si="22"/>
        <v>16.54411765</v>
      </c>
    </row>
    <row r="59">
      <c r="A59" s="19" t="str">
        <f>IFERROR(__xludf.DUMMYFUNCTION("""COMPUTED_VALUE"""),"2016 08")</f>
        <v>2016 08</v>
      </c>
      <c r="B59" s="19" t="str">
        <f>IFERROR(__xludf.DUMMYFUNCTION("""COMPUTED_VALUE"""),"56.08")</f>
        <v>56.08</v>
      </c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0.8915834522</v>
      </c>
      <c r="G59" s="7">
        <f t="shared" si="3"/>
        <v>100</v>
      </c>
      <c r="H59" s="7">
        <f t="shared" si="4"/>
        <v>1.783166904</v>
      </c>
      <c r="I59" s="7">
        <f t="shared" si="5"/>
        <v>150</v>
      </c>
      <c r="J59" s="7">
        <f t="shared" si="6"/>
        <v>2.674750357</v>
      </c>
      <c r="K59" s="7">
        <f t="shared" si="7"/>
        <v>200</v>
      </c>
      <c r="L59" s="7">
        <f t="shared" si="8"/>
        <v>3.566333809</v>
      </c>
      <c r="M59" s="7">
        <f t="shared" si="9"/>
        <v>300</v>
      </c>
      <c r="N59" s="7">
        <f t="shared" si="10"/>
        <v>5.349500713</v>
      </c>
      <c r="O59" s="7">
        <f t="shared" si="11"/>
        <v>400</v>
      </c>
      <c r="P59" s="7">
        <f t="shared" si="12"/>
        <v>7.132667618</v>
      </c>
      <c r="Q59" s="7">
        <f t="shared" si="13"/>
        <v>500</v>
      </c>
      <c r="R59" s="7">
        <f t="shared" si="14"/>
        <v>8.915834522</v>
      </c>
      <c r="S59" s="7">
        <f t="shared" si="15"/>
        <v>600</v>
      </c>
      <c r="T59" s="7">
        <f t="shared" si="16"/>
        <v>10.69900143</v>
      </c>
      <c r="U59" s="7">
        <f t="shared" si="17"/>
        <v>700</v>
      </c>
      <c r="V59" s="7">
        <f t="shared" si="18"/>
        <v>12.48216833</v>
      </c>
      <c r="W59" s="7">
        <f t="shared" si="19"/>
        <v>800</v>
      </c>
      <c r="X59" s="7">
        <f t="shared" si="20"/>
        <v>14.26533524</v>
      </c>
      <c r="Y59" s="7">
        <f t="shared" si="21"/>
        <v>900</v>
      </c>
      <c r="Z59" s="7">
        <f t="shared" si="22"/>
        <v>16.04850214</v>
      </c>
    </row>
    <row r="60">
      <c r="A60" s="19" t="str">
        <f>IFERROR(__xludf.DUMMYFUNCTION("""COMPUTED_VALUE"""),"2016 09")</f>
        <v>2016 09</v>
      </c>
      <c r="B60" s="19" t="str">
        <f>IFERROR(__xludf.DUMMYFUNCTION("""COMPUTED_VALUE"""),"56.6")</f>
        <v>56.6</v>
      </c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0.8833922261</v>
      </c>
      <c r="G60" s="7">
        <f t="shared" si="3"/>
        <v>100</v>
      </c>
      <c r="H60" s="7">
        <f t="shared" si="4"/>
        <v>1.766784452</v>
      </c>
      <c r="I60" s="7">
        <f t="shared" si="5"/>
        <v>150</v>
      </c>
      <c r="J60" s="7">
        <f t="shared" si="6"/>
        <v>2.650176678</v>
      </c>
      <c r="K60" s="7">
        <f t="shared" si="7"/>
        <v>200</v>
      </c>
      <c r="L60" s="7">
        <f t="shared" si="8"/>
        <v>3.533568905</v>
      </c>
      <c r="M60" s="7">
        <f t="shared" si="9"/>
        <v>300</v>
      </c>
      <c r="N60" s="7">
        <f t="shared" si="10"/>
        <v>5.300353357</v>
      </c>
      <c r="O60" s="7">
        <f t="shared" si="11"/>
        <v>400</v>
      </c>
      <c r="P60" s="7">
        <f t="shared" si="12"/>
        <v>7.067137809</v>
      </c>
      <c r="Q60" s="7">
        <f t="shared" si="13"/>
        <v>500</v>
      </c>
      <c r="R60" s="7">
        <f t="shared" si="14"/>
        <v>8.833922261</v>
      </c>
      <c r="S60" s="7">
        <f t="shared" si="15"/>
        <v>600</v>
      </c>
      <c r="T60" s="7">
        <f t="shared" si="16"/>
        <v>10.60070671</v>
      </c>
      <c r="U60" s="7">
        <f t="shared" si="17"/>
        <v>700</v>
      </c>
      <c r="V60" s="7">
        <f t="shared" si="18"/>
        <v>12.36749117</v>
      </c>
      <c r="W60" s="7">
        <f t="shared" si="19"/>
        <v>800</v>
      </c>
      <c r="X60" s="7">
        <f t="shared" si="20"/>
        <v>14.13427562</v>
      </c>
      <c r="Y60" s="7">
        <f t="shared" si="21"/>
        <v>900</v>
      </c>
      <c r="Z60" s="7">
        <f t="shared" si="22"/>
        <v>15.90106007</v>
      </c>
    </row>
    <row r="61">
      <c r="A61" s="19" t="str">
        <f>IFERROR(__xludf.DUMMYFUNCTION("""COMPUTED_VALUE"""),"2016 10")</f>
        <v>2016 10</v>
      </c>
      <c r="B61" s="19" t="str">
        <f>IFERROR(__xludf.DUMMYFUNCTION("""COMPUTED_VALUE"""),"55.95")</f>
        <v>55.95</v>
      </c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0.8936550492</v>
      </c>
      <c r="G61" s="7">
        <f t="shared" si="3"/>
        <v>100</v>
      </c>
      <c r="H61" s="7">
        <f t="shared" si="4"/>
        <v>1.787310098</v>
      </c>
      <c r="I61" s="7">
        <f t="shared" si="5"/>
        <v>150</v>
      </c>
      <c r="J61" s="7">
        <f t="shared" si="6"/>
        <v>2.680965147</v>
      </c>
      <c r="K61" s="7">
        <f t="shared" si="7"/>
        <v>200</v>
      </c>
      <c r="L61" s="7">
        <f t="shared" si="8"/>
        <v>3.574620197</v>
      </c>
      <c r="M61" s="7">
        <f t="shared" si="9"/>
        <v>300</v>
      </c>
      <c r="N61" s="7">
        <f t="shared" si="10"/>
        <v>5.361930295</v>
      </c>
      <c r="O61" s="7">
        <f t="shared" si="11"/>
        <v>400</v>
      </c>
      <c r="P61" s="7">
        <f t="shared" si="12"/>
        <v>7.149240393</v>
      </c>
      <c r="Q61" s="7">
        <f t="shared" si="13"/>
        <v>500</v>
      </c>
      <c r="R61" s="7">
        <f t="shared" si="14"/>
        <v>8.936550492</v>
      </c>
      <c r="S61" s="7">
        <f t="shared" si="15"/>
        <v>600</v>
      </c>
      <c r="T61" s="7">
        <f t="shared" si="16"/>
        <v>10.72386059</v>
      </c>
      <c r="U61" s="7">
        <f t="shared" si="17"/>
        <v>700</v>
      </c>
      <c r="V61" s="7">
        <f t="shared" si="18"/>
        <v>12.51117069</v>
      </c>
      <c r="W61" s="7">
        <f t="shared" si="19"/>
        <v>800</v>
      </c>
      <c r="X61" s="7">
        <f t="shared" si="20"/>
        <v>14.29848079</v>
      </c>
      <c r="Y61" s="7">
        <f t="shared" si="21"/>
        <v>900</v>
      </c>
      <c r="Z61" s="7">
        <f t="shared" si="22"/>
        <v>16.08579088</v>
      </c>
    </row>
    <row r="62">
      <c r="A62" s="19" t="str">
        <f>IFERROR(__xludf.DUMMYFUNCTION("""COMPUTED_VALUE"""),"2016 11")</f>
        <v>2016 11</v>
      </c>
      <c r="B62" s="19" t="str">
        <f>IFERROR(__xludf.DUMMYFUNCTION("""COMPUTED_VALUE"""),"54.65")</f>
        <v>54.65</v>
      </c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0.9149130833</v>
      </c>
      <c r="G62" s="7">
        <f t="shared" si="3"/>
        <v>100</v>
      </c>
      <c r="H62" s="7">
        <f t="shared" si="4"/>
        <v>1.829826167</v>
      </c>
      <c r="I62" s="7">
        <f t="shared" si="5"/>
        <v>150</v>
      </c>
      <c r="J62" s="7">
        <f t="shared" si="6"/>
        <v>2.74473925</v>
      </c>
      <c r="K62" s="7">
        <f t="shared" si="7"/>
        <v>200</v>
      </c>
      <c r="L62" s="7">
        <f t="shared" si="8"/>
        <v>3.659652333</v>
      </c>
      <c r="M62" s="7">
        <f t="shared" si="9"/>
        <v>300</v>
      </c>
      <c r="N62" s="7">
        <f t="shared" si="10"/>
        <v>5.4894785</v>
      </c>
      <c r="O62" s="7">
        <f t="shared" si="11"/>
        <v>400</v>
      </c>
      <c r="P62" s="7">
        <f t="shared" si="12"/>
        <v>7.319304666</v>
      </c>
      <c r="Q62" s="7">
        <f t="shared" si="13"/>
        <v>500</v>
      </c>
      <c r="R62" s="7">
        <f t="shared" si="14"/>
        <v>9.149130833</v>
      </c>
      <c r="S62" s="7">
        <f t="shared" si="15"/>
        <v>600</v>
      </c>
      <c r="T62" s="7">
        <f t="shared" si="16"/>
        <v>10.978957</v>
      </c>
      <c r="U62" s="7">
        <f t="shared" si="17"/>
        <v>700</v>
      </c>
      <c r="V62" s="7">
        <f t="shared" si="18"/>
        <v>12.80878317</v>
      </c>
      <c r="W62" s="7">
        <f t="shared" si="19"/>
        <v>800</v>
      </c>
      <c r="X62" s="7">
        <f t="shared" si="20"/>
        <v>14.63860933</v>
      </c>
      <c r="Y62" s="7">
        <f t="shared" si="21"/>
        <v>900</v>
      </c>
      <c r="Z62" s="7">
        <f t="shared" si="22"/>
        <v>16.4684355</v>
      </c>
    </row>
    <row r="63">
      <c r="A63" s="19" t="str">
        <f>IFERROR(__xludf.DUMMYFUNCTION("""COMPUTED_VALUE"""),"2016 12")</f>
        <v>2016 12</v>
      </c>
      <c r="B63" s="19" t="str">
        <f>IFERROR(__xludf.DUMMYFUNCTION("""COMPUTED_VALUE"""),"57.32")</f>
        <v>57.32</v>
      </c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0.8722958828</v>
      </c>
      <c r="G63" s="7">
        <f t="shared" si="3"/>
        <v>100</v>
      </c>
      <c r="H63" s="7">
        <f t="shared" si="4"/>
        <v>1.744591766</v>
      </c>
      <c r="I63" s="7">
        <f t="shared" si="5"/>
        <v>150</v>
      </c>
      <c r="J63" s="7">
        <f t="shared" si="6"/>
        <v>2.616887648</v>
      </c>
      <c r="K63" s="7">
        <f t="shared" si="7"/>
        <v>200</v>
      </c>
      <c r="L63" s="7">
        <f t="shared" si="8"/>
        <v>3.489183531</v>
      </c>
      <c r="M63" s="7">
        <f t="shared" si="9"/>
        <v>300</v>
      </c>
      <c r="N63" s="7">
        <f t="shared" si="10"/>
        <v>5.233775297</v>
      </c>
      <c r="O63" s="7">
        <f t="shared" si="11"/>
        <v>400</v>
      </c>
      <c r="P63" s="7">
        <f t="shared" si="12"/>
        <v>6.978367062</v>
      </c>
      <c r="Q63" s="7">
        <f t="shared" si="13"/>
        <v>500</v>
      </c>
      <c r="R63" s="7">
        <f t="shared" si="14"/>
        <v>8.722958828</v>
      </c>
      <c r="S63" s="7">
        <f t="shared" si="15"/>
        <v>600</v>
      </c>
      <c r="T63" s="7">
        <f t="shared" si="16"/>
        <v>10.46755059</v>
      </c>
      <c r="U63" s="7">
        <f t="shared" si="17"/>
        <v>700</v>
      </c>
      <c r="V63" s="7">
        <f t="shared" si="18"/>
        <v>12.21214236</v>
      </c>
      <c r="W63" s="7">
        <f t="shared" si="19"/>
        <v>800</v>
      </c>
      <c r="X63" s="7">
        <f t="shared" si="20"/>
        <v>13.95673412</v>
      </c>
      <c r="Y63" s="7">
        <f t="shared" si="21"/>
        <v>900</v>
      </c>
      <c r="Z63" s="7">
        <f t="shared" si="22"/>
        <v>15.70132589</v>
      </c>
    </row>
    <row r="64">
      <c r="A64" s="19" t="str">
        <f>IFERROR(__xludf.DUMMYFUNCTION("""COMPUTED_VALUE"""),"2017 01")</f>
        <v>2017 01</v>
      </c>
      <c r="B64" s="19" t="str">
        <f>IFERROR(__xludf.DUMMYFUNCTION("""COMPUTED_VALUE"""),"59.6")</f>
        <v>59.6</v>
      </c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0.8389261745</v>
      </c>
      <c r="G64" s="7">
        <f t="shared" si="3"/>
        <v>100</v>
      </c>
      <c r="H64" s="7">
        <f t="shared" si="4"/>
        <v>1.677852349</v>
      </c>
      <c r="I64" s="7">
        <f t="shared" si="5"/>
        <v>150</v>
      </c>
      <c r="J64" s="7">
        <f t="shared" si="6"/>
        <v>2.516778523</v>
      </c>
      <c r="K64" s="7">
        <f t="shared" si="7"/>
        <v>200</v>
      </c>
      <c r="L64" s="7">
        <f t="shared" si="8"/>
        <v>3.355704698</v>
      </c>
      <c r="M64" s="7">
        <f t="shared" si="9"/>
        <v>300</v>
      </c>
      <c r="N64" s="7">
        <f t="shared" si="10"/>
        <v>5.033557047</v>
      </c>
      <c r="O64" s="7">
        <f t="shared" si="11"/>
        <v>400</v>
      </c>
      <c r="P64" s="7">
        <f t="shared" si="12"/>
        <v>6.711409396</v>
      </c>
      <c r="Q64" s="7">
        <f t="shared" si="13"/>
        <v>500</v>
      </c>
      <c r="R64" s="7">
        <f t="shared" si="14"/>
        <v>8.389261745</v>
      </c>
      <c r="S64" s="7">
        <f t="shared" si="15"/>
        <v>600</v>
      </c>
      <c r="T64" s="7">
        <f t="shared" si="16"/>
        <v>10.06711409</v>
      </c>
      <c r="U64" s="7">
        <f t="shared" si="17"/>
        <v>700</v>
      </c>
      <c r="V64" s="7">
        <f t="shared" si="18"/>
        <v>11.74496644</v>
      </c>
      <c r="W64" s="7">
        <f t="shared" si="19"/>
        <v>800</v>
      </c>
      <c r="X64" s="7">
        <f t="shared" si="20"/>
        <v>13.42281879</v>
      </c>
      <c r="Y64" s="7">
        <f t="shared" si="21"/>
        <v>900</v>
      </c>
      <c r="Z64" s="7">
        <f t="shared" si="22"/>
        <v>15.10067114</v>
      </c>
    </row>
    <row r="65">
      <c r="A65" s="19" t="str">
        <f>IFERROR(__xludf.DUMMYFUNCTION("""COMPUTED_VALUE"""),"2017 02")</f>
        <v>2017 02</v>
      </c>
      <c r="B65" s="19" t="str">
        <f>IFERROR(__xludf.DUMMYFUNCTION("""COMPUTED_VALUE"""),"58.34")</f>
        <v>58.34</v>
      </c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0.8570449092</v>
      </c>
      <c r="G65" s="7">
        <f t="shared" si="3"/>
        <v>100</v>
      </c>
      <c r="H65" s="7">
        <f t="shared" si="4"/>
        <v>1.714089818</v>
      </c>
      <c r="I65" s="7">
        <f t="shared" si="5"/>
        <v>150</v>
      </c>
      <c r="J65" s="7">
        <f t="shared" si="6"/>
        <v>2.571134727</v>
      </c>
      <c r="K65" s="7">
        <f t="shared" si="7"/>
        <v>200</v>
      </c>
      <c r="L65" s="7">
        <f t="shared" si="8"/>
        <v>3.428179637</v>
      </c>
      <c r="M65" s="7">
        <f t="shared" si="9"/>
        <v>300</v>
      </c>
      <c r="N65" s="7">
        <f t="shared" si="10"/>
        <v>5.142269455</v>
      </c>
      <c r="O65" s="7">
        <f t="shared" si="11"/>
        <v>400</v>
      </c>
      <c r="P65" s="7">
        <f t="shared" si="12"/>
        <v>6.856359273</v>
      </c>
      <c r="Q65" s="7">
        <f t="shared" si="13"/>
        <v>500</v>
      </c>
      <c r="R65" s="7">
        <f t="shared" si="14"/>
        <v>8.570449092</v>
      </c>
      <c r="S65" s="7">
        <f t="shared" si="15"/>
        <v>600</v>
      </c>
      <c r="T65" s="7">
        <f t="shared" si="16"/>
        <v>10.28453891</v>
      </c>
      <c r="U65" s="7">
        <f t="shared" si="17"/>
        <v>700</v>
      </c>
      <c r="V65" s="7">
        <f t="shared" si="18"/>
        <v>11.99862873</v>
      </c>
      <c r="W65" s="7">
        <f t="shared" si="19"/>
        <v>800</v>
      </c>
      <c r="X65" s="7">
        <f t="shared" si="20"/>
        <v>13.71271855</v>
      </c>
      <c r="Y65" s="7">
        <f t="shared" si="21"/>
        <v>900</v>
      </c>
      <c r="Z65" s="7">
        <f t="shared" si="22"/>
        <v>15.42680836</v>
      </c>
    </row>
    <row r="66">
      <c r="A66" s="19" t="str">
        <f>IFERROR(__xludf.DUMMYFUNCTION("""COMPUTED_VALUE"""),"2017 03")</f>
        <v>2017 03</v>
      </c>
      <c r="B66" s="19" t="str">
        <f>IFERROR(__xludf.DUMMYFUNCTION("""COMPUTED_VALUE"""),"59.26")</f>
        <v>59.26</v>
      </c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0.8437394533</v>
      </c>
      <c r="G66" s="7">
        <f t="shared" si="3"/>
        <v>100</v>
      </c>
      <c r="H66" s="7">
        <f t="shared" si="4"/>
        <v>1.687478907</v>
      </c>
      <c r="I66" s="7">
        <f t="shared" si="5"/>
        <v>150</v>
      </c>
      <c r="J66" s="7">
        <f t="shared" si="6"/>
        <v>2.53121836</v>
      </c>
      <c r="K66" s="7">
        <f t="shared" si="7"/>
        <v>200</v>
      </c>
      <c r="L66" s="7">
        <f t="shared" si="8"/>
        <v>3.374957813</v>
      </c>
      <c r="M66" s="7">
        <f t="shared" si="9"/>
        <v>300</v>
      </c>
      <c r="N66" s="7">
        <f t="shared" si="10"/>
        <v>5.06243672</v>
      </c>
      <c r="O66" s="7">
        <f t="shared" si="11"/>
        <v>400</v>
      </c>
      <c r="P66" s="7">
        <f t="shared" si="12"/>
        <v>6.749915626</v>
      </c>
      <c r="Q66" s="7">
        <f t="shared" si="13"/>
        <v>500</v>
      </c>
      <c r="R66" s="7">
        <f t="shared" si="14"/>
        <v>8.437394533</v>
      </c>
      <c r="S66" s="7">
        <f t="shared" si="15"/>
        <v>600</v>
      </c>
      <c r="T66" s="7">
        <f t="shared" si="16"/>
        <v>10.12487344</v>
      </c>
      <c r="U66" s="7">
        <f t="shared" si="17"/>
        <v>700</v>
      </c>
      <c r="V66" s="7">
        <f t="shared" si="18"/>
        <v>11.81235235</v>
      </c>
      <c r="W66" s="7">
        <f t="shared" si="19"/>
        <v>800</v>
      </c>
      <c r="X66" s="7">
        <f t="shared" si="20"/>
        <v>13.49983125</v>
      </c>
      <c r="Y66" s="7">
        <f t="shared" si="21"/>
        <v>900</v>
      </c>
      <c r="Z66" s="7">
        <f t="shared" si="22"/>
        <v>15.18731016</v>
      </c>
    </row>
    <row r="67">
      <c r="A67" s="19" t="str">
        <f>IFERROR(__xludf.DUMMYFUNCTION("""COMPUTED_VALUE"""),"2017 04")</f>
        <v>2017 04</v>
      </c>
      <c r="B67" s="19" t="str">
        <f>IFERROR(__xludf.DUMMYFUNCTION("""COMPUTED_VALUE"""),"60.07")</f>
        <v>60.07</v>
      </c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0.832362244</v>
      </c>
      <c r="G67" s="7">
        <f t="shared" si="3"/>
        <v>100</v>
      </c>
      <c r="H67" s="7">
        <f t="shared" si="4"/>
        <v>1.664724488</v>
      </c>
      <c r="I67" s="7">
        <f t="shared" si="5"/>
        <v>150</v>
      </c>
      <c r="J67" s="7">
        <f t="shared" si="6"/>
        <v>2.497086732</v>
      </c>
      <c r="K67" s="7">
        <f t="shared" si="7"/>
        <v>200</v>
      </c>
      <c r="L67" s="7">
        <f t="shared" si="8"/>
        <v>3.329448976</v>
      </c>
      <c r="M67" s="7">
        <f t="shared" si="9"/>
        <v>300</v>
      </c>
      <c r="N67" s="7">
        <f t="shared" si="10"/>
        <v>4.994173464</v>
      </c>
      <c r="O67" s="7">
        <f t="shared" si="11"/>
        <v>400</v>
      </c>
      <c r="P67" s="7">
        <f t="shared" si="12"/>
        <v>6.658897952</v>
      </c>
      <c r="Q67" s="7">
        <f t="shared" si="13"/>
        <v>500</v>
      </c>
      <c r="R67" s="7">
        <f t="shared" si="14"/>
        <v>8.32362244</v>
      </c>
      <c r="S67" s="7">
        <f t="shared" si="15"/>
        <v>600</v>
      </c>
      <c r="T67" s="7">
        <f t="shared" si="16"/>
        <v>9.988346929</v>
      </c>
      <c r="U67" s="7">
        <f t="shared" si="17"/>
        <v>700</v>
      </c>
      <c r="V67" s="7">
        <f t="shared" si="18"/>
        <v>11.65307142</v>
      </c>
      <c r="W67" s="7">
        <f t="shared" si="19"/>
        <v>800</v>
      </c>
      <c r="X67" s="7">
        <f t="shared" si="20"/>
        <v>13.3177959</v>
      </c>
      <c r="Y67" s="7">
        <f t="shared" si="21"/>
        <v>900</v>
      </c>
      <c r="Z67" s="7">
        <f t="shared" si="22"/>
        <v>14.98252039</v>
      </c>
    </row>
    <row r="68">
      <c r="A68" s="19" t="str">
        <f>IFERROR(__xludf.DUMMYFUNCTION("""COMPUTED_VALUE"""),"2017 05")</f>
        <v>2017 05</v>
      </c>
      <c r="B68" s="19" t="str">
        <f>IFERROR(__xludf.DUMMYFUNCTION("""COMPUTED_VALUE"""),"62.02")</f>
        <v>62.02</v>
      </c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0.8061915511</v>
      </c>
      <c r="G68" s="7">
        <f t="shared" si="3"/>
        <v>100</v>
      </c>
      <c r="H68" s="7">
        <f t="shared" si="4"/>
        <v>1.612383102</v>
      </c>
      <c r="I68" s="7">
        <f t="shared" si="5"/>
        <v>150</v>
      </c>
      <c r="J68" s="7">
        <f t="shared" si="6"/>
        <v>2.418574653</v>
      </c>
      <c r="K68" s="7">
        <f t="shared" si="7"/>
        <v>200</v>
      </c>
      <c r="L68" s="7">
        <f t="shared" si="8"/>
        <v>3.224766204</v>
      </c>
      <c r="M68" s="7">
        <f t="shared" si="9"/>
        <v>300</v>
      </c>
      <c r="N68" s="7">
        <f t="shared" si="10"/>
        <v>4.837149307</v>
      </c>
      <c r="O68" s="7">
        <f t="shared" si="11"/>
        <v>400</v>
      </c>
      <c r="P68" s="7">
        <f t="shared" si="12"/>
        <v>6.449532409</v>
      </c>
      <c r="Q68" s="7">
        <f t="shared" si="13"/>
        <v>500</v>
      </c>
      <c r="R68" s="7">
        <f t="shared" si="14"/>
        <v>8.061915511</v>
      </c>
      <c r="S68" s="7">
        <f t="shared" si="15"/>
        <v>600</v>
      </c>
      <c r="T68" s="7">
        <f t="shared" si="16"/>
        <v>9.674298613</v>
      </c>
      <c r="U68" s="7">
        <f t="shared" si="17"/>
        <v>700</v>
      </c>
      <c r="V68" s="7">
        <f t="shared" si="18"/>
        <v>11.28668172</v>
      </c>
      <c r="W68" s="7">
        <f t="shared" si="19"/>
        <v>800</v>
      </c>
      <c r="X68" s="7">
        <f t="shared" si="20"/>
        <v>12.89906482</v>
      </c>
      <c r="Y68" s="7">
        <f t="shared" si="21"/>
        <v>900</v>
      </c>
      <c r="Z68" s="7">
        <f t="shared" si="22"/>
        <v>14.51144792</v>
      </c>
    </row>
    <row r="69">
      <c r="A69" s="19" t="str">
        <f>IFERROR(__xludf.DUMMYFUNCTION("""COMPUTED_VALUE"""),"2017 06")</f>
        <v>2017 06</v>
      </c>
      <c r="B69" s="19" t="str">
        <f>IFERROR(__xludf.DUMMYFUNCTION("""COMPUTED_VALUE"""),"64.03")</f>
        <v>64.03</v>
      </c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0.7808839606</v>
      </c>
      <c r="G69" s="7">
        <f t="shared" si="3"/>
        <v>100</v>
      </c>
      <c r="H69" s="7">
        <f t="shared" si="4"/>
        <v>1.561767921</v>
      </c>
      <c r="I69" s="7">
        <f t="shared" si="5"/>
        <v>150</v>
      </c>
      <c r="J69" s="7">
        <f t="shared" si="6"/>
        <v>2.342651882</v>
      </c>
      <c r="K69" s="7">
        <f t="shared" si="7"/>
        <v>200</v>
      </c>
      <c r="L69" s="7">
        <f t="shared" si="8"/>
        <v>3.123535843</v>
      </c>
      <c r="M69" s="7">
        <f t="shared" si="9"/>
        <v>300</v>
      </c>
      <c r="N69" s="7">
        <f t="shared" si="10"/>
        <v>4.685303764</v>
      </c>
      <c r="O69" s="7">
        <f t="shared" si="11"/>
        <v>400</v>
      </c>
      <c r="P69" s="7">
        <f t="shared" si="12"/>
        <v>6.247071685</v>
      </c>
      <c r="Q69" s="7">
        <f t="shared" si="13"/>
        <v>500</v>
      </c>
      <c r="R69" s="7">
        <f t="shared" si="14"/>
        <v>7.808839606</v>
      </c>
      <c r="S69" s="7">
        <f t="shared" si="15"/>
        <v>600</v>
      </c>
      <c r="T69" s="7">
        <f t="shared" si="16"/>
        <v>9.370607528</v>
      </c>
      <c r="U69" s="7">
        <f t="shared" si="17"/>
        <v>700</v>
      </c>
      <c r="V69" s="7">
        <f t="shared" si="18"/>
        <v>10.93237545</v>
      </c>
      <c r="W69" s="7">
        <f t="shared" si="19"/>
        <v>800</v>
      </c>
      <c r="X69" s="7">
        <f t="shared" si="20"/>
        <v>12.49414337</v>
      </c>
      <c r="Y69" s="7">
        <f t="shared" si="21"/>
        <v>900</v>
      </c>
      <c r="Z69" s="7">
        <f t="shared" si="22"/>
        <v>14.05591129</v>
      </c>
    </row>
    <row r="70">
      <c r="A70" s="19" t="str">
        <f>IFERROR(__xludf.DUMMYFUNCTION("""COMPUTED_VALUE"""),"2017 07")</f>
        <v>2017 07</v>
      </c>
      <c r="B70" s="19" t="str">
        <f>IFERROR(__xludf.DUMMYFUNCTION("""COMPUTED_VALUE"""),"61.08")</f>
        <v>61.08</v>
      </c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0.8185985593</v>
      </c>
      <c r="G70" s="7">
        <f t="shared" si="3"/>
        <v>100</v>
      </c>
      <c r="H70" s="7">
        <f t="shared" si="4"/>
        <v>1.637197119</v>
      </c>
      <c r="I70" s="7">
        <f t="shared" si="5"/>
        <v>150</v>
      </c>
      <c r="J70" s="7">
        <f t="shared" si="6"/>
        <v>2.455795678</v>
      </c>
      <c r="K70" s="7">
        <f t="shared" si="7"/>
        <v>200</v>
      </c>
      <c r="L70" s="7">
        <f t="shared" si="8"/>
        <v>3.274394237</v>
      </c>
      <c r="M70" s="7">
        <f t="shared" si="9"/>
        <v>300</v>
      </c>
      <c r="N70" s="7">
        <f t="shared" si="10"/>
        <v>4.911591356</v>
      </c>
      <c r="O70" s="7">
        <f t="shared" si="11"/>
        <v>400</v>
      </c>
      <c r="P70" s="7">
        <f t="shared" si="12"/>
        <v>6.548788474</v>
      </c>
      <c r="Q70" s="7">
        <f t="shared" si="13"/>
        <v>500</v>
      </c>
      <c r="R70" s="7">
        <f t="shared" si="14"/>
        <v>8.185985593</v>
      </c>
      <c r="S70" s="7">
        <f t="shared" si="15"/>
        <v>600</v>
      </c>
      <c r="T70" s="7">
        <f t="shared" si="16"/>
        <v>9.823182711</v>
      </c>
      <c r="U70" s="7">
        <f t="shared" si="17"/>
        <v>700</v>
      </c>
      <c r="V70" s="7">
        <f t="shared" si="18"/>
        <v>11.46037983</v>
      </c>
      <c r="W70" s="7">
        <f t="shared" si="19"/>
        <v>800</v>
      </c>
      <c r="X70" s="7">
        <f t="shared" si="20"/>
        <v>13.09757695</v>
      </c>
      <c r="Y70" s="7">
        <f t="shared" si="21"/>
        <v>900</v>
      </c>
      <c r="Z70" s="7">
        <f t="shared" si="22"/>
        <v>14.73477407</v>
      </c>
    </row>
    <row r="71">
      <c r="A71" s="19" t="str">
        <f>IFERROR(__xludf.DUMMYFUNCTION("""COMPUTED_VALUE"""),"2017 08")</f>
        <v>2017 08</v>
      </c>
      <c r="B71" s="19" t="str">
        <f>IFERROR(__xludf.DUMMYFUNCTION("""COMPUTED_VALUE"""),"59.86")</f>
        <v>59.86</v>
      </c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0.8352823254</v>
      </c>
      <c r="G71" s="7">
        <f t="shared" si="3"/>
        <v>100</v>
      </c>
      <c r="H71" s="7">
        <f t="shared" si="4"/>
        <v>1.670564651</v>
      </c>
      <c r="I71" s="7">
        <f t="shared" si="5"/>
        <v>150</v>
      </c>
      <c r="J71" s="7">
        <f t="shared" si="6"/>
        <v>2.505846976</v>
      </c>
      <c r="K71" s="7">
        <f t="shared" si="7"/>
        <v>200</v>
      </c>
      <c r="L71" s="7">
        <f t="shared" si="8"/>
        <v>3.341129302</v>
      </c>
      <c r="M71" s="7">
        <f t="shared" si="9"/>
        <v>300</v>
      </c>
      <c r="N71" s="7">
        <f t="shared" si="10"/>
        <v>5.011693953</v>
      </c>
      <c r="O71" s="7">
        <f t="shared" si="11"/>
        <v>400</v>
      </c>
      <c r="P71" s="7">
        <f t="shared" si="12"/>
        <v>6.682258603</v>
      </c>
      <c r="Q71" s="7">
        <f t="shared" si="13"/>
        <v>500</v>
      </c>
      <c r="R71" s="7">
        <f t="shared" si="14"/>
        <v>8.352823254</v>
      </c>
      <c r="S71" s="7">
        <f t="shared" si="15"/>
        <v>600</v>
      </c>
      <c r="T71" s="7">
        <f t="shared" si="16"/>
        <v>10.02338791</v>
      </c>
      <c r="U71" s="7">
        <f t="shared" si="17"/>
        <v>700</v>
      </c>
      <c r="V71" s="7">
        <f t="shared" si="18"/>
        <v>11.69395256</v>
      </c>
      <c r="W71" s="7">
        <f t="shared" si="19"/>
        <v>800</v>
      </c>
      <c r="X71" s="7">
        <f t="shared" si="20"/>
        <v>13.36451721</v>
      </c>
      <c r="Y71" s="7">
        <f t="shared" si="21"/>
        <v>900</v>
      </c>
      <c r="Z71" s="7">
        <f t="shared" si="22"/>
        <v>15.03508186</v>
      </c>
    </row>
    <row r="72">
      <c r="A72" s="19" t="str">
        <f>IFERROR(__xludf.DUMMYFUNCTION("""COMPUTED_VALUE"""),"2017 09")</f>
        <v>2017 09</v>
      </c>
      <c r="B72" s="19" t="str">
        <f>IFERROR(__xludf.DUMMYFUNCTION("""COMPUTED_VALUE"""),"60.45")</f>
        <v>60.45</v>
      </c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0.8271298594</v>
      </c>
      <c r="G72" s="7">
        <f t="shared" si="3"/>
        <v>100</v>
      </c>
      <c r="H72" s="7">
        <f t="shared" si="4"/>
        <v>1.654259719</v>
      </c>
      <c r="I72" s="7">
        <f t="shared" si="5"/>
        <v>150</v>
      </c>
      <c r="J72" s="7">
        <f t="shared" si="6"/>
        <v>2.481389578</v>
      </c>
      <c r="K72" s="7">
        <f t="shared" si="7"/>
        <v>200</v>
      </c>
      <c r="L72" s="7">
        <f t="shared" si="8"/>
        <v>3.308519438</v>
      </c>
      <c r="M72" s="7">
        <f t="shared" si="9"/>
        <v>300</v>
      </c>
      <c r="N72" s="7">
        <f t="shared" si="10"/>
        <v>4.962779156</v>
      </c>
      <c r="O72" s="7">
        <f t="shared" si="11"/>
        <v>400</v>
      </c>
      <c r="P72" s="7">
        <f t="shared" si="12"/>
        <v>6.617038875</v>
      </c>
      <c r="Q72" s="7">
        <f t="shared" si="13"/>
        <v>500</v>
      </c>
      <c r="R72" s="7">
        <f t="shared" si="14"/>
        <v>8.271298594</v>
      </c>
      <c r="S72" s="7">
        <f t="shared" si="15"/>
        <v>600</v>
      </c>
      <c r="T72" s="7">
        <f t="shared" si="16"/>
        <v>9.925558313</v>
      </c>
      <c r="U72" s="7">
        <f t="shared" si="17"/>
        <v>700</v>
      </c>
      <c r="V72" s="7">
        <f t="shared" si="18"/>
        <v>11.57981803</v>
      </c>
      <c r="W72" s="7">
        <f t="shared" si="19"/>
        <v>800</v>
      </c>
      <c r="X72" s="7">
        <f t="shared" si="20"/>
        <v>13.23407775</v>
      </c>
      <c r="Y72" s="7">
        <f t="shared" si="21"/>
        <v>900</v>
      </c>
      <c r="Z72" s="7">
        <f t="shared" si="22"/>
        <v>14.88833747</v>
      </c>
    </row>
    <row r="73">
      <c r="A73" s="19" t="str">
        <f>IFERROR(__xludf.DUMMYFUNCTION("""COMPUTED_VALUE"""),"2017 10")</f>
        <v>2017 10</v>
      </c>
      <c r="B73" s="19" t="str">
        <f>IFERROR(__xludf.DUMMYFUNCTION("""COMPUTED_VALUE"""),"62.33")</f>
        <v>62.33</v>
      </c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0.8021819349</v>
      </c>
      <c r="G73" s="7">
        <f t="shared" si="3"/>
        <v>100</v>
      </c>
      <c r="H73" s="7">
        <f t="shared" si="4"/>
        <v>1.60436387</v>
      </c>
      <c r="I73" s="7">
        <f t="shared" si="5"/>
        <v>150</v>
      </c>
      <c r="J73" s="7">
        <f t="shared" si="6"/>
        <v>2.406545805</v>
      </c>
      <c r="K73" s="7">
        <f t="shared" si="7"/>
        <v>200</v>
      </c>
      <c r="L73" s="7">
        <f t="shared" si="8"/>
        <v>3.208727739</v>
      </c>
      <c r="M73" s="7">
        <f t="shared" si="9"/>
        <v>300</v>
      </c>
      <c r="N73" s="7">
        <f t="shared" si="10"/>
        <v>4.813091609</v>
      </c>
      <c r="O73" s="7">
        <f t="shared" si="11"/>
        <v>400</v>
      </c>
      <c r="P73" s="7">
        <f t="shared" si="12"/>
        <v>6.417455479</v>
      </c>
      <c r="Q73" s="7">
        <f t="shared" si="13"/>
        <v>500</v>
      </c>
      <c r="R73" s="7">
        <f t="shared" si="14"/>
        <v>8.021819349</v>
      </c>
      <c r="S73" s="7">
        <f t="shared" si="15"/>
        <v>600</v>
      </c>
      <c r="T73" s="7">
        <f t="shared" si="16"/>
        <v>9.626183218</v>
      </c>
      <c r="U73" s="7">
        <f t="shared" si="17"/>
        <v>700</v>
      </c>
      <c r="V73" s="7">
        <f t="shared" si="18"/>
        <v>11.23054709</v>
      </c>
      <c r="W73" s="7">
        <f t="shared" si="19"/>
        <v>800</v>
      </c>
      <c r="X73" s="7">
        <f t="shared" si="20"/>
        <v>12.83491096</v>
      </c>
      <c r="Y73" s="7">
        <f t="shared" si="21"/>
        <v>900</v>
      </c>
      <c r="Z73" s="7">
        <f t="shared" si="22"/>
        <v>14.43927483</v>
      </c>
    </row>
    <row r="74">
      <c r="A74" s="19" t="str">
        <f>IFERROR(__xludf.DUMMYFUNCTION("""COMPUTED_VALUE"""),"2017 11")</f>
        <v>2017 11</v>
      </c>
      <c r="B74" s="19" t="str">
        <f>IFERROR(__xludf.DUMMYFUNCTION("""COMPUTED_VALUE"""),"65.14")</f>
        <v>65.14</v>
      </c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0.7675775253</v>
      </c>
      <c r="G74" s="7">
        <f t="shared" si="3"/>
        <v>100</v>
      </c>
      <c r="H74" s="7">
        <f t="shared" si="4"/>
        <v>1.535155051</v>
      </c>
      <c r="I74" s="7">
        <f t="shared" si="5"/>
        <v>150</v>
      </c>
      <c r="J74" s="7">
        <f t="shared" si="6"/>
        <v>2.302732576</v>
      </c>
      <c r="K74" s="7">
        <f t="shared" si="7"/>
        <v>200</v>
      </c>
      <c r="L74" s="7">
        <f t="shared" si="8"/>
        <v>3.070310101</v>
      </c>
      <c r="M74" s="7">
        <f t="shared" si="9"/>
        <v>300</v>
      </c>
      <c r="N74" s="7">
        <f t="shared" si="10"/>
        <v>4.605465152</v>
      </c>
      <c r="O74" s="7">
        <f t="shared" si="11"/>
        <v>400</v>
      </c>
      <c r="P74" s="7">
        <f t="shared" si="12"/>
        <v>6.140620203</v>
      </c>
      <c r="Q74" s="7">
        <f t="shared" si="13"/>
        <v>500</v>
      </c>
      <c r="R74" s="7">
        <f t="shared" si="14"/>
        <v>7.675775253</v>
      </c>
      <c r="S74" s="7">
        <f t="shared" si="15"/>
        <v>600</v>
      </c>
      <c r="T74" s="7">
        <f t="shared" si="16"/>
        <v>9.210930304</v>
      </c>
      <c r="U74" s="7">
        <f t="shared" si="17"/>
        <v>700</v>
      </c>
      <c r="V74" s="7">
        <f t="shared" si="18"/>
        <v>10.74608535</v>
      </c>
      <c r="W74" s="7">
        <f t="shared" si="19"/>
        <v>800</v>
      </c>
      <c r="X74" s="7">
        <f t="shared" si="20"/>
        <v>12.28124041</v>
      </c>
      <c r="Y74" s="7">
        <f t="shared" si="21"/>
        <v>900</v>
      </c>
      <c r="Z74" s="7">
        <f t="shared" si="22"/>
        <v>13.81639546</v>
      </c>
    </row>
    <row r="75">
      <c r="A75" s="19" t="str">
        <f>IFERROR(__xludf.DUMMYFUNCTION("""COMPUTED_VALUE"""),"2017 12")</f>
        <v>2017 12</v>
      </c>
      <c r="B75" s="19" t="str">
        <f>IFERROR(__xludf.DUMMYFUNCTION("""COMPUTED_VALUE"""),"67.07")</f>
        <v>67.07</v>
      </c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0.7454897868</v>
      </c>
      <c r="G75" s="7">
        <f t="shared" si="3"/>
        <v>100</v>
      </c>
      <c r="H75" s="7">
        <f t="shared" si="4"/>
        <v>1.490979574</v>
      </c>
      <c r="I75" s="7">
        <f t="shared" si="5"/>
        <v>150</v>
      </c>
      <c r="J75" s="7">
        <f t="shared" si="6"/>
        <v>2.23646936</v>
      </c>
      <c r="K75" s="7">
        <f t="shared" si="7"/>
        <v>200</v>
      </c>
      <c r="L75" s="7">
        <f t="shared" si="8"/>
        <v>2.981959147</v>
      </c>
      <c r="M75" s="7">
        <f t="shared" si="9"/>
        <v>300</v>
      </c>
      <c r="N75" s="7">
        <f t="shared" si="10"/>
        <v>4.472938721</v>
      </c>
      <c r="O75" s="7">
        <f t="shared" si="11"/>
        <v>400</v>
      </c>
      <c r="P75" s="7">
        <f t="shared" si="12"/>
        <v>5.963918294</v>
      </c>
      <c r="Q75" s="7">
        <f t="shared" si="13"/>
        <v>500</v>
      </c>
      <c r="R75" s="7">
        <f t="shared" si="14"/>
        <v>7.454897868</v>
      </c>
      <c r="S75" s="7">
        <f t="shared" si="15"/>
        <v>600</v>
      </c>
      <c r="T75" s="7">
        <f t="shared" si="16"/>
        <v>8.945877441</v>
      </c>
      <c r="U75" s="7">
        <f t="shared" si="17"/>
        <v>700</v>
      </c>
      <c r="V75" s="7">
        <f t="shared" si="18"/>
        <v>10.43685702</v>
      </c>
      <c r="W75" s="7">
        <f t="shared" si="19"/>
        <v>800</v>
      </c>
      <c r="X75" s="7">
        <f t="shared" si="20"/>
        <v>11.92783659</v>
      </c>
      <c r="Y75" s="7">
        <f t="shared" si="21"/>
        <v>900</v>
      </c>
      <c r="Z75" s="7">
        <f t="shared" si="22"/>
        <v>13.41881616</v>
      </c>
    </row>
    <row r="76">
      <c r="A76" s="19" t="str">
        <f>IFERROR(__xludf.DUMMYFUNCTION("""COMPUTED_VALUE"""),"2018 01")</f>
        <v>2018 01</v>
      </c>
      <c r="B76" s="19" t="str">
        <f>IFERROR(__xludf.DUMMYFUNCTION("""COMPUTED_VALUE"""),"65.58")</f>
        <v>65.58</v>
      </c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0.7624275694</v>
      </c>
      <c r="G76" s="7">
        <f t="shared" si="3"/>
        <v>100</v>
      </c>
      <c r="H76" s="7">
        <f t="shared" si="4"/>
        <v>1.524855139</v>
      </c>
      <c r="I76" s="7">
        <f t="shared" si="5"/>
        <v>150</v>
      </c>
      <c r="J76" s="7">
        <f t="shared" si="6"/>
        <v>2.287282708</v>
      </c>
      <c r="K76" s="7">
        <f t="shared" si="7"/>
        <v>200</v>
      </c>
      <c r="L76" s="7">
        <f t="shared" si="8"/>
        <v>3.049710278</v>
      </c>
      <c r="M76" s="7">
        <f t="shared" si="9"/>
        <v>300</v>
      </c>
      <c r="N76" s="7">
        <f t="shared" si="10"/>
        <v>4.574565416</v>
      </c>
      <c r="O76" s="7">
        <f t="shared" si="11"/>
        <v>400</v>
      </c>
      <c r="P76" s="7">
        <f t="shared" si="12"/>
        <v>6.099420555</v>
      </c>
      <c r="Q76" s="7">
        <f t="shared" si="13"/>
        <v>500</v>
      </c>
      <c r="R76" s="7">
        <f t="shared" si="14"/>
        <v>7.624275694</v>
      </c>
      <c r="S76" s="7">
        <f t="shared" si="15"/>
        <v>600</v>
      </c>
      <c r="T76" s="7">
        <f t="shared" si="16"/>
        <v>9.149130833</v>
      </c>
      <c r="U76" s="7">
        <f t="shared" si="17"/>
        <v>700</v>
      </c>
      <c r="V76" s="7">
        <f t="shared" si="18"/>
        <v>10.67398597</v>
      </c>
      <c r="W76" s="7">
        <f t="shared" si="19"/>
        <v>800</v>
      </c>
      <c r="X76" s="7">
        <f t="shared" si="20"/>
        <v>12.19884111</v>
      </c>
      <c r="Y76" s="7">
        <f t="shared" si="21"/>
        <v>900</v>
      </c>
      <c r="Z76" s="7">
        <f t="shared" si="22"/>
        <v>13.72369625</v>
      </c>
    </row>
    <row r="77">
      <c r="A77" s="19" t="str">
        <f>IFERROR(__xludf.DUMMYFUNCTION("""COMPUTED_VALUE"""),"2018 02")</f>
        <v>2018 02</v>
      </c>
      <c r="B77" s="19" t="str">
        <f>IFERROR(__xludf.DUMMYFUNCTION("""COMPUTED_VALUE"""),"67.38")</f>
        <v>67.38</v>
      </c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0.7420599584</v>
      </c>
      <c r="G77" s="7">
        <f t="shared" si="3"/>
        <v>100</v>
      </c>
      <c r="H77" s="7">
        <f t="shared" si="4"/>
        <v>1.484119917</v>
      </c>
      <c r="I77" s="7">
        <f t="shared" si="5"/>
        <v>150</v>
      </c>
      <c r="J77" s="7">
        <f t="shared" si="6"/>
        <v>2.226179875</v>
      </c>
      <c r="K77" s="7">
        <f t="shared" si="7"/>
        <v>200</v>
      </c>
      <c r="L77" s="7">
        <f t="shared" si="8"/>
        <v>2.968239834</v>
      </c>
      <c r="M77" s="7">
        <f t="shared" si="9"/>
        <v>300</v>
      </c>
      <c r="N77" s="7">
        <f t="shared" si="10"/>
        <v>4.452359751</v>
      </c>
      <c r="O77" s="7">
        <f t="shared" si="11"/>
        <v>400</v>
      </c>
      <c r="P77" s="7">
        <f t="shared" si="12"/>
        <v>5.936479668</v>
      </c>
      <c r="Q77" s="7">
        <f t="shared" si="13"/>
        <v>500</v>
      </c>
      <c r="R77" s="7">
        <f t="shared" si="14"/>
        <v>7.420599584</v>
      </c>
      <c r="S77" s="7">
        <f t="shared" si="15"/>
        <v>600</v>
      </c>
      <c r="T77" s="7">
        <f t="shared" si="16"/>
        <v>8.904719501</v>
      </c>
      <c r="U77" s="7">
        <f t="shared" si="17"/>
        <v>700</v>
      </c>
      <c r="V77" s="7">
        <f t="shared" si="18"/>
        <v>10.38883942</v>
      </c>
      <c r="W77" s="7">
        <f t="shared" si="19"/>
        <v>800</v>
      </c>
      <c r="X77" s="7">
        <f t="shared" si="20"/>
        <v>11.87295934</v>
      </c>
      <c r="Y77" s="7">
        <f t="shared" si="21"/>
        <v>900</v>
      </c>
      <c r="Z77" s="7">
        <f t="shared" si="22"/>
        <v>13.35707925</v>
      </c>
    </row>
    <row r="78">
      <c r="A78" s="19" t="str">
        <f>IFERROR(__xludf.DUMMYFUNCTION("""COMPUTED_VALUE"""),"2018 03")</f>
        <v>2018 03</v>
      </c>
      <c r="B78" s="19" t="str">
        <f>IFERROR(__xludf.DUMMYFUNCTION("""COMPUTED_VALUE"""),"66.66")</f>
        <v>66.66</v>
      </c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0.7500750075</v>
      </c>
      <c r="G78" s="7">
        <f t="shared" si="3"/>
        <v>100</v>
      </c>
      <c r="H78" s="7">
        <f t="shared" si="4"/>
        <v>1.500150015</v>
      </c>
      <c r="I78" s="7">
        <f t="shared" si="5"/>
        <v>150</v>
      </c>
      <c r="J78" s="7">
        <f t="shared" si="6"/>
        <v>2.250225023</v>
      </c>
      <c r="K78" s="7">
        <f t="shared" si="7"/>
        <v>200</v>
      </c>
      <c r="L78" s="7">
        <f t="shared" si="8"/>
        <v>3.00030003</v>
      </c>
      <c r="M78" s="7">
        <f t="shared" si="9"/>
        <v>300</v>
      </c>
      <c r="N78" s="7">
        <f t="shared" si="10"/>
        <v>4.500450045</v>
      </c>
      <c r="O78" s="7">
        <f t="shared" si="11"/>
        <v>400</v>
      </c>
      <c r="P78" s="7">
        <f t="shared" si="12"/>
        <v>6.00060006</v>
      </c>
      <c r="Q78" s="7">
        <f t="shared" si="13"/>
        <v>500</v>
      </c>
      <c r="R78" s="7">
        <f t="shared" si="14"/>
        <v>7.500750075</v>
      </c>
      <c r="S78" s="7">
        <f t="shared" si="15"/>
        <v>600</v>
      </c>
      <c r="T78" s="7">
        <f t="shared" si="16"/>
        <v>9.00090009</v>
      </c>
      <c r="U78" s="7">
        <f t="shared" si="17"/>
        <v>700</v>
      </c>
      <c r="V78" s="7">
        <f t="shared" si="18"/>
        <v>10.50105011</v>
      </c>
      <c r="W78" s="7">
        <f t="shared" si="19"/>
        <v>800</v>
      </c>
      <c r="X78" s="7">
        <f t="shared" si="20"/>
        <v>12.00120012</v>
      </c>
      <c r="Y78" s="7">
        <f t="shared" si="21"/>
        <v>900</v>
      </c>
      <c r="Z78" s="7">
        <f t="shared" si="22"/>
        <v>13.50135014</v>
      </c>
    </row>
    <row r="79">
      <c r="A79" s="19" t="str">
        <f>IFERROR(__xludf.DUMMYFUNCTION("""COMPUTED_VALUE"""),"2018 04")</f>
        <v>2018 04</v>
      </c>
      <c r="B79" s="19" t="str">
        <f>IFERROR(__xludf.DUMMYFUNCTION("""COMPUTED_VALUE"""),"64.63")</f>
        <v>64.63</v>
      </c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0.773634535</v>
      </c>
      <c r="G79" s="7">
        <f t="shared" si="3"/>
        <v>100</v>
      </c>
      <c r="H79" s="7">
        <f t="shared" si="4"/>
        <v>1.54726907</v>
      </c>
      <c r="I79" s="7">
        <f t="shared" si="5"/>
        <v>150</v>
      </c>
      <c r="J79" s="7">
        <f t="shared" si="6"/>
        <v>2.320903605</v>
      </c>
      <c r="K79" s="7">
        <f t="shared" si="7"/>
        <v>200</v>
      </c>
      <c r="L79" s="7">
        <f t="shared" si="8"/>
        <v>3.09453814</v>
      </c>
      <c r="M79" s="7">
        <f t="shared" si="9"/>
        <v>300</v>
      </c>
      <c r="N79" s="7">
        <f t="shared" si="10"/>
        <v>4.64180721</v>
      </c>
      <c r="O79" s="7">
        <f t="shared" si="11"/>
        <v>400</v>
      </c>
      <c r="P79" s="7">
        <f t="shared" si="12"/>
        <v>6.18907628</v>
      </c>
      <c r="Q79" s="7">
        <f t="shared" si="13"/>
        <v>500</v>
      </c>
      <c r="R79" s="7">
        <f t="shared" si="14"/>
        <v>7.73634535</v>
      </c>
      <c r="S79" s="7">
        <f t="shared" si="15"/>
        <v>600</v>
      </c>
      <c r="T79" s="7">
        <f t="shared" si="16"/>
        <v>9.283614421</v>
      </c>
      <c r="U79" s="7">
        <f t="shared" si="17"/>
        <v>700</v>
      </c>
      <c r="V79" s="7">
        <f t="shared" si="18"/>
        <v>10.83088349</v>
      </c>
      <c r="W79" s="7">
        <f t="shared" si="19"/>
        <v>800</v>
      </c>
      <c r="X79" s="7">
        <f t="shared" si="20"/>
        <v>12.37815256</v>
      </c>
      <c r="Y79" s="7">
        <f t="shared" si="21"/>
        <v>900</v>
      </c>
      <c r="Z79" s="7">
        <f t="shared" si="22"/>
        <v>13.92542163</v>
      </c>
    </row>
    <row r="80">
      <c r="A80" s="19" t="str">
        <f>IFERROR(__xludf.DUMMYFUNCTION("""COMPUTED_VALUE"""),"2018 05")</f>
        <v>2018 05</v>
      </c>
      <c r="B80" s="19" t="str">
        <f>IFERROR(__xludf.DUMMYFUNCTION("""COMPUTED_VALUE"""),"67.79")</f>
        <v>67.79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0.7375719133</v>
      </c>
      <c r="G80" s="7">
        <f t="shared" si="3"/>
        <v>100</v>
      </c>
      <c r="H80" s="7">
        <f t="shared" si="4"/>
        <v>1.475143827</v>
      </c>
      <c r="I80" s="7">
        <f t="shared" si="5"/>
        <v>150</v>
      </c>
      <c r="J80" s="7">
        <f t="shared" si="6"/>
        <v>2.21271574</v>
      </c>
      <c r="K80" s="7">
        <f t="shared" si="7"/>
        <v>200</v>
      </c>
      <c r="L80" s="7">
        <f t="shared" si="8"/>
        <v>2.950287653</v>
      </c>
      <c r="M80" s="7">
        <f t="shared" si="9"/>
        <v>300</v>
      </c>
      <c r="N80" s="7">
        <f t="shared" si="10"/>
        <v>4.42543148</v>
      </c>
      <c r="O80" s="7">
        <f t="shared" si="11"/>
        <v>400</v>
      </c>
      <c r="P80" s="7">
        <f t="shared" si="12"/>
        <v>5.900575306</v>
      </c>
      <c r="Q80" s="7">
        <f t="shared" si="13"/>
        <v>500</v>
      </c>
      <c r="R80" s="7">
        <f t="shared" si="14"/>
        <v>7.375719133</v>
      </c>
      <c r="S80" s="7">
        <f t="shared" si="15"/>
        <v>600</v>
      </c>
      <c r="T80" s="7">
        <f t="shared" si="16"/>
        <v>8.850862959</v>
      </c>
      <c r="U80" s="7">
        <f t="shared" si="17"/>
        <v>700</v>
      </c>
      <c r="V80" s="7">
        <f t="shared" si="18"/>
        <v>10.32600679</v>
      </c>
      <c r="W80" s="7">
        <f t="shared" si="19"/>
        <v>800</v>
      </c>
      <c r="X80" s="7">
        <f t="shared" si="20"/>
        <v>11.80115061</v>
      </c>
      <c r="Y80" s="7">
        <f t="shared" si="21"/>
        <v>900</v>
      </c>
      <c r="Z80" s="7">
        <f t="shared" si="22"/>
        <v>13.27629444</v>
      </c>
    </row>
    <row r="81">
      <c r="A81" s="19" t="str">
        <f>IFERROR(__xludf.DUMMYFUNCTION("""COMPUTED_VALUE"""),"2018 06")</f>
        <v>2018 06</v>
      </c>
      <c r="B81" s="19" t="str">
        <f>IFERROR(__xludf.DUMMYFUNCTION("""COMPUTED_VALUE"""),"68.21")</f>
        <v>68.21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0.7330303475</v>
      </c>
      <c r="G81" s="7">
        <f t="shared" si="3"/>
        <v>100</v>
      </c>
      <c r="H81" s="7">
        <f t="shared" si="4"/>
        <v>1.466060695</v>
      </c>
      <c r="I81" s="7">
        <f t="shared" si="5"/>
        <v>150</v>
      </c>
      <c r="J81" s="7">
        <f t="shared" si="6"/>
        <v>2.199091042</v>
      </c>
      <c r="K81" s="7">
        <f t="shared" si="7"/>
        <v>200</v>
      </c>
      <c r="L81" s="7">
        <f t="shared" si="8"/>
        <v>2.93212139</v>
      </c>
      <c r="M81" s="7">
        <f t="shared" si="9"/>
        <v>300</v>
      </c>
      <c r="N81" s="7">
        <f t="shared" si="10"/>
        <v>4.398182085</v>
      </c>
      <c r="O81" s="7">
        <f t="shared" si="11"/>
        <v>400</v>
      </c>
      <c r="P81" s="7">
        <f t="shared" si="12"/>
        <v>5.86424278</v>
      </c>
      <c r="Q81" s="7">
        <f t="shared" si="13"/>
        <v>500</v>
      </c>
      <c r="R81" s="7">
        <f t="shared" si="14"/>
        <v>7.330303475</v>
      </c>
      <c r="S81" s="7">
        <f t="shared" si="15"/>
        <v>600</v>
      </c>
      <c r="T81" s="7">
        <f t="shared" si="16"/>
        <v>8.796364169</v>
      </c>
      <c r="U81" s="7">
        <f t="shared" si="17"/>
        <v>700</v>
      </c>
      <c r="V81" s="7">
        <f t="shared" si="18"/>
        <v>10.26242486</v>
      </c>
      <c r="W81" s="7">
        <f t="shared" si="19"/>
        <v>800</v>
      </c>
      <c r="X81" s="7">
        <f t="shared" si="20"/>
        <v>11.72848556</v>
      </c>
      <c r="Y81" s="7">
        <f t="shared" si="21"/>
        <v>900</v>
      </c>
      <c r="Z81" s="7">
        <f t="shared" si="22"/>
        <v>13.19454625</v>
      </c>
    </row>
    <row r="82">
      <c r="A82" s="19" t="str">
        <f>IFERROR(__xludf.DUMMYFUNCTION("""COMPUTED_VALUE"""),"2018 07")</f>
        <v>2018 07</v>
      </c>
      <c r="B82" s="19" t="str">
        <f>IFERROR(__xludf.DUMMYFUNCTION("""COMPUTED_VALUE"""),"68.14")</f>
        <v>68.14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0.7337833871</v>
      </c>
      <c r="G82" s="7">
        <f t="shared" si="3"/>
        <v>100</v>
      </c>
      <c r="H82" s="7">
        <f t="shared" si="4"/>
        <v>1.467566774</v>
      </c>
      <c r="I82" s="7">
        <f t="shared" si="5"/>
        <v>150</v>
      </c>
      <c r="J82" s="7">
        <f t="shared" si="6"/>
        <v>2.201350161</v>
      </c>
      <c r="K82" s="7">
        <f t="shared" si="7"/>
        <v>200</v>
      </c>
      <c r="L82" s="7">
        <f t="shared" si="8"/>
        <v>2.935133549</v>
      </c>
      <c r="M82" s="7">
        <f t="shared" si="9"/>
        <v>300</v>
      </c>
      <c r="N82" s="7">
        <f t="shared" si="10"/>
        <v>4.402700323</v>
      </c>
      <c r="O82" s="7">
        <f t="shared" si="11"/>
        <v>400</v>
      </c>
      <c r="P82" s="7">
        <f t="shared" si="12"/>
        <v>5.870267097</v>
      </c>
      <c r="Q82" s="7">
        <f t="shared" si="13"/>
        <v>500</v>
      </c>
      <c r="R82" s="7">
        <f t="shared" si="14"/>
        <v>7.337833871</v>
      </c>
      <c r="S82" s="7">
        <f t="shared" si="15"/>
        <v>600</v>
      </c>
      <c r="T82" s="7">
        <f t="shared" si="16"/>
        <v>8.805400646</v>
      </c>
      <c r="U82" s="7">
        <f t="shared" si="17"/>
        <v>700</v>
      </c>
      <c r="V82" s="7">
        <f t="shared" si="18"/>
        <v>10.27296742</v>
      </c>
      <c r="W82" s="7">
        <f t="shared" si="19"/>
        <v>800</v>
      </c>
      <c r="X82" s="7">
        <f t="shared" si="20"/>
        <v>11.74053419</v>
      </c>
      <c r="Y82" s="7">
        <f t="shared" si="21"/>
        <v>900</v>
      </c>
      <c r="Z82" s="7">
        <f t="shared" si="22"/>
        <v>13.20810097</v>
      </c>
    </row>
    <row r="83">
      <c r="A83" s="19" t="str">
        <f>IFERROR(__xludf.DUMMYFUNCTION("""COMPUTED_VALUE"""),"2018 08")</f>
        <v>2018 08</v>
      </c>
      <c r="B83" s="19" t="str">
        <f>IFERROR(__xludf.DUMMYFUNCTION("""COMPUTED_VALUE"""),"70.66")</f>
        <v>70.66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0.7076139258</v>
      </c>
      <c r="G83" s="7">
        <f t="shared" si="3"/>
        <v>100</v>
      </c>
      <c r="H83" s="7">
        <f t="shared" si="4"/>
        <v>1.415227852</v>
      </c>
      <c r="I83" s="7">
        <f t="shared" si="5"/>
        <v>150</v>
      </c>
      <c r="J83" s="7">
        <f t="shared" si="6"/>
        <v>2.122841778</v>
      </c>
      <c r="K83" s="7">
        <f t="shared" si="7"/>
        <v>200</v>
      </c>
      <c r="L83" s="7">
        <f t="shared" si="8"/>
        <v>2.830455703</v>
      </c>
      <c r="M83" s="7">
        <f t="shared" si="9"/>
        <v>300</v>
      </c>
      <c r="N83" s="7">
        <f t="shared" si="10"/>
        <v>4.245683555</v>
      </c>
      <c r="O83" s="7">
        <f t="shared" si="11"/>
        <v>400</v>
      </c>
      <c r="P83" s="7">
        <f t="shared" si="12"/>
        <v>5.660911407</v>
      </c>
      <c r="Q83" s="7">
        <f t="shared" si="13"/>
        <v>500</v>
      </c>
      <c r="R83" s="7">
        <f t="shared" si="14"/>
        <v>7.076139258</v>
      </c>
      <c r="S83" s="7">
        <f t="shared" si="15"/>
        <v>600</v>
      </c>
      <c r="T83" s="7">
        <f t="shared" si="16"/>
        <v>8.49136711</v>
      </c>
      <c r="U83" s="7">
        <f t="shared" si="17"/>
        <v>700</v>
      </c>
      <c r="V83" s="7">
        <f t="shared" si="18"/>
        <v>9.906594962</v>
      </c>
      <c r="W83" s="7">
        <f t="shared" si="19"/>
        <v>800</v>
      </c>
      <c r="X83" s="7">
        <f t="shared" si="20"/>
        <v>11.32182281</v>
      </c>
      <c r="Y83" s="7">
        <f t="shared" si="21"/>
        <v>900</v>
      </c>
      <c r="Z83" s="7">
        <f t="shared" si="22"/>
        <v>12.73705067</v>
      </c>
    </row>
    <row r="84">
      <c r="A84" s="19" t="str">
        <f>IFERROR(__xludf.DUMMYFUNCTION("""COMPUTED_VALUE"""),"2018 09")</f>
        <v>2018 09</v>
      </c>
      <c r="B84" s="19" t="str">
        <f>IFERROR(__xludf.DUMMYFUNCTION("""COMPUTED_VALUE"""),"73.51")</f>
        <v>73.51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0.6801795674</v>
      </c>
      <c r="G84" s="7">
        <f t="shared" si="3"/>
        <v>100</v>
      </c>
      <c r="H84" s="7">
        <f t="shared" si="4"/>
        <v>1.360359135</v>
      </c>
      <c r="I84" s="7">
        <f t="shared" si="5"/>
        <v>150</v>
      </c>
      <c r="J84" s="7">
        <f t="shared" si="6"/>
        <v>2.040538702</v>
      </c>
      <c r="K84" s="7">
        <f t="shared" si="7"/>
        <v>200</v>
      </c>
      <c r="L84" s="7">
        <f t="shared" si="8"/>
        <v>2.72071827</v>
      </c>
      <c r="M84" s="7">
        <f t="shared" si="9"/>
        <v>300</v>
      </c>
      <c r="N84" s="7">
        <f t="shared" si="10"/>
        <v>4.081077404</v>
      </c>
      <c r="O84" s="7">
        <f t="shared" si="11"/>
        <v>400</v>
      </c>
      <c r="P84" s="7">
        <f t="shared" si="12"/>
        <v>5.441436539</v>
      </c>
      <c r="Q84" s="7">
        <f t="shared" si="13"/>
        <v>500</v>
      </c>
      <c r="R84" s="7">
        <f t="shared" si="14"/>
        <v>6.801795674</v>
      </c>
      <c r="S84" s="7">
        <f t="shared" si="15"/>
        <v>600</v>
      </c>
      <c r="T84" s="7">
        <f t="shared" si="16"/>
        <v>8.162154809</v>
      </c>
      <c r="U84" s="7">
        <f t="shared" si="17"/>
        <v>700</v>
      </c>
      <c r="V84" s="7">
        <f t="shared" si="18"/>
        <v>9.522513944</v>
      </c>
      <c r="W84" s="7">
        <f t="shared" si="19"/>
        <v>800</v>
      </c>
      <c r="X84" s="7">
        <f t="shared" si="20"/>
        <v>10.88287308</v>
      </c>
      <c r="Y84" s="7">
        <f t="shared" si="21"/>
        <v>900</v>
      </c>
      <c r="Z84" s="7">
        <f t="shared" si="22"/>
        <v>12.24323221</v>
      </c>
    </row>
    <row r="85">
      <c r="A85" s="19" t="str">
        <f>IFERROR(__xludf.DUMMYFUNCTION("""COMPUTED_VALUE"""),"2018 10")</f>
        <v>2018 10</v>
      </c>
      <c r="B85" s="19" t="str">
        <f>IFERROR(__xludf.DUMMYFUNCTION("""COMPUTED_VALUE"""),"73.94")</f>
        <v>73.94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0.6762239654</v>
      </c>
      <c r="G85" s="7">
        <f t="shared" si="3"/>
        <v>100</v>
      </c>
      <c r="H85" s="7">
        <f t="shared" si="4"/>
        <v>1.352447931</v>
      </c>
      <c r="I85" s="7">
        <f t="shared" si="5"/>
        <v>150</v>
      </c>
      <c r="J85" s="7">
        <f t="shared" si="6"/>
        <v>2.028671896</v>
      </c>
      <c r="K85" s="7">
        <f t="shared" si="7"/>
        <v>200</v>
      </c>
      <c r="L85" s="7">
        <f t="shared" si="8"/>
        <v>2.704895862</v>
      </c>
      <c r="M85" s="7">
        <f t="shared" si="9"/>
        <v>300</v>
      </c>
      <c r="N85" s="7">
        <f t="shared" si="10"/>
        <v>4.057343792</v>
      </c>
      <c r="O85" s="7">
        <f t="shared" si="11"/>
        <v>400</v>
      </c>
      <c r="P85" s="7">
        <f t="shared" si="12"/>
        <v>5.409791723</v>
      </c>
      <c r="Q85" s="7">
        <f t="shared" si="13"/>
        <v>500</v>
      </c>
      <c r="R85" s="7">
        <f t="shared" si="14"/>
        <v>6.762239654</v>
      </c>
      <c r="S85" s="7">
        <f t="shared" si="15"/>
        <v>600</v>
      </c>
      <c r="T85" s="7">
        <f t="shared" si="16"/>
        <v>8.114687585</v>
      </c>
      <c r="U85" s="7">
        <f t="shared" si="17"/>
        <v>700</v>
      </c>
      <c r="V85" s="7">
        <f t="shared" si="18"/>
        <v>9.467135515</v>
      </c>
      <c r="W85" s="7">
        <f t="shared" si="19"/>
        <v>800</v>
      </c>
      <c r="X85" s="7">
        <f t="shared" si="20"/>
        <v>10.81958345</v>
      </c>
      <c r="Y85" s="7">
        <f t="shared" si="21"/>
        <v>900</v>
      </c>
      <c r="Z85" s="7">
        <f t="shared" si="22"/>
        <v>12.17203138</v>
      </c>
    </row>
    <row r="86">
      <c r="A86" s="19" t="str">
        <f>IFERROR(__xludf.DUMMYFUNCTION("""COMPUTED_VALUE"""),"2018 11")</f>
        <v>2018 11</v>
      </c>
      <c r="B86" s="19" t="str">
        <f>IFERROR(__xludf.DUMMYFUNCTION("""COMPUTED_VALUE"""),"69.09")</f>
        <v>69.09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0.7236937328</v>
      </c>
      <c r="G86" s="7">
        <f t="shared" si="3"/>
        <v>100</v>
      </c>
      <c r="H86" s="7">
        <f t="shared" si="4"/>
        <v>1.447387466</v>
      </c>
      <c r="I86" s="7">
        <f t="shared" si="5"/>
        <v>150</v>
      </c>
      <c r="J86" s="7">
        <f t="shared" si="6"/>
        <v>2.171081198</v>
      </c>
      <c r="K86" s="7">
        <f t="shared" si="7"/>
        <v>200</v>
      </c>
      <c r="L86" s="7">
        <f t="shared" si="8"/>
        <v>2.894774931</v>
      </c>
      <c r="M86" s="7">
        <f t="shared" si="9"/>
        <v>300</v>
      </c>
      <c r="N86" s="7">
        <f t="shared" si="10"/>
        <v>4.342162397</v>
      </c>
      <c r="O86" s="7">
        <f t="shared" si="11"/>
        <v>400</v>
      </c>
      <c r="P86" s="7">
        <f t="shared" si="12"/>
        <v>5.789549862</v>
      </c>
      <c r="Q86" s="7">
        <f t="shared" si="13"/>
        <v>500</v>
      </c>
      <c r="R86" s="7">
        <f t="shared" si="14"/>
        <v>7.236937328</v>
      </c>
      <c r="S86" s="7">
        <f t="shared" si="15"/>
        <v>600</v>
      </c>
      <c r="T86" s="7">
        <f t="shared" si="16"/>
        <v>8.684324794</v>
      </c>
      <c r="U86" s="7">
        <f t="shared" si="17"/>
        <v>700</v>
      </c>
      <c r="V86" s="7">
        <f t="shared" si="18"/>
        <v>10.13171226</v>
      </c>
      <c r="W86" s="7">
        <f t="shared" si="19"/>
        <v>800</v>
      </c>
      <c r="X86" s="7">
        <f t="shared" si="20"/>
        <v>11.57909972</v>
      </c>
      <c r="Y86" s="7">
        <f t="shared" si="21"/>
        <v>900</v>
      </c>
      <c r="Z86" s="7">
        <f t="shared" si="22"/>
        <v>13.02648719</v>
      </c>
    </row>
    <row r="87">
      <c r="A87" s="19" t="str">
        <f>IFERROR(__xludf.DUMMYFUNCTION("""COMPUTED_VALUE"""),"2018 12")</f>
        <v>2018 12</v>
      </c>
      <c r="B87" s="19" t="str">
        <f>IFERROR(__xludf.DUMMYFUNCTION("""COMPUTED_VALUE"""),"68.58")</f>
        <v>68.58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0.7290755322</v>
      </c>
      <c r="G87" s="7">
        <f t="shared" si="3"/>
        <v>100</v>
      </c>
      <c r="H87" s="7">
        <f t="shared" si="4"/>
        <v>1.458151064</v>
      </c>
      <c r="I87" s="7">
        <f t="shared" si="5"/>
        <v>150</v>
      </c>
      <c r="J87" s="7">
        <f t="shared" si="6"/>
        <v>2.187226597</v>
      </c>
      <c r="K87" s="7">
        <f t="shared" si="7"/>
        <v>200</v>
      </c>
      <c r="L87" s="7">
        <f t="shared" si="8"/>
        <v>2.916302129</v>
      </c>
      <c r="M87" s="7">
        <f t="shared" si="9"/>
        <v>300</v>
      </c>
      <c r="N87" s="7">
        <f t="shared" si="10"/>
        <v>4.374453193</v>
      </c>
      <c r="O87" s="7">
        <f t="shared" si="11"/>
        <v>400</v>
      </c>
      <c r="P87" s="7">
        <f t="shared" si="12"/>
        <v>5.832604258</v>
      </c>
      <c r="Q87" s="7">
        <f t="shared" si="13"/>
        <v>500</v>
      </c>
      <c r="R87" s="7">
        <f t="shared" si="14"/>
        <v>7.290755322</v>
      </c>
      <c r="S87" s="7">
        <f t="shared" si="15"/>
        <v>600</v>
      </c>
      <c r="T87" s="7">
        <f t="shared" si="16"/>
        <v>8.748906387</v>
      </c>
      <c r="U87" s="7">
        <f t="shared" si="17"/>
        <v>700</v>
      </c>
      <c r="V87" s="7">
        <f t="shared" si="18"/>
        <v>10.20705745</v>
      </c>
      <c r="W87" s="7">
        <f t="shared" si="19"/>
        <v>800</v>
      </c>
      <c r="X87" s="7">
        <f t="shared" si="20"/>
        <v>11.66520852</v>
      </c>
      <c r="Y87" s="7">
        <f t="shared" si="21"/>
        <v>900</v>
      </c>
      <c r="Z87" s="7">
        <f t="shared" si="22"/>
        <v>13.12335958</v>
      </c>
    </row>
    <row r="88">
      <c r="A88" s="19" t="str">
        <f>IFERROR(__xludf.DUMMYFUNCTION("""COMPUTED_VALUE"""),"2019 01")</f>
        <v>2019 01</v>
      </c>
      <c r="B88" s="19" t="str">
        <f>IFERROR(__xludf.DUMMYFUNCTION("""COMPUTED_VALUE"""),"64.39")</f>
        <v>64.39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0.7765180929</v>
      </c>
      <c r="G88" s="7">
        <f t="shared" si="3"/>
        <v>100</v>
      </c>
      <c r="H88" s="7">
        <f t="shared" si="4"/>
        <v>1.553036186</v>
      </c>
      <c r="I88" s="7">
        <f t="shared" si="5"/>
        <v>150</v>
      </c>
      <c r="J88" s="7">
        <f t="shared" si="6"/>
        <v>2.329554279</v>
      </c>
      <c r="K88" s="7">
        <f t="shared" si="7"/>
        <v>200</v>
      </c>
      <c r="L88" s="7">
        <f t="shared" si="8"/>
        <v>3.106072371</v>
      </c>
      <c r="M88" s="7">
        <f t="shared" si="9"/>
        <v>300</v>
      </c>
      <c r="N88" s="7">
        <f t="shared" si="10"/>
        <v>4.659108557</v>
      </c>
      <c r="O88" s="7">
        <f t="shared" si="11"/>
        <v>400</v>
      </c>
      <c r="P88" s="7">
        <f t="shared" si="12"/>
        <v>6.212144743</v>
      </c>
      <c r="Q88" s="7">
        <f t="shared" si="13"/>
        <v>500</v>
      </c>
      <c r="R88" s="7">
        <f t="shared" si="14"/>
        <v>7.765180929</v>
      </c>
      <c r="S88" s="7">
        <f t="shared" si="15"/>
        <v>600</v>
      </c>
      <c r="T88" s="7">
        <f t="shared" si="16"/>
        <v>9.318217114</v>
      </c>
      <c r="U88" s="7">
        <f t="shared" si="17"/>
        <v>700</v>
      </c>
      <c r="V88" s="7">
        <f t="shared" si="18"/>
        <v>10.8712533</v>
      </c>
      <c r="W88" s="7">
        <f t="shared" si="19"/>
        <v>800</v>
      </c>
      <c r="X88" s="7">
        <f t="shared" si="20"/>
        <v>12.42428949</v>
      </c>
      <c r="Y88" s="7">
        <f t="shared" si="21"/>
        <v>900</v>
      </c>
      <c r="Z88" s="7">
        <f t="shared" si="22"/>
        <v>13.97732567</v>
      </c>
    </row>
    <row r="89">
      <c r="A89" s="19" t="str">
        <f>IFERROR(__xludf.DUMMYFUNCTION("""COMPUTED_VALUE"""),"2019 02")</f>
        <v>2019 02</v>
      </c>
      <c r="B89" s="19" t="str">
        <f>IFERROR(__xludf.DUMMYFUNCTION("""COMPUTED_VALUE"""),"67.91")</f>
        <v>67.91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0.7362685908</v>
      </c>
      <c r="G89" s="7">
        <f t="shared" si="3"/>
        <v>100</v>
      </c>
      <c r="H89" s="7">
        <f t="shared" si="4"/>
        <v>1.472537182</v>
      </c>
      <c r="I89" s="7">
        <f t="shared" si="5"/>
        <v>150</v>
      </c>
      <c r="J89" s="7">
        <f t="shared" si="6"/>
        <v>2.208805772</v>
      </c>
      <c r="K89" s="7">
        <f t="shared" si="7"/>
        <v>200</v>
      </c>
      <c r="L89" s="7">
        <f t="shared" si="8"/>
        <v>2.945074363</v>
      </c>
      <c r="M89" s="7">
        <f t="shared" si="9"/>
        <v>300</v>
      </c>
      <c r="N89" s="7">
        <f t="shared" si="10"/>
        <v>4.417611545</v>
      </c>
      <c r="O89" s="7">
        <f t="shared" si="11"/>
        <v>400</v>
      </c>
      <c r="P89" s="7">
        <f t="shared" si="12"/>
        <v>5.890148726</v>
      </c>
      <c r="Q89" s="7">
        <f t="shared" si="13"/>
        <v>500</v>
      </c>
      <c r="R89" s="7">
        <f t="shared" si="14"/>
        <v>7.362685908</v>
      </c>
      <c r="S89" s="7">
        <f t="shared" si="15"/>
        <v>600</v>
      </c>
      <c r="T89" s="7">
        <f t="shared" si="16"/>
        <v>8.835223089</v>
      </c>
      <c r="U89" s="7">
        <f t="shared" si="17"/>
        <v>700</v>
      </c>
      <c r="V89" s="7">
        <f t="shared" si="18"/>
        <v>10.30776027</v>
      </c>
      <c r="W89" s="7">
        <f t="shared" si="19"/>
        <v>800</v>
      </c>
      <c r="X89" s="7">
        <f t="shared" si="20"/>
        <v>11.78029745</v>
      </c>
      <c r="Y89" s="7">
        <f t="shared" si="21"/>
        <v>900</v>
      </c>
      <c r="Z89" s="7">
        <f t="shared" si="22"/>
        <v>13.25283463</v>
      </c>
    </row>
    <row r="90">
      <c r="A90" s="19" t="str">
        <f>IFERROR(__xludf.DUMMYFUNCTION("""COMPUTED_VALUE"""),"2019 03")</f>
        <v>2019 03</v>
      </c>
      <c r="B90" s="19" t="str">
        <f>IFERROR(__xludf.DUMMYFUNCTION("""COMPUTED_VALUE"""),"71.7")</f>
        <v>71.7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0.6973500697</v>
      </c>
      <c r="G90" s="7">
        <f t="shared" si="3"/>
        <v>100</v>
      </c>
      <c r="H90" s="7">
        <f t="shared" si="4"/>
        <v>1.394700139</v>
      </c>
      <c r="I90" s="7">
        <f t="shared" si="5"/>
        <v>150</v>
      </c>
      <c r="J90" s="7">
        <f t="shared" si="6"/>
        <v>2.092050209</v>
      </c>
      <c r="K90" s="7">
        <f t="shared" si="7"/>
        <v>200</v>
      </c>
      <c r="L90" s="7">
        <f t="shared" si="8"/>
        <v>2.789400279</v>
      </c>
      <c r="M90" s="7">
        <f t="shared" si="9"/>
        <v>300</v>
      </c>
      <c r="N90" s="7">
        <f t="shared" si="10"/>
        <v>4.184100418</v>
      </c>
      <c r="O90" s="7">
        <f t="shared" si="11"/>
        <v>400</v>
      </c>
      <c r="P90" s="7">
        <f t="shared" si="12"/>
        <v>5.578800558</v>
      </c>
      <c r="Q90" s="7">
        <f t="shared" si="13"/>
        <v>500</v>
      </c>
      <c r="R90" s="7">
        <f t="shared" si="14"/>
        <v>6.973500697</v>
      </c>
      <c r="S90" s="7">
        <f t="shared" si="15"/>
        <v>600</v>
      </c>
      <c r="T90" s="7">
        <f t="shared" si="16"/>
        <v>8.368200837</v>
      </c>
      <c r="U90" s="7">
        <f t="shared" si="17"/>
        <v>700</v>
      </c>
      <c r="V90" s="7">
        <f t="shared" si="18"/>
        <v>9.762900976</v>
      </c>
      <c r="W90" s="7">
        <f t="shared" si="19"/>
        <v>800</v>
      </c>
      <c r="X90" s="7">
        <f t="shared" si="20"/>
        <v>11.15760112</v>
      </c>
      <c r="Y90" s="7">
        <f t="shared" si="21"/>
        <v>900</v>
      </c>
      <c r="Z90" s="7">
        <f t="shared" si="22"/>
        <v>12.55230126</v>
      </c>
    </row>
    <row r="91">
      <c r="A91" s="19" t="str">
        <f>IFERROR(__xludf.DUMMYFUNCTION("""COMPUTED_VALUE"""),"2019 04")</f>
        <v>2019 04</v>
      </c>
      <c r="B91" s="19" t="str">
        <f>IFERROR(__xludf.DUMMYFUNCTION("""COMPUTED_VALUE"""),"72.03")</f>
        <v>72.03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0.6941552131</v>
      </c>
      <c r="G91" s="7">
        <f t="shared" si="3"/>
        <v>100</v>
      </c>
      <c r="H91" s="7">
        <f t="shared" si="4"/>
        <v>1.388310426</v>
      </c>
      <c r="I91" s="7">
        <f t="shared" si="5"/>
        <v>150</v>
      </c>
      <c r="J91" s="7">
        <f t="shared" si="6"/>
        <v>2.082465639</v>
      </c>
      <c r="K91" s="7">
        <f t="shared" si="7"/>
        <v>200</v>
      </c>
      <c r="L91" s="7">
        <f t="shared" si="8"/>
        <v>2.776620852</v>
      </c>
      <c r="M91" s="7">
        <f t="shared" si="9"/>
        <v>300</v>
      </c>
      <c r="N91" s="7">
        <f t="shared" si="10"/>
        <v>4.164931279</v>
      </c>
      <c r="O91" s="7">
        <f t="shared" si="11"/>
        <v>400</v>
      </c>
      <c r="P91" s="7">
        <f t="shared" si="12"/>
        <v>5.553241705</v>
      </c>
      <c r="Q91" s="7">
        <f t="shared" si="13"/>
        <v>500</v>
      </c>
      <c r="R91" s="7">
        <f t="shared" si="14"/>
        <v>6.941552131</v>
      </c>
      <c r="S91" s="7">
        <f t="shared" si="15"/>
        <v>600</v>
      </c>
      <c r="T91" s="7">
        <f t="shared" si="16"/>
        <v>8.329862557</v>
      </c>
      <c r="U91" s="7">
        <f t="shared" si="17"/>
        <v>700</v>
      </c>
      <c r="V91" s="7">
        <f t="shared" si="18"/>
        <v>9.718172983</v>
      </c>
      <c r="W91" s="7">
        <f t="shared" si="19"/>
        <v>800</v>
      </c>
      <c r="X91" s="7">
        <f t="shared" si="20"/>
        <v>11.10648341</v>
      </c>
      <c r="Y91" s="7">
        <f t="shared" si="21"/>
        <v>900</v>
      </c>
      <c r="Z91" s="7">
        <f t="shared" si="22"/>
        <v>12.49479384</v>
      </c>
    </row>
    <row r="92">
      <c r="A92" s="19" t="str">
        <f>IFERROR(__xludf.DUMMYFUNCTION("""COMPUTED_VALUE"""),"2019 05")</f>
        <v>2019 05</v>
      </c>
      <c r="B92" s="19" t="str">
        <f>IFERROR(__xludf.DUMMYFUNCTION("""COMPUTED_VALUE"""),"75.31")</f>
        <v>75.31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0.6639224539</v>
      </c>
      <c r="G92" s="7">
        <f t="shared" si="3"/>
        <v>100</v>
      </c>
      <c r="H92" s="7">
        <f t="shared" si="4"/>
        <v>1.327844908</v>
      </c>
      <c r="I92" s="7">
        <f t="shared" si="5"/>
        <v>150</v>
      </c>
      <c r="J92" s="7">
        <f t="shared" si="6"/>
        <v>1.991767362</v>
      </c>
      <c r="K92" s="7">
        <f t="shared" si="7"/>
        <v>200</v>
      </c>
      <c r="L92" s="7">
        <f t="shared" si="8"/>
        <v>2.655689815</v>
      </c>
      <c r="M92" s="7">
        <f t="shared" si="9"/>
        <v>300</v>
      </c>
      <c r="N92" s="7">
        <f t="shared" si="10"/>
        <v>3.983534723</v>
      </c>
      <c r="O92" s="7">
        <f t="shared" si="11"/>
        <v>400</v>
      </c>
      <c r="P92" s="7">
        <f t="shared" si="12"/>
        <v>5.311379631</v>
      </c>
      <c r="Q92" s="7">
        <f t="shared" si="13"/>
        <v>500</v>
      </c>
      <c r="R92" s="7">
        <f t="shared" si="14"/>
        <v>6.639224539</v>
      </c>
      <c r="S92" s="7">
        <f t="shared" si="15"/>
        <v>600</v>
      </c>
      <c r="T92" s="7">
        <f t="shared" si="16"/>
        <v>7.967069446</v>
      </c>
      <c r="U92" s="7">
        <f t="shared" si="17"/>
        <v>700</v>
      </c>
      <c r="V92" s="7">
        <f t="shared" si="18"/>
        <v>9.294914354</v>
      </c>
      <c r="W92" s="7">
        <f t="shared" si="19"/>
        <v>800</v>
      </c>
      <c r="X92" s="7">
        <f t="shared" si="20"/>
        <v>10.62275926</v>
      </c>
      <c r="Y92" s="7">
        <f t="shared" si="21"/>
        <v>900</v>
      </c>
      <c r="Z92" s="7">
        <f t="shared" si="22"/>
        <v>11.95060417</v>
      </c>
    </row>
    <row r="93">
      <c r="A93" s="19" t="str">
        <f>IFERROR(__xludf.DUMMYFUNCTION("""COMPUTED_VALUE"""),"2019 06")</f>
        <v>2019 06</v>
      </c>
      <c r="B93" s="19" t="str">
        <f>IFERROR(__xludf.DUMMYFUNCTION("""COMPUTED_VALUE"""),"71.27")</f>
        <v>71.27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0.7015574576</v>
      </c>
      <c r="G93" s="7">
        <f t="shared" si="3"/>
        <v>100</v>
      </c>
      <c r="H93" s="7">
        <f t="shared" si="4"/>
        <v>1.403114915</v>
      </c>
      <c r="I93" s="7">
        <f t="shared" si="5"/>
        <v>150</v>
      </c>
      <c r="J93" s="7">
        <f t="shared" si="6"/>
        <v>2.104672373</v>
      </c>
      <c r="K93" s="7">
        <f t="shared" si="7"/>
        <v>200</v>
      </c>
      <c r="L93" s="7">
        <f t="shared" si="8"/>
        <v>2.80622983</v>
      </c>
      <c r="M93" s="7">
        <f t="shared" si="9"/>
        <v>300</v>
      </c>
      <c r="N93" s="7">
        <f t="shared" si="10"/>
        <v>4.209344745</v>
      </c>
      <c r="O93" s="7">
        <f t="shared" si="11"/>
        <v>400</v>
      </c>
      <c r="P93" s="7">
        <f t="shared" si="12"/>
        <v>5.61245966</v>
      </c>
      <c r="Q93" s="7">
        <f t="shared" si="13"/>
        <v>500</v>
      </c>
      <c r="R93" s="7">
        <f t="shared" si="14"/>
        <v>7.015574576</v>
      </c>
      <c r="S93" s="7">
        <f t="shared" si="15"/>
        <v>600</v>
      </c>
      <c r="T93" s="7">
        <f t="shared" si="16"/>
        <v>8.418689491</v>
      </c>
      <c r="U93" s="7">
        <f t="shared" si="17"/>
        <v>700</v>
      </c>
      <c r="V93" s="7">
        <f t="shared" si="18"/>
        <v>9.821804406</v>
      </c>
      <c r="W93" s="7">
        <f t="shared" si="19"/>
        <v>800</v>
      </c>
      <c r="X93" s="7">
        <f t="shared" si="20"/>
        <v>11.22491932</v>
      </c>
      <c r="Y93" s="7">
        <f t="shared" si="21"/>
        <v>900</v>
      </c>
      <c r="Z93" s="7">
        <f t="shared" si="22"/>
        <v>12.62803424</v>
      </c>
    </row>
    <row r="94">
      <c r="A94" s="19" t="str">
        <f>IFERROR(__xludf.DUMMYFUNCTION("""COMPUTED_VALUE"""),"2019 07")</f>
        <v>2019 07</v>
      </c>
      <c r="B94" s="19" t="str">
        <f>IFERROR(__xludf.DUMMYFUNCTION("""COMPUTED_VALUE"""),"75.85")</f>
        <v>75.85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0.6591957811</v>
      </c>
      <c r="G94" s="7">
        <f t="shared" si="3"/>
        <v>100</v>
      </c>
      <c r="H94" s="7">
        <f t="shared" si="4"/>
        <v>1.318391562</v>
      </c>
      <c r="I94" s="7">
        <f t="shared" si="5"/>
        <v>150</v>
      </c>
      <c r="J94" s="7">
        <f t="shared" si="6"/>
        <v>1.977587343</v>
      </c>
      <c r="K94" s="7">
        <f t="shared" si="7"/>
        <v>200</v>
      </c>
      <c r="L94" s="7">
        <f t="shared" si="8"/>
        <v>2.636783125</v>
      </c>
      <c r="M94" s="7">
        <f t="shared" si="9"/>
        <v>300</v>
      </c>
      <c r="N94" s="7">
        <f t="shared" si="10"/>
        <v>3.955174687</v>
      </c>
      <c r="O94" s="7">
        <f t="shared" si="11"/>
        <v>400</v>
      </c>
      <c r="P94" s="7">
        <f t="shared" si="12"/>
        <v>5.273566249</v>
      </c>
      <c r="Q94" s="7">
        <f t="shared" si="13"/>
        <v>500</v>
      </c>
      <c r="R94" s="7">
        <f t="shared" si="14"/>
        <v>6.591957811</v>
      </c>
      <c r="S94" s="7">
        <f t="shared" si="15"/>
        <v>600</v>
      </c>
      <c r="T94" s="7">
        <f t="shared" si="16"/>
        <v>7.910349374</v>
      </c>
      <c r="U94" s="7">
        <f t="shared" si="17"/>
        <v>700</v>
      </c>
      <c r="V94" s="7">
        <f t="shared" si="18"/>
        <v>9.228740936</v>
      </c>
      <c r="W94" s="7">
        <f t="shared" si="19"/>
        <v>800</v>
      </c>
      <c r="X94" s="7">
        <f t="shared" si="20"/>
        <v>10.5471325</v>
      </c>
      <c r="Y94" s="7">
        <f t="shared" si="21"/>
        <v>900</v>
      </c>
      <c r="Z94" s="7">
        <f t="shared" si="22"/>
        <v>11.86552406</v>
      </c>
    </row>
    <row r="95">
      <c r="A95" s="19" t="str">
        <f>IFERROR(__xludf.DUMMYFUNCTION("""COMPUTED_VALUE"""),"2019 08")</f>
        <v>2019 08</v>
      </c>
      <c r="B95" s="19" t="str">
        <f>IFERROR(__xludf.DUMMYFUNCTION("""COMPUTED_VALUE"""),"76.84")</f>
        <v>76.84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0.650702759</v>
      </c>
      <c r="G95" s="7">
        <f t="shared" si="3"/>
        <v>100</v>
      </c>
      <c r="H95" s="7">
        <f t="shared" si="4"/>
        <v>1.301405518</v>
      </c>
      <c r="I95" s="7">
        <f t="shared" si="5"/>
        <v>150</v>
      </c>
      <c r="J95" s="7">
        <f t="shared" si="6"/>
        <v>1.952108277</v>
      </c>
      <c r="K95" s="7">
        <f t="shared" si="7"/>
        <v>200</v>
      </c>
      <c r="L95" s="7">
        <f t="shared" si="8"/>
        <v>2.602811036</v>
      </c>
      <c r="M95" s="7">
        <f t="shared" si="9"/>
        <v>300</v>
      </c>
      <c r="N95" s="7">
        <f t="shared" si="10"/>
        <v>3.904216554</v>
      </c>
      <c r="O95" s="7">
        <f t="shared" si="11"/>
        <v>400</v>
      </c>
      <c r="P95" s="7">
        <f t="shared" si="12"/>
        <v>5.205622072</v>
      </c>
      <c r="Q95" s="7">
        <f t="shared" si="13"/>
        <v>500</v>
      </c>
      <c r="R95" s="7">
        <f t="shared" si="14"/>
        <v>6.50702759</v>
      </c>
      <c r="S95" s="7">
        <f t="shared" si="15"/>
        <v>600</v>
      </c>
      <c r="T95" s="7">
        <f t="shared" si="16"/>
        <v>7.808433108</v>
      </c>
      <c r="U95" s="7">
        <f t="shared" si="17"/>
        <v>700</v>
      </c>
      <c r="V95" s="7">
        <f t="shared" si="18"/>
        <v>9.109838626</v>
      </c>
      <c r="W95" s="7">
        <f t="shared" si="19"/>
        <v>800</v>
      </c>
      <c r="X95" s="7">
        <f t="shared" si="20"/>
        <v>10.41124414</v>
      </c>
      <c r="Y95" s="7">
        <f t="shared" si="21"/>
        <v>900</v>
      </c>
      <c r="Z95" s="7">
        <f t="shared" si="22"/>
        <v>11.71264966</v>
      </c>
    </row>
    <row r="96">
      <c r="A96" s="19" t="str">
        <f>IFERROR(__xludf.DUMMYFUNCTION("""COMPUTED_VALUE"""),"2019 09")</f>
        <v>2019 09</v>
      </c>
      <c r="B96" s="19" t="str">
        <f>IFERROR(__xludf.DUMMYFUNCTION("""COMPUTED_VALUE"""),"76.63")</f>
        <v>76.63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0.6524859716</v>
      </c>
      <c r="G96" s="7">
        <f t="shared" si="3"/>
        <v>100</v>
      </c>
      <c r="H96" s="7">
        <f t="shared" si="4"/>
        <v>1.304971943</v>
      </c>
      <c r="I96" s="7">
        <f t="shared" si="5"/>
        <v>150</v>
      </c>
      <c r="J96" s="7">
        <f t="shared" si="6"/>
        <v>1.957457915</v>
      </c>
      <c r="K96" s="7">
        <f t="shared" si="7"/>
        <v>200</v>
      </c>
      <c r="L96" s="7">
        <f t="shared" si="8"/>
        <v>2.609943886</v>
      </c>
      <c r="M96" s="7">
        <f t="shared" si="9"/>
        <v>300</v>
      </c>
      <c r="N96" s="7">
        <f t="shared" si="10"/>
        <v>3.914915829</v>
      </c>
      <c r="O96" s="7">
        <f t="shared" si="11"/>
        <v>400</v>
      </c>
      <c r="P96" s="7">
        <f t="shared" si="12"/>
        <v>5.219887772</v>
      </c>
      <c r="Q96" s="7">
        <f t="shared" si="13"/>
        <v>500</v>
      </c>
      <c r="R96" s="7">
        <f t="shared" si="14"/>
        <v>6.524859716</v>
      </c>
      <c r="S96" s="7">
        <f t="shared" si="15"/>
        <v>600</v>
      </c>
      <c r="T96" s="7">
        <f t="shared" si="16"/>
        <v>7.829831659</v>
      </c>
      <c r="U96" s="7">
        <f t="shared" si="17"/>
        <v>700</v>
      </c>
      <c r="V96" s="7">
        <f t="shared" si="18"/>
        <v>9.134803602</v>
      </c>
      <c r="W96" s="7">
        <f t="shared" si="19"/>
        <v>800</v>
      </c>
      <c r="X96" s="7">
        <f t="shared" si="20"/>
        <v>10.43977554</v>
      </c>
      <c r="Y96" s="7">
        <f t="shared" si="21"/>
        <v>900</v>
      </c>
      <c r="Z96" s="7">
        <f t="shared" si="22"/>
        <v>11.74474749</v>
      </c>
    </row>
    <row r="97">
      <c r="A97" s="19" t="str">
        <f>IFERROR(__xludf.DUMMYFUNCTION("""COMPUTED_VALUE"""),"2019 10")</f>
        <v>2019 10</v>
      </c>
      <c r="B97" s="19" t="str">
        <f>IFERROR(__xludf.DUMMYFUNCTION("""COMPUTED_VALUE"""),"78.66")</f>
        <v>78.66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0.6356470887</v>
      </c>
      <c r="G97" s="7">
        <f t="shared" si="3"/>
        <v>100</v>
      </c>
      <c r="H97" s="7">
        <f t="shared" si="4"/>
        <v>1.271294177</v>
      </c>
      <c r="I97" s="7">
        <f t="shared" si="5"/>
        <v>150</v>
      </c>
      <c r="J97" s="7">
        <f t="shared" si="6"/>
        <v>1.906941266</v>
      </c>
      <c r="K97" s="7">
        <f t="shared" si="7"/>
        <v>200</v>
      </c>
      <c r="L97" s="7">
        <f t="shared" si="8"/>
        <v>2.542588355</v>
      </c>
      <c r="M97" s="7">
        <f t="shared" si="9"/>
        <v>300</v>
      </c>
      <c r="N97" s="7">
        <f t="shared" si="10"/>
        <v>3.813882532</v>
      </c>
      <c r="O97" s="7">
        <f t="shared" si="11"/>
        <v>400</v>
      </c>
      <c r="P97" s="7">
        <f t="shared" si="12"/>
        <v>5.08517671</v>
      </c>
      <c r="Q97" s="7">
        <f t="shared" si="13"/>
        <v>500</v>
      </c>
      <c r="R97" s="7">
        <f t="shared" si="14"/>
        <v>6.356470887</v>
      </c>
      <c r="S97" s="7">
        <f t="shared" si="15"/>
        <v>600</v>
      </c>
      <c r="T97" s="7">
        <f t="shared" si="16"/>
        <v>7.627765065</v>
      </c>
      <c r="U97" s="7">
        <f t="shared" si="17"/>
        <v>700</v>
      </c>
      <c r="V97" s="7">
        <f t="shared" si="18"/>
        <v>8.899059242</v>
      </c>
      <c r="W97" s="7">
        <f t="shared" si="19"/>
        <v>800</v>
      </c>
      <c r="X97" s="7">
        <f t="shared" si="20"/>
        <v>10.17035342</v>
      </c>
      <c r="Y97" s="7">
        <f t="shared" si="21"/>
        <v>900</v>
      </c>
      <c r="Z97" s="7">
        <f t="shared" si="22"/>
        <v>11.4416476</v>
      </c>
    </row>
    <row r="98">
      <c r="A98" s="19" t="str">
        <f>IFERROR(__xludf.DUMMYFUNCTION("""COMPUTED_VALUE"""),"2019 11")</f>
        <v>2019 11</v>
      </c>
      <c r="B98" s="19" t="str">
        <f>IFERROR(__xludf.DUMMYFUNCTION("""COMPUTED_VALUE"""),"78.41")</f>
        <v>78.41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0.6376737661</v>
      </c>
      <c r="G98" s="7">
        <f t="shared" si="3"/>
        <v>100</v>
      </c>
      <c r="H98" s="7">
        <f t="shared" si="4"/>
        <v>1.275347532</v>
      </c>
      <c r="I98" s="7">
        <f t="shared" si="5"/>
        <v>150</v>
      </c>
      <c r="J98" s="7">
        <f t="shared" si="6"/>
        <v>1.913021298</v>
      </c>
      <c r="K98" s="7">
        <f t="shared" si="7"/>
        <v>200</v>
      </c>
      <c r="L98" s="7">
        <f t="shared" si="8"/>
        <v>2.550695064</v>
      </c>
      <c r="M98" s="7">
        <f t="shared" si="9"/>
        <v>300</v>
      </c>
      <c r="N98" s="7">
        <f t="shared" si="10"/>
        <v>3.826042597</v>
      </c>
      <c r="O98" s="7">
        <f t="shared" si="11"/>
        <v>400</v>
      </c>
      <c r="P98" s="7">
        <f t="shared" si="12"/>
        <v>5.101390129</v>
      </c>
      <c r="Q98" s="7">
        <f t="shared" si="13"/>
        <v>500</v>
      </c>
      <c r="R98" s="7">
        <f t="shared" si="14"/>
        <v>6.376737661</v>
      </c>
      <c r="S98" s="7">
        <f t="shared" si="15"/>
        <v>600</v>
      </c>
      <c r="T98" s="7">
        <f t="shared" si="16"/>
        <v>7.652085193</v>
      </c>
      <c r="U98" s="7">
        <f t="shared" si="17"/>
        <v>700</v>
      </c>
      <c r="V98" s="7">
        <f t="shared" si="18"/>
        <v>8.927432725</v>
      </c>
      <c r="W98" s="7">
        <f t="shared" si="19"/>
        <v>800</v>
      </c>
      <c r="X98" s="7">
        <f t="shared" si="20"/>
        <v>10.20278026</v>
      </c>
      <c r="Y98" s="7">
        <f t="shared" si="21"/>
        <v>900</v>
      </c>
      <c r="Z98" s="7">
        <f t="shared" si="22"/>
        <v>11.47812779</v>
      </c>
    </row>
    <row r="99">
      <c r="A99" s="19" t="str">
        <f>IFERROR(__xludf.DUMMYFUNCTION("""COMPUTED_VALUE"""),"2019 12")</f>
        <v>2019 12</v>
      </c>
      <c r="B99" s="19" t="str">
        <f>IFERROR(__xludf.DUMMYFUNCTION("""COMPUTED_VALUE"""),"82.2")</f>
        <v>82.2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0.6082725061</v>
      </c>
      <c r="G99" s="7">
        <f t="shared" si="3"/>
        <v>100</v>
      </c>
      <c r="H99" s="7">
        <f t="shared" si="4"/>
        <v>1.216545012</v>
      </c>
      <c r="I99" s="7">
        <f t="shared" si="5"/>
        <v>150</v>
      </c>
      <c r="J99" s="7">
        <f t="shared" si="6"/>
        <v>1.824817518</v>
      </c>
      <c r="K99" s="7">
        <f t="shared" si="7"/>
        <v>200</v>
      </c>
      <c r="L99" s="7">
        <f t="shared" si="8"/>
        <v>2.433090024</v>
      </c>
      <c r="M99" s="7">
        <f t="shared" si="9"/>
        <v>300</v>
      </c>
      <c r="N99" s="7">
        <f t="shared" si="10"/>
        <v>3.649635036</v>
      </c>
      <c r="O99" s="7">
        <f t="shared" si="11"/>
        <v>400</v>
      </c>
      <c r="P99" s="7">
        <f t="shared" si="12"/>
        <v>4.866180049</v>
      </c>
      <c r="Q99" s="7">
        <f t="shared" si="13"/>
        <v>500</v>
      </c>
      <c r="R99" s="7">
        <f t="shared" si="14"/>
        <v>6.082725061</v>
      </c>
      <c r="S99" s="7">
        <f t="shared" si="15"/>
        <v>600</v>
      </c>
      <c r="T99" s="7">
        <f t="shared" si="16"/>
        <v>7.299270073</v>
      </c>
      <c r="U99" s="7">
        <f t="shared" si="17"/>
        <v>700</v>
      </c>
      <c r="V99" s="7">
        <f t="shared" si="18"/>
        <v>8.515815085</v>
      </c>
      <c r="W99" s="7">
        <f t="shared" si="19"/>
        <v>800</v>
      </c>
      <c r="X99" s="7">
        <f t="shared" si="20"/>
        <v>9.732360097</v>
      </c>
      <c r="Y99" s="7">
        <f t="shared" si="21"/>
        <v>900</v>
      </c>
      <c r="Z99" s="7">
        <f t="shared" si="22"/>
        <v>10.94890511</v>
      </c>
    </row>
    <row r="100">
      <c r="A100" s="19" t="str">
        <f>IFERROR(__xludf.DUMMYFUNCTION("""COMPUTED_VALUE"""),"2020 01")</f>
        <v>2020 01</v>
      </c>
      <c r="B100" s="19" t="str">
        <f>IFERROR(__xludf.DUMMYFUNCTION("""COMPUTED_VALUE"""),"81.77")</f>
        <v>81.77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0.6114711997</v>
      </c>
      <c r="G100" s="7">
        <f t="shared" si="3"/>
        <v>100</v>
      </c>
      <c r="H100" s="7">
        <f t="shared" si="4"/>
        <v>1.222942399</v>
      </c>
      <c r="I100" s="7">
        <f t="shared" si="5"/>
        <v>150</v>
      </c>
      <c r="J100" s="7">
        <f t="shared" si="6"/>
        <v>1.834413599</v>
      </c>
      <c r="K100" s="7">
        <f t="shared" si="7"/>
        <v>200</v>
      </c>
      <c r="L100" s="7">
        <f t="shared" si="8"/>
        <v>2.445884799</v>
      </c>
      <c r="M100" s="7">
        <f t="shared" si="9"/>
        <v>300</v>
      </c>
      <c r="N100" s="7">
        <f t="shared" si="10"/>
        <v>3.668827198</v>
      </c>
      <c r="O100" s="7">
        <f t="shared" si="11"/>
        <v>400</v>
      </c>
      <c r="P100" s="7">
        <f t="shared" si="12"/>
        <v>4.891769598</v>
      </c>
      <c r="Q100" s="7">
        <f t="shared" si="13"/>
        <v>500</v>
      </c>
      <c r="R100" s="7">
        <f t="shared" si="14"/>
        <v>6.114711997</v>
      </c>
      <c r="S100" s="7">
        <f t="shared" si="15"/>
        <v>600</v>
      </c>
      <c r="T100" s="7">
        <f t="shared" si="16"/>
        <v>7.337654396</v>
      </c>
      <c r="U100" s="7">
        <f t="shared" si="17"/>
        <v>700</v>
      </c>
      <c r="V100" s="7">
        <f t="shared" si="18"/>
        <v>8.560596796</v>
      </c>
      <c r="W100" s="7">
        <f t="shared" si="19"/>
        <v>800</v>
      </c>
      <c r="X100" s="7">
        <f t="shared" si="20"/>
        <v>9.783539195</v>
      </c>
      <c r="Y100" s="7">
        <f t="shared" si="21"/>
        <v>900</v>
      </c>
      <c r="Z100" s="7">
        <f t="shared" si="22"/>
        <v>11.00648159</v>
      </c>
    </row>
    <row r="101">
      <c r="A101" s="19" t="str">
        <f>IFERROR(__xludf.DUMMYFUNCTION("""COMPUTED_VALUE"""),"2020 02")</f>
        <v>2020 02</v>
      </c>
      <c r="B101" s="19" t="str">
        <f>IFERROR(__xludf.DUMMYFUNCTION("""COMPUTED_VALUE"""),"84.61")</f>
        <v>84.61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0.5909466966</v>
      </c>
      <c r="G101" s="7">
        <f t="shared" si="3"/>
        <v>100</v>
      </c>
      <c r="H101" s="7">
        <f t="shared" si="4"/>
        <v>1.181893393</v>
      </c>
      <c r="I101" s="7">
        <f t="shared" si="5"/>
        <v>150</v>
      </c>
      <c r="J101" s="7">
        <f t="shared" si="6"/>
        <v>1.77284009</v>
      </c>
      <c r="K101" s="7">
        <f t="shared" si="7"/>
        <v>200</v>
      </c>
      <c r="L101" s="7">
        <f t="shared" si="8"/>
        <v>2.363786786</v>
      </c>
      <c r="M101" s="7">
        <f t="shared" si="9"/>
        <v>300</v>
      </c>
      <c r="N101" s="7">
        <f t="shared" si="10"/>
        <v>3.54568018</v>
      </c>
      <c r="O101" s="7">
        <f t="shared" si="11"/>
        <v>400</v>
      </c>
      <c r="P101" s="7">
        <f t="shared" si="12"/>
        <v>4.727573573</v>
      </c>
      <c r="Q101" s="7">
        <f t="shared" si="13"/>
        <v>500</v>
      </c>
      <c r="R101" s="7">
        <f t="shared" si="14"/>
        <v>5.909466966</v>
      </c>
      <c r="S101" s="7">
        <f t="shared" si="15"/>
        <v>600</v>
      </c>
      <c r="T101" s="7">
        <f t="shared" si="16"/>
        <v>7.091360359</v>
      </c>
      <c r="U101" s="7">
        <f t="shared" si="17"/>
        <v>700</v>
      </c>
      <c r="V101" s="7">
        <f t="shared" si="18"/>
        <v>8.273253753</v>
      </c>
      <c r="W101" s="7">
        <f t="shared" si="19"/>
        <v>800</v>
      </c>
      <c r="X101" s="7">
        <f t="shared" si="20"/>
        <v>9.455147146</v>
      </c>
      <c r="Y101" s="7">
        <f t="shared" si="21"/>
        <v>900</v>
      </c>
      <c r="Z101" s="7">
        <f t="shared" si="22"/>
        <v>10.63704054</v>
      </c>
    </row>
    <row r="102">
      <c r="A102" s="19" t="str">
        <f>IFERROR(__xludf.DUMMYFUNCTION("""COMPUTED_VALUE"""),"2020 03")</f>
        <v>2020 03</v>
      </c>
      <c r="B102" s="19" t="str">
        <f>IFERROR(__xludf.DUMMYFUNCTION("""COMPUTED_VALUE"""),"80.01")</f>
        <v>80.01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0.6249218848</v>
      </c>
      <c r="G102" s="7">
        <f t="shared" si="3"/>
        <v>100</v>
      </c>
      <c r="H102" s="7">
        <f t="shared" si="4"/>
        <v>1.24984377</v>
      </c>
      <c r="I102" s="7">
        <f t="shared" si="5"/>
        <v>150</v>
      </c>
      <c r="J102" s="7">
        <f t="shared" si="6"/>
        <v>1.874765654</v>
      </c>
      <c r="K102" s="7">
        <f t="shared" si="7"/>
        <v>200</v>
      </c>
      <c r="L102" s="7">
        <f t="shared" si="8"/>
        <v>2.499687539</v>
      </c>
      <c r="M102" s="7">
        <f t="shared" si="9"/>
        <v>300</v>
      </c>
      <c r="N102" s="7">
        <f t="shared" si="10"/>
        <v>3.749531309</v>
      </c>
      <c r="O102" s="7">
        <f t="shared" si="11"/>
        <v>400</v>
      </c>
      <c r="P102" s="7">
        <f t="shared" si="12"/>
        <v>4.999375078</v>
      </c>
      <c r="Q102" s="7">
        <f t="shared" si="13"/>
        <v>500</v>
      </c>
      <c r="R102" s="7">
        <f t="shared" si="14"/>
        <v>6.249218848</v>
      </c>
      <c r="S102" s="7">
        <f t="shared" si="15"/>
        <v>600</v>
      </c>
      <c r="T102" s="7">
        <f t="shared" si="16"/>
        <v>7.499062617</v>
      </c>
      <c r="U102" s="7">
        <f t="shared" si="17"/>
        <v>700</v>
      </c>
      <c r="V102" s="7">
        <f t="shared" si="18"/>
        <v>8.748906387</v>
      </c>
      <c r="W102" s="7">
        <f t="shared" si="19"/>
        <v>800</v>
      </c>
      <c r="X102" s="7">
        <f t="shared" si="20"/>
        <v>9.998750156</v>
      </c>
      <c r="Y102" s="7">
        <f t="shared" si="21"/>
        <v>900</v>
      </c>
      <c r="Z102" s="7">
        <f t="shared" si="22"/>
        <v>11.24859393</v>
      </c>
    </row>
    <row r="103">
      <c r="A103" s="19" t="str">
        <f>IFERROR(__xludf.DUMMYFUNCTION("""COMPUTED_VALUE"""),"2020 04")</f>
        <v>2020 04</v>
      </c>
      <c r="B103" s="19" t="str">
        <f>IFERROR(__xludf.DUMMYFUNCTION("""COMPUTED_VALUE"""),"71.69")</f>
        <v>71.69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0.6974473427</v>
      </c>
      <c r="G103" s="7">
        <f t="shared" si="3"/>
        <v>100</v>
      </c>
      <c r="H103" s="7">
        <f t="shared" si="4"/>
        <v>1.394894685</v>
      </c>
      <c r="I103" s="7">
        <f t="shared" si="5"/>
        <v>150</v>
      </c>
      <c r="J103" s="7">
        <f t="shared" si="6"/>
        <v>2.092342028</v>
      </c>
      <c r="K103" s="7">
        <f t="shared" si="7"/>
        <v>200</v>
      </c>
      <c r="L103" s="7">
        <f t="shared" si="8"/>
        <v>2.789789371</v>
      </c>
      <c r="M103" s="7">
        <f t="shared" si="9"/>
        <v>300</v>
      </c>
      <c r="N103" s="7">
        <f t="shared" si="10"/>
        <v>4.184684056</v>
      </c>
      <c r="O103" s="7">
        <f t="shared" si="11"/>
        <v>400</v>
      </c>
      <c r="P103" s="7">
        <f t="shared" si="12"/>
        <v>5.579578742</v>
      </c>
      <c r="Q103" s="7">
        <f t="shared" si="13"/>
        <v>500</v>
      </c>
      <c r="R103" s="7">
        <f t="shared" si="14"/>
        <v>6.974473427</v>
      </c>
      <c r="S103" s="7">
        <f t="shared" si="15"/>
        <v>600</v>
      </c>
      <c r="T103" s="7">
        <f t="shared" si="16"/>
        <v>8.369368113</v>
      </c>
      <c r="U103" s="7">
        <f t="shared" si="17"/>
        <v>700</v>
      </c>
      <c r="V103" s="7">
        <f t="shared" si="18"/>
        <v>9.764262798</v>
      </c>
      <c r="W103" s="7">
        <f t="shared" si="19"/>
        <v>800</v>
      </c>
      <c r="X103" s="7">
        <f t="shared" si="20"/>
        <v>11.15915748</v>
      </c>
      <c r="Y103" s="7">
        <f t="shared" si="21"/>
        <v>900</v>
      </c>
      <c r="Z103" s="7">
        <f t="shared" si="22"/>
        <v>12.55405217</v>
      </c>
    </row>
    <row r="104">
      <c r="A104" s="19" t="str">
        <f>IFERROR(__xludf.DUMMYFUNCTION("""COMPUTED_VALUE"""),"2020 05")</f>
        <v>2020 05</v>
      </c>
      <c r="B104" s="19" t="str">
        <f>IFERROR(__xludf.DUMMYFUNCTION("""COMPUTED_VALUE"""),"75.66")</f>
        <v>75.66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0.6608511763</v>
      </c>
      <c r="G104" s="7">
        <f t="shared" si="3"/>
        <v>100</v>
      </c>
      <c r="H104" s="7">
        <f t="shared" si="4"/>
        <v>1.321702353</v>
      </c>
      <c r="I104" s="7">
        <f t="shared" si="5"/>
        <v>150</v>
      </c>
      <c r="J104" s="7">
        <f t="shared" si="6"/>
        <v>1.982553529</v>
      </c>
      <c r="K104" s="7">
        <f t="shared" si="7"/>
        <v>200</v>
      </c>
      <c r="L104" s="7">
        <f t="shared" si="8"/>
        <v>2.643404705</v>
      </c>
      <c r="M104" s="7">
        <f t="shared" si="9"/>
        <v>300</v>
      </c>
      <c r="N104" s="7">
        <f t="shared" si="10"/>
        <v>3.965107058</v>
      </c>
      <c r="O104" s="7">
        <f t="shared" si="11"/>
        <v>400</v>
      </c>
      <c r="P104" s="7">
        <f t="shared" si="12"/>
        <v>5.286809411</v>
      </c>
      <c r="Q104" s="7">
        <f t="shared" si="13"/>
        <v>500</v>
      </c>
      <c r="R104" s="7">
        <f t="shared" si="14"/>
        <v>6.608511763</v>
      </c>
      <c r="S104" s="7">
        <f t="shared" si="15"/>
        <v>600</v>
      </c>
      <c r="T104" s="7">
        <f t="shared" si="16"/>
        <v>7.930214116</v>
      </c>
      <c r="U104" s="7">
        <f t="shared" si="17"/>
        <v>700</v>
      </c>
      <c r="V104" s="7">
        <f t="shared" si="18"/>
        <v>9.251916468</v>
      </c>
      <c r="W104" s="7">
        <f t="shared" si="19"/>
        <v>800</v>
      </c>
      <c r="X104" s="7">
        <f t="shared" si="20"/>
        <v>10.57361882</v>
      </c>
      <c r="Y104" s="7">
        <f t="shared" si="21"/>
        <v>900</v>
      </c>
      <c r="Z104" s="7">
        <f t="shared" si="22"/>
        <v>11.89532117</v>
      </c>
    </row>
    <row r="105">
      <c r="A105" s="19" t="str">
        <f>IFERROR(__xludf.DUMMYFUNCTION("""COMPUTED_VALUE"""),"2020 06")</f>
        <v>2020 06</v>
      </c>
      <c r="B105" s="19" t="str">
        <f>IFERROR(__xludf.DUMMYFUNCTION("""COMPUTED_VALUE"""),"77.61")</f>
        <v>77.61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0.6442468754</v>
      </c>
      <c r="G105" s="7">
        <f t="shared" si="3"/>
        <v>100</v>
      </c>
      <c r="H105" s="7">
        <f t="shared" si="4"/>
        <v>1.288493751</v>
      </c>
      <c r="I105" s="7">
        <f t="shared" si="5"/>
        <v>150</v>
      </c>
      <c r="J105" s="7">
        <f t="shared" si="6"/>
        <v>1.932740626</v>
      </c>
      <c r="K105" s="7">
        <f t="shared" si="7"/>
        <v>200</v>
      </c>
      <c r="L105" s="7">
        <f t="shared" si="8"/>
        <v>2.576987502</v>
      </c>
      <c r="M105" s="7">
        <f t="shared" si="9"/>
        <v>300</v>
      </c>
      <c r="N105" s="7">
        <f t="shared" si="10"/>
        <v>3.865481252</v>
      </c>
      <c r="O105" s="7">
        <f t="shared" si="11"/>
        <v>400</v>
      </c>
      <c r="P105" s="7">
        <f t="shared" si="12"/>
        <v>5.153975003</v>
      </c>
      <c r="Q105" s="7">
        <f t="shared" si="13"/>
        <v>500</v>
      </c>
      <c r="R105" s="7">
        <f t="shared" si="14"/>
        <v>6.442468754</v>
      </c>
      <c r="S105" s="7">
        <f t="shared" si="15"/>
        <v>600</v>
      </c>
      <c r="T105" s="7">
        <f t="shared" si="16"/>
        <v>7.730962505</v>
      </c>
      <c r="U105" s="7">
        <f t="shared" si="17"/>
        <v>700</v>
      </c>
      <c r="V105" s="7">
        <f t="shared" si="18"/>
        <v>9.019456256</v>
      </c>
      <c r="W105" s="7">
        <f t="shared" si="19"/>
        <v>800</v>
      </c>
      <c r="X105" s="7">
        <f t="shared" si="20"/>
        <v>10.30795001</v>
      </c>
      <c r="Y105" s="7">
        <f t="shared" si="21"/>
        <v>900</v>
      </c>
      <c r="Z105" s="7">
        <f t="shared" si="22"/>
        <v>11.59644376</v>
      </c>
    </row>
    <row r="106">
      <c r="A106" s="19" t="str">
        <f>IFERROR(__xludf.DUMMYFUNCTION("""COMPUTED_VALUE"""),"2020 07")</f>
        <v>2020 07</v>
      </c>
      <c r="B106" s="19" t="str">
        <f>IFERROR(__xludf.DUMMYFUNCTION("""COMPUTED_VALUE"""),"76.53")</f>
        <v>76.53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0.65333856</v>
      </c>
      <c r="G106" s="7">
        <f t="shared" si="3"/>
        <v>100</v>
      </c>
      <c r="H106" s="7">
        <f t="shared" si="4"/>
        <v>1.30667712</v>
      </c>
      <c r="I106" s="7">
        <f t="shared" si="5"/>
        <v>150</v>
      </c>
      <c r="J106" s="7">
        <f t="shared" si="6"/>
        <v>1.96001568</v>
      </c>
      <c r="K106" s="7">
        <f t="shared" si="7"/>
        <v>200</v>
      </c>
      <c r="L106" s="7">
        <f t="shared" si="8"/>
        <v>2.61335424</v>
      </c>
      <c r="M106" s="7">
        <f t="shared" si="9"/>
        <v>300</v>
      </c>
      <c r="N106" s="7">
        <f t="shared" si="10"/>
        <v>3.92003136</v>
      </c>
      <c r="O106" s="7">
        <f t="shared" si="11"/>
        <v>400</v>
      </c>
      <c r="P106" s="7">
        <f t="shared" si="12"/>
        <v>5.22670848</v>
      </c>
      <c r="Q106" s="7">
        <f t="shared" si="13"/>
        <v>500</v>
      </c>
      <c r="R106" s="7">
        <f t="shared" si="14"/>
        <v>6.5333856</v>
      </c>
      <c r="S106" s="7">
        <f t="shared" si="15"/>
        <v>600</v>
      </c>
      <c r="T106" s="7">
        <f t="shared" si="16"/>
        <v>7.840062721</v>
      </c>
      <c r="U106" s="7">
        <f t="shared" si="17"/>
        <v>700</v>
      </c>
      <c r="V106" s="7">
        <f t="shared" si="18"/>
        <v>9.146739841</v>
      </c>
      <c r="W106" s="7">
        <f t="shared" si="19"/>
        <v>800</v>
      </c>
      <c r="X106" s="7">
        <f t="shared" si="20"/>
        <v>10.45341696</v>
      </c>
      <c r="Y106" s="7">
        <f t="shared" si="21"/>
        <v>900</v>
      </c>
      <c r="Z106" s="7">
        <f t="shared" si="22"/>
        <v>11.76009408</v>
      </c>
    </row>
    <row r="107">
      <c r="A107" s="19" t="str">
        <f>IFERROR(__xludf.DUMMYFUNCTION("""COMPUTED_VALUE"""),"2020 08")</f>
        <v>2020 08</v>
      </c>
      <c r="B107" s="19" t="str">
        <f>IFERROR(__xludf.DUMMYFUNCTION("""COMPUTED_VALUE"""),"77.71")</f>
        <v>77.71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0.6434178355</v>
      </c>
      <c r="G107" s="7">
        <f t="shared" si="3"/>
        <v>100</v>
      </c>
      <c r="H107" s="7">
        <f t="shared" si="4"/>
        <v>1.286835671</v>
      </c>
      <c r="I107" s="7">
        <f t="shared" si="5"/>
        <v>150</v>
      </c>
      <c r="J107" s="7">
        <f t="shared" si="6"/>
        <v>1.930253507</v>
      </c>
      <c r="K107" s="7">
        <f t="shared" si="7"/>
        <v>200</v>
      </c>
      <c r="L107" s="7">
        <f t="shared" si="8"/>
        <v>2.573671342</v>
      </c>
      <c r="M107" s="7">
        <f t="shared" si="9"/>
        <v>300</v>
      </c>
      <c r="N107" s="7">
        <f t="shared" si="10"/>
        <v>3.860507013</v>
      </c>
      <c r="O107" s="7">
        <f t="shared" si="11"/>
        <v>400</v>
      </c>
      <c r="P107" s="7">
        <f t="shared" si="12"/>
        <v>5.147342684</v>
      </c>
      <c r="Q107" s="7">
        <f t="shared" si="13"/>
        <v>500</v>
      </c>
      <c r="R107" s="7">
        <f t="shared" si="14"/>
        <v>6.434178355</v>
      </c>
      <c r="S107" s="7">
        <f t="shared" si="15"/>
        <v>600</v>
      </c>
      <c r="T107" s="7">
        <f t="shared" si="16"/>
        <v>7.721014027</v>
      </c>
      <c r="U107" s="7">
        <f t="shared" si="17"/>
        <v>700</v>
      </c>
      <c r="V107" s="7">
        <f t="shared" si="18"/>
        <v>9.007849698</v>
      </c>
      <c r="W107" s="7">
        <f t="shared" si="19"/>
        <v>800</v>
      </c>
      <c r="X107" s="7">
        <f t="shared" si="20"/>
        <v>10.29468537</v>
      </c>
      <c r="Y107" s="7">
        <f t="shared" si="21"/>
        <v>900</v>
      </c>
      <c r="Z107" s="7">
        <f t="shared" si="22"/>
        <v>11.58152104</v>
      </c>
    </row>
    <row r="108">
      <c r="A108" s="19" t="str">
        <f>IFERROR(__xludf.DUMMYFUNCTION("""COMPUTED_VALUE"""),"2020 09")</f>
        <v>2020 09</v>
      </c>
      <c r="B108" s="19" t="str">
        <f>IFERROR(__xludf.DUMMYFUNCTION("""COMPUTED_VALUE"""),"80.13")</f>
        <v>80.13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0.6239860227</v>
      </c>
      <c r="G108" s="7">
        <f t="shared" si="3"/>
        <v>100</v>
      </c>
      <c r="H108" s="7">
        <f t="shared" si="4"/>
        <v>1.247972045</v>
      </c>
      <c r="I108" s="7">
        <f t="shared" si="5"/>
        <v>150</v>
      </c>
      <c r="J108" s="7">
        <f t="shared" si="6"/>
        <v>1.871958068</v>
      </c>
      <c r="K108" s="7">
        <f t="shared" si="7"/>
        <v>200</v>
      </c>
      <c r="L108" s="7">
        <f t="shared" si="8"/>
        <v>2.495944091</v>
      </c>
      <c r="M108" s="7">
        <f t="shared" si="9"/>
        <v>300</v>
      </c>
      <c r="N108" s="7">
        <f t="shared" si="10"/>
        <v>3.743916136</v>
      </c>
      <c r="O108" s="7">
        <f t="shared" si="11"/>
        <v>400</v>
      </c>
      <c r="P108" s="7">
        <f t="shared" si="12"/>
        <v>4.991888182</v>
      </c>
      <c r="Q108" s="7">
        <f t="shared" si="13"/>
        <v>500</v>
      </c>
      <c r="R108" s="7">
        <f t="shared" si="14"/>
        <v>6.239860227</v>
      </c>
      <c r="S108" s="7">
        <f t="shared" si="15"/>
        <v>600</v>
      </c>
      <c r="T108" s="7">
        <f t="shared" si="16"/>
        <v>7.487832273</v>
      </c>
      <c r="U108" s="7">
        <f t="shared" si="17"/>
        <v>700</v>
      </c>
      <c r="V108" s="7">
        <f t="shared" si="18"/>
        <v>8.735804318</v>
      </c>
      <c r="W108" s="7">
        <f t="shared" si="19"/>
        <v>800</v>
      </c>
      <c r="X108" s="7">
        <f t="shared" si="20"/>
        <v>9.983776363</v>
      </c>
      <c r="Y108" s="7">
        <f t="shared" si="21"/>
        <v>900</v>
      </c>
      <c r="Z108" s="7">
        <f t="shared" si="22"/>
        <v>11.23174841</v>
      </c>
    </row>
    <row r="109">
      <c r="A109" s="19" t="str">
        <f>IFERROR(__xludf.DUMMYFUNCTION("""COMPUTED_VALUE"""),"2020 10")</f>
        <v>2020 10</v>
      </c>
      <c r="B109" s="19" t="str">
        <f>IFERROR(__xludf.DUMMYFUNCTION("""COMPUTED_VALUE"""),"79.69")</f>
        <v>79.69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0.6274312963</v>
      </c>
      <c r="G109" s="7">
        <f t="shared" si="3"/>
        <v>100</v>
      </c>
      <c r="H109" s="7">
        <f t="shared" si="4"/>
        <v>1.254862593</v>
      </c>
      <c r="I109" s="7">
        <f t="shared" si="5"/>
        <v>150</v>
      </c>
      <c r="J109" s="7">
        <f t="shared" si="6"/>
        <v>1.882293889</v>
      </c>
      <c r="K109" s="7">
        <f t="shared" si="7"/>
        <v>200</v>
      </c>
      <c r="L109" s="7">
        <f t="shared" si="8"/>
        <v>2.509725185</v>
      </c>
      <c r="M109" s="7">
        <f t="shared" si="9"/>
        <v>300</v>
      </c>
      <c r="N109" s="7">
        <f t="shared" si="10"/>
        <v>3.764587778</v>
      </c>
      <c r="O109" s="7">
        <f t="shared" si="11"/>
        <v>400</v>
      </c>
      <c r="P109" s="7">
        <f t="shared" si="12"/>
        <v>5.01945037</v>
      </c>
      <c r="Q109" s="7">
        <f t="shared" si="13"/>
        <v>500</v>
      </c>
      <c r="R109" s="7">
        <f t="shared" si="14"/>
        <v>6.274312963</v>
      </c>
      <c r="S109" s="7">
        <f t="shared" si="15"/>
        <v>600</v>
      </c>
      <c r="T109" s="7">
        <f t="shared" si="16"/>
        <v>7.529175555</v>
      </c>
      <c r="U109" s="7">
        <f t="shared" si="17"/>
        <v>700</v>
      </c>
      <c r="V109" s="7">
        <f t="shared" si="18"/>
        <v>8.784038148</v>
      </c>
      <c r="W109" s="7">
        <f t="shared" si="19"/>
        <v>800</v>
      </c>
      <c r="X109" s="7">
        <f t="shared" si="20"/>
        <v>10.03890074</v>
      </c>
      <c r="Y109" s="7">
        <f t="shared" si="21"/>
        <v>900</v>
      </c>
      <c r="Z109" s="7">
        <f t="shared" si="22"/>
        <v>11.29376333</v>
      </c>
    </row>
    <row r="110">
      <c r="A110" s="19" t="str">
        <f>IFERROR(__xludf.DUMMYFUNCTION("""COMPUTED_VALUE"""),"2020 11")</f>
        <v>2020 11</v>
      </c>
      <c r="B110" s="19" t="str">
        <f>IFERROR(__xludf.DUMMYFUNCTION("""COMPUTED_VALUE"""),"78.98")</f>
        <v>78.98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0.6330716637</v>
      </c>
      <c r="G110" s="7">
        <f t="shared" si="3"/>
        <v>100</v>
      </c>
      <c r="H110" s="7">
        <f t="shared" si="4"/>
        <v>1.266143327</v>
      </c>
      <c r="I110" s="7">
        <f t="shared" si="5"/>
        <v>150</v>
      </c>
      <c r="J110" s="7">
        <f t="shared" si="6"/>
        <v>1.899214991</v>
      </c>
      <c r="K110" s="7">
        <f t="shared" si="7"/>
        <v>200</v>
      </c>
      <c r="L110" s="7">
        <f t="shared" si="8"/>
        <v>2.532286655</v>
      </c>
      <c r="M110" s="7">
        <f t="shared" si="9"/>
        <v>300</v>
      </c>
      <c r="N110" s="7">
        <f t="shared" si="10"/>
        <v>3.798429982</v>
      </c>
      <c r="O110" s="7">
        <f t="shared" si="11"/>
        <v>400</v>
      </c>
      <c r="P110" s="7">
        <f t="shared" si="12"/>
        <v>5.06457331</v>
      </c>
      <c r="Q110" s="7">
        <f t="shared" si="13"/>
        <v>500</v>
      </c>
      <c r="R110" s="7">
        <f t="shared" si="14"/>
        <v>6.330716637</v>
      </c>
      <c r="S110" s="7">
        <f t="shared" si="15"/>
        <v>600</v>
      </c>
      <c r="T110" s="7">
        <f t="shared" si="16"/>
        <v>7.596859965</v>
      </c>
      <c r="U110" s="7">
        <f t="shared" si="17"/>
        <v>700</v>
      </c>
      <c r="V110" s="7">
        <f t="shared" si="18"/>
        <v>8.863003292</v>
      </c>
      <c r="W110" s="7">
        <f t="shared" si="19"/>
        <v>800</v>
      </c>
      <c r="X110" s="7">
        <f t="shared" si="20"/>
        <v>10.12914662</v>
      </c>
      <c r="Y110" s="7">
        <f t="shared" si="21"/>
        <v>900</v>
      </c>
      <c r="Z110" s="7">
        <f t="shared" si="22"/>
        <v>11.39528995</v>
      </c>
    </row>
    <row r="111">
      <c r="A111" s="19" t="str">
        <f>IFERROR(__xludf.DUMMYFUNCTION("""COMPUTED_VALUE"""),"2020 12")</f>
        <v>2020 12</v>
      </c>
      <c r="B111" s="19" t="str">
        <f>IFERROR(__xludf.DUMMYFUNCTION("""COMPUTED_VALUE"""),"85.13")</f>
        <v>85.13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0.587337014</v>
      </c>
      <c r="G111" s="7">
        <f t="shared" si="3"/>
        <v>100</v>
      </c>
      <c r="H111" s="7">
        <f t="shared" si="4"/>
        <v>1.174674028</v>
      </c>
      <c r="I111" s="7">
        <f t="shared" si="5"/>
        <v>150</v>
      </c>
      <c r="J111" s="7">
        <f t="shared" si="6"/>
        <v>1.762011042</v>
      </c>
      <c r="K111" s="7">
        <f t="shared" si="7"/>
        <v>200</v>
      </c>
      <c r="L111" s="7">
        <f t="shared" si="8"/>
        <v>2.349348056</v>
      </c>
      <c r="M111" s="7">
        <f t="shared" si="9"/>
        <v>300</v>
      </c>
      <c r="N111" s="7">
        <f t="shared" si="10"/>
        <v>3.524022084</v>
      </c>
      <c r="O111" s="7">
        <f t="shared" si="11"/>
        <v>400</v>
      </c>
      <c r="P111" s="7">
        <f t="shared" si="12"/>
        <v>4.698696112</v>
      </c>
      <c r="Q111" s="7">
        <f t="shared" si="13"/>
        <v>500</v>
      </c>
      <c r="R111" s="7">
        <f t="shared" si="14"/>
        <v>5.87337014</v>
      </c>
      <c r="S111" s="7">
        <f t="shared" si="15"/>
        <v>600</v>
      </c>
      <c r="T111" s="7">
        <f t="shared" si="16"/>
        <v>7.048044168</v>
      </c>
      <c r="U111" s="7">
        <f t="shared" si="17"/>
        <v>700</v>
      </c>
      <c r="V111" s="7">
        <f t="shared" si="18"/>
        <v>8.222718196</v>
      </c>
      <c r="W111" s="7">
        <f t="shared" si="19"/>
        <v>800</v>
      </c>
      <c r="X111" s="7">
        <f t="shared" si="20"/>
        <v>9.397392224</v>
      </c>
      <c r="Y111" s="7">
        <f t="shared" si="21"/>
        <v>900</v>
      </c>
      <c r="Z111" s="7">
        <f t="shared" si="22"/>
        <v>10.57206625</v>
      </c>
    </row>
    <row r="112">
      <c r="A112" s="19" t="str">
        <f>IFERROR(__xludf.DUMMYFUNCTION("""COMPUTED_VALUE"""),"2021 01")</f>
        <v>2021 01</v>
      </c>
      <c r="B112" s="19" t="str">
        <f>IFERROR(__xludf.DUMMYFUNCTION("""COMPUTED_VALUE"""),"83.83")</f>
        <v>83.83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0.5964451867</v>
      </c>
      <c r="G112" s="7">
        <f t="shared" si="3"/>
        <v>100</v>
      </c>
      <c r="H112" s="7">
        <f t="shared" si="4"/>
        <v>1.192890373</v>
      </c>
      <c r="I112" s="7">
        <f t="shared" si="5"/>
        <v>150</v>
      </c>
      <c r="J112" s="7">
        <f t="shared" si="6"/>
        <v>1.78933556</v>
      </c>
      <c r="K112" s="7">
        <f t="shared" si="7"/>
        <v>200</v>
      </c>
      <c r="L112" s="7">
        <f t="shared" si="8"/>
        <v>2.385780747</v>
      </c>
      <c r="M112" s="7">
        <f t="shared" si="9"/>
        <v>300</v>
      </c>
      <c r="N112" s="7">
        <f t="shared" si="10"/>
        <v>3.57867112</v>
      </c>
      <c r="O112" s="7">
        <f t="shared" si="11"/>
        <v>400</v>
      </c>
      <c r="P112" s="7">
        <f t="shared" si="12"/>
        <v>4.771561493</v>
      </c>
      <c r="Q112" s="7">
        <f t="shared" si="13"/>
        <v>500</v>
      </c>
      <c r="R112" s="7">
        <f t="shared" si="14"/>
        <v>5.964451867</v>
      </c>
      <c r="S112" s="7">
        <f t="shared" si="15"/>
        <v>600</v>
      </c>
      <c r="T112" s="7">
        <f t="shared" si="16"/>
        <v>7.15734224</v>
      </c>
      <c r="U112" s="7">
        <f t="shared" si="17"/>
        <v>700</v>
      </c>
      <c r="V112" s="7">
        <f t="shared" si="18"/>
        <v>8.350232614</v>
      </c>
      <c r="W112" s="7">
        <f t="shared" si="19"/>
        <v>800</v>
      </c>
      <c r="X112" s="7">
        <f t="shared" si="20"/>
        <v>9.543122987</v>
      </c>
      <c r="Y112" s="7">
        <f t="shared" si="21"/>
        <v>900</v>
      </c>
      <c r="Z112" s="7">
        <f t="shared" si="22"/>
        <v>10.73601336</v>
      </c>
    </row>
    <row r="113">
      <c r="A113" s="19" t="str">
        <f>IFERROR(__xludf.DUMMYFUNCTION("""COMPUTED_VALUE"""),"2021 02")</f>
        <v>2021 02</v>
      </c>
      <c r="B113" s="19" t="str">
        <f>IFERROR(__xludf.DUMMYFUNCTION("""COMPUTED_VALUE"""),"83.72")</f>
        <v>83.72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0.5972288581</v>
      </c>
      <c r="G113" s="7">
        <f t="shared" si="3"/>
        <v>100</v>
      </c>
      <c r="H113" s="7">
        <f t="shared" si="4"/>
        <v>1.194457716</v>
      </c>
      <c r="I113" s="7">
        <f t="shared" si="5"/>
        <v>150</v>
      </c>
      <c r="J113" s="7">
        <f t="shared" si="6"/>
        <v>1.791686574</v>
      </c>
      <c r="K113" s="7">
        <f t="shared" si="7"/>
        <v>200</v>
      </c>
      <c r="L113" s="7">
        <f t="shared" si="8"/>
        <v>2.388915432</v>
      </c>
      <c r="M113" s="7">
        <f t="shared" si="9"/>
        <v>300</v>
      </c>
      <c r="N113" s="7">
        <f t="shared" si="10"/>
        <v>3.583373149</v>
      </c>
      <c r="O113" s="7">
        <f t="shared" si="11"/>
        <v>400</v>
      </c>
      <c r="P113" s="7">
        <f t="shared" si="12"/>
        <v>4.777830865</v>
      </c>
      <c r="Q113" s="7">
        <f t="shared" si="13"/>
        <v>500</v>
      </c>
      <c r="R113" s="7">
        <f t="shared" si="14"/>
        <v>5.972288581</v>
      </c>
      <c r="S113" s="7">
        <f t="shared" si="15"/>
        <v>600</v>
      </c>
      <c r="T113" s="7">
        <f t="shared" si="16"/>
        <v>7.166746297</v>
      </c>
      <c r="U113" s="7">
        <f t="shared" si="17"/>
        <v>700</v>
      </c>
      <c r="V113" s="7">
        <f t="shared" si="18"/>
        <v>8.361204013</v>
      </c>
      <c r="W113" s="7">
        <f t="shared" si="19"/>
        <v>800</v>
      </c>
      <c r="X113" s="7">
        <f t="shared" si="20"/>
        <v>9.55566173</v>
      </c>
      <c r="Y113" s="7">
        <f t="shared" si="21"/>
        <v>900</v>
      </c>
      <c r="Z113" s="7">
        <f t="shared" si="22"/>
        <v>10.75011945</v>
      </c>
    </row>
    <row r="114">
      <c r="A114" s="19" t="str">
        <f>IFERROR(__xludf.DUMMYFUNCTION("""COMPUTED_VALUE"""),"2021 03")</f>
        <v>2021 03</v>
      </c>
      <c r="B114" s="19" t="str">
        <f>IFERROR(__xludf.DUMMYFUNCTION("""COMPUTED_VALUE"""),"85.14")</f>
        <v>85.14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0.5872680291</v>
      </c>
      <c r="G114" s="7">
        <f t="shared" si="3"/>
        <v>100</v>
      </c>
      <c r="H114" s="7">
        <f t="shared" si="4"/>
        <v>1.174536058</v>
      </c>
      <c r="I114" s="7">
        <f t="shared" si="5"/>
        <v>150</v>
      </c>
      <c r="J114" s="7">
        <f t="shared" si="6"/>
        <v>1.761804087</v>
      </c>
      <c r="K114" s="7">
        <f t="shared" si="7"/>
        <v>200</v>
      </c>
      <c r="L114" s="7">
        <f t="shared" si="8"/>
        <v>2.349072117</v>
      </c>
      <c r="M114" s="7">
        <f t="shared" si="9"/>
        <v>300</v>
      </c>
      <c r="N114" s="7">
        <f t="shared" si="10"/>
        <v>3.523608175</v>
      </c>
      <c r="O114" s="7">
        <f t="shared" si="11"/>
        <v>400</v>
      </c>
      <c r="P114" s="7">
        <f t="shared" si="12"/>
        <v>4.698144233</v>
      </c>
      <c r="Q114" s="7">
        <f t="shared" si="13"/>
        <v>500</v>
      </c>
      <c r="R114" s="7">
        <f t="shared" si="14"/>
        <v>5.872680291</v>
      </c>
      <c r="S114" s="7">
        <f t="shared" si="15"/>
        <v>600</v>
      </c>
      <c r="T114" s="7">
        <f t="shared" si="16"/>
        <v>7.04721635</v>
      </c>
      <c r="U114" s="7">
        <f t="shared" si="17"/>
        <v>700</v>
      </c>
      <c r="V114" s="7">
        <f t="shared" si="18"/>
        <v>8.221752408</v>
      </c>
      <c r="W114" s="7">
        <f t="shared" si="19"/>
        <v>800</v>
      </c>
      <c r="X114" s="7">
        <f t="shared" si="20"/>
        <v>9.396288466</v>
      </c>
      <c r="Y114" s="7">
        <f t="shared" si="21"/>
        <v>900</v>
      </c>
      <c r="Z114" s="7">
        <f t="shared" si="22"/>
        <v>10.57082452</v>
      </c>
    </row>
    <row r="115">
      <c r="A115" s="19" t="str">
        <f>IFERROR(__xludf.DUMMYFUNCTION("""COMPUTED_VALUE"""),"2021 04")</f>
        <v>2021 04</v>
      </c>
      <c r="B115" s="19" t="str">
        <f>IFERROR(__xludf.DUMMYFUNCTION("""COMPUTED_VALUE"""),"89.42")</f>
        <v>89.42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0.5591590248</v>
      </c>
      <c r="G115" s="7">
        <f t="shared" si="3"/>
        <v>100</v>
      </c>
      <c r="H115" s="7">
        <f t="shared" si="4"/>
        <v>1.11831805</v>
      </c>
      <c r="I115" s="7">
        <f t="shared" si="5"/>
        <v>150</v>
      </c>
      <c r="J115" s="7">
        <f t="shared" si="6"/>
        <v>1.677477074</v>
      </c>
      <c r="K115" s="7">
        <f t="shared" si="7"/>
        <v>200</v>
      </c>
      <c r="L115" s="7">
        <f t="shared" si="8"/>
        <v>2.236636099</v>
      </c>
      <c r="M115" s="7">
        <f t="shared" si="9"/>
        <v>300</v>
      </c>
      <c r="N115" s="7">
        <f t="shared" si="10"/>
        <v>3.354954149</v>
      </c>
      <c r="O115" s="7">
        <f t="shared" si="11"/>
        <v>400</v>
      </c>
      <c r="P115" s="7">
        <f t="shared" si="12"/>
        <v>4.473272199</v>
      </c>
      <c r="Q115" s="7">
        <f t="shared" si="13"/>
        <v>500</v>
      </c>
      <c r="R115" s="7">
        <f t="shared" si="14"/>
        <v>5.591590248</v>
      </c>
      <c r="S115" s="7">
        <f t="shared" si="15"/>
        <v>600</v>
      </c>
      <c r="T115" s="7">
        <f t="shared" si="16"/>
        <v>6.709908298</v>
      </c>
      <c r="U115" s="7">
        <f t="shared" si="17"/>
        <v>700</v>
      </c>
      <c r="V115" s="7">
        <f t="shared" si="18"/>
        <v>7.828226348</v>
      </c>
      <c r="W115" s="7">
        <f t="shared" si="19"/>
        <v>800</v>
      </c>
      <c r="X115" s="7">
        <f t="shared" si="20"/>
        <v>8.946544397</v>
      </c>
      <c r="Y115" s="7">
        <f t="shared" si="21"/>
        <v>900</v>
      </c>
      <c r="Z115" s="7">
        <f t="shared" si="22"/>
        <v>10.06486245</v>
      </c>
    </row>
    <row r="116">
      <c r="A116" s="19" t="str">
        <f>IFERROR(__xludf.DUMMYFUNCTION("""COMPUTED_VALUE"""),"2021 05")</f>
        <v>2021 05</v>
      </c>
      <c r="B116" s="19" t="str">
        <f>IFERROR(__xludf.DUMMYFUNCTION("""COMPUTED_VALUE"""),"91.69")</f>
        <v>91.69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0.5453157378</v>
      </c>
      <c r="G116" s="7">
        <f t="shared" si="3"/>
        <v>100</v>
      </c>
      <c r="H116" s="7">
        <f t="shared" si="4"/>
        <v>1.090631476</v>
      </c>
      <c r="I116" s="7">
        <f t="shared" si="5"/>
        <v>150</v>
      </c>
      <c r="J116" s="7">
        <f t="shared" si="6"/>
        <v>1.635947213</v>
      </c>
      <c r="K116" s="7">
        <f t="shared" si="7"/>
        <v>200</v>
      </c>
      <c r="L116" s="7">
        <f t="shared" si="8"/>
        <v>2.181262951</v>
      </c>
      <c r="M116" s="7">
        <f t="shared" si="9"/>
        <v>300</v>
      </c>
      <c r="N116" s="7">
        <f t="shared" si="10"/>
        <v>3.271894427</v>
      </c>
      <c r="O116" s="7">
        <f t="shared" si="11"/>
        <v>400</v>
      </c>
      <c r="P116" s="7">
        <f t="shared" si="12"/>
        <v>4.362525902</v>
      </c>
      <c r="Q116" s="7">
        <f t="shared" si="13"/>
        <v>500</v>
      </c>
      <c r="R116" s="7">
        <f t="shared" si="14"/>
        <v>5.453157378</v>
      </c>
      <c r="S116" s="7">
        <f t="shared" si="15"/>
        <v>600</v>
      </c>
      <c r="T116" s="7">
        <f t="shared" si="16"/>
        <v>6.543788854</v>
      </c>
      <c r="U116" s="7">
        <f t="shared" si="17"/>
        <v>700</v>
      </c>
      <c r="V116" s="7">
        <f t="shared" si="18"/>
        <v>7.634420329</v>
      </c>
      <c r="W116" s="7">
        <f t="shared" si="19"/>
        <v>800</v>
      </c>
      <c r="X116" s="7">
        <f t="shared" si="20"/>
        <v>8.725051805</v>
      </c>
      <c r="Y116" s="7">
        <f t="shared" si="21"/>
        <v>900</v>
      </c>
      <c r="Z116" s="7">
        <f t="shared" si="22"/>
        <v>9.815683281</v>
      </c>
    </row>
    <row r="117">
      <c r="A117" s="19" t="str">
        <f>IFERROR(__xludf.DUMMYFUNCTION("""COMPUTED_VALUE"""),"2021 06")</f>
        <v>2021 06</v>
      </c>
      <c r="B117" s="19" t="str">
        <f>IFERROR(__xludf.DUMMYFUNCTION("""COMPUTED_VALUE"""),"92.61")</f>
        <v>92.61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0.5398984991</v>
      </c>
      <c r="G117" s="7">
        <f t="shared" si="3"/>
        <v>100</v>
      </c>
      <c r="H117" s="7">
        <f t="shared" si="4"/>
        <v>1.079796998</v>
      </c>
      <c r="I117" s="7">
        <f t="shared" si="5"/>
        <v>150</v>
      </c>
      <c r="J117" s="7">
        <f t="shared" si="6"/>
        <v>1.619695497</v>
      </c>
      <c r="K117" s="7">
        <f t="shared" si="7"/>
        <v>200</v>
      </c>
      <c r="L117" s="7">
        <f t="shared" si="8"/>
        <v>2.159593996</v>
      </c>
      <c r="M117" s="7">
        <f t="shared" si="9"/>
        <v>300</v>
      </c>
      <c r="N117" s="7">
        <f t="shared" si="10"/>
        <v>3.239390994</v>
      </c>
      <c r="O117" s="7">
        <f t="shared" si="11"/>
        <v>400</v>
      </c>
      <c r="P117" s="7">
        <f t="shared" si="12"/>
        <v>4.319187993</v>
      </c>
      <c r="Q117" s="7">
        <f t="shared" si="13"/>
        <v>500</v>
      </c>
      <c r="R117" s="7">
        <f t="shared" si="14"/>
        <v>5.398984991</v>
      </c>
      <c r="S117" s="7">
        <f t="shared" si="15"/>
        <v>600</v>
      </c>
      <c r="T117" s="7">
        <f t="shared" si="16"/>
        <v>6.478781989</v>
      </c>
      <c r="U117" s="7">
        <f t="shared" si="17"/>
        <v>700</v>
      </c>
      <c r="V117" s="7">
        <f t="shared" si="18"/>
        <v>7.558578987</v>
      </c>
      <c r="W117" s="7">
        <f t="shared" si="19"/>
        <v>800</v>
      </c>
      <c r="X117" s="7">
        <f t="shared" si="20"/>
        <v>8.638375985</v>
      </c>
      <c r="Y117" s="7">
        <f t="shared" si="21"/>
        <v>900</v>
      </c>
      <c r="Z117" s="7">
        <f t="shared" si="22"/>
        <v>9.718172983</v>
      </c>
    </row>
    <row r="118">
      <c r="A118" s="19" t="str">
        <f>IFERROR(__xludf.DUMMYFUNCTION("""COMPUTED_VALUE"""),"2021 07")</f>
        <v>2021 07</v>
      </c>
      <c r="B118" s="19" t="str">
        <f>IFERROR(__xludf.DUMMYFUNCTION("""COMPUTED_VALUE"""),"96.55")</f>
        <v>96.55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0.5178663905</v>
      </c>
      <c r="G118" s="7">
        <f t="shared" si="3"/>
        <v>100</v>
      </c>
      <c r="H118" s="7">
        <f t="shared" si="4"/>
        <v>1.035732781</v>
      </c>
      <c r="I118" s="7">
        <f t="shared" si="5"/>
        <v>150</v>
      </c>
      <c r="J118" s="7">
        <f t="shared" si="6"/>
        <v>1.553599171</v>
      </c>
      <c r="K118" s="7">
        <f t="shared" si="7"/>
        <v>200</v>
      </c>
      <c r="L118" s="7">
        <f t="shared" si="8"/>
        <v>2.071465562</v>
      </c>
      <c r="M118" s="7">
        <f t="shared" si="9"/>
        <v>300</v>
      </c>
      <c r="N118" s="7">
        <f t="shared" si="10"/>
        <v>3.107198343</v>
      </c>
      <c r="O118" s="7">
        <f t="shared" si="11"/>
        <v>400</v>
      </c>
      <c r="P118" s="7">
        <f t="shared" si="12"/>
        <v>4.142931124</v>
      </c>
      <c r="Q118" s="7">
        <f t="shared" si="13"/>
        <v>500</v>
      </c>
      <c r="R118" s="7">
        <f t="shared" si="14"/>
        <v>5.178663905</v>
      </c>
      <c r="S118" s="7">
        <f t="shared" si="15"/>
        <v>600</v>
      </c>
      <c r="T118" s="7">
        <f t="shared" si="16"/>
        <v>6.214396686</v>
      </c>
      <c r="U118" s="7">
        <f t="shared" si="17"/>
        <v>700</v>
      </c>
      <c r="V118" s="7">
        <f t="shared" si="18"/>
        <v>7.250129467</v>
      </c>
      <c r="W118" s="7">
        <f t="shared" si="19"/>
        <v>800</v>
      </c>
      <c r="X118" s="7">
        <f t="shared" si="20"/>
        <v>8.285862248</v>
      </c>
      <c r="Y118" s="7">
        <f t="shared" si="21"/>
        <v>900</v>
      </c>
      <c r="Z118" s="7">
        <f t="shared" si="22"/>
        <v>9.321595028</v>
      </c>
    </row>
    <row r="119">
      <c r="A119" s="19" t="str">
        <f>IFERROR(__xludf.DUMMYFUNCTION("""COMPUTED_VALUE"""),"2021 08")</f>
        <v>2021 08</v>
      </c>
      <c r="B119" s="19" t="str">
        <f>IFERROR(__xludf.DUMMYFUNCTION("""COMPUTED_VALUE"""),"100.68")</f>
        <v>100.68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0.4966229638</v>
      </c>
      <c r="G119" s="7">
        <f t="shared" si="3"/>
        <v>100</v>
      </c>
      <c r="H119" s="7">
        <f t="shared" si="4"/>
        <v>0.9932459277</v>
      </c>
      <c r="I119" s="7">
        <f t="shared" si="5"/>
        <v>150</v>
      </c>
      <c r="J119" s="7">
        <f t="shared" si="6"/>
        <v>1.489868892</v>
      </c>
      <c r="K119" s="7">
        <f t="shared" si="7"/>
        <v>200</v>
      </c>
      <c r="L119" s="7">
        <f t="shared" si="8"/>
        <v>1.986491855</v>
      </c>
      <c r="M119" s="7">
        <f t="shared" si="9"/>
        <v>300</v>
      </c>
      <c r="N119" s="7">
        <f t="shared" si="10"/>
        <v>2.979737783</v>
      </c>
      <c r="O119" s="7">
        <f t="shared" si="11"/>
        <v>400</v>
      </c>
      <c r="P119" s="7">
        <f t="shared" si="12"/>
        <v>3.972983711</v>
      </c>
      <c r="Q119" s="7">
        <f t="shared" si="13"/>
        <v>500</v>
      </c>
      <c r="R119" s="7">
        <f t="shared" si="14"/>
        <v>4.966229638</v>
      </c>
      <c r="S119" s="7">
        <f t="shared" si="15"/>
        <v>600</v>
      </c>
      <c r="T119" s="7">
        <f t="shared" si="16"/>
        <v>5.959475566</v>
      </c>
      <c r="U119" s="7">
        <f t="shared" si="17"/>
        <v>700</v>
      </c>
      <c r="V119" s="7">
        <f t="shared" si="18"/>
        <v>6.952721494</v>
      </c>
      <c r="W119" s="7">
        <f t="shared" si="19"/>
        <v>800</v>
      </c>
      <c r="X119" s="7">
        <f t="shared" si="20"/>
        <v>7.945967422</v>
      </c>
      <c r="Y119" s="7">
        <f t="shared" si="21"/>
        <v>900</v>
      </c>
      <c r="Z119" s="7">
        <f t="shared" si="22"/>
        <v>8.939213349</v>
      </c>
    </row>
    <row r="120">
      <c r="A120" s="19" t="str">
        <f>IFERROR(__xludf.DUMMYFUNCTION("""COMPUTED_VALUE"""),"2021 09")</f>
        <v>2021 09</v>
      </c>
      <c r="B120" s="19" t="str">
        <f>IFERROR(__xludf.DUMMYFUNCTION("""COMPUTED_VALUE"""),"103.13")</f>
        <v>103.13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0.4848249782</v>
      </c>
      <c r="G120" s="7">
        <f t="shared" si="3"/>
        <v>100</v>
      </c>
      <c r="H120" s="7">
        <f t="shared" si="4"/>
        <v>0.9696499564</v>
      </c>
      <c r="I120" s="7">
        <f t="shared" si="5"/>
        <v>150</v>
      </c>
      <c r="J120" s="7">
        <f t="shared" si="6"/>
        <v>1.454474935</v>
      </c>
      <c r="K120" s="7">
        <f t="shared" si="7"/>
        <v>200</v>
      </c>
      <c r="L120" s="7">
        <f t="shared" si="8"/>
        <v>1.939299913</v>
      </c>
      <c r="M120" s="7">
        <f t="shared" si="9"/>
        <v>300</v>
      </c>
      <c r="N120" s="7">
        <f t="shared" si="10"/>
        <v>2.908949869</v>
      </c>
      <c r="O120" s="7">
        <f t="shared" si="11"/>
        <v>400</v>
      </c>
      <c r="P120" s="7">
        <f t="shared" si="12"/>
        <v>3.878599825</v>
      </c>
      <c r="Q120" s="7">
        <f t="shared" si="13"/>
        <v>500</v>
      </c>
      <c r="R120" s="7">
        <f t="shared" si="14"/>
        <v>4.848249782</v>
      </c>
      <c r="S120" s="7">
        <f t="shared" si="15"/>
        <v>600</v>
      </c>
      <c r="T120" s="7">
        <f t="shared" si="16"/>
        <v>5.817899738</v>
      </c>
      <c r="U120" s="7">
        <f t="shared" si="17"/>
        <v>700</v>
      </c>
      <c r="V120" s="7">
        <f t="shared" si="18"/>
        <v>6.787549695</v>
      </c>
      <c r="W120" s="7">
        <f t="shared" si="19"/>
        <v>800</v>
      </c>
      <c r="X120" s="7">
        <f t="shared" si="20"/>
        <v>7.757199651</v>
      </c>
      <c r="Y120" s="7">
        <f t="shared" si="21"/>
        <v>900</v>
      </c>
      <c r="Z120" s="7">
        <f t="shared" si="22"/>
        <v>8.726849607</v>
      </c>
    </row>
    <row r="121">
      <c r="A121" s="19" t="str">
        <f>IFERROR(__xludf.DUMMYFUNCTION("""COMPUTED_VALUE"""),"2021 10")</f>
        <v>2021 10</v>
      </c>
      <c r="B121" s="19" t="str">
        <f>IFERROR(__xludf.DUMMYFUNCTION("""COMPUTED_VALUE"""),"99.13")</f>
        <v>99.13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0.5043881771</v>
      </c>
      <c r="G121" s="7">
        <f t="shared" si="3"/>
        <v>100</v>
      </c>
      <c r="H121" s="7">
        <f t="shared" si="4"/>
        <v>1.008776354</v>
      </c>
      <c r="I121" s="7">
        <f t="shared" si="5"/>
        <v>150</v>
      </c>
      <c r="J121" s="7">
        <f t="shared" si="6"/>
        <v>1.513164531</v>
      </c>
      <c r="K121" s="7">
        <f t="shared" si="7"/>
        <v>200</v>
      </c>
      <c r="L121" s="7">
        <f t="shared" si="8"/>
        <v>2.017552709</v>
      </c>
      <c r="M121" s="7">
        <f t="shared" si="9"/>
        <v>300</v>
      </c>
      <c r="N121" s="7">
        <f t="shared" si="10"/>
        <v>3.026329063</v>
      </c>
      <c r="O121" s="7">
        <f t="shared" si="11"/>
        <v>400</v>
      </c>
      <c r="P121" s="7">
        <f t="shared" si="12"/>
        <v>4.035105417</v>
      </c>
      <c r="Q121" s="7">
        <f t="shared" si="13"/>
        <v>500</v>
      </c>
      <c r="R121" s="7">
        <f t="shared" si="14"/>
        <v>5.043881771</v>
      </c>
      <c r="S121" s="7">
        <f t="shared" si="15"/>
        <v>600</v>
      </c>
      <c r="T121" s="7">
        <f t="shared" si="16"/>
        <v>6.052658126</v>
      </c>
      <c r="U121" s="7">
        <f t="shared" si="17"/>
        <v>700</v>
      </c>
      <c r="V121" s="7">
        <f t="shared" si="18"/>
        <v>7.06143448</v>
      </c>
      <c r="W121" s="7">
        <f t="shared" si="19"/>
        <v>800</v>
      </c>
      <c r="X121" s="7">
        <f t="shared" si="20"/>
        <v>8.070210834</v>
      </c>
      <c r="Y121" s="7">
        <f t="shared" si="21"/>
        <v>900</v>
      </c>
      <c r="Z121" s="7">
        <f t="shared" si="22"/>
        <v>9.078987189</v>
      </c>
    </row>
    <row r="122">
      <c r="A122" s="19" t="str">
        <f>IFERROR(__xludf.DUMMYFUNCTION("""COMPUTED_VALUE"""),"2021 11")</f>
        <v>2021 11</v>
      </c>
      <c r="B122" s="19" t="str">
        <f>IFERROR(__xludf.DUMMYFUNCTION("""COMPUTED_VALUE"""),"101.48")</f>
        <v>101.48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0.4927079227</v>
      </c>
      <c r="G122" s="7">
        <f t="shared" si="3"/>
        <v>100</v>
      </c>
      <c r="H122" s="7">
        <f t="shared" si="4"/>
        <v>0.9854158455</v>
      </c>
      <c r="I122" s="7">
        <f t="shared" si="5"/>
        <v>150</v>
      </c>
      <c r="J122" s="7">
        <f t="shared" si="6"/>
        <v>1.478123768</v>
      </c>
      <c r="K122" s="7">
        <f t="shared" si="7"/>
        <v>200</v>
      </c>
      <c r="L122" s="7">
        <f t="shared" si="8"/>
        <v>1.970831691</v>
      </c>
      <c r="M122" s="7">
        <f t="shared" si="9"/>
        <v>300</v>
      </c>
      <c r="N122" s="7">
        <f t="shared" si="10"/>
        <v>2.956247536</v>
      </c>
      <c r="O122" s="7">
        <f t="shared" si="11"/>
        <v>400</v>
      </c>
      <c r="P122" s="7">
        <f t="shared" si="12"/>
        <v>3.941663382</v>
      </c>
      <c r="Q122" s="7">
        <f t="shared" si="13"/>
        <v>500</v>
      </c>
      <c r="R122" s="7">
        <f t="shared" si="14"/>
        <v>4.927079227</v>
      </c>
      <c r="S122" s="7">
        <f t="shared" si="15"/>
        <v>600</v>
      </c>
      <c r="T122" s="7">
        <f t="shared" si="16"/>
        <v>5.912495073</v>
      </c>
      <c r="U122" s="7">
        <f t="shared" si="17"/>
        <v>700</v>
      </c>
      <c r="V122" s="7">
        <f t="shared" si="18"/>
        <v>6.897910918</v>
      </c>
      <c r="W122" s="7">
        <f t="shared" si="19"/>
        <v>800</v>
      </c>
      <c r="X122" s="7">
        <f t="shared" si="20"/>
        <v>7.883326764</v>
      </c>
      <c r="Y122" s="7">
        <f t="shared" si="21"/>
        <v>900</v>
      </c>
      <c r="Z122" s="7">
        <f t="shared" si="22"/>
        <v>8.868742609</v>
      </c>
    </row>
    <row r="123">
      <c r="A123" s="19" t="str">
        <f>IFERROR(__xludf.DUMMYFUNCTION("""COMPUTED_VALUE"""),"2021 12")</f>
        <v>2021 12</v>
      </c>
      <c r="B123" s="19" t="str">
        <f>IFERROR(__xludf.DUMMYFUNCTION("""COMPUTED_VALUE"""),"104.88")</f>
        <v>104.88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0.4767353166</v>
      </c>
      <c r="G123" s="7">
        <f t="shared" si="3"/>
        <v>100</v>
      </c>
      <c r="H123" s="7">
        <f t="shared" si="4"/>
        <v>0.9534706331</v>
      </c>
      <c r="I123" s="7">
        <f t="shared" si="5"/>
        <v>150</v>
      </c>
      <c r="J123" s="7">
        <f t="shared" si="6"/>
        <v>1.43020595</v>
      </c>
      <c r="K123" s="7">
        <f t="shared" si="7"/>
        <v>200</v>
      </c>
      <c r="L123" s="7">
        <f t="shared" si="8"/>
        <v>1.906941266</v>
      </c>
      <c r="M123" s="7">
        <f t="shared" si="9"/>
        <v>300</v>
      </c>
      <c r="N123" s="7">
        <f t="shared" si="10"/>
        <v>2.860411899</v>
      </c>
      <c r="O123" s="7">
        <f t="shared" si="11"/>
        <v>400</v>
      </c>
      <c r="P123" s="7">
        <f t="shared" si="12"/>
        <v>3.813882532</v>
      </c>
      <c r="Q123" s="7">
        <f t="shared" si="13"/>
        <v>500</v>
      </c>
      <c r="R123" s="7">
        <f t="shared" si="14"/>
        <v>4.767353166</v>
      </c>
      <c r="S123" s="7">
        <f t="shared" si="15"/>
        <v>600</v>
      </c>
      <c r="T123" s="7">
        <f t="shared" si="16"/>
        <v>5.720823799</v>
      </c>
      <c r="U123" s="7">
        <f t="shared" si="17"/>
        <v>700</v>
      </c>
      <c r="V123" s="7">
        <f t="shared" si="18"/>
        <v>6.674294432</v>
      </c>
      <c r="W123" s="7">
        <f t="shared" si="19"/>
        <v>800</v>
      </c>
      <c r="X123" s="7">
        <f t="shared" si="20"/>
        <v>7.627765065</v>
      </c>
      <c r="Y123" s="7">
        <f t="shared" si="21"/>
        <v>900</v>
      </c>
      <c r="Z123" s="7">
        <f t="shared" si="22"/>
        <v>8.581235698</v>
      </c>
    </row>
    <row r="124">
      <c r="A124" s="19" t="str">
        <f>IFERROR(__xludf.DUMMYFUNCTION("""COMPUTED_VALUE"""),"2022 01")</f>
        <v>2022 01</v>
      </c>
      <c r="B124" s="19" t="str">
        <f>IFERROR(__xludf.DUMMYFUNCTION("""COMPUTED_VALUE"""),"107.94")</f>
        <v>107.94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0.4632203076</v>
      </c>
      <c r="G124" s="7">
        <f t="shared" si="3"/>
        <v>100</v>
      </c>
      <c r="H124" s="7">
        <f t="shared" si="4"/>
        <v>0.9264406152</v>
      </c>
      <c r="I124" s="7">
        <f t="shared" si="5"/>
        <v>150</v>
      </c>
      <c r="J124" s="7">
        <f t="shared" si="6"/>
        <v>1.389660923</v>
      </c>
      <c r="K124" s="7">
        <f t="shared" si="7"/>
        <v>200</v>
      </c>
      <c r="L124" s="7">
        <f t="shared" si="8"/>
        <v>1.85288123</v>
      </c>
      <c r="M124" s="7">
        <f t="shared" si="9"/>
        <v>300</v>
      </c>
      <c r="N124" s="7">
        <f t="shared" si="10"/>
        <v>2.779321845</v>
      </c>
      <c r="O124" s="7">
        <f t="shared" si="11"/>
        <v>400</v>
      </c>
      <c r="P124" s="7">
        <f t="shared" si="12"/>
        <v>3.705762461</v>
      </c>
      <c r="Q124" s="7">
        <f t="shared" si="13"/>
        <v>500</v>
      </c>
      <c r="R124" s="7">
        <f t="shared" si="14"/>
        <v>4.632203076</v>
      </c>
      <c r="S124" s="7">
        <f t="shared" si="15"/>
        <v>600</v>
      </c>
      <c r="T124" s="7">
        <f t="shared" si="16"/>
        <v>5.558643691</v>
      </c>
      <c r="U124" s="7">
        <f t="shared" si="17"/>
        <v>700</v>
      </c>
      <c r="V124" s="7">
        <f t="shared" si="18"/>
        <v>6.485084306</v>
      </c>
      <c r="W124" s="7">
        <f t="shared" si="19"/>
        <v>800</v>
      </c>
      <c r="X124" s="7">
        <f t="shared" si="20"/>
        <v>7.411524921</v>
      </c>
      <c r="Y124" s="7">
        <f t="shared" si="21"/>
        <v>900</v>
      </c>
      <c r="Z124" s="7">
        <f t="shared" si="22"/>
        <v>8.337965536</v>
      </c>
    </row>
    <row r="125">
      <c r="A125" s="19" t="str">
        <f>IFERROR(__xludf.DUMMYFUNCTION("""COMPUTED_VALUE"""),"2022 02")</f>
        <v>2022 02</v>
      </c>
      <c r="B125" s="19" t="str">
        <f>IFERROR(__xludf.DUMMYFUNCTION("""COMPUTED_VALUE"""),"103.53")</f>
        <v>103.53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0.4829518014</v>
      </c>
      <c r="G125" s="7">
        <f t="shared" si="3"/>
        <v>100</v>
      </c>
      <c r="H125" s="7">
        <f t="shared" si="4"/>
        <v>0.9659036028</v>
      </c>
      <c r="I125" s="7">
        <f t="shared" si="5"/>
        <v>150</v>
      </c>
      <c r="J125" s="7">
        <f t="shared" si="6"/>
        <v>1.448855404</v>
      </c>
      <c r="K125" s="7">
        <f t="shared" si="7"/>
        <v>200</v>
      </c>
      <c r="L125" s="7">
        <f t="shared" si="8"/>
        <v>1.931807206</v>
      </c>
      <c r="M125" s="7">
        <f t="shared" si="9"/>
        <v>300</v>
      </c>
      <c r="N125" s="7">
        <f t="shared" si="10"/>
        <v>2.897710808</v>
      </c>
      <c r="O125" s="7">
        <f t="shared" si="11"/>
        <v>400</v>
      </c>
      <c r="P125" s="7">
        <f t="shared" si="12"/>
        <v>3.863614411</v>
      </c>
      <c r="Q125" s="7">
        <f t="shared" si="13"/>
        <v>500</v>
      </c>
      <c r="R125" s="7">
        <f t="shared" si="14"/>
        <v>4.829518014</v>
      </c>
      <c r="S125" s="7">
        <f t="shared" si="15"/>
        <v>600</v>
      </c>
      <c r="T125" s="7">
        <f t="shared" si="16"/>
        <v>5.795421617</v>
      </c>
      <c r="U125" s="7">
        <f t="shared" si="17"/>
        <v>700</v>
      </c>
      <c r="V125" s="7">
        <f t="shared" si="18"/>
        <v>6.76132522</v>
      </c>
      <c r="W125" s="7">
        <f t="shared" si="19"/>
        <v>800</v>
      </c>
      <c r="X125" s="7">
        <f t="shared" si="20"/>
        <v>7.727228823</v>
      </c>
      <c r="Y125" s="7">
        <f t="shared" si="21"/>
        <v>900</v>
      </c>
      <c r="Z125" s="7">
        <f t="shared" si="22"/>
        <v>8.693132425</v>
      </c>
    </row>
    <row r="126">
      <c r="A126" s="19" t="str">
        <f>IFERROR(__xludf.DUMMYFUNCTION("""COMPUTED_VALUE"""),"2022 03")</f>
        <v>2022 03</v>
      </c>
      <c r="B126" s="19" t="str">
        <f>IFERROR(__xludf.DUMMYFUNCTION("""COMPUTED_VALUE"""),"98.05")</f>
        <v>98.05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0.5099439062</v>
      </c>
      <c r="G126" s="7">
        <f t="shared" si="3"/>
        <v>100</v>
      </c>
      <c r="H126" s="7">
        <f t="shared" si="4"/>
        <v>1.019887812</v>
      </c>
      <c r="I126" s="7">
        <f t="shared" si="5"/>
        <v>150</v>
      </c>
      <c r="J126" s="7">
        <f t="shared" si="6"/>
        <v>1.529831719</v>
      </c>
      <c r="K126" s="7">
        <f t="shared" si="7"/>
        <v>200</v>
      </c>
      <c r="L126" s="7">
        <f t="shared" si="8"/>
        <v>2.039775625</v>
      </c>
      <c r="M126" s="7">
        <f t="shared" si="9"/>
        <v>300</v>
      </c>
      <c r="N126" s="7">
        <f t="shared" si="10"/>
        <v>3.059663437</v>
      </c>
      <c r="O126" s="7">
        <f t="shared" si="11"/>
        <v>400</v>
      </c>
      <c r="P126" s="7">
        <f t="shared" si="12"/>
        <v>4.079551249</v>
      </c>
      <c r="Q126" s="7">
        <f t="shared" si="13"/>
        <v>500</v>
      </c>
      <c r="R126" s="7">
        <f t="shared" si="14"/>
        <v>5.099439062</v>
      </c>
      <c r="S126" s="7">
        <f t="shared" si="15"/>
        <v>600</v>
      </c>
      <c r="T126" s="7">
        <f t="shared" si="16"/>
        <v>6.119326874</v>
      </c>
      <c r="U126" s="7">
        <f t="shared" si="17"/>
        <v>700</v>
      </c>
      <c r="V126" s="7">
        <f t="shared" si="18"/>
        <v>7.139214686</v>
      </c>
      <c r="W126" s="7">
        <f t="shared" si="19"/>
        <v>800</v>
      </c>
      <c r="X126" s="7">
        <f t="shared" si="20"/>
        <v>8.159102499</v>
      </c>
      <c r="Y126" s="7">
        <f t="shared" si="21"/>
        <v>900</v>
      </c>
      <c r="Z126" s="7">
        <f t="shared" si="22"/>
        <v>9.178990311</v>
      </c>
    </row>
    <row r="127">
      <c r="A127" s="19" t="str">
        <f>IFERROR(__xludf.DUMMYFUNCTION("""COMPUTED_VALUE"""),"2022 04")</f>
        <v>2022 04</v>
      </c>
      <c r="B127" s="19" t="str">
        <f>IFERROR(__xludf.DUMMYFUNCTION("""COMPUTED_VALUE"""),"97.46")</f>
        <v>97.46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0.5130309871</v>
      </c>
      <c r="G127" s="7">
        <f t="shared" si="3"/>
        <v>100</v>
      </c>
      <c r="H127" s="7">
        <f t="shared" si="4"/>
        <v>1.026061974</v>
      </c>
      <c r="I127" s="7">
        <f t="shared" si="5"/>
        <v>150</v>
      </c>
      <c r="J127" s="7">
        <f t="shared" si="6"/>
        <v>1.539092961</v>
      </c>
      <c r="K127" s="7">
        <f t="shared" si="7"/>
        <v>200</v>
      </c>
      <c r="L127" s="7">
        <f t="shared" si="8"/>
        <v>2.052123948</v>
      </c>
      <c r="M127" s="7">
        <f t="shared" si="9"/>
        <v>300</v>
      </c>
      <c r="N127" s="7">
        <f t="shared" si="10"/>
        <v>3.078185922</v>
      </c>
      <c r="O127" s="7">
        <f t="shared" si="11"/>
        <v>400</v>
      </c>
      <c r="P127" s="7">
        <f t="shared" si="12"/>
        <v>4.104247897</v>
      </c>
      <c r="Q127" s="7">
        <f t="shared" si="13"/>
        <v>500</v>
      </c>
      <c r="R127" s="7">
        <f t="shared" si="14"/>
        <v>5.130309871</v>
      </c>
      <c r="S127" s="7">
        <f t="shared" si="15"/>
        <v>600</v>
      </c>
      <c r="T127" s="7">
        <f t="shared" si="16"/>
        <v>6.156371845</v>
      </c>
      <c r="U127" s="7">
        <f t="shared" si="17"/>
        <v>700</v>
      </c>
      <c r="V127" s="7">
        <f t="shared" si="18"/>
        <v>7.182433819</v>
      </c>
      <c r="W127" s="7">
        <f t="shared" si="19"/>
        <v>800</v>
      </c>
      <c r="X127" s="7">
        <f t="shared" si="20"/>
        <v>8.208495793</v>
      </c>
      <c r="Y127" s="7">
        <f t="shared" si="21"/>
        <v>900</v>
      </c>
      <c r="Z127" s="7">
        <f t="shared" si="22"/>
        <v>9.234557767</v>
      </c>
    </row>
    <row r="128">
      <c r="A128" s="19" t="str">
        <f>IFERROR(__xludf.DUMMYFUNCTION("""COMPUTED_VALUE"""),"2022 05")</f>
        <v>2022 05</v>
      </c>
      <c r="B128" s="19" t="str">
        <f>IFERROR(__xludf.DUMMYFUNCTION("""COMPUTED_VALUE"""),"94.49")</f>
        <v>94.49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0.5291565245</v>
      </c>
      <c r="G128" s="7">
        <f t="shared" si="3"/>
        <v>100</v>
      </c>
      <c r="H128" s="7">
        <f t="shared" si="4"/>
        <v>1.058313049</v>
      </c>
      <c r="I128" s="7">
        <f t="shared" si="5"/>
        <v>150</v>
      </c>
      <c r="J128" s="7">
        <f t="shared" si="6"/>
        <v>1.587469573</v>
      </c>
      <c r="K128" s="7">
        <f t="shared" si="7"/>
        <v>200</v>
      </c>
      <c r="L128" s="7">
        <f t="shared" si="8"/>
        <v>2.116626098</v>
      </c>
      <c r="M128" s="7">
        <f t="shared" si="9"/>
        <v>300</v>
      </c>
      <c r="N128" s="7">
        <f t="shared" si="10"/>
        <v>3.174939147</v>
      </c>
      <c r="O128" s="7">
        <f t="shared" si="11"/>
        <v>400</v>
      </c>
      <c r="P128" s="7">
        <f t="shared" si="12"/>
        <v>4.233252196</v>
      </c>
      <c r="Q128" s="7">
        <f t="shared" si="13"/>
        <v>500</v>
      </c>
      <c r="R128" s="7">
        <f t="shared" si="14"/>
        <v>5.291565245</v>
      </c>
      <c r="S128" s="7">
        <f t="shared" si="15"/>
        <v>600</v>
      </c>
      <c r="T128" s="7">
        <f t="shared" si="16"/>
        <v>6.349878294</v>
      </c>
      <c r="U128" s="7">
        <f t="shared" si="17"/>
        <v>700</v>
      </c>
      <c r="V128" s="7">
        <f t="shared" si="18"/>
        <v>7.408191343</v>
      </c>
      <c r="W128" s="7">
        <f t="shared" si="19"/>
        <v>800</v>
      </c>
      <c r="X128" s="7">
        <f t="shared" si="20"/>
        <v>8.466504392</v>
      </c>
      <c r="Y128" s="7">
        <f t="shared" si="21"/>
        <v>900</v>
      </c>
      <c r="Z128" s="7">
        <f t="shared" si="22"/>
        <v>9.524817441</v>
      </c>
    </row>
    <row r="129">
      <c r="A129" s="19" t="str">
        <f>IFERROR(__xludf.DUMMYFUNCTION("""COMPUTED_VALUE"""),"2022 06")</f>
        <v>2022 06</v>
      </c>
      <c r="B129" s="19" t="str">
        <f>IFERROR(__xludf.DUMMYFUNCTION("""COMPUTED_VALUE"""),"93.33")</f>
        <v>93.33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0.5357334191</v>
      </c>
      <c r="G129" s="7">
        <f t="shared" si="3"/>
        <v>100</v>
      </c>
      <c r="H129" s="7">
        <f t="shared" si="4"/>
        <v>1.071466838</v>
      </c>
      <c r="I129" s="7">
        <f t="shared" si="5"/>
        <v>150</v>
      </c>
      <c r="J129" s="7">
        <f t="shared" si="6"/>
        <v>1.607200257</v>
      </c>
      <c r="K129" s="7">
        <f t="shared" si="7"/>
        <v>200</v>
      </c>
      <c r="L129" s="7">
        <f t="shared" si="8"/>
        <v>2.142933676</v>
      </c>
      <c r="M129" s="7">
        <f t="shared" si="9"/>
        <v>300</v>
      </c>
      <c r="N129" s="7">
        <f t="shared" si="10"/>
        <v>3.214400514</v>
      </c>
      <c r="O129" s="7">
        <f t="shared" si="11"/>
        <v>400</v>
      </c>
      <c r="P129" s="7">
        <f t="shared" si="12"/>
        <v>4.285867352</v>
      </c>
      <c r="Q129" s="7">
        <f t="shared" si="13"/>
        <v>500</v>
      </c>
      <c r="R129" s="7">
        <f t="shared" si="14"/>
        <v>5.357334191</v>
      </c>
      <c r="S129" s="7">
        <f t="shared" si="15"/>
        <v>600</v>
      </c>
      <c r="T129" s="7">
        <f t="shared" si="16"/>
        <v>6.428801029</v>
      </c>
      <c r="U129" s="7">
        <f t="shared" si="17"/>
        <v>700</v>
      </c>
      <c r="V129" s="7">
        <f t="shared" si="18"/>
        <v>7.500267867</v>
      </c>
      <c r="W129" s="7">
        <f t="shared" si="19"/>
        <v>800</v>
      </c>
      <c r="X129" s="7">
        <f t="shared" si="20"/>
        <v>8.571734705</v>
      </c>
      <c r="Y129" s="7">
        <f t="shared" si="21"/>
        <v>900</v>
      </c>
      <c r="Z129" s="7">
        <f t="shared" si="22"/>
        <v>9.643201543</v>
      </c>
    </row>
    <row r="130">
      <c r="A130" s="19" t="str">
        <f>IFERROR(__xludf.DUMMYFUNCTION("""COMPUTED_VALUE"""),"2022 07")</f>
        <v>2022 07</v>
      </c>
      <c r="B130" s="19" t="str">
        <f>IFERROR(__xludf.DUMMYFUNCTION("""COMPUTED_VALUE"""),"88.08")</f>
        <v>88.08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0.5676657584</v>
      </c>
      <c r="G130" s="7">
        <f t="shared" si="3"/>
        <v>100</v>
      </c>
      <c r="H130" s="7">
        <f t="shared" si="4"/>
        <v>1.135331517</v>
      </c>
      <c r="I130" s="7">
        <f t="shared" si="5"/>
        <v>150</v>
      </c>
      <c r="J130" s="7">
        <f t="shared" si="6"/>
        <v>1.702997275</v>
      </c>
      <c r="K130" s="7">
        <f t="shared" si="7"/>
        <v>200</v>
      </c>
      <c r="L130" s="7">
        <f t="shared" si="8"/>
        <v>2.270663034</v>
      </c>
      <c r="M130" s="7">
        <f t="shared" si="9"/>
        <v>300</v>
      </c>
      <c r="N130" s="7">
        <f t="shared" si="10"/>
        <v>3.40599455</v>
      </c>
      <c r="O130" s="7">
        <f t="shared" si="11"/>
        <v>400</v>
      </c>
      <c r="P130" s="7">
        <f t="shared" si="12"/>
        <v>4.541326067</v>
      </c>
      <c r="Q130" s="7">
        <f t="shared" si="13"/>
        <v>500</v>
      </c>
      <c r="R130" s="7">
        <f t="shared" si="14"/>
        <v>5.676657584</v>
      </c>
      <c r="S130" s="7">
        <f t="shared" si="15"/>
        <v>600</v>
      </c>
      <c r="T130" s="7">
        <f t="shared" si="16"/>
        <v>6.811989101</v>
      </c>
      <c r="U130" s="7">
        <f t="shared" si="17"/>
        <v>700</v>
      </c>
      <c r="V130" s="7">
        <f t="shared" si="18"/>
        <v>7.947320618</v>
      </c>
      <c r="W130" s="7">
        <f t="shared" si="19"/>
        <v>800</v>
      </c>
      <c r="X130" s="7">
        <f t="shared" si="20"/>
        <v>9.082652134</v>
      </c>
      <c r="Y130" s="7">
        <f t="shared" si="21"/>
        <v>900</v>
      </c>
      <c r="Z130" s="7">
        <f t="shared" si="22"/>
        <v>10.21798365</v>
      </c>
    </row>
    <row r="131">
      <c r="A131" s="19" t="str">
        <f>IFERROR(__xludf.DUMMYFUNCTION("""COMPUTED_VALUE"""),"2022 08")</f>
        <v>2022 08</v>
      </c>
      <c r="B131" s="19" t="str">
        <f>IFERROR(__xludf.DUMMYFUNCTION("""COMPUTED_VALUE"""),"93.57")</f>
        <v>93.57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0.5343593032</v>
      </c>
      <c r="G131" s="7">
        <f t="shared" si="3"/>
        <v>100</v>
      </c>
      <c r="H131" s="7">
        <f t="shared" si="4"/>
        <v>1.068718606</v>
      </c>
      <c r="I131" s="7">
        <f t="shared" si="5"/>
        <v>150</v>
      </c>
      <c r="J131" s="7">
        <f t="shared" si="6"/>
        <v>1.60307791</v>
      </c>
      <c r="K131" s="7">
        <f t="shared" si="7"/>
        <v>200</v>
      </c>
      <c r="L131" s="7">
        <f t="shared" si="8"/>
        <v>2.137437213</v>
      </c>
      <c r="M131" s="7">
        <f t="shared" si="9"/>
        <v>300</v>
      </c>
      <c r="N131" s="7">
        <f t="shared" si="10"/>
        <v>3.206155819</v>
      </c>
      <c r="O131" s="7">
        <f t="shared" si="11"/>
        <v>400</v>
      </c>
      <c r="P131" s="7">
        <f t="shared" si="12"/>
        <v>4.274874426</v>
      </c>
      <c r="Q131" s="7">
        <f t="shared" si="13"/>
        <v>500</v>
      </c>
      <c r="R131" s="7">
        <f t="shared" si="14"/>
        <v>5.343593032</v>
      </c>
      <c r="S131" s="7">
        <f t="shared" si="15"/>
        <v>600</v>
      </c>
      <c r="T131" s="7">
        <f t="shared" si="16"/>
        <v>6.412311638</v>
      </c>
      <c r="U131" s="7">
        <f t="shared" si="17"/>
        <v>700</v>
      </c>
      <c r="V131" s="7">
        <f t="shared" si="18"/>
        <v>7.481030245</v>
      </c>
      <c r="W131" s="7">
        <f t="shared" si="19"/>
        <v>800</v>
      </c>
      <c r="X131" s="7">
        <f t="shared" si="20"/>
        <v>8.549748851</v>
      </c>
      <c r="Y131" s="7">
        <f t="shared" si="21"/>
        <v>900</v>
      </c>
      <c r="Z131" s="7">
        <f t="shared" si="22"/>
        <v>9.618467458</v>
      </c>
    </row>
    <row r="132">
      <c r="A132" s="19" t="str">
        <f>IFERROR(__xludf.DUMMYFUNCTION("""COMPUTED_VALUE"""),"2022 09")</f>
        <v>2022 09</v>
      </c>
      <c r="B132" s="19" t="str">
        <f>IFERROR(__xludf.DUMMYFUNCTION("""COMPUTED_VALUE"""),"91")</f>
        <v>91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0.5494505495</v>
      </c>
      <c r="G132" s="7">
        <f t="shared" si="3"/>
        <v>100</v>
      </c>
      <c r="H132" s="7">
        <f t="shared" si="4"/>
        <v>1.098901099</v>
      </c>
      <c r="I132" s="7">
        <f t="shared" si="5"/>
        <v>150</v>
      </c>
      <c r="J132" s="7">
        <f t="shared" si="6"/>
        <v>1.648351648</v>
      </c>
      <c r="K132" s="7">
        <f t="shared" si="7"/>
        <v>200</v>
      </c>
      <c r="L132" s="7">
        <f t="shared" si="8"/>
        <v>2.197802198</v>
      </c>
      <c r="M132" s="7">
        <f t="shared" si="9"/>
        <v>300</v>
      </c>
      <c r="N132" s="7">
        <f t="shared" si="10"/>
        <v>3.296703297</v>
      </c>
      <c r="O132" s="7">
        <f t="shared" si="11"/>
        <v>400</v>
      </c>
      <c r="P132" s="7">
        <f t="shared" si="12"/>
        <v>4.395604396</v>
      </c>
      <c r="Q132" s="7">
        <f t="shared" si="13"/>
        <v>500</v>
      </c>
      <c r="R132" s="7">
        <f t="shared" si="14"/>
        <v>5.494505495</v>
      </c>
      <c r="S132" s="7">
        <f t="shared" si="15"/>
        <v>600</v>
      </c>
      <c r="T132" s="7">
        <f t="shared" si="16"/>
        <v>6.593406593</v>
      </c>
      <c r="U132" s="7">
        <f t="shared" si="17"/>
        <v>700</v>
      </c>
      <c r="V132" s="7">
        <f t="shared" si="18"/>
        <v>7.692307692</v>
      </c>
      <c r="W132" s="7">
        <f t="shared" si="19"/>
        <v>800</v>
      </c>
      <c r="X132" s="7">
        <f t="shared" si="20"/>
        <v>8.791208791</v>
      </c>
      <c r="Y132" s="7">
        <f t="shared" si="21"/>
        <v>900</v>
      </c>
      <c r="Z132" s="7">
        <f t="shared" si="22"/>
        <v>9.89010989</v>
      </c>
    </row>
    <row r="133">
      <c r="A133" s="19" t="str">
        <f>IFERROR(__xludf.DUMMYFUNCTION("""COMPUTED_VALUE"""),"2022 10")</f>
        <v>2022 10</v>
      </c>
      <c r="B133" s="19" t="str">
        <f>IFERROR(__xludf.DUMMYFUNCTION("""COMPUTED_VALUE"""),"87.88")</f>
        <v>87.88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0.5689576695</v>
      </c>
      <c r="G133" s="7">
        <f t="shared" si="3"/>
        <v>100</v>
      </c>
      <c r="H133" s="7">
        <f t="shared" si="4"/>
        <v>1.137915339</v>
      </c>
      <c r="I133" s="7">
        <f t="shared" si="5"/>
        <v>150</v>
      </c>
      <c r="J133" s="7">
        <f t="shared" si="6"/>
        <v>1.706873009</v>
      </c>
      <c r="K133" s="7">
        <f t="shared" si="7"/>
        <v>200</v>
      </c>
      <c r="L133" s="7">
        <f t="shared" si="8"/>
        <v>2.275830678</v>
      </c>
      <c r="M133" s="7">
        <f t="shared" si="9"/>
        <v>300</v>
      </c>
      <c r="N133" s="7">
        <f t="shared" si="10"/>
        <v>3.413746017</v>
      </c>
      <c r="O133" s="7">
        <f t="shared" si="11"/>
        <v>400</v>
      </c>
      <c r="P133" s="7">
        <f t="shared" si="12"/>
        <v>4.551661356</v>
      </c>
      <c r="Q133" s="7">
        <f t="shared" si="13"/>
        <v>500</v>
      </c>
      <c r="R133" s="7">
        <f t="shared" si="14"/>
        <v>5.689576695</v>
      </c>
      <c r="S133" s="7">
        <f t="shared" si="15"/>
        <v>600</v>
      </c>
      <c r="T133" s="7">
        <f t="shared" si="16"/>
        <v>6.827492035</v>
      </c>
      <c r="U133" s="7">
        <f t="shared" si="17"/>
        <v>700</v>
      </c>
      <c r="V133" s="7">
        <f t="shared" si="18"/>
        <v>7.965407374</v>
      </c>
      <c r="W133" s="7">
        <f t="shared" si="19"/>
        <v>800</v>
      </c>
      <c r="X133" s="7">
        <f t="shared" si="20"/>
        <v>9.103322713</v>
      </c>
      <c r="Y133" s="7">
        <f t="shared" si="21"/>
        <v>900</v>
      </c>
      <c r="Z133" s="7">
        <f t="shared" si="22"/>
        <v>10.24123805</v>
      </c>
    </row>
    <row r="134">
      <c r="A134" s="19" t="str">
        <f>IFERROR(__xludf.DUMMYFUNCTION("""COMPUTED_VALUE"""),"2022 11")</f>
        <v>2022 11</v>
      </c>
      <c r="B134" s="19" t="str">
        <f>IFERROR(__xludf.DUMMYFUNCTION("""COMPUTED_VALUE"""),"95")</f>
        <v>95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0.5263157895</v>
      </c>
      <c r="G134" s="7">
        <f t="shared" si="3"/>
        <v>100</v>
      </c>
      <c r="H134" s="7">
        <f t="shared" si="4"/>
        <v>1.052631579</v>
      </c>
      <c r="I134" s="7">
        <f t="shared" si="5"/>
        <v>150</v>
      </c>
      <c r="J134" s="7">
        <f t="shared" si="6"/>
        <v>1.578947368</v>
      </c>
      <c r="K134" s="7">
        <f t="shared" si="7"/>
        <v>200</v>
      </c>
      <c r="L134" s="7">
        <f t="shared" si="8"/>
        <v>2.105263158</v>
      </c>
      <c r="M134" s="7">
        <f t="shared" si="9"/>
        <v>300</v>
      </c>
      <c r="N134" s="7">
        <f t="shared" si="10"/>
        <v>3.157894737</v>
      </c>
      <c r="O134" s="7">
        <f t="shared" si="11"/>
        <v>400</v>
      </c>
      <c r="P134" s="7">
        <f t="shared" si="12"/>
        <v>4.210526316</v>
      </c>
      <c r="Q134" s="7">
        <f t="shared" si="13"/>
        <v>500</v>
      </c>
      <c r="R134" s="7">
        <f t="shared" si="14"/>
        <v>5.263157895</v>
      </c>
      <c r="S134" s="7">
        <f t="shared" si="15"/>
        <v>600</v>
      </c>
      <c r="T134" s="7">
        <f t="shared" si="16"/>
        <v>6.315789474</v>
      </c>
      <c r="U134" s="7">
        <f t="shared" si="17"/>
        <v>700</v>
      </c>
      <c r="V134" s="7">
        <f t="shared" si="18"/>
        <v>7.368421053</v>
      </c>
      <c r="W134" s="7">
        <f t="shared" si="19"/>
        <v>800</v>
      </c>
      <c r="X134" s="7">
        <f t="shared" si="20"/>
        <v>8.421052632</v>
      </c>
      <c r="Y134" s="7">
        <f t="shared" si="21"/>
        <v>900</v>
      </c>
      <c r="Z134" s="7">
        <f t="shared" si="22"/>
        <v>9.473684211</v>
      </c>
    </row>
    <row r="135">
      <c r="A135" s="19" t="str">
        <f>IFERROR(__xludf.DUMMYFUNCTION("""COMPUTED_VALUE"""),"2022 12")</f>
        <v>2022 12</v>
      </c>
      <c r="B135" s="19" t="str">
        <f>IFERROR(__xludf.DUMMYFUNCTION("""COMPUTED_VALUE"""),"96.06")</f>
        <v>96.06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0.5205080158</v>
      </c>
      <c r="G135" s="7">
        <f t="shared" si="3"/>
        <v>100</v>
      </c>
      <c r="H135" s="7">
        <f t="shared" si="4"/>
        <v>1.041016032</v>
      </c>
      <c r="I135" s="7">
        <f t="shared" si="5"/>
        <v>150</v>
      </c>
      <c r="J135" s="7">
        <f t="shared" si="6"/>
        <v>1.561524047</v>
      </c>
      <c r="K135" s="7">
        <f t="shared" si="7"/>
        <v>200</v>
      </c>
      <c r="L135" s="7">
        <f t="shared" si="8"/>
        <v>2.082032063</v>
      </c>
      <c r="M135" s="7">
        <f t="shared" si="9"/>
        <v>300</v>
      </c>
      <c r="N135" s="7">
        <f t="shared" si="10"/>
        <v>3.123048095</v>
      </c>
      <c r="O135" s="7">
        <f t="shared" si="11"/>
        <v>400</v>
      </c>
      <c r="P135" s="7">
        <f t="shared" si="12"/>
        <v>4.164064127</v>
      </c>
      <c r="Q135" s="7">
        <f t="shared" si="13"/>
        <v>500</v>
      </c>
      <c r="R135" s="7">
        <f t="shared" si="14"/>
        <v>5.205080158</v>
      </c>
      <c r="S135" s="7">
        <f t="shared" si="15"/>
        <v>600</v>
      </c>
      <c r="T135" s="7">
        <f t="shared" si="16"/>
        <v>6.24609619</v>
      </c>
      <c r="U135" s="7">
        <f t="shared" si="17"/>
        <v>700</v>
      </c>
      <c r="V135" s="7">
        <f t="shared" si="18"/>
        <v>7.287112222</v>
      </c>
      <c r="W135" s="7">
        <f t="shared" si="19"/>
        <v>800</v>
      </c>
      <c r="X135" s="7">
        <f t="shared" si="20"/>
        <v>8.328128253</v>
      </c>
      <c r="Y135" s="7">
        <f t="shared" si="21"/>
        <v>900</v>
      </c>
      <c r="Z135" s="7">
        <f t="shared" si="22"/>
        <v>9.369144285</v>
      </c>
    </row>
    <row r="136">
      <c r="A136" s="19" t="str">
        <f>IFERROR(__xludf.DUMMYFUNCTION("""COMPUTED_VALUE"""),"2023 01")</f>
        <v>2023 01</v>
      </c>
      <c r="B136" s="19" t="str">
        <f>IFERROR(__xludf.DUMMYFUNCTION("""COMPUTED_VALUE"""),"91.06")</f>
        <v>91.06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0.5490885131</v>
      </c>
      <c r="G136" s="7">
        <f t="shared" si="3"/>
        <v>100</v>
      </c>
      <c r="H136" s="7">
        <f t="shared" si="4"/>
        <v>1.098177026</v>
      </c>
      <c r="I136" s="7">
        <f t="shared" si="5"/>
        <v>150</v>
      </c>
      <c r="J136" s="7">
        <f t="shared" si="6"/>
        <v>1.647265539</v>
      </c>
      <c r="K136" s="7">
        <f t="shared" si="7"/>
        <v>200</v>
      </c>
      <c r="L136" s="7">
        <f t="shared" si="8"/>
        <v>2.196354052</v>
      </c>
      <c r="M136" s="7">
        <f t="shared" si="9"/>
        <v>300</v>
      </c>
      <c r="N136" s="7">
        <f t="shared" si="10"/>
        <v>3.294531078</v>
      </c>
      <c r="O136" s="7">
        <f t="shared" si="11"/>
        <v>400</v>
      </c>
      <c r="P136" s="7">
        <f t="shared" si="12"/>
        <v>4.392708105</v>
      </c>
      <c r="Q136" s="7">
        <f t="shared" si="13"/>
        <v>500</v>
      </c>
      <c r="R136" s="7">
        <f t="shared" si="14"/>
        <v>5.490885131</v>
      </c>
      <c r="S136" s="7">
        <f t="shared" si="15"/>
        <v>600</v>
      </c>
      <c r="T136" s="7">
        <f t="shared" si="16"/>
        <v>6.589062157</v>
      </c>
      <c r="U136" s="7">
        <f t="shared" si="17"/>
        <v>700</v>
      </c>
      <c r="V136" s="7">
        <f t="shared" si="18"/>
        <v>7.687239183</v>
      </c>
      <c r="W136" s="7">
        <f t="shared" si="19"/>
        <v>800</v>
      </c>
      <c r="X136" s="7">
        <f t="shared" si="20"/>
        <v>8.785416209</v>
      </c>
      <c r="Y136" s="7">
        <f t="shared" si="21"/>
        <v>900</v>
      </c>
      <c r="Z136" s="7">
        <f t="shared" si="22"/>
        <v>9.883593235</v>
      </c>
    </row>
    <row r="137">
      <c r="A137" s="19" t="str">
        <f>IFERROR(__xludf.DUMMYFUNCTION("""COMPUTED_VALUE"""),"2023 02")</f>
        <v>2023 02</v>
      </c>
      <c r="B137" s="19" t="str">
        <f>IFERROR(__xludf.DUMMYFUNCTION("""COMPUTED_VALUE"""),"93.67")</f>
        <v>93.67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0.5337888331</v>
      </c>
      <c r="G137" s="7">
        <f t="shared" si="3"/>
        <v>100</v>
      </c>
      <c r="H137" s="7">
        <f t="shared" si="4"/>
        <v>1.067577666</v>
      </c>
      <c r="I137" s="7">
        <f t="shared" si="5"/>
        <v>150</v>
      </c>
      <c r="J137" s="7">
        <f t="shared" si="6"/>
        <v>1.601366499</v>
      </c>
      <c r="K137" s="7">
        <f t="shared" si="7"/>
        <v>200</v>
      </c>
      <c r="L137" s="7">
        <f t="shared" si="8"/>
        <v>2.135155333</v>
      </c>
      <c r="M137" s="7">
        <f t="shared" si="9"/>
        <v>300</v>
      </c>
      <c r="N137" s="7">
        <f t="shared" si="10"/>
        <v>3.202732999</v>
      </c>
      <c r="O137" s="7">
        <f t="shared" si="11"/>
        <v>400</v>
      </c>
      <c r="P137" s="7">
        <f t="shared" si="12"/>
        <v>4.270310665</v>
      </c>
      <c r="Q137" s="7">
        <f t="shared" si="13"/>
        <v>500</v>
      </c>
      <c r="R137" s="7">
        <f t="shared" si="14"/>
        <v>5.337888331</v>
      </c>
      <c r="S137" s="7">
        <f t="shared" si="15"/>
        <v>600</v>
      </c>
      <c r="T137" s="7">
        <f t="shared" si="16"/>
        <v>6.405465998</v>
      </c>
      <c r="U137" s="7">
        <f t="shared" si="17"/>
        <v>700</v>
      </c>
      <c r="V137" s="7">
        <f t="shared" si="18"/>
        <v>7.473043664</v>
      </c>
      <c r="W137" s="7">
        <f t="shared" si="19"/>
        <v>800</v>
      </c>
      <c r="X137" s="7">
        <f t="shared" si="20"/>
        <v>8.54062133</v>
      </c>
      <c r="Y137" s="7">
        <f t="shared" si="21"/>
        <v>900</v>
      </c>
      <c r="Z137" s="7">
        <f t="shared" si="22"/>
        <v>9.608198996</v>
      </c>
    </row>
    <row r="138">
      <c r="A138" s="19" t="str">
        <f>IFERROR(__xludf.DUMMYFUNCTION("""COMPUTED_VALUE"""),"2023 03")</f>
        <v>2023 03</v>
      </c>
      <c r="B138" s="19" t="str">
        <f>IFERROR(__xludf.DUMMYFUNCTION("""COMPUTED_VALUE"""),"95.9")</f>
        <v>95.9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0.5213764338</v>
      </c>
      <c r="G138" s="7">
        <f t="shared" si="3"/>
        <v>100</v>
      </c>
      <c r="H138" s="7">
        <f t="shared" si="4"/>
        <v>1.042752868</v>
      </c>
      <c r="I138" s="7">
        <f t="shared" si="5"/>
        <v>150</v>
      </c>
      <c r="J138" s="7">
        <f t="shared" si="6"/>
        <v>1.564129301</v>
      </c>
      <c r="K138" s="7">
        <f t="shared" si="7"/>
        <v>200</v>
      </c>
      <c r="L138" s="7">
        <f t="shared" si="8"/>
        <v>2.085505735</v>
      </c>
      <c r="M138" s="7">
        <f t="shared" si="9"/>
        <v>300</v>
      </c>
      <c r="N138" s="7">
        <f t="shared" si="10"/>
        <v>3.128258603</v>
      </c>
      <c r="O138" s="7">
        <f t="shared" si="11"/>
        <v>400</v>
      </c>
      <c r="P138" s="7">
        <f t="shared" si="12"/>
        <v>4.17101147</v>
      </c>
      <c r="Q138" s="7">
        <f t="shared" si="13"/>
        <v>500</v>
      </c>
      <c r="R138" s="7">
        <f t="shared" si="14"/>
        <v>5.213764338</v>
      </c>
      <c r="S138" s="7">
        <f t="shared" si="15"/>
        <v>600</v>
      </c>
      <c r="T138" s="7">
        <f t="shared" si="16"/>
        <v>6.256517205</v>
      </c>
      <c r="U138" s="7">
        <f t="shared" si="17"/>
        <v>700</v>
      </c>
      <c r="V138" s="7">
        <f t="shared" si="18"/>
        <v>7.299270073</v>
      </c>
      <c r="W138" s="7">
        <f t="shared" si="19"/>
        <v>800</v>
      </c>
      <c r="X138" s="7">
        <f t="shared" si="20"/>
        <v>8.342022941</v>
      </c>
      <c r="Y138" s="7">
        <f t="shared" si="21"/>
        <v>900</v>
      </c>
      <c r="Z138" s="7">
        <f t="shared" si="22"/>
        <v>9.384775808</v>
      </c>
    </row>
    <row r="139">
      <c r="A139" s="19" t="str">
        <f>IFERROR(__xludf.DUMMYFUNCTION("""COMPUTED_VALUE"""),"2023 04")</f>
        <v>2023 04</v>
      </c>
      <c r="B139" s="19" t="str">
        <f>IFERROR(__xludf.DUMMYFUNCTION("""COMPUTED_VALUE"""),"99.7")</f>
        <v>99.7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0.5015045135</v>
      </c>
      <c r="G139" s="7">
        <f t="shared" si="3"/>
        <v>100</v>
      </c>
      <c r="H139" s="7">
        <f t="shared" si="4"/>
        <v>1.003009027</v>
      </c>
      <c r="I139" s="7">
        <f t="shared" si="5"/>
        <v>150</v>
      </c>
      <c r="J139" s="7">
        <f t="shared" si="6"/>
        <v>1.504513541</v>
      </c>
      <c r="K139" s="7">
        <f t="shared" si="7"/>
        <v>200</v>
      </c>
      <c r="L139" s="7">
        <f t="shared" si="8"/>
        <v>2.006018054</v>
      </c>
      <c r="M139" s="7">
        <f t="shared" si="9"/>
        <v>300</v>
      </c>
      <c r="N139" s="7">
        <f t="shared" si="10"/>
        <v>3.009027081</v>
      </c>
      <c r="O139" s="7">
        <f t="shared" si="11"/>
        <v>400</v>
      </c>
      <c r="P139" s="7">
        <f t="shared" si="12"/>
        <v>4.012036108</v>
      </c>
      <c r="Q139" s="7">
        <f t="shared" si="13"/>
        <v>500</v>
      </c>
      <c r="R139" s="7">
        <f t="shared" si="14"/>
        <v>5.015045135</v>
      </c>
      <c r="S139" s="7">
        <f t="shared" si="15"/>
        <v>600</v>
      </c>
      <c r="T139" s="7">
        <f t="shared" si="16"/>
        <v>6.018054162</v>
      </c>
      <c r="U139" s="7">
        <f t="shared" si="17"/>
        <v>700</v>
      </c>
      <c r="V139" s="7">
        <f t="shared" si="18"/>
        <v>7.02106319</v>
      </c>
      <c r="W139" s="7">
        <f t="shared" si="19"/>
        <v>800</v>
      </c>
      <c r="X139" s="7">
        <f t="shared" si="20"/>
        <v>8.024072217</v>
      </c>
      <c r="Y139" s="7">
        <f t="shared" si="21"/>
        <v>900</v>
      </c>
      <c r="Z139" s="7">
        <f t="shared" si="22"/>
        <v>9.027081244</v>
      </c>
    </row>
    <row r="140">
      <c r="A140" s="19" t="str">
        <f>IFERROR(__xludf.DUMMYFUNCTION("""COMPUTED_VALUE"""),"2023 05")</f>
        <v>2023 05</v>
      </c>
      <c r="B140" s="19" t="str">
        <f>IFERROR(__xludf.DUMMYFUNCTION("""COMPUTED_VALUE"""),"102.23")</f>
        <v>102.23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0.4890932212</v>
      </c>
      <c r="G140" s="7">
        <f t="shared" si="3"/>
        <v>100</v>
      </c>
      <c r="H140" s="7">
        <f t="shared" si="4"/>
        <v>0.9781864423</v>
      </c>
      <c r="I140" s="7">
        <f t="shared" si="5"/>
        <v>150</v>
      </c>
      <c r="J140" s="7">
        <f t="shared" si="6"/>
        <v>1.467279664</v>
      </c>
      <c r="K140" s="7">
        <f t="shared" si="7"/>
        <v>200</v>
      </c>
      <c r="L140" s="7">
        <f t="shared" si="8"/>
        <v>1.956372885</v>
      </c>
      <c r="M140" s="7">
        <f t="shared" si="9"/>
        <v>300</v>
      </c>
      <c r="N140" s="7">
        <f t="shared" si="10"/>
        <v>2.934559327</v>
      </c>
      <c r="O140" s="7">
        <f t="shared" si="11"/>
        <v>400</v>
      </c>
      <c r="P140" s="7">
        <f t="shared" si="12"/>
        <v>3.912745769</v>
      </c>
      <c r="Q140" s="7">
        <f t="shared" si="13"/>
        <v>500</v>
      </c>
      <c r="R140" s="7">
        <f t="shared" si="14"/>
        <v>4.890932212</v>
      </c>
      <c r="S140" s="7">
        <f t="shared" si="15"/>
        <v>600</v>
      </c>
      <c r="T140" s="7">
        <f t="shared" si="16"/>
        <v>5.869118654</v>
      </c>
      <c r="U140" s="7">
        <f t="shared" si="17"/>
        <v>700</v>
      </c>
      <c r="V140" s="7">
        <f t="shared" si="18"/>
        <v>6.847305096</v>
      </c>
      <c r="W140" s="7">
        <f t="shared" si="19"/>
        <v>800</v>
      </c>
      <c r="X140" s="7">
        <f t="shared" si="20"/>
        <v>7.825491539</v>
      </c>
      <c r="Y140" s="7">
        <f t="shared" si="21"/>
        <v>900</v>
      </c>
      <c r="Z140" s="7">
        <f t="shared" si="22"/>
        <v>8.803677981</v>
      </c>
    </row>
    <row r="141">
      <c r="A141" s="19" t="str">
        <f>IFERROR(__xludf.DUMMYFUNCTION("""COMPUTED_VALUE"""),"2023 06")</f>
        <v>2023 06</v>
      </c>
      <c r="B141" s="19" t="str">
        <f>IFERROR(__xludf.DUMMYFUNCTION("""COMPUTED_VALUE"""),"103.65")</f>
        <v>103.65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0.4823926676</v>
      </c>
      <c r="G141" s="7">
        <f t="shared" si="3"/>
        <v>100</v>
      </c>
      <c r="H141" s="7">
        <f t="shared" si="4"/>
        <v>0.9647853353</v>
      </c>
      <c r="I141" s="7">
        <f t="shared" si="5"/>
        <v>150</v>
      </c>
      <c r="J141" s="7">
        <f t="shared" si="6"/>
        <v>1.447178003</v>
      </c>
      <c r="K141" s="7">
        <f t="shared" si="7"/>
        <v>200</v>
      </c>
      <c r="L141" s="7">
        <f t="shared" si="8"/>
        <v>1.929570671</v>
      </c>
      <c r="M141" s="7">
        <f t="shared" si="9"/>
        <v>300</v>
      </c>
      <c r="N141" s="7">
        <f t="shared" si="10"/>
        <v>2.894356006</v>
      </c>
      <c r="O141" s="7">
        <f t="shared" si="11"/>
        <v>400</v>
      </c>
      <c r="P141" s="7">
        <f t="shared" si="12"/>
        <v>3.859141341</v>
      </c>
      <c r="Q141" s="7">
        <f t="shared" si="13"/>
        <v>500</v>
      </c>
      <c r="R141" s="7">
        <f t="shared" si="14"/>
        <v>4.823926676</v>
      </c>
      <c r="S141" s="7">
        <f t="shared" si="15"/>
        <v>600</v>
      </c>
      <c r="T141" s="7">
        <f t="shared" si="16"/>
        <v>5.788712012</v>
      </c>
      <c r="U141" s="7">
        <f t="shared" si="17"/>
        <v>700</v>
      </c>
      <c r="V141" s="7">
        <f t="shared" si="18"/>
        <v>6.753497347</v>
      </c>
      <c r="W141" s="7">
        <f t="shared" si="19"/>
        <v>800</v>
      </c>
      <c r="X141" s="7">
        <f t="shared" si="20"/>
        <v>7.718282682</v>
      </c>
      <c r="Y141" s="7">
        <f t="shared" si="21"/>
        <v>900</v>
      </c>
      <c r="Z141" s="7">
        <f t="shared" si="22"/>
        <v>8.683068017</v>
      </c>
    </row>
    <row r="142">
      <c r="A142" s="19" t="str">
        <f>IFERROR(__xludf.DUMMYFUNCTION("""COMPUTED_VALUE"""),"2023 07")</f>
        <v>2023 07</v>
      </c>
      <c r="B142" s="19" t="str">
        <f>IFERROR(__xludf.DUMMYFUNCTION("""COMPUTED_VALUE"""),"106.09")</f>
        <v>106.09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0.4712979546</v>
      </c>
      <c r="G142" s="7">
        <f t="shared" si="3"/>
        <v>100</v>
      </c>
      <c r="H142" s="7">
        <f t="shared" si="4"/>
        <v>0.9425959091</v>
      </c>
      <c r="I142" s="7">
        <f t="shared" si="5"/>
        <v>150</v>
      </c>
      <c r="J142" s="7">
        <f t="shared" si="6"/>
        <v>1.413893864</v>
      </c>
      <c r="K142" s="7">
        <f t="shared" si="7"/>
        <v>200</v>
      </c>
      <c r="L142" s="7">
        <f t="shared" si="8"/>
        <v>1.885191818</v>
      </c>
      <c r="M142" s="7">
        <f t="shared" si="9"/>
        <v>300</v>
      </c>
      <c r="N142" s="7">
        <f t="shared" si="10"/>
        <v>2.827787727</v>
      </c>
      <c r="O142" s="7">
        <f t="shared" si="11"/>
        <v>400</v>
      </c>
      <c r="P142" s="7">
        <f t="shared" si="12"/>
        <v>3.770383637</v>
      </c>
      <c r="Q142" s="7">
        <f t="shared" si="13"/>
        <v>500</v>
      </c>
      <c r="R142" s="7">
        <f t="shared" si="14"/>
        <v>4.712979546</v>
      </c>
      <c r="S142" s="7">
        <f t="shared" si="15"/>
        <v>600</v>
      </c>
      <c r="T142" s="7">
        <f t="shared" si="16"/>
        <v>5.655575455</v>
      </c>
      <c r="U142" s="7">
        <f t="shared" si="17"/>
        <v>700</v>
      </c>
      <c r="V142" s="7">
        <f t="shared" si="18"/>
        <v>6.598171364</v>
      </c>
      <c r="W142" s="7">
        <f t="shared" si="19"/>
        <v>800</v>
      </c>
      <c r="X142" s="7">
        <f t="shared" si="20"/>
        <v>7.540767273</v>
      </c>
      <c r="Y142" s="7">
        <f t="shared" si="21"/>
        <v>900</v>
      </c>
      <c r="Z142" s="7">
        <f t="shared" si="22"/>
        <v>8.483363182</v>
      </c>
    </row>
    <row r="143">
      <c r="A143" s="19" t="str">
        <f>IFERROR(__xludf.DUMMYFUNCTION("""COMPUTED_VALUE"""),"2023 08")</f>
        <v>2023 08</v>
      </c>
      <c r="B143" s="19" t="str">
        <f>IFERROR(__xludf.DUMMYFUNCTION("""COMPUTED_VALUE"""),"109.38")</f>
        <v>109.38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0.4571219601</v>
      </c>
      <c r="G143" s="7">
        <f t="shared" si="3"/>
        <v>100</v>
      </c>
      <c r="H143" s="7">
        <f t="shared" si="4"/>
        <v>0.9142439203</v>
      </c>
      <c r="I143" s="7">
        <f t="shared" si="5"/>
        <v>150</v>
      </c>
      <c r="J143" s="7">
        <f t="shared" si="6"/>
        <v>1.37136588</v>
      </c>
      <c r="K143" s="7">
        <f t="shared" si="7"/>
        <v>200</v>
      </c>
      <c r="L143" s="7">
        <f t="shared" si="8"/>
        <v>1.828487841</v>
      </c>
      <c r="M143" s="7">
        <f t="shared" si="9"/>
        <v>300</v>
      </c>
      <c r="N143" s="7">
        <f t="shared" si="10"/>
        <v>2.742731761</v>
      </c>
      <c r="O143" s="7">
        <f t="shared" si="11"/>
        <v>400</v>
      </c>
      <c r="P143" s="7">
        <f t="shared" si="12"/>
        <v>3.656975681</v>
      </c>
      <c r="Q143" s="7">
        <f t="shared" si="13"/>
        <v>500</v>
      </c>
      <c r="R143" s="7">
        <f t="shared" si="14"/>
        <v>4.571219601</v>
      </c>
      <c r="S143" s="7">
        <f t="shared" si="15"/>
        <v>600</v>
      </c>
      <c r="T143" s="7">
        <f t="shared" si="16"/>
        <v>5.485463522</v>
      </c>
      <c r="U143" s="7">
        <f t="shared" si="17"/>
        <v>700</v>
      </c>
      <c r="V143" s="7">
        <f t="shared" si="18"/>
        <v>6.399707442</v>
      </c>
      <c r="W143" s="7">
        <f t="shared" si="19"/>
        <v>800</v>
      </c>
      <c r="X143" s="7">
        <f t="shared" si="20"/>
        <v>7.313951362</v>
      </c>
      <c r="Y143" s="7">
        <f t="shared" si="21"/>
        <v>900</v>
      </c>
      <c r="Z143" s="7">
        <f t="shared" si="22"/>
        <v>8.228195283</v>
      </c>
    </row>
    <row r="144">
      <c r="A144" s="19" t="str">
        <f>IFERROR(__xludf.DUMMYFUNCTION("""COMPUTED_VALUE"""),"2023 09")</f>
        <v>2023 09</v>
      </c>
      <c r="B144" s="19" t="str">
        <f>IFERROR(__xludf.DUMMYFUNCTION("""COMPUTED_VALUE"""),"110.35")</f>
        <v>110.35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0.4531037608</v>
      </c>
      <c r="G144" s="7">
        <f t="shared" si="3"/>
        <v>100</v>
      </c>
      <c r="H144" s="7">
        <f t="shared" si="4"/>
        <v>0.9062075215</v>
      </c>
      <c r="I144" s="7">
        <f t="shared" si="5"/>
        <v>150</v>
      </c>
      <c r="J144" s="7">
        <f t="shared" si="6"/>
        <v>1.359311282</v>
      </c>
      <c r="K144" s="7">
        <f t="shared" si="7"/>
        <v>200</v>
      </c>
      <c r="L144" s="7">
        <f t="shared" si="8"/>
        <v>1.812415043</v>
      </c>
      <c r="M144" s="7">
        <f t="shared" si="9"/>
        <v>300</v>
      </c>
      <c r="N144" s="7">
        <f t="shared" si="10"/>
        <v>2.718622565</v>
      </c>
      <c r="O144" s="7">
        <f t="shared" si="11"/>
        <v>400</v>
      </c>
      <c r="P144" s="7">
        <f t="shared" si="12"/>
        <v>3.624830086</v>
      </c>
      <c r="Q144" s="7">
        <f t="shared" si="13"/>
        <v>500</v>
      </c>
      <c r="R144" s="7">
        <f t="shared" si="14"/>
        <v>4.531037608</v>
      </c>
      <c r="S144" s="7">
        <f t="shared" si="15"/>
        <v>600</v>
      </c>
      <c r="T144" s="7">
        <f t="shared" si="16"/>
        <v>5.437245129</v>
      </c>
      <c r="U144" s="7">
        <f t="shared" si="17"/>
        <v>700</v>
      </c>
      <c r="V144" s="7">
        <f t="shared" si="18"/>
        <v>6.343452651</v>
      </c>
      <c r="W144" s="7">
        <f t="shared" si="19"/>
        <v>800</v>
      </c>
      <c r="X144" s="7">
        <f t="shared" si="20"/>
        <v>7.249660172</v>
      </c>
      <c r="Y144" s="7">
        <f t="shared" si="21"/>
        <v>900</v>
      </c>
      <c r="Z144" s="7">
        <f t="shared" si="22"/>
        <v>8.155867694</v>
      </c>
    </row>
    <row r="145">
      <c r="A145" s="19" t="str">
        <f>IFERROR(__xludf.DUMMYFUNCTION("""COMPUTED_VALUE"""),"2023 10")</f>
        <v>2023 10</v>
      </c>
      <c r="B145" s="19" t="str">
        <f>IFERROR(__xludf.DUMMYFUNCTION("""COMPUTED_VALUE"""),"106.15")</f>
        <v>106.15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0.4710315591</v>
      </c>
      <c r="G145" s="7">
        <f t="shared" si="3"/>
        <v>100</v>
      </c>
      <c r="H145" s="7">
        <f t="shared" si="4"/>
        <v>0.9420631182</v>
      </c>
      <c r="I145" s="7">
        <f t="shared" si="5"/>
        <v>150</v>
      </c>
      <c r="J145" s="7">
        <f t="shared" si="6"/>
        <v>1.413094677</v>
      </c>
      <c r="K145" s="7">
        <f t="shared" si="7"/>
        <v>200</v>
      </c>
      <c r="L145" s="7">
        <f t="shared" si="8"/>
        <v>1.884126236</v>
      </c>
      <c r="M145" s="7">
        <f t="shared" si="9"/>
        <v>300</v>
      </c>
      <c r="N145" s="7">
        <f t="shared" si="10"/>
        <v>2.826189355</v>
      </c>
      <c r="O145" s="7">
        <f t="shared" si="11"/>
        <v>400</v>
      </c>
      <c r="P145" s="7">
        <f t="shared" si="12"/>
        <v>3.768252473</v>
      </c>
      <c r="Q145" s="7">
        <f t="shared" si="13"/>
        <v>500</v>
      </c>
      <c r="R145" s="7">
        <f t="shared" si="14"/>
        <v>4.710315591</v>
      </c>
      <c r="S145" s="7">
        <f t="shared" si="15"/>
        <v>600</v>
      </c>
      <c r="T145" s="7">
        <f t="shared" si="16"/>
        <v>5.652378709</v>
      </c>
      <c r="U145" s="7">
        <f t="shared" si="17"/>
        <v>700</v>
      </c>
      <c r="V145" s="7">
        <f t="shared" si="18"/>
        <v>6.594441828</v>
      </c>
      <c r="W145" s="7">
        <f t="shared" si="19"/>
        <v>800</v>
      </c>
      <c r="X145" s="7">
        <f t="shared" si="20"/>
        <v>7.536504946</v>
      </c>
      <c r="Y145" s="7">
        <f t="shared" si="21"/>
        <v>900</v>
      </c>
      <c r="Z145" s="7">
        <f t="shared" si="22"/>
        <v>8.478568064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74.93495724</v>
      </c>
      <c r="G352" s="33"/>
      <c r="H352" s="34">
        <f>SUMIF(H3:H351,"&lt;&gt;#DIV/0!")</f>
        <v>149.8699145</v>
      </c>
      <c r="I352" s="33"/>
      <c r="J352" s="34">
        <f>SUMIF(J3:J351,"&lt;&gt;#DIV/0!")</f>
        <v>224.8048717</v>
      </c>
      <c r="K352" s="33"/>
      <c r="L352" s="34">
        <f>SUMIF(L3:L351,"&lt;&gt;#DIV/0!")</f>
        <v>299.739829</v>
      </c>
      <c r="M352" s="33"/>
      <c r="N352" s="34">
        <f>SUMIF(N3:N351,"&lt;&gt;#DIV/0!")</f>
        <v>449.6097435</v>
      </c>
      <c r="O352" s="33"/>
      <c r="P352" s="34">
        <f>SUMIF(P3:P351,"&lt;&gt;#DIV/0!")</f>
        <v>599.4796579</v>
      </c>
      <c r="Q352" s="33"/>
      <c r="R352" s="34">
        <f>SUMIF(R3:R351,"&lt;&gt;#DIV/0!")</f>
        <v>749.3495724</v>
      </c>
      <c r="S352" s="33"/>
      <c r="T352" s="34">
        <f>SUMIF(T3:T351,"&lt;&gt;#DIV/0!")</f>
        <v>899.2194869</v>
      </c>
      <c r="U352" s="33"/>
      <c r="V352" s="34">
        <f>SUMIF(V3:V351,"&lt;&gt;#DIV/0!")</f>
        <v>1049.089401</v>
      </c>
      <c r="W352" s="33"/>
      <c r="X352" s="34">
        <f>SUMIF(X3:X351,"&lt;&gt;#DIV/0!")</f>
        <v>1198.959316</v>
      </c>
      <c r="Y352" s="33"/>
      <c r="Z352" s="34">
        <f>SUMIF(Z3:Z351,"&lt;&gt;#DIV/0!")</f>
        <v>1348.82923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7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A4" s="29" t="str">
        <f>IFERROR(__xludf.DUMMYFUNCTION("ARRAYFORMULA(SORTN(TEXT(GOOGLEFINANCE(CONCAT(""ASX:"",A2), ""price"", DATE(2012,1,1), DATE(2030,12,1), ""daily""), 
 {""yyyy mm"", ""@""}), 9^9, 2, 1, 1))"),"2012 01")</f>
        <v>2012 01</v>
      </c>
      <c r="B4" s="30" t="str">
        <f>IFERROR(__xludf.DUMMYFUNCTION("""COMPUTED_VALUE"""),"8.34")</f>
        <v>8.34</v>
      </c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5.995203837</v>
      </c>
      <c r="G4" s="7">
        <f t="shared" si="3"/>
        <v>100</v>
      </c>
      <c r="H4" s="7">
        <f t="shared" si="4"/>
        <v>11.99040767</v>
      </c>
      <c r="I4" s="7">
        <f t="shared" si="5"/>
        <v>150</v>
      </c>
      <c r="J4" s="7">
        <f t="shared" si="6"/>
        <v>17.98561151</v>
      </c>
      <c r="K4" s="7">
        <f t="shared" si="7"/>
        <v>200</v>
      </c>
      <c r="L4" s="7">
        <f t="shared" si="8"/>
        <v>23.98081535</v>
      </c>
      <c r="M4" s="7">
        <f t="shared" si="9"/>
        <v>300</v>
      </c>
      <c r="N4" s="7">
        <f t="shared" si="10"/>
        <v>35.97122302</v>
      </c>
      <c r="O4" s="7">
        <f t="shared" si="11"/>
        <v>400</v>
      </c>
      <c r="P4" s="7">
        <f t="shared" si="12"/>
        <v>47.9616307</v>
      </c>
      <c r="Q4" s="7">
        <f t="shared" si="13"/>
        <v>500</v>
      </c>
      <c r="R4" s="7">
        <f t="shared" si="14"/>
        <v>59.95203837</v>
      </c>
      <c r="S4" s="7">
        <f t="shared" si="15"/>
        <v>600</v>
      </c>
      <c r="T4" s="7">
        <f t="shared" si="16"/>
        <v>71.94244604</v>
      </c>
      <c r="U4" s="7">
        <f t="shared" si="17"/>
        <v>700</v>
      </c>
      <c r="V4" s="7">
        <f t="shared" si="18"/>
        <v>83.93285372</v>
      </c>
      <c r="W4" s="7">
        <f t="shared" si="19"/>
        <v>800</v>
      </c>
      <c r="X4" s="7">
        <f t="shared" si="20"/>
        <v>95.92326139</v>
      </c>
      <c r="Y4" s="7">
        <f t="shared" si="21"/>
        <v>900</v>
      </c>
      <c r="Z4" s="7">
        <f t="shared" si="22"/>
        <v>107.9136691</v>
      </c>
    </row>
    <row r="5">
      <c r="A5" s="30" t="str">
        <f>IFERROR(__xludf.DUMMYFUNCTION("""COMPUTED_VALUE"""),"2012 02")</f>
        <v>2012 02</v>
      </c>
      <c r="B5" s="30" t="str">
        <f>IFERROR(__xludf.DUMMYFUNCTION("""COMPUTED_VALUE"""),"8.27")</f>
        <v>8.27</v>
      </c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6.045949214</v>
      </c>
      <c r="G5" s="7">
        <f t="shared" si="3"/>
        <v>100</v>
      </c>
      <c r="H5" s="7">
        <f t="shared" si="4"/>
        <v>12.09189843</v>
      </c>
      <c r="I5" s="7">
        <f t="shared" si="5"/>
        <v>150</v>
      </c>
      <c r="J5" s="7">
        <f t="shared" si="6"/>
        <v>18.13784764</v>
      </c>
      <c r="K5" s="7">
        <f t="shared" si="7"/>
        <v>200</v>
      </c>
      <c r="L5" s="7">
        <f t="shared" si="8"/>
        <v>24.18379686</v>
      </c>
      <c r="M5" s="7">
        <f t="shared" si="9"/>
        <v>300</v>
      </c>
      <c r="N5" s="7">
        <f t="shared" si="10"/>
        <v>36.27569528</v>
      </c>
      <c r="O5" s="7">
        <f t="shared" si="11"/>
        <v>400</v>
      </c>
      <c r="P5" s="7">
        <f t="shared" si="12"/>
        <v>48.36759371</v>
      </c>
      <c r="Q5" s="7">
        <f t="shared" si="13"/>
        <v>500</v>
      </c>
      <c r="R5" s="7">
        <f t="shared" si="14"/>
        <v>60.45949214</v>
      </c>
      <c r="S5" s="7">
        <f t="shared" si="15"/>
        <v>600</v>
      </c>
      <c r="T5" s="7">
        <f t="shared" si="16"/>
        <v>72.55139057</v>
      </c>
      <c r="U5" s="7">
        <f t="shared" si="17"/>
        <v>700</v>
      </c>
      <c r="V5" s="7">
        <f t="shared" si="18"/>
        <v>84.643289</v>
      </c>
      <c r="W5" s="7">
        <f t="shared" si="19"/>
        <v>800</v>
      </c>
      <c r="X5" s="7">
        <f t="shared" si="20"/>
        <v>96.73518742</v>
      </c>
      <c r="Y5" s="7">
        <f t="shared" si="21"/>
        <v>900</v>
      </c>
      <c r="Z5" s="7">
        <f t="shared" si="22"/>
        <v>108.8270859</v>
      </c>
    </row>
    <row r="6">
      <c r="A6" s="30" t="str">
        <f>IFERROR(__xludf.DUMMYFUNCTION("""COMPUTED_VALUE"""),"2012 03")</f>
        <v>2012 03</v>
      </c>
      <c r="B6" s="30" t="str">
        <f>IFERROR(__xludf.DUMMYFUNCTION("""COMPUTED_VALUE"""),"8.5")</f>
        <v>8.5</v>
      </c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5.882352941</v>
      </c>
      <c r="G6" s="7">
        <f t="shared" si="3"/>
        <v>100</v>
      </c>
      <c r="H6" s="7">
        <f t="shared" si="4"/>
        <v>11.76470588</v>
      </c>
      <c r="I6" s="7">
        <f t="shared" si="5"/>
        <v>150</v>
      </c>
      <c r="J6" s="7">
        <f t="shared" si="6"/>
        <v>17.64705882</v>
      </c>
      <c r="K6" s="7">
        <f t="shared" si="7"/>
        <v>200</v>
      </c>
      <c r="L6" s="7">
        <f t="shared" si="8"/>
        <v>23.52941176</v>
      </c>
      <c r="M6" s="7">
        <f t="shared" si="9"/>
        <v>300</v>
      </c>
      <c r="N6" s="7">
        <f t="shared" si="10"/>
        <v>35.29411765</v>
      </c>
      <c r="O6" s="7">
        <f t="shared" si="11"/>
        <v>400</v>
      </c>
      <c r="P6" s="7">
        <f t="shared" si="12"/>
        <v>47.05882353</v>
      </c>
      <c r="Q6" s="7">
        <f t="shared" si="13"/>
        <v>500</v>
      </c>
      <c r="R6" s="7">
        <f t="shared" si="14"/>
        <v>58.82352941</v>
      </c>
      <c r="S6" s="7">
        <f t="shared" si="15"/>
        <v>600</v>
      </c>
      <c r="T6" s="7">
        <f t="shared" si="16"/>
        <v>70.58823529</v>
      </c>
      <c r="U6" s="7">
        <f t="shared" si="17"/>
        <v>700</v>
      </c>
      <c r="V6" s="7">
        <f t="shared" si="18"/>
        <v>82.35294118</v>
      </c>
      <c r="W6" s="7">
        <f t="shared" si="19"/>
        <v>800</v>
      </c>
      <c r="X6" s="7">
        <f t="shared" si="20"/>
        <v>94.11764706</v>
      </c>
      <c r="Y6" s="7">
        <f t="shared" si="21"/>
        <v>900</v>
      </c>
      <c r="Z6" s="7">
        <f t="shared" si="22"/>
        <v>105.8823529</v>
      </c>
    </row>
    <row r="7">
      <c r="A7" s="30" t="str">
        <f>IFERROR(__xludf.DUMMYFUNCTION("""COMPUTED_VALUE"""),"2012 04")</f>
        <v>2012 04</v>
      </c>
      <c r="B7" s="30" t="str">
        <f>IFERROR(__xludf.DUMMYFUNCTION("""COMPUTED_VALUE"""),"9.08")</f>
        <v>9.08</v>
      </c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5.50660793</v>
      </c>
      <c r="G7" s="7">
        <f t="shared" si="3"/>
        <v>100</v>
      </c>
      <c r="H7" s="7">
        <f t="shared" si="4"/>
        <v>11.01321586</v>
      </c>
      <c r="I7" s="7">
        <f t="shared" si="5"/>
        <v>150</v>
      </c>
      <c r="J7" s="7">
        <f t="shared" si="6"/>
        <v>16.51982379</v>
      </c>
      <c r="K7" s="7">
        <f t="shared" si="7"/>
        <v>200</v>
      </c>
      <c r="L7" s="7">
        <f t="shared" si="8"/>
        <v>22.02643172</v>
      </c>
      <c r="M7" s="7">
        <f t="shared" si="9"/>
        <v>300</v>
      </c>
      <c r="N7" s="7">
        <f t="shared" si="10"/>
        <v>33.03964758</v>
      </c>
      <c r="O7" s="7">
        <f t="shared" si="11"/>
        <v>400</v>
      </c>
      <c r="P7" s="7">
        <f t="shared" si="12"/>
        <v>44.05286344</v>
      </c>
      <c r="Q7" s="7">
        <f t="shared" si="13"/>
        <v>500</v>
      </c>
      <c r="R7" s="7">
        <f t="shared" si="14"/>
        <v>55.0660793</v>
      </c>
      <c r="S7" s="7">
        <f t="shared" si="15"/>
        <v>600</v>
      </c>
      <c r="T7" s="7">
        <f t="shared" si="16"/>
        <v>66.07929515</v>
      </c>
      <c r="U7" s="7">
        <f t="shared" si="17"/>
        <v>700</v>
      </c>
      <c r="V7" s="7">
        <f t="shared" si="18"/>
        <v>77.09251101</v>
      </c>
      <c r="W7" s="7">
        <f t="shared" si="19"/>
        <v>800</v>
      </c>
      <c r="X7" s="7">
        <f t="shared" si="20"/>
        <v>88.10572687</v>
      </c>
      <c r="Y7" s="7">
        <f t="shared" si="21"/>
        <v>900</v>
      </c>
      <c r="Z7" s="7">
        <f t="shared" si="22"/>
        <v>99.11894273</v>
      </c>
    </row>
    <row r="8">
      <c r="A8" s="30" t="str">
        <f>IFERROR(__xludf.DUMMYFUNCTION("""COMPUTED_VALUE"""),"2012 05")</f>
        <v>2012 05</v>
      </c>
      <c r="B8" s="30" t="str">
        <f>IFERROR(__xludf.DUMMYFUNCTION("""COMPUTED_VALUE"""),"9.08")</f>
        <v>9.08</v>
      </c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5.50660793</v>
      </c>
      <c r="G8" s="7">
        <f t="shared" si="3"/>
        <v>100</v>
      </c>
      <c r="H8" s="7">
        <f t="shared" si="4"/>
        <v>11.01321586</v>
      </c>
      <c r="I8" s="7">
        <f t="shared" si="5"/>
        <v>150</v>
      </c>
      <c r="J8" s="7">
        <f t="shared" si="6"/>
        <v>16.51982379</v>
      </c>
      <c r="K8" s="7">
        <f t="shared" si="7"/>
        <v>200</v>
      </c>
      <c r="L8" s="7">
        <f t="shared" si="8"/>
        <v>22.02643172</v>
      </c>
      <c r="M8" s="7">
        <f t="shared" si="9"/>
        <v>300</v>
      </c>
      <c r="N8" s="7">
        <f t="shared" si="10"/>
        <v>33.03964758</v>
      </c>
      <c r="O8" s="7">
        <f t="shared" si="11"/>
        <v>400</v>
      </c>
      <c r="P8" s="7">
        <f t="shared" si="12"/>
        <v>44.05286344</v>
      </c>
      <c r="Q8" s="7">
        <f t="shared" si="13"/>
        <v>500</v>
      </c>
      <c r="R8" s="7">
        <f t="shared" si="14"/>
        <v>55.0660793</v>
      </c>
      <c r="S8" s="7">
        <f t="shared" si="15"/>
        <v>600</v>
      </c>
      <c r="T8" s="7">
        <f t="shared" si="16"/>
        <v>66.07929515</v>
      </c>
      <c r="U8" s="7">
        <f t="shared" si="17"/>
        <v>700</v>
      </c>
      <c r="V8" s="7">
        <f t="shared" si="18"/>
        <v>77.09251101</v>
      </c>
      <c r="W8" s="7">
        <f t="shared" si="19"/>
        <v>800</v>
      </c>
      <c r="X8" s="7">
        <f t="shared" si="20"/>
        <v>88.10572687</v>
      </c>
      <c r="Y8" s="7">
        <f t="shared" si="21"/>
        <v>900</v>
      </c>
      <c r="Z8" s="7">
        <f t="shared" si="22"/>
        <v>99.11894273</v>
      </c>
    </row>
    <row r="9">
      <c r="A9" s="30" t="str">
        <f>IFERROR(__xludf.DUMMYFUNCTION("""COMPUTED_VALUE"""),"2012 06")</f>
        <v>2012 06</v>
      </c>
      <c r="B9" s="30" t="str">
        <f>IFERROR(__xludf.DUMMYFUNCTION("""COMPUTED_VALUE"""),"9.04")</f>
        <v>9.04</v>
      </c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5.530973451</v>
      </c>
      <c r="G9" s="7">
        <f t="shared" si="3"/>
        <v>100</v>
      </c>
      <c r="H9" s="7">
        <f t="shared" si="4"/>
        <v>11.0619469</v>
      </c>
      <c r="I9" s="7">
        <f t="shared" si="5"/>
        <v>150</v>
      </c>
      <c r="J9" s="7">
        <f t="shared" si="6"/>
        <v>16.59292035</v>
      </c>
      <c r="K9" s="7">
        <f t="shared" si="7"/>
        <v>200</v>
      </c>
      <c r="L9" s="7">
        <f t="shared" si="8"/>
        <v>22.12389381</v>
      </c>
      <c r="M9" s="7">
        <f t="shared" si="9"/>
        <v>300</v>
      </c>
      <c r="N9" s="7">
        <f t="shared" si="10"/>
        <v>33.18584071</v>
      </c>
      <c r="O9" s="7">
        <f t="shared" si="11"/>
        <v>400</v>
      </c>
      <c r="P9" s="7">
        <f t="shared" si="12"/>
        <v>44.24778761</v>
      </c>
      <c r="Q9" s="7">
        <f t="shared" si="13"/>
        <v>500</v>
      </c>
      <c r="R9" s="7">
        <f t="shared" si="14"/>
        <v>55.30973451</v>
      </c>
      <c r="S9" s="7">
        <f t="shared" si="15"/>
        <v>600</v>
      </c>
      <c r="T9" s="7">
        <f t="shared" si="16"/>
        <v>66.37168142</v>
      </c>
      <c r="U9" s="7">
        <f t="shared" si="17"/>
        <v>700</v>
      </c>
      <c r="V9" s="7">
        <f t="shared" si="18"/>
        <v>77.43362832</v>
      </c>
      <c r="W9" s="7">
        <f t="shared" si="19"/>
        <v>800</v>
      </c>
      <c r="X9" s="7">
        <f t="shared" si="20"/>
        <v>88.49557522</v>
      </c>
      <c r="Y9" s="7">
        <f t="shared" si="21"/>
        <v>900</v>
      </c>
      <c r="Z9" s="7">
        <f t="shared" si="22"/>
        <v>99.55752212</v>
      </c>
    </row>
    <row r="10">
      <c r="A10" s="30" t="str">
        <f>IFERROR(__xludf.DUMMYFUNCTION("""COMPUTED_VALUE"""),"2012 07")</f>
        <v>2012 07</v>
      </c>
      <c r="B10" s="30" t="str">
        <f>IFERROR(__xludf.DUMMYFUNCTION("""COMPUTED_VALUE"""),"8.9")</f>
        <v>8.9</v>
      </c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5.617977528</v>
      </c>
      <c r="G10" s="7">
        <f t="shared" si="3"/>
        <v>100</v>
      </c>
      <c r="H10" s="7">
        <f t="shared" si="4"/>
        <v>11.23595506</v>
      </c>
      <c r="I10" s="7">
        <f t="shared" si="5"/>
        <v>150</v>
      </c>
      <c r="J10" s="7">
        <f t="shared" si="6"/>
        <v>16.85393258</v>
      </c>
      <c r="K10" s="7">
        <f t="shared" si="7"/>
        <v>200</v>
      </c>
      <c r="L10" s="7">
        <f t="shared" si="8"/>
        <v>22.47191011</v>
      </c>
      <c r="M10" s="7">
        <f t="shared" si="9"/>
        <v>300</v>
      </c>
      <c r="N10" s="7">
        <f t="shared" si="10"/>
        <v>33.70786517</v>
      </c>
      <c r="O10" s="7">
        <f t="shared" si="11"/>
        <v>400</v>
      </c>
      <c r="P10" s="7">
        <f t="shared" si="12"/>
        <v>44.94382022</v>
      </c>
      <c r="Q10" s="7">
        <f t="shared" si="13"/>
        <v>500</v>
      </c>
      <c r="R10" s="7">
        <f t="shared" si="14"/>
        <v>56.17977528</v>
      </c>
      <c r="S10" s="7">
        <f t="shared" si="15"/>
        <v>600</v>
      </c>
      <c r="T10" s="7">
        <f t="shared" si="16"/>
        <v>67.41573034</v>
      </c>
      <c r="U10" s="7">
        <f t="shared" si="17"/>
        <v>700</v>
      </c>
      <c r="V10" s="7">
        <f t="shared" si="18"/>
        <v>78.65168539</v>
      </c>
      <c r="W10" s="7">
        <f t="shared" si="19"/>
        <v>800</v>
      </c>
      <c r="X10" s="7">
        <f t="shared" si="20"/>
        <v>89.88764045</v>
      </c>
      <c r="Y10" s="7">
        <f t="shared" si="21"/>
        <v>900</v>
      </c>
      <c r="Z10" s="7">
        <f t="shared" si="22"/>
        <v>101.1235955</v>
      </c>
    </row>
    <row r="11">
      <c r="A11" s="30" t="str">
        <f>IFERROR(__xludf.DUMMYFUNCTION("""COMPUTED_VALUE"""),"2012 08")</f>
        <v>2012 08</v>
      </c>
      <c r="B11" s="30" t="str">
        <f>IFERROR(__xludf.DUMMYFUNCTION("""COMPUTED_VALUE"""),"8.81")</f>
        <v>8.81</v>
      </c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5.675368899</v>
      </c>
      <c r="G11" s="7">
        <f t="shared" si="3"/>
        <v>100</v>
      </c>
      <c r="H11" s="7">
        <f t="shared" si="4"/>
        <v>11.3507378</v>
      </c>
      <c r="I11" s="7">
        <f t="shared" si="5"/>
        <v>150</v>
      </c>
      <c r="J11" s="7">
        <f t="shared" si="6"/>
        <v>17.0261067</v>
      </c>
      <c r="K11" s="7">
        <f t="shared" si="7"/>
        <v>200</v>
      </c>
      <c r="L11" s="7">
        <f t="shared" si="8"/>
        <v>22.7014756</v>
      </c>
      <c r="M11" s="7">
        <f t="shared" si="9"/>
        <v>300</v>
      </c>
      <c r="N11" s="7">
        <f t="shared" si="10"/>
        <v>34.05221339</v>
      </c>
      <c r="O11" s="7">
        <f t="shared" si="11"/>
        <v>400</v>
      </c>
      <c r="P11" s="7">
        <f t="shared" si="12"/>
        <v>45.40295119</v>
      </c>
      <c r="Q11" s="7">
        <f t="shared" si="13"/>
        <v>500</v>
      </c>
      <c r="R11" s="7">
        <f t="shared" si="14"/>
        <v>56.75368899</v>
      </c>
      <c r="S11" s="7">
        <f t="shared" si="15"/>
        <v>600</v>
      </c>
      <c r="T11" s="7">
        <f t="shared" si="16"/>
        <v>68.10442679</v>
      </c>
      <c r="U11" s="7">
        <f t="shared" si="17"/>
        <v>700</v>
      </c>
      <c r="V11" s="7">
        <f t="shared" si="18"/>
        <v>79.45516459</v>
      </c>
      <c r="W11" s="7">
        <f t="shared" si="19"/>
        <v>800</v>
      </c>
      <c r="X11" s="7">
        <f t="shared" si="20"/>
        <v>90.80590238</v>
      </c>
      <c r="Y11" s="7">
        <f t="shared" si="21"/>
        <v>900</v>
      </c>
      <c r="Z11" s="7">
        <f t="shared" si="22"/>
        <v>102.1566402</v>
      </c>
    </row>
    <row r="12">
      <c r="A12" s="30" t="str">
        <f>IFERROR(__xludf.DUMMYFUNCTION("""COMPUTED_VALUE"""),"2012 09")</f>
        <v>2012 09</v>
      </c>
      <c r="B12" s="30" t="str">
        <f>IFERROR(__xludf.DUMMYFUNCTION("""COMPUTED_VALUE"""),"9.18")</f>
        <v>9.18</v>
      </c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5.446623094</v>
      </c>
      <c r="G12" s="7">
        <f t="shared" si="3"/>
        <v>100</v>
      </c>
      <c r="H12" s="7">
        <f t="shared" si="4"/>
        <v>10.89324619</v>
      </c>
      <c r="I12" s="7">
        <f t="shared" si="5"/>
        <v>150</v>
      </c>
      <c r="J12" s="7">
        <f t="shared" si="6"/>
        <v>16.33986928</v>
      </c>
      <c r="K12" s="7">
        <f t="shared" si="7"/>
        <v>200</v>
      </c>
      <c r="L12" s="7">
        <f t="shared" si="8"/>
        <v>21.78649237</v>
      </c>
      <c r="M12" s="7">
        <f t="shared" si="9"/>
        <v>300</v>
      </c>
      <c r="N12" s="7">
        <f t="shared" si="10"/>
        <v>32.67973856</v>
      </c>
      <c r="O12" s="7">
        <f t="shared" si="11"/>
        <v>400</v>
      </c>
      <c r="P12" s="7">
        <f t="shared" si="12"/>
        <v>43.57298475</v>
      </c>
      <c r="Q12" s="7">
        <f t="shared" si="13"/>
        <v>500</v>
      </c>
      <c r="R12" s="7">
        <f t="shared" si="14"/>
        <v>54.46623094</v>
      </c>
      <c r="S12" s="7">
        <f t="shared" si="15"/>
        <v>600</v>
      </c>
      <c r="T12" s="7">
        <f t="shared" si="16"/>
        <v>65.35947712</v>
      </c>
      <c r="U12" s="7">
        <f t="shared" si="17"/>
        <v>700</v>
      </c>
      <c r="V12" s="7">
        <f t="shared" si="18"/>
        <v>76.25272331</v>
      </c>
      <c r="W12" s="7">
        <f t="shared" si="19"/>
        <v>800</v>
      </c>
      <c r="X12" s="7">
        <f t="shared" si="20"/>
        <v>87.1459695</v>
      </c>
      <c r="Y12" s="7">
        <f t="shared" si="21"/>
        <v>900</v>
      </c>
      <c r="Z12" s="7">
        <f t="shared" si="22"/>
        <v>98.03921569</v>
      </c>
    </row>
    <row r="13">
      <c r="A13" s="30" t="str">
        <f>IFERROR(__xludf.DUMMYFUNCTION("""COMPUTED_VALUE"""),"2012 10")</f>
        <v>2012 10</v>
      </c>
      <c r="B13" s="30" t="str">
        <f>IFERROR(__xludf.DUMMYFUNCTION("""COMPUTED_VALUE"""),"9.28")</f>
        <v>9.28</v>
      </c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5.387931034</v>
      </c>
      <c r="G13" s="7">
        <f t="shared" si="3"/>
        <v>100</v>
      </c>
      <c r="H13" s="7">
        <f t="shared" si="4"/>
        <v>10.77586207</v>
      </c>
      <c r="I13" s="7">
        <f t="shared" si="5"/>
        <v>150</v>
      </c>
      <c r="J13" s="7">
        <f t="shared" si="6"/>
        <v>16.1637931</v>
      </c>
      <c r="K13" s="7">
        <f t="shared" si="7"/>
        <v>200</v>
      </c>
      <c r="L13" s="7">
        <f t="shared" si="8"/>
        <v>21.55172414</v>
      </c>
      <c r="M13" s="7">
        <f t="shared" si="9"/>
        <v>300</v>
      </c>
      <c r="N13" s="7">
        <f t="shared" si="10"/>
        <v>32.32758621</v>
      </c>
      <c r="O13" s="7">
        <f t="shared" si="11"/>
        <v>400</v>
      </c>
      <c r="P13" s="7">
        <f t="shared" si="12"/>
        <v>43.10344828</v>
      </c>
      <c r="Q13" s="7">
        <f t="shared" si="13"/>
        <v>500</v>
      </c>
      <c r="R13" s="7">
        <f t="shared" si="14"/>
        <v>53.87931034</v>
      </c>
      <c r="S13" s="7">
        <f t="shared" si="15"/>
        <v>600</v>
      </c>
      <c r="T13" s="7">
        <f t="shared" si="16"/>
        <v>64.65517241</v>
      </c>
      <c r="U13" s="7">
        <f t="shared" si="17"/>
        <v>700</v>
      </c>
      <c r="V13" s="7">
        <f t="shared" si="18"/>
        <v>75.43103448</v>
      </c>
      <c r="W13" s="7">
        <f t="shared" si="19"/>
        <v>800</v>
      </c>
      <c r="X13" s="7">
        <f t="shared" si="20"/>
        <v>86.20689655</v>
      </c>
      <c r="Y13" s="7">
        <f t="shared" si="21"/>
        <v>900</v>
      </c>
      <c r="Z13" s="7">
        <f t="shared" si="22"/>
        <v>96.98275862</v>
      </c>
    </row>
    <row r="14">
      <c r="A14" s="30" t="str">
        <f>IFERROR(__xludf.DUMMYFUNCTION("""COMPUTED_VALUE"""),"2012 11")</f>
        <v>2012 11</v>
      </c>
      <c r="B14" s="30" t="str">
        <f>IFERROR(__xludf.DUMMYFUNCTION("""COMPUTED_VALUE"""),"9.09")</f>
        <v>9.09</v>
      </c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5.500550055</v>
      </c>
      <c r="G14" s="7">
        <f t="shared" si="3"/>
        <v>100</v>
      </c>
      <c r="H14" s="7">
        <f t="shared" si="4"/>
        <v>11.00110011</v>
      </c>
      <c r="I14" s="7">
        <f t="shared" si="5"/>
        <v>150</v>
      </c>
      <c r="J14" s="7">
        <f t="shared" si="6"/>
        <v>16.50165017</v>
      </c>
      <c r="K14" s="7">
        <f t="shared" si="7"/>
        <v>200</v>
      </c>
      <c r="L14" s="7">
        <f t="shared" si="8"/>
        <v>22.00220022</v>
      </c>
      <c r="M14" s="7">
        <f t="shared" si="9"/>
        <v>300</v>
      </c>
      <c r="N14" s="7">
        <f t="shared" si="10"/>
        <v>33.00330033</v>
      </c>
      <c r="O14" s="7">
        <f t="shared" si="11"/>
        <v>400</v>
      </c>
      <c r="P14" s="7">
        <f t="shared" si="12"/>
        <v>44.00440044</v>
      </c>
      <c r="Q14" s="7">
        <f t="shared" si="13"/>
        <v>500</v>
      </c>
      <c r="R14" s="7">
        <f t="shared" si="14"/>
        <v>55.00550055</v>
      </c>
      <c r="S14" s="7">
        <f t="shared" si="15"/>
        <v>600</v>
      </c>
      <c r="T14" s="7">
        <f t="shared" si="16"/>
        <v>66.00660066</v>
      </c>
      <c r="U14" s="7">
        <f t="shared" si="17"/>
        <v>700</v>
      </c>
      <c r="V14" s="7">
        <f t="shared" si="18"/>
        <v>77.00770077</v>
      </c>
      <c r="W14" s="7">
        <f t="shared" si="19"/>
        <v>800</v>
      </c>
      <c r="X14" s="7">
        <f t="shared" si="20"/>
        <v>88.00880088</v>
      </c>
      <c r="Y14" s="7">
        <f t="shared" si="21"/>
        <v>900</v>
      </c>
      <c r="Z14" s="7">
        <f t="shared" si="22"/>
        <v>99.00990099</v>
      </c>
    </row>
    <row r="15">
      <c r="A15" s="30" t="str">
        <f>IFERROR(__xludf.DUMMYFUNCTION("""COMPUTED_VALUE"""),"2012 12")</f>
        <v>2012 12</v>
      </c>
      <c r="B15" s="30" t="str">
        <f>IFERROR(__xludf.DUMMYFUNCTION("""COMPUTED_VALUE"""),"9.16")</f>
        <v>9.16</v>
      </c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5.458515284</v>
      </c>
      <c r="G15" s="7">
        <f t="shared" si="3"/>
        <v>100</v>
      </c>
      <c r="H15" s="7">
        <f t="shared" si="4"/>
        <v>10.91703057</v>
      </c>
      <c r="I15" s="7">
        <f t="shared" si="5"/>
        <v>150</v>
      </c>
      <c r="J15" s="7">
        <f t="shared" si="6"/>
        <v>16.37554585</v>
      </c>
      <c r="K15" s="7">
        <f t="shared" si="7"/>
        <v>200</v>
      </c>
      <c r="L15" s="7">
        <f t="shared" si="8"/>
        <v>21.83406114</v>
      </c>
      <c r="M15" s="7">
        <f t="shared" si="9"/>
        <v>300</v>
      </c>
      <c r="N15" s="7">
        <f t="shared" si="10"/>
        <v>32.7510917</v>
      </c>
      <c r="O15" s="7">
        <f t="shared" si="11"/>
        <v>400</v>
      </c>
      <c r="P15" s="7">
        <f t="shared" si="12"/>
        <v>43.66812227</v>
      </c>
      <c r="Q15" s="7">
        <f t="shared" si="13"/>
        <v>500</v>
      </c>
      <c r="R15" s="7">
        <f t="shared" si="14"/>
        <v>54.58515284</v>
      </c>
      <c r="S15" s="7">
        <f t="shared" si="15"/>
        <v>600</v>
      </c>
      <c r="T15" s="7">
        <f t="shared" si="16"/>
        <v>65.50218341</v>
      </c>
      <c r="U15" s="7">
        <f t="shared" si="17"/>
        <v>700</v>
      </c>
      <c r="V15" s="7">
        <f t="shared" si="18"/>
        <v>76.41921397</v>
      </c>
      <c r="W15" s="7">
        <f t="shared" si="19"/>
        <v>800</v>
      </c>
      <c r="X15" s="7">
        <f t="shared" si="20"/>
        <v>87.33624454</v>
      </c>
      <c r="Y15" s="7">
        <f t="shared" si="21"/>
        <v>900</v>
      </c>
      <c r="Z15" s="7">
        <f t="shared" si="22"/>
        <v>98.25327511</v>
      </c>
    </row>
    <row r="16">
      <c r="A16" s="30" t="str">
        <f>IFERROR(__xludf.DUMMYFUNCTION("""COMPUTED_VALUE"""),"2013 01")</f>
        <v>2013 01</v>
      </c>
      <c r="B16" s="30" t="str">
        <f>IFERROR(__xludf.DUMMYFUNCTION("""COMPUTED_VALUE"""),"9.2")</f>
        <v>9.2</v>
      </c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5.434782609</v>
      </c>
      <c r="G16" s="7">
        <f t="shared" si="3"/>
        <v>100</v>
      </c>
      <c r="H16" s="7">
        <f t="shared" si="4"/>
        <v>10.86956522</v>
      </c>
      <c r="I16" s="7">
        <f t="shared" si="5"/>
        <v>150</v>
      </c>
      <c r="J16" s="7">
        <f t="shared" si="6"/>
        <v>16.30434783</v>
      </c>
      <c r="K16" s="7">
        <f t="shared" si="7"/>
        <v>200</v>
      </c>
      <c r="L16" s="7">
        <f t="shared" si="8"/>
        <v>21.73913043</v>
      </c>
      <c r="M16" s="7">
        <f t="shared" si="9"/>
        <v>300</v>
      </c>
      <c r="N16" s="7">
        <f t="shared" si="10"/>
        <v>32.60869565</v>
      </c>
      <c r="O16" s="7">
        <f t="shared" si="11"/>
        <v>400</v>
      </c>
      <c r="P16" s="7">
        <f t="shared" si="12"/>
        <v>43.47826087</v>
      </c>
      <c r="Q16" s="7">
        <f t="shared" si="13"/>
        <v>500</v>
      </c>
      <c r="R16" s="7">
        <f t="shared" si="14"/>
        <v>54.34782609</v>
      </c>
      <c r="S16" s="7">
        <f t="shared" si="15"/>
        <v>600</v>
      </c>
      <c r="T16" s="7">
        <f t="shared" si="16"/>
        <v>65.2173913</v>
      </c>
      <c r="U16" s="7">
        <f t="shared" si="17"/>
        <v>700</v>
      </c>
      <c r="V16" s="7">
        <f t="shared" si="18"/>
        <v>76.08695652</v>
      </c>
      <c r="W16" s="7">
        <f t="shared" si="19"/>
        <v>800</v>
      </c>
      <c r="X16" s="7">
        <f t="shared" si="20"/>
        <v>86.95652174</v>
      </c>
      <c r="Y16" s="7">
        <f t="shared" si="21"/>
        <v>900</v>
      </c>
      <c r="Z16" s="7">
        <f t="shared" si="22"/>
        <v>97.82608696</v>
      </c>
    </row>
    <row r="17">
      <c r="A17" s="30" t="str">
        <f>IFERROR(__xludf.DUMMYFUNCTION("""COMPUTED_VALUE"""),"2013 02")</f>
        <v>2013 02</v>
      </c>
      <c r="B17" s="30" t="str">
        <f>IFERROR(__xludf.DUMMYFUNCTION("""COMPUTED_VALUE"""),"9.7")</f>
        <v>9.7</v>
      </c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5.154639175</v>
      </c>
      <c r="G17" s="7">
        <f t="shared" si="3"/>
        <v>100</v>
      </c>
      <c r="H17" s="7">
        <f t="shared" si="4"/>
        <v>10.30927835</v>
      </c>
      <c r="I17" s="7">
        <f t="shared" si="5"/>
        <v>150</v>
      </c>
      <c r="J17" s="7">
        <f t="shared" si="6"/>
        <v>15.46391753</v>
      </c>
      <c r="K17" s="7">
        <f t="shared" si="7"/>
        <v>200</v>
      </c>
      <c r="L17" s="7">
        <f t="shared" si="8"/>
        <v>20.6185567</v>
      </c>
      <c r="M17" s="7">
        <f t="shared" si="9"/>
        <v>300</v>
      </c>
      <c r="N17" s="7">
        <f t="shared" si="10"/>
        <v>30.92783505</v>
      </c>
      <c r="O17" s="7">
        <f t="shared" si="11"/>
        <v>400</v>
      </c>
      <c r="P17" s="7">
        <f t="shared" si="12"/>
        <v>41.2371134</v>
      </c>
      <c r="Q17" s="7">
        <f t="shared" si="13"/>
        <v>500</v>
      </c>
      <c r="R17" s="7">
        <f t="shared" si="14"/>
        <v>51.54639175</v>
      </c>
      <c r="S17" s="7">
        <f t="shared" si="15"/>
        <v>600</v>
      </c>
      <c r="T17" s="7">
        <f t="shared" si="16"/>
        <v>61.8556701</v>
      </c>
      <c r="U17" s="7">
        <f t="shared" si="17"/>
        <v>700</v>
      </c>
      <c r="V17" s="7">
        <f t="shared" si="18"/>
        <v>72.16494845</v>
      </c>
      <c r="W17" s="7">
        <f t="shared" si="19"/>
        <v>800</v>
      </c>
      <c r="X17" s="7">
        <f t="shared" si="20"/>
        <v>82.4742268</v>
      </c>
      <c r="Y17" s="7">
        <f t="shared" si="21"/>
        <v>900</v>
      </c>
      <c r="Z17" s="7">
        <f t="shared" si="22"/>
        <v>92.78350515</v>
      </c>
    </row>
    <row r="18">
      <c r="A18" s="30" t="str">
        <f>IFERROR(__xludf.DUMMYFUNCTION("""COMPUTED_VALUE"""),"2013 03")</f>
        <v>2013 03</v>
      </c>
      <c r="B18" s="30" t="str">
        <f>IFERROR(__xludf.DUMMYFUNCTION("""COMPUTED_VALUE"""),"9.94")</f>
        <v>9.94</v>
      </c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5.030181087</v>
      </c>
      <c r="G18" s="7">
        <f t="shared" si="3"/>
        <v>100</v>
      </c>
      <c r="H18" s="7">
        <f t="shared" si="4"/>
        <v>10.06036217</v>
      </c>
      <c r="I18" s="7">
        <f t="shared" si="5"/>
        <v>150</v>
      </c>
      <c r="J18" s="7">
        <f t="shared" si="6"/>
        <v>15.09054326</v>
      </c>
      <c r="K18" s="7">
        <f t="shared" si="7"/>
        <v>200</v>
      </c>
      <c r="L18" s="7">
        <f t="shared" si="8"/>
        <v>20.12072435</v>
      </c>
      <c r="M18" s="7">
        <f t="shared" si="9"/>
        <v>300</v>
      </c>
      <c r="N18" s="7">
        <f t="shared" si="10"/>
        <v>30.18108652</v>
      </c>
      <c r="O18" s="7">
        <f t="shared" si="11"/>
        <v>400</v>
      </c>
      <c r="P18" s="7">
        <f t="shared" si="12"/>
        <v>40.24144869</v>
      </c>
      <c r="Q18" s="7">
        <f t="shared" si="13"/>
        <v>500</v>
      </c>
      <c r="R18" s="7">
        <f t="shared" si="14"/>
        <v>50.30181087</v>
      </c>
      <c r="S18" s="7">
        <f t="shared" si="15"/>
        <v>600</v>
      </c>
      <c r="T18" s="7">
        <f t="shared" si="16"/>
        <v>60.36217304</v>
      </c>
      <c r="U18" s="7">
        <f t="shared" si="17"/>
        <v>700</v>
      </c>
      <c r="V18" s="7">
        <f t="shared" si="18"/>
        <v>70.42253521</v>
      </c>
      <c r="W18" s="7">
        <f t="shared" si="19"/>
        <v>800</v>
      </c>
      <c r="X18" s="7">
        <f t="shared" si="20"/>
        <v>80.48289738</v>
      </c>
      <c r="Y18" s="7">
        <f t="shared" si="21"/>
        <v>900</v>
      </c>
      <c r="Z18" s="7">
        <f t="shared" si="22"/>
        <v>90.54325956</v>
      </c>
    </row>
    <row r="19">
      <c r="A19" s="30" t="str">
        <f>IFERROR(__xludf.DUMMYFUNCTION("""COMPUTED_VALUE"""),"2013 04")</f>
        <v>2013 04</v>
      </c>
      <c r="B19" s="30" t="str">
        <f>IFERROR(__xludf.DUMMYFUNCTION("""COMPUTED_VALUE"""),"10.01")</f>
        <v>10.01</v>
      </c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4.995004995</v>
      </c>
      <c r="G19" s="7">
        <f t="shared" si="3"/>
        <v>100</v>
      </c>
      <c r="H19" s="7">
        <f t="shared" si="4"/>
        <v>9.99000999</v>
      </c>
      <c r="I19" s="7">
        <f t="shared" si="5"/>
        <v>150</v>
      </c>
      <c r="J19" s="7">
        <f t="shared" si="6"/>
        <v>14.98501499</v>
      </c>
      <c r="K19" s="7">
        <f t="shared" si="7"/>
        <v>200</v>
      </c>
      <c r="L19" s="7">
        <f t="shared" si="8"/>
        <v>19.98001998</v>
      </c>
      <c r="M19" s="7">
        <f t="shared" si="9"/>
        <v>300</v>
      </c>
      <c r="N19" s="7">
        <f t="shared" si="10"/>
        <v>29.97002997</v>
      </c>
      <c r="O19" s="7">
        <f t="shared" si="11"/>
        <v>400</v>
      </c>
      <c r="P19" s="7">
        <f t="shared" si="12"/>
        <v>39.96003996</v>
      </c>
      <c r="Q19" s="7">
        <f t="shared" si="13"/>
        <v>500</v>
      </c>
      <c r="R19" s="7">
        <f t="shared" si="14"/>
        <v>49.95004995</v>
      </c>
      <c r="S19" s="7">
        <f t="shared" si="15"/>
        <v>600</v>
      </c>
      <c r="T19" s="7">
        <f t="shared" si="16"/>
        <v>59.94005994</v>
      </c>
      <c r="U19" s="7">
        <f t="shared" si="17"/>
        <v>700</v>
      </c>
      <c r="V19" s="7">
        <f t="shared" si="18"/>
        <v>69.93006993</v>
      </c>
      <c r="W19" s="7">
        <f t="shared" si="19"/>
        <v>800</v>
      </c>
      <c r="X19" s="7">
        <f t="shared" si="20"/>
        <v>79.92007992</v>
      </c>
      <c r="Y19" s="7">
        <f t="shared" si="21"/>
        <v>900</v>
      </c>
      <c r="Z19" s="7">
        <f t="shared" si="22"/>
        <v>89.91008991</v>
      </c>
    </row>
    <row r="20">
      <c r="A20" s="30" t="str">
        <f>IFERROR(__xludf.DUMMYFUNCTION("""COMPUTED_VALUE"""),"2013 05")</f>
        <v>2013 05</v>
      </c>
      <c r="B20" s="30" t="str">
        <f>IFERROR(__xludf.DUMMYFUNCTION("""COMPUTED_VALUE"""),"10.34")</f>
        <v>10.34</v>
      </c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4.835589942</v>
      </c>
      <c r="G20" s="7">
        <f t="shared" si="3"/>
        <v>100</v>
      </c>
      <c r="H20" s="7">
        <f t="shared" si="4"/>
        <v>9.671179884</v>
      </c>
      <c r="I20" s="7">
        <f t="shared" si="5"/>
        <v>150</v>
      </c>
      <c r="J20" s="7">
        <f t="shared" si="6"/>
        <v>14.50676983</v>
      </c>
      <c r="K20" s="7">
        <f t="shared" si="7"/>
        <v>200</v>
      </c>
      <c r="L20" s="7">
        <f t="shared" si="8"/>
        <v>19.34235977</v>
      </c>
      <c r="M20" s="7">
        <f t="shared" si="9"/>
        <v>300</v>
      </c>
      <c r="N20" s="7">
        <f t="shared" si="10"/>
        <v>29.01353965</v>
      </c>
      <c r="O20" s="7">
        <f t="shared" si="11"/>
        <v>400</v>
      </c>
      <c r="P20" s="7">
        <f t="shared" si="12"/>
        <v>38.68471954</v>
      </c>
      <c r="Q20" s="7">
        <f t="shared" si="13"/>
        <v>500</v>
      </c>
      <c r="R20" s="7">
        <f t="shared" si="14"/>
        <v>48.35589942</v>
      </c>
      <c r="S20" s="7">
        <f t="shared" si="15"/>
        <v>600</v>
      </c>
      <c r="T20" s="7">
        <f t="shared" si="16"/>
        <v>58.0270793</v>
      </c>
      <c r="U20" s="7">
        <f t="shared" si="17"/>
        <v>700</v>
      </c>
      <c r="V20" s="7">
        <f t="shared" si="18"/>
        <v>67.69825919</v>
      </c>
      <c r="W20" s="7">
        <f t="shared" si="19"/>
        <v>800</v>
      </c>
      <c r="X20" s="7">
        <f t="shared" si="20"/>
        <v>77.36943907</v>
      </c>
      <c r="Y20" s="7">
        <f t="shared" si="21"/>
        <v>900</v>
      </c>
      <c r="Z20" s="7">
        <f t="shared" si="22"/>
        <v>87.04061896</v>
      </c>
    </row>
    <row r="21">
      <c r="A21" s="30" t="str">
        <f>IFERROR(__xludf.DUMMYFUNCTION("""COMPUTED_VALUE"""),"2013 06")</f>
        <v>2013 06</v>
      </c>
      <c r="B21" s="30" t="str">
        <f>IFERROR(__xludf.DUMMYFUNCTION("""COMPUTED_VALUE"""),"11.4")</f>
        <v>11.4</v>
      </c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4.385964912</v>
      </c>
      <c r="G21" s="7">
        <f t="shared" si="3"/>
        <v>100</v>
      </c>
      <c r="H21" s="7">
        <f t="shared" si="4"/>
        <v>8.771929825</v>
      </c>
      <c r="I21" s="7">
        <f t="shared" si="5"/>
        <v>150</v>
      </c>
      <c r="J21" s="7">
        <f t="shared" si="6"/>
        <v>13.15789474</v>
      </c>
      <c r="K21" s="7">
        <f t="shared" si="7"/>
        <v>200</v>
      </c>
      <c r="L21" s="7">
        <f t="shared" si="8"/>
        <v>17.54385965</v>
      </c>
      <c r="M21" s="7">
        <f t="shared" si="9"/>
        <v>300</v>
      </c>
      <c r="N21" s="7">
        <f t="shared" si="10"/>
        <v>26.31578947</v>
      </c>
      <c r="O21" s="7">
        <f t="shared" si="11"/>
        <v>400</v>
      </c>
      <c r="P21" s="7">
        <f t="shared" si="12"/>
        <v>35.0877193</v>
      </c>
      <c r="Q21" s="7">
        <f t="shared" si="13"/>
        <v>500</v>
      </c>
      <c r="R21" s="7">
        <f t="shared" si="14"/>
        <v>43.85964912</v>
      </c>
      <c r="S21" s="7">
        <f t="shared" si="15"/>
        <v>600</v>
      </c>
      <c r="T21" s="7">
        <f t="shared" si="16"/>
        <v>52.63157895</v>
      </c>
      <c r="U21" s="7">
        <f t="shared" si="17"/>
        <v>700</v>
      </c>
      <c r="V21" s="7">
        <f t="shared" si="18"/>
        <v>61.40350877</v>
      </c>
      <c r="W21" s="7">
        <f t="shared" si="19"/>
        <v>800</v>
      </c>
      <c r="X21" s="7">
        <f t="shared" si="20"/>
        <v>70.1754386</v>
      </c>
      <c r="Y21" s="7">
        <f t="shared" si="21"/>
        <v>900</v>
      </c>
      <c r="Z21" s="7">
        <f t="shared" si="22"/>
        <v>78.94736842</v>
      </c>
    </row>
    <row r="22">
      <c r="A22" s="30" t="str">
        <f>IFERROR(__xludf.DUMMYFUNCTION("""COMPUTED_VALUE"""),"2013 07")</f>
        <v>2013 07</v>
      </c>
      <c r="B22" s="30" t="str">
        <f>IFERROR(__xludf.DUMMYFUNCTION("""COMPUTED_VALUE"""),"11.71")</f>
        <v>11.71</v>
      </c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4.269854825</v>
      </c>
      <c r="G22" s="7">
        <f t="shared" si="3"/>
        <v>100</v>
      </c>
      <c r="H22" s="7">
        <f t="shared" si="4"/>
        <v>8.53970965</v>
      </c>
      <c r="I22" s="7">
        <f t="shared" si="5"/>
        <v>150</v>
      </c>
      <c r="J22" s="7">
        <f t="shared" si="6"/>
        <v>12.80956447</v>
      </c>
      <c r="K22" s="7">
        <f t="shared" si="7"/>
        <v>200</v>
      </c>
      <c r="L22" s="7">
        <f t="shared" si="8"/>
        <v>17.0794193</v>
      </c>
      <c r="M22" s="7">
        <f t="shared" si="9"/>
        <v>300</v>
      </c>
      <c r="N22" s="7">
        <f t="shared" si="10"/>
        <v>25.61912895</v>
      </c>
      <c r="O22" s="7">
        <f t="shared" si="11"/>
        <v>400</v>
      </c>
      <c r="P22" s="7">
        <f t="shared" si="12"/>
        <v>34.1588386</v>
      </c>
      <c r="Q22" s="7">
        <f t="shared" si="13"/>
        <v>500</v>
      </c>
      <c r="R22" s="7">
        <f t="shared" si="14"/>
        <v>42.69854825</v>
      </c>
      <c r="S22" s="7">
        <f t="shared" si="15"/>
        <v>600</v>
      </c>
      <c r="T22" s="7">
        <f t="shared" si="16"/>
        <v>51.2382579</v>
      </c>
      <c r="U22" s="7">
        <f t="shared" si="17"/>
        <v>700</v>
      </c>
      <c r="V22" s="7">
        <f t="shared" si="18"/>
        <v>59.77796755</v>
      </c>
      <c r="W22" s="7">
        <f t="shared" si="19"/>
        <v>800</v>
      </c>
      <c r="X22" s="7">
        <f t="shared" si="20"/>
        <v>68.3176772</v>
      </c>
      <c r="Y22" s="7">
        <f t="shared" si="21"/>
        <v>900</v>
      </c>
      <c r="Z22" s="7">
        <f t="shared" si="22"/>
        <v>76.85738685</v>
      </c>
    </row>
    <row r="23">
      <c r="A23" s="30" t="str">
        <f>IFERROR(__xludf.DUMMYFUNCTION("""COMPUTED_VALUE"""),"2013 08")</f>
        <v>2013 08</v>
      </c>
      <c r="B23" s="30" t="str">
        <f>IFERROR(__xludf.DUMMYFUNCTION("""COMPUTED_VALUE"""),"12.7")</f>
        <v>12.7</v>
      </c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3.937007874</v>
      </c>
      <c r="G23" s="7">
        <f t="shared" si="3"/>
        <v>100</v>
      </c>
      <c r="H23" s="7">
        <f t="shared" si="4"/>
        <v>7.874015748</v>
      </c>
      <c r="I23" s="7">
        <f t="shared" si="5"/>
        <v>150</v>
      </c>
      <c r="J23" s="7">
        <f t="shared" si="6"/>
        <v>11.81102362</v>
      </c>
      <c r="K23" s="7">
        <f t="shared" si="7"/>
        <v>200</v>
      </c>
      <c r="L23" s="7">
        <f t="shared" si="8"/>
        <v>15.7480315</v>
      </c>
      <c r="M23" s="7">
        <f t="shared" si="9"/>
        <v>300</v>
      </c>
      <c r="N23" s="7">
        <f t="shared" si="10"/>
        <v>23.62204724</v>
      </c>
      <c r="O23" s="7">
        <f t="shared" si="11"/>
        <v>400</v>
      </c>
      <c r="P23" s="7">
        <f t="shared" si="12"/>
        <v>31.49606299</v>
      </c>
      <c r="Q23" s="7">
        <f t="shared" si="13"/>
        <v>500</v>
      </c>
      <c r="R23" s="7">
        <f t="shared" si="14"/>
        <v>39.37007874</v>
      </c>
      <c r="S23" s="7">
        <f t="shared" si="15"/>
        <v>600</v>
      </c>
      <c r="T23" s="7">
        <f t="shared" si="16"/>
        <v>47.24409449</v>
      </c>
      <c r="U23" s="7">
        <f t="shared" si="17"/>
        <v>700</v>
      </c>
      <c r="V23" s="7">
        <f t="shared" si="18"/>
        <v>55.11811024</v>
      </c>
      <c r="W23" s="7">
        <f t="shared" si="19"/>
        <v>800</v>
      </c>
      <c r="X23" s="7">
        <f t="shared" si="20"/>
        <v>62.99212598</v>
      </c>
      <c r="Y23" s="7">
        <f t="shared" si="21"/>
        <v>900</v>
      </c>
      <c r="Z23" s="7">
        <f t="shared" si="22"/>
        <v>70.86614173</v>
      </c>
    </row>
    <row r="24">
      <c r="A24" s="30" t="str">
        <f>IFERROR(__xludf.DUMMYFUNCTION("""COMPUTED_VALUE"""),"2013 09")</f>
        <v>2013 09</v>
      </c>
      <c r="B24" s="30" t="str">
        <f>IFERROR(__xludf.DUMMYFUNCTION("""COMPUTED_VALUE"""),"12.33")</f>
        <v>12.33</v>
      </c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4.055150041</v>
      </c>
      <c r="G24" s="7">
        <f t="shared" si="3"/>
        <v>100</v>
      </c>
      <c r="H24" s="7">
        <f t="shared" si="4"/>
        <v>8.110300081</v>
      </c>
      <c r="I24" s="7">
        <f t="shared" si="5"/>
        <v>150</v>
      </c>
      <c r="J24" s="7">
        <f t="shared" si="6"/>
        <v>12.16545012</v>
      </c>
      <c r="K24" s="7">
        <f t="shared" si="7"/>
        <v>200</v>
      </c>
      <c r="L24" s="7">
        <f t="shared" si="8"/>
        <v>16.22060016</v>
      </c>
      <c r="M24" s="7">
        <f t="shared" si="9"/>
        <v>300</v>
      </c>
      <c r="N24" s="7">
        <f t="shared" si="10"/>
        <v>24.33090024</v>
      </c>
      <c r="O24" s="7">
        <f t="shared" si="11"/>
        <v>400</v>
      </c>
      <c r="P24" s="7">
        <f t="shared" si="12"/>
        <v>32.44120032</v>
      </c>
      <c r="Q24" s="7">
        <f t="shared" si="13"/>
        <v>500</v>
      </c>
      <c r="R24" s="7">
        <f t="shared" si="14"/>
        <v>40.55150041</v>
      </c>
      <c r="S24" s="7">
        <f t="shared" si="15"/>
        <v>600</v>
      </c>
      <c r="T24" s="7">
        <f t="shared" si="16"/>
        <v>48.66180049</v>
      </c>
      <c r="U24" s="7">
        <f t="shared" si="17"/>
        <v>700</v>
      </c>
      <c r="V24" s="7">
        <f t="shared" si="18"/>
        <v>56.77210057</v>
      </c>
      <c r="W24" s="7">
        <f t="shared" si="19"/>
        <v>800</v>
      </c>
      <c r="X24" s="7">
        <f t="shared" si="20"/>
        <v>64.88240065</v>
      </c>
      <c r="Y24" s="7">
        <f t="shared" si="21"/>
        <v>900</v>
      </c>
      <c r="Z24" s="7">
        <f t="shared" si="22"/>
        <v>72.99270073</v>
      </c>
    </row>
    <row r="25">
      <c r="A25" s="30" t="str">
        <f>IFERROR(__xludf.DUMMYFUNCTION("""COMPUTED_VALUE"""),"2013 10")</f>
        <v>2013 10</v>
      </c>
      <c r="B25" s="30" t="str">
        <f>IFERROR(__xludf.DUMMYFUNCTION("""COMPUTED_VALUE"""),"12.02")</f>
        <v>12.02</v>
      </c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4.159733777</v>
      </c>
      <c r="G25" s="7">
        <f t="shared" si="3"/>
        <v>100</v>
      </c>
      <c r="H25" s="7">
        <f t="shared" si="4"/>
        <v>8.319467554</v>
      </c>
      <c r="I25" s="7">
        <f t="shared" si="5"/>
        <v>150</v>
      </c>
      <c r="J25" s="7">
        <f t="shared" si="6"/>
        <v>12.47920133</v>
      </c>
      <c r="K25" s="7">
        <f t="shared" si="7"/>
        <v>200</v>
      </c>
      <c r="L25" s="7">
        <f t="shared" si="8"/>
        <v>16.63893511</v>
      </c>
      <c r="M25" s="7">
        <f t="shared" si="9"/>
        <v>300</v>
      </c>
      <c r="N25" s="7">
        <f t="shared" si="10"/>
        <v>24.95840266</v>
      </c>
      <c r="O25" s="7">
        <f t="shared" si="11"/>
        <v>400</v>
      </c>
      <c r="P25" s="7">
        <f t="shared" si="12"/>
        <v>33.27787022</v>
      </c>
      <c r="Q25" s="7">
        <f t="shared" si="13"/>
        <v>500</v>
      </c>
      <c r="R25" s="7">
        <f t="shared" si="14"/>
        <v>41.59733777</v>
      </c>
      <c r="S25" s="7">
        <f t="shared" si="15"/>
        <v>600</v>
      </c>
      <c r="T25" s="7">
        <f t="shared" si="16"/>
        <v>49.91680532</v>
      </c>
      <c r="U25" s="7">
        <f t="shared" si="17"/>
        <v>700</v>
      </c>
      <c r="V25" s="7">
        <f t="shared" si="18"/>
        <v>58.23627288</v>
      </c>
      <c r="W25" s="7">
        <f t="shared" si="19"/>
        <v>800</v>
      </c>
      <c r="X25" s="7">
        <f t="shared" si="20"/>
        <v>66.55574043</v>
      </c>
      <c r="Y25" s="7">
        <f t="shared" si="21"/>
        <v>900</v>
      </c>
      <c r="Z25" s="7">
        <f t="shared" si="22"/>
        <v>74.87520799</v>
      </c>
    </row>
    <row r="26">
      <c r="A26" s="30" t="str">
        <f>IFERROR(__xludf.DUMMYFUNCTION("""COMPUTED_VALUE"""),"2013 11")</f>
        <v>2013 11</v>
      </c>
      <c r="B26" s="30" t="str">
        <f>IFERROR(__xludf.DUMMYFUNCTION("""COMPUTED_VALUE"""),"12.44")</f>
        <v>12.44</v>
      </c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4.019292605</v>
      </c>
      <c r="G26" s="7">
        <f t="shared" si="3"/>
        <v>100</v>
      </c>
      <c r="H26" s="7">
        <f t="shared" si="4"/>
        <v>8.038585209</v>
      </c>
      <c r="I26" s="7">
        <f t="shared" si="5"/>
        <v>150</v>
      </c>
      <c r="J26" s="7">
        <f t="shared" si="6"/>
        <v>12.05787781</v>
      </c>
      <c r="K26" s="7">
        <f t="shared" si="7"/>
        <v>200</v>
      </c>
      <c r="L26" s="7">
        <f t="shared" si="8"/>
        <v>16.07717042</v>
      </c>
      <c r="M26" s="7">
        <f t="shared" si="9"/>
        <v>300</v>
      </c>
      <c r="N26" s="7">
        <f t="shared" si="10"/>
        <v>24.11575563</v>
      </c>
      <c r="O26" s="7">
        <f t="shared" si="11"/>
        <v>400</v>
      </c>
      <c r="P26" s="7">
        <f t="shared" si="12"/>
        <v>32.15434084</v>
      </c>
      <c r="Q26" s="7">
        <f t="shared" si="13"/>
        <v>500</v>
      </c>
      <c r="R26" s="7">
        <f t="shared" si="14"/>
        <v>40.19292605</v>
      </c>
      <c r="S26" s="7">
        <f t="shared" si="15"/>
        <v>600</v>
      </c>
      <c r="T26" s="7">
        <f t="shared" si="16"/>
        <v>48.23151125</v>
      </c>
      <c r="U26" s="7">
        <f t="shared" si="17"/>
        <v>700</v>
      </c>
      <c r="V26" s="7">
        <f t="shared" si="18"/>
        <v>56.27009646</v>
      </c>
      <c r="W26" s="7">
        <f t="shared" si="19"/>
        <v>800</v>
      </c>
      <c r="X26" s="7">
        <f t="shared" si="20"/>
        <v>64.30868167</v>
      </c>
      <c r="Y26" s="7">
        <f t="shared" si="21"/>
        <v>900</v>
      </c>
      <c r="Z26" s="7">
        <f t="shared" si="22"/>
        <v>72.34726688</v>
      </c>
    </row>
    <row r="27">
      <c r="A27" s="30" t="str">
        <f>IFERROR(__xludf.DUMMYFUNCTION("""COMPUTED_VALUE"""),"2013 12")</f>
        <v>2013 12</v>
      </c>
      <c r="B27" s="30" t="str">
        <f>IFERROR(__xludf.DUMMYFUNCTION("""COMPUTED_VALUE"""),"13.27")</f>
        <v>13.27</v>
      </c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3.767897513</v>
      </c>
      <c r="G27" s="7">
        <f t="shared" si="3"/>
        <v>100</v>
      </c>
      <c r="H27" s="7">
        <f t="shared" si="4"/>
        <v>7.535795026</v>
      </c>
      <c r="I27" s="7">
        <f t="shared" si="5"/>
        <v>150</v>
      </c>
      <c r="J27" s="7">
        <f t="shared" si="6"/>
        <v>11.30369254</v>
      </c>
      <c r="K27" s="7">
        <f t="shared" si="7"/>
        <v>200</v>
      </c>
      <c r="L27" s="7">
        <f t="shared" si="8"/>
        <v>15.07159005</v>
      </c>
      <c r="M27" s="7">
        <f t="shared" si="9"/>
        <v>300</v>
      </c>
      <c r="N27" s="7">
        <f t="shared" si="10"/>
        <v>22.60738508</v>
      </c>
      <c r="O27" s="7">
        <f t="shared" si="11"/>
        <v>400</v>
      </c>
      <c r="P27" s="7">
        <f t="shared" si="12"/>
        <v>30.14318011</v>
      </c>
      <c r="Q27" s="7">
        <f t="shared" si="13"/>
        <v>500</v>
      </c>
      <c r="R27" s="7">
        <f t="shared" si="14"/>
        <v>37.67897513</v>
      </c>
      <c r="S27" s="7">
        <f t="shared" si="15"/>
        <v>600</v>
      </c>
      <c r="T27" s="7">
        <f t="shared" si="16"/>
        <v>45.21477016</v>
      </c>
      <c r="U27" s="7">
        <f t="shared" si="17"/>
        <v>700</v>
      </c>
      <c r="V27" s="7">
        <f t="shared" si="18"/>
        <v>52.75056518</v>
      </c>
      <c r="W27" s="7">
        <f t="shared" si="19"/>
        <v>800</v>
      </c>
      <c r="X27" s="7">
        <f t="shared" si="20"/>
        <v>60.28636021</v>
      </c>
      <c r="Y27" s="7">
        <f t="shared" si="21"/>
        <v>900</v>
      </c>
      <c r="Z27" s="7">
        <f t="shared" si="22"/>
        <v>67.82215524</v>
      </c>
    </row>
    <row r="28">
      <c r="A28" s="30" t="str">
        <f>IFERROR(__xludf.DUMMYFUNCTION("""COMPUTED_VALUE"""),"2014 01")</f>
        <v>2014 01</v>
      </c>
      <c r="B28" s="30" t="str">
        <f>IFERROR(__xludf.DUMMYFUNCTION("""COMPUTED_VALUE"""),"13.97")</f>
        <v>13.97</v>
      </c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3.579098067</v>
      </c>
      <c r="G28" s="7">
        <f t="shared" si="3"/>
        <v>100</v>
      </c>
      <c r="H28" s="7">
        <f t="shared" si="4"/>
        <v>7.158196135</v>
      </c>
      <c r="I28" s="7">
        <f t="shared" si="5"/>
        <v>150</v>
      </c>
      <c r="J28" s="7">
        <f t="shared" si="6"/>
        <v>10.7372942</v>
      </c>
      <c r="K28" s="7">
        <f t="shared" si="7"/>
        <v>200</v>
      </c>
      <c r="L28" s="7">
        <f t="shared" si="8"/>
        <v>14.31639227</v>
      </c>
      <c r="M28" s="7">
        <f t="shared" si="9"/>
        <v>300</v>
      </c>
      <c r="N28" s="7">
        <f t="shared" si="10"/>
        <v>21.4745884</v>
      </c>
      <c r="O28" s="7">
        <f t="shared" si="11"/>
        <v>400</v>
      </c>
      <c r="P28" s="7">
        <f t="shared" si="12"/>
        <v>28.63278454</v>
      </c>
      <c r="Q28" s="7">
        <f t="shared" si="13"/>
        <v>500</v>
      </c>
      <c r="R28" s="7">
        <f t="shared" si="14"/>
        <v>35.79098067</v>
      </c>
      <c r="S28" s="7">
        <f t="shared" si="15"/>
        <v>600</v>
      </c>
      <c r="T28" s="7">
        <f t="shared" si="16"/>
        <v>42.94917681</v>
      </c>
      <c r="U28" s="7">
        <f t="shared" si="17"/>
        <v>700</v>
      </c>
      <c r="V28" s="7">
        <f t="shared" si="18"/>
        <v>50.10737294</v>
      </c>
      <c r="W28" s="7">
        <f t="shared" si="19"/>
        <v>800</v>
      </c>
      <c r="X28" s="7">
        <f t="shared" si="20"/>
        <v>57.26556908</v>
      </c>
      <c r="Y28" s="7">
        <f t="shared" si="21"/>
        <v>900</v>
      </c>
      <c r="Z28" s="7">
        <f t="shared" si="22"/>
        <v>64.42376521</v>
      </c>
    </row>
    <row r="29">
      <c r="A29" s="30" t="str">
        <f>IFERROR(__xludf.DUMMYFUNCTION("""COMPUTED_VALUE"""),"2014 02")</f>
        <v>2014 02</v>
      </c>
      <c r="B29" s="30" t="str">
        <f>IFERROR(__xludf.DUMMYFUNCTION("""COMPUTED_VALUE"""),"13.38")</f>
        <v>13.38</v>
      </c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3.736920777</v>
      </c>
      <c r="G29" s="7">
        <f t="shared" si="3"/>
        <v>100</v>
      </c>
      <c r="H29" s="7">
        <f t="shared" si="4"/>
        <v>7.473841555</v>
      </c>
      <c r="I29" s="7">
        <f t="shared" si="5"/>
        <v>150</v>
      </c>
      <c r="J29" s="7">
        <f t="shared" si="6"/>
        <v>11.21076233</v>
      </c>
      <c r="K29" s="7">
        <f t="shared" si="7"/>
        <v>200</v>
      </c>
      <c r="L29" s="7">
        <f t="shared" si="8"/>
        <v>14.94768311</v>
      </c>
      <c r="M29" s="7">
        <f t="shared" si="9"/>
        <v>300</v>
      </c>
      <c r="N29" s="7">
        <f t="shared" si="10"/>
        <v>22.42152466</v>
      </c>
      <c r="O29" s="7">
        <f t="shared" si="11"/>
        <v>400</v>
      </c>
      <c r="P29" s="7">
        <f t="shared" si="12"/>
        <v>29.89536622</v>
      </c>
      <c r="Q29" s="7">
        <f t="shared" si="13"/>
        <v>500</v>
      </c>
      <c r="R29" s="7">
        <f t="shared" si="14"/>
        <v>37.36920777</v>
      </c>
      <c r="S29" s="7">
        <f t="shared" si="15"/>
        <v>600</v>
      </c>
      <c r="T29" s="7">
        <f t="shared" si="16"/>
        <v>44.84304933</v>
      </c>
      <c r="U29" s="7">
        <f t="shared" si="17"/>
        <v>700</v>
      </c>
      <c r="V29" s="7">
        <f t="shared" si="18"/>
        <v>52.31689088</v>
      </c>
      <c r="W29" s="7">
        <f t="shared" si="19"/>
        <v>800</v>
      </c>
      <c r="X29" s="7">
        <f t="shared" si="20"/>
        <v>59.79073244</v>
      </c>
      <c r="Y29" s="7">
        <f t="shared" si="21"/>
        <v>900</v>
      </c>
      <c r="Z29" s="7">
        <f t="shared" si="22"/>
        <v>67.26457399</v>
      </c>
    </row>
    <row r="30">
      <c r="A30" s="30" t="str">
        <f>IFERROR(__xludf.DUMMYFUNCTION("""COMPUTED_VALUE"""),"2014 03")</f>
        <v>2014 03</v>
      </c>
      <c r="B30" s="30" t="str">
        <f>IFERROR(__xludf.DUMMYFUNCTION("""COMPUTED_VALUE"""),"13.9")</f>
        <v>13.9</v>
      </c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3.597122302</v>
      </c>
      <c r="G30" s="7">
        <f t="shared" si="3"/>
        <v>100</v>
      </c>
      <c r="H30" s="7">
        <f t="shared" si="4"/>
        <v>7.194244604</v>
      </c>
      <c r="I30" s="7">
        <f t="shared" si="5"/>
        <v>150</v>
      </c>
      <c r="J30" s="7">
        <f t="shared" si="6"/>
        <v>10.79136691</v>
      </c>
      <c r="K30" s="7">
        <f t="shared" si="7"/>
        <v>200</v>
      </c>
      <c r="L30" s="7">
        <f t="shared" si="8"/>
        <v>14.38848921</v>
      </c>
      <c r="M30" s="7">
        <f t="shared" si="9"/>
        <v>300</v>
      </c>
      <c r="N30" s="7">
        <f t="shared" si="10"/>
        <v>21.58273381</v>
      </c>
      <c r="O30" s="7">
        <f t="shared" si="11"/>
        <v>400</v>
      </c>
      <c r="P30" s="7">
        <f t="shared" si="12"/>
        <v>28.77697842</v>
      </c>
      <c r="Q30" s="7">
        <f t="shared" si="13"/>
        <v>500</v>
      </c>
      <c r="R30" s="7">
        <f t="shared" si="14"/>
        <v>35.97122302</v>
      </c>
      <c r="S30" s="7">
        <f t="shared" si="15"/>
        <v>600</v>
      </c>
      <c r="T30" s="7">
        <f t="shared" si="16"/>
        <v>43.16546763</v>
      </c>
      <c r="U30" s="7">
        <f t="shared" si="17"/>
        <v>700</v>
      </c>
      <c r="V30" s="7">
        <f t="shared" si="18"/>
        <v>50.35971223</v>
      </c>
      <c r="W30" s="7">
        <f t="shared" si="19"/>
        <v>800</v>
      </c>
      <c r="X30" s="7">
        <f t="shared" si="20"/>
        <v>57.55395683</v>
      </c>
      <c r="Y30" s="7">
        <f t="shared" si="21"/>
        <v>900</v>
      </c>
      <c r="Z30" s="7">
        <f t="shared" si="22"/>
        <v>64.74820144</v>
      </c>
    </row>
    <row r="31">
      <c r="A31" s="30" t="str">
        <f>IFERROR(__xludf.DUMMYFUNCTION("""COMPUTED_VALUE"""),"2014 04")</f>
        <v>2014 04</v>
      </c>
      <c r="B31" s="30" t="str">
        <f>IFERROR(__xludf.DUMMYFUNCTION("""COMPUTED_VALUE"""),"13.69")</f>
        <v>13.69</v>
      </c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3.65230095</v>
      </c>
      <c r="G31" s="7">
        <f t="shared" si="3"/>
        <v>100</v>
      </c>
      <c r="H31" s="7">
        <f t="shared" si="4"/>
        <v>7.304601899</v>
      </c>
      <c r="I31" s="7">
        <f t="shared" si="5"/>
        <v>150</v>
      </c>
      <c r="J31" s="7">
        <f t="shared" si="6"/>
        <v>10.95690285</v>
      </c>
      <c r="K31" s="7">
        <f t="shared" si="7"/>
        <v>200</v>
      </c>
      <c r="L31" s="7">
        <f t="shared" si="8"/>
        <v>14.6092038</v>
      </c>
      <c r="M31" s="7">
        <f t="shared" si="9"/>
        <v>300</v>
      </c>
      <c r="N31" s="7">
        <f t="shared" si="10"/>
        <v>21.9138057</v>
      </c>
      <c r="O31" s="7">
        <f t="shared" si="11"/>
        <v>400</v>
      </c>
      <c r="P31" s="7">
        <f t="shared" si="12"/>
        <v>29.2184076</v>
      </c>
      <c r="Q31" s="7">
        <f t="shared" si="13"/>
        <v>500</v>
      </c>
      <c r="R31" s="7">
        <f t="shared" si="14"/>
        <v>36.5230095</v>
      </c>
      <c r="S31" s="7">
        <f t="shared" si="15"/>
        <v>600</v>
      </c>
      <c r="T31" s="7">
        <f t="shared" si="16"/>
        <v>43.8276114</v>
      </c>
      <c r="U31" s="7">
        <f t="shared" si="17"/>
        <v>700</v>
      </c>
      <c r="V31" s="7">
        <f t="shared" si="18"/>
        <v>51.13221329</v>
      </c>
      <c r="W31" s="7">
        <f t="shared" si="19"/>
        <v>800</v>
      </c>
      <c r="X31" s="7">
        <f t="shared" si="20"/>
        <v>58.43681519</v>
      </c>
      <c r="Y31" s="7">
        <f t="shared" si="21"/>
        <v>900</v>
      </c>
      <c r="Z31" s="7">
        <f t="shared" si="22"/>
        <v>65.74141709</v>
      </c>
    </row>
    <row r="32">
      <c r="A32" s="30" t="str">
        <f>IFERROR(__xludf.DUMMYFUNCTION("""COMPUTED_VALUE"""),"2014 05")</f>
        <v>2014 05</v>
      </c>
      <c r="B32" s="30" t="str">
        <f>IFERROR(__xludf.DUMMYFUNCTION("""COMPUTED_VALUE"""),"13.63")</f>
        <v>13.63</v>
      </c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3.668378577</v>
      </c>
      <c r="G32" s="7">
        <f t="shared" si="3"/>
        <v>100</v>
      </c>
      <c r="H32" s="7">
        <f t="shared" si="4"/>
        <v>7.336757153</v>
      </c>
      <c r="I32" s="7">
        <f t="shared" si="5"/>
        <v>150</v>
      </c>
      <c r="J32" s="7">
        <f t="shared" si="6"/>
        <v>11.00513573</v>
      </c>
      <c r="K32" s="7">
        <f t="shared" si="7"/>
        <v>200</v>
      </c>
      <c r="L32" s="7">
        <f t="shared" si="8"/>
        <v>14.67351431</v>
      </c>
      <c r="M32" s="7">
        <f t="shared" si="9"/>
        <v>300</v>
      </c>
      <c r="N32" s="7">
        <f t="shared" si="10"/>
        <v>22.01027146</v>
      </c>
      <c r="O32" s="7">
        <f t="shared" si="11"/>
        <v>400</v>
      </c>
      <c r="P32" s="7">
        <f t="shared" si="12"/>
        <v>29.34702861</v>
      </c>
      <c r="Q32" s="7">
        <f t="shared" si="13"/>
        <v>500</v>
      </c>
      <c r="R32" s="7">
        <f t="shared" si="14"/>
        <v>36.68378577</v>
      </c>
      <c r="S32" s="7">
        <f t="shared" si="15"/>
        <v>600</v>
      </c>
      <c r="T32" s="7">
        <f t="shared" si="16"/>
        <v>44.02054292</v>
      </c>
      <c r="U32" s="7">
        <f t="shared" si="17"/>
        <v>700</v>
      </c>
      <c r="V32" s="7">
        <f t="shared" si="18"/>
        <v>51.35730007</v>
      </c>
      <c r="W32" s="7">
        <f t="shared" si="19"/>
        <v>800</v>
      </c>
      <c r="X32" s="7">
        <f t="shared" si="20"/>
        <v>58.69405723</v>
      </c>
      <c r="Y32" s="7">
        <f t="shared" si="21"/>
        <v>900</v>
      </c>
      <c r="Z32" s="7">
        <f t="shared" si="22"/>
        <v>66.03081438</v>
      </c>
    </row>
    <row r="33">
      <c r="A33" s="30" t="str">
        <f>IFERROR(__xludf.DUMMYFUNCTION("""COMPUTED_VALUE"""),"2014 06")</f>
        <v>2014 06</v>
      </c>
      <c r="B33" s="30" t="str">
        <f>IFERROR(__xludf.DUMMYFUNCTION("""COMPUTED_VALUE"""),"13.96")</f>
        <v>13.96</v>
      </c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3.581661891</v>
      </c>
      <c r="G33" s="7">
        <f t="shared" si="3"/>
        <v>100</v>
      </c>
      <c r="H33" s="7">
        <f t="shared" si="4"/>
        <v>7.163323782</v>
      </c>
      <c r="I33" s="7">
        <f t="shared" si="5"/>
        <v>150</v>
      </c>
      <c r="J33" s="7">
        <f t="shared" si="6"/>
        <v>10.74498567</v>
      </c>
      <c r="K33" s="7">
        <f t="shared" si="7"/>
        <v>200</v>
      </c>
      <c r="L33" s="7">
        <f t="shared" si="8"/>
        <v>14.32664756</v>
      </c>
      <c r="M33" s="7">
        <f t="shared" si="9"/>
        <v>300</v>
      </c>
      <c r="N33" s="7">
        <f t="shared" si="10"/>
        <v>21.48997135</v>
      </c>
      <c r="O33" s="7">
        <f t="shared" si="11"/>
        <v>400</v>
      </c>
      <c r="P33" s="7">
        <f t="shared" si="12"/>
        <v>28.65329513</v>
      </c>
      <c r="Q33" s="7">
        <f t="shared" si="13"/>
        <v>500</v>
      </c>
      <c r="R33" s="7">
        <f t="shared" si="14"/>
        <v>35.81661891</v>
      </c>
      <c r="S33" s="7">
        <f t="shared" si="15"/>
        <v>600</v>
      </c>
      <c r="T33" s="7">
        <f t="shared" si="16"/>
        <v>42.97994269</v>
      </c>
      <c r="U33" s="7">
        <f t="shared" si="17"/>
        <v>700</v>
      </c>
      <c r="V33" s="7">
        <f t="shared" si="18"/>
        <v>50.14326648</v>
      </c>
      <c r="W33" s="7">
        <f t="shared" si="19"/>
        <v>800</v>
      </c>
      <c r="X33" s="7">
        <f t="shared" si="20"/>
        <v>57.30659026</v>
      </c>
      <c r="Y33" s="7">
        <f t="shared" si="21"/>
        <v>900</v>
      </c>
      <c r="Z33" s="7">
        <f t="shared" si="22"/>
        <v>64.46991404</v>
      </c>
    </row>
    <row r="34">
      <c r="A34" s="30" t="str">
        <f>IFERROR(__xludf.DUMMYFUNCTION("""COMPUTED_VALUE"""),"2014 07")</f>
        <v>2014 07</v>
      </c>
      <c r="B34" s="30" t="str">
        <f>IFERROR(__xludf.DUMMYFUNCTION("""COMPUTED_VALUE"""),"13.97")</f>
        <v>13.97</v>
      </c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3.579098067</v>
      </c>
      <c r="G34" s="7">
        <f t="shared" si="3"/>
        <v>100</v>
      </c>
      <c r="H34" s="7">
        <f t="shared" si="4"/>
        <v>7.158196135</v>
      </c>
      <c r="I34" s="7">
        <f t="shared" si="5"/>
        <v>150</v>
      </c>
      <c r="J34" s="7">
        <f t="shared" si="6"/>
        <v>10.7372942</v>
      </c>
      <c r="K34" s="7">
        <f t="shared" si="7"/>
        <v>200</v>
      </c>
      <c r="L34" s="7">
        <f t="shared" si="8"/>
        <v>14.31639227</v>
      </c>
      <c r="M34" s="7">
        <f t="shared" si="9"/>
        <v>300</v>
      </c>
      <c r="N34" s="7">
        <f t="shared" si="10"/>
        <v>21.4745884</v>
      </c>
      <c r="O34" s="7">
        <f t="shared" si="11"/>
        <v>400</v>
      </c>
      <c r="P34" s="7">
        <f t="shared" si="12"/>
        <v>28.63278454</v>
      </c>
      <c r="Q34" s="7">
        <f t="shared" si="13"/>
        <v>500</v>
      </c>
      <c r="R34" s="7">
        <f t="shared" si="14"/>
        <v>35.79098067</v>
      </c>
      <c r="S34" s="7">
        <f t="shared" si="15"/>
        <v>600</v>
      </c>
      <c r="T34" s="7">
        <f t="shared" si="16"/>
        <v>42.94917681</v>
      </c>
      <c r="U34" s="7">
        <f t="shared" si="17"/>
        <v>700</v>
      </c>
      <c r="V34" s="7">
        <f t="shared" si="18"/>
        <v>50.10737294</v>
      </c>
      <c r="W34" s="7">
        <f t="shared" si="19"/>
        <v>800</v>
      </c>
      <c r="X34" s="7">
        <f t="shared" si="20"/>
        <v>57.26556908</v>
      </c>
      <c r="Y34" s="7">
        <f t="shared" si="21"/>
        <v>900</v>
      </c>
      <c r="Z34" s="7">
        <f t="shared" si="22"/>
        <v>64.42376521</v>
      </c>
    </row>
    <row r="35">
      <c r="A35" s="30" t="str">
        <f>IFERROR(__xludf.DUMMYFUNCTION("""COMPUTED_VALUE"""),"2014 08")</f>
        <v>2014 08</v>
      </c>
      <c r="B35" s="30" t="str">
        <f>IFERROR(__xludf.DUMMYFUNCTION("""COMPUTED_VALUE"""),"13.97")</f>
        <v>13.97</v>
      </c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3.579098067</v>
      </c>
      <c r="G35" s="7">
        <f t="shared" si="3"/>
        <v>100</v>
      </c>
      <c r="H35" s="7">
        <f t="shared" si="4"/>
        <v>7.158196135</v>
      </c>
      <c r="I35" s="7">
        <f t="shared" si="5"/>
        <v>150</v>
      </c>
      <c r="J35" s="7">
        <f t="shared" si="6"/>
        <v>10.7372942</v>
      </c>
      <c r="K35" s="7">
        <f t="shared" si="7"/>
        <v>200</v>
      </c>
      <c r="L35" s="7">
        <f t="shared" si="8"/>
        <v>14.31639227</v>
      </c>
      <c r="M35" s="7">
        <f t="shared" si="9"/>
        <v>300</v>
      </c>
      <c r="N35" s="7">
        <f t="shared" si="10"/>
        <v>21.4745884</v>
      </c>
      <c r="O35" s="7">
        <f t="shared" si="11"/>
        <v>400</v>
      </c>
      <c r="P35" s="7">
        <f t="shared" si="12"/>
        <v>28.63278454</v>
      </c>
      <c r="Q35" s="7">
        <f t="shared" si="13"/>
        <v>500</v>
      </c>
      <c r="R35" s="7">
        <f t="shared" si="14"/>
        <v>35.79098067</v>
      </c>
      <c r="S35" s="7">
        <f t="shared" si="15"/>
        <v>600</v>
      </c>
      <c r="T35" s="7">
        <f t="shared" si="16"/>
        <v>42.94917681</v>
      </c>
      <c r="U35" s="7">
        <f t="shared" si="17"/>
        <v>700</v>
      </c>
      <c r="V35" s="7">
        <f t="shared" si="18"/>
        <v>50.10737294</v>
      </c>
      <c r="W35" s="7">
        <f t="shared" si="19"/>
        <v>800</v>
      </c>
      <c r="X35" s="7">
        <f t="shared" si="20"/>
        <v>57.26556908</v>
      </c>
      <c r="Y35" s="7">
        <f t="shared" si="21"/>
        <v>900</v>
      </c>
      <c r="Z35" s="7">
        <f t="shared" si="22"/>
        <v>64.42376521</v>
      </c>
    </row>
    <row r="36">
      <c r="A36" s="30" t="str">
        <f>IFERROR(__xludf.DUMMYFUNCTION("""COMPUTED_VALUE"""),"2014 09")</f>
        <v>2014 09</v>
      </c>
      <c r="B36" s="30" t="str">
        <f>IFERROR(__xludf.DUMMYFUNCTION("""COMPUTED_VALUE"""),"14.41")</f>
        <v>14.41</v>
      </c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3.46981263</v>
      </c>
      <c r="G36" s="7">
        <f t="shared" si="3"/>
        <v>100</v>
      </c>
      <c r="H36" s="7">
        <f t="shared" si="4"/>
        <v>6.93962526</v>
      </c>
      <c r="I36" s="7">
        <f t="shared" si="5"/>
        <v>150</v>
      </c>
      <c r="J36" s="7">
        <f t="shared" si="6"/>
        <v>10.40943789</v>
      </c>
      <c r="K36" s="7">
        <f t="shared" si="7"/>
        <v>200</v>
      </c>
      <c r="L36" s="7">
        <f t="shared" si="8"/>
        <v>13.87925052</v>
      </c>
      <c r="M36" s="7">
        <f t="shared" si="9"/>
        <v>300</v>
      </c>
      <c r="N36" s="7">
        <f t="shared" si="10"/>
        <v>20.81887578</v>
      </c>
      <c r="O36" s="7">
        <f t="shared" si="11"/>
        <v>400</v>
      </c>
      <c r="P36" s="7">
        <f t="shared" si="12"/>
        <v>27.75850104</v>
      </c>
      <c r="Q36" s="7">
        <f t="shared" si="13"/>
        <v>500</v>
      </c>
      <c r="R36" s="7">
        <f t="shared" si="14"/>
        <v>34.6981263</v>
      </c>
      <c r="S36" s="7">
        <f t="shared" si="15"/>
        <v>600</v>
      </c>
      <c r="T36" s="7">
        <f t="shared" si="16"/>
        <v>41.63775156</v>
      </c>
      <c r="U36" s="7">
        <f t="shared" si="17"/>
        <v>700</v>
      </c>
      <c r="V36" s="7">
        <f t="shared" si="18"/>
        <v>48.57737682</v>
      </c>
      <c r="W36" s="7">
        <f t="shared" si="19"/>
        <v>800</v>
      </c>
      <c r="X36" s="7">
        <f t="shared" si="20"/>
        <v>55.51700208</v>
      </c>
      <c r="Y36" s="7">
        <f t="shared" si="21"/>
        <v>900</v>
      </c>
      <c r="Z36" s="7">
        <f t="shared" si="22"/>
        <v>62.45662734</v>
      </c>
    </row>
    <row r="37">
      <c r="A37" s="30" t="str">
        <f>IFERROR(__xludf.DUMMYFUNCTION("""COMPUTED_VALUE"""),"2014 10")</f>
        <v>2014 10</v>
      </c>
      <c r="B37" s="30" t="str">
        <f>IFERROR(__xludf.DUMMYFUNCTION("""COMPUTED_VALUE"""),"14.95")</f>
        <v>14.95</v>
      </c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3.344481605</v>
      </c>
      <c r="G37" s="7">
        <f t="shared" si="3"/>
        <v>100</v>
      </c>
      <c r="H37" s="7">
        <f t="shared" si="4"/>
        <v>6.688963211</v>
      </c>
      <c r="I37" s="7">
        <f t="shared" si="5"/>
        <v>150</v>
      </c>
      <c r="J37" s="7">
        <f t="shared" si="6"/>
        <v>10.03344482</v>
      </c>
      <c r="K37" s="7">
        <f t="shared" si="7"/>
        <v>200</v>
      </c>
      <c r="L37" s="7">
        <f t="shared" si="8"/>
        <v>13.37792642</v>
      </c>
      <c r="M37" s="7">
        <f t="shared" si="9"/>
        <v>300</v>
      </c>
      <c r="N37" s="7">
        <f t="shared" si="10"/>
        <v>20.06688963</v>
      </c>
      <c r="O37" s="7">
        <f t="shared" si="11"/>
        <v>400</v>
      </c>
      <c r="P37" s="7">
        <f t="shared" si="12"/>
        <v>26.75585284</v>
      </c>
      <c r="Q37" s="7">
        <f t="shared" si="13"/>
        <v>500</v>
      </c>
      <c r="R37" s="7">
        <f t="shared" si="14"/>
        <v>33.44481605</v>
      </c>
      <c r="S37" s="7">
        <f t="shared" si="15"/>
        <v>600</v>
      </c>
      <c r="T37" s="7">
        <f t="shared" si="16"/>
        <v>40.13377926</v>
      </c>
      <c r="U37" s="7">
        <f t="shared" si="17"/>
        <v>700</v>
      </c>
      <c r="V37" s="7">
        <f t="shared" si="18"/>
        <v>46.82274247</v>
      </c>
      <c r="W37" s="7">
        <f t="shared" si="19"/>
        <v>800</v>
      </c>
      <c r="X37" s="7">
        <f t="shared" si="20"/>
        <v>53.51170569</v>
      </c>
      <c r="Y37" s="7">
        <f t="shared" si="21"/>
        <v>900</v>
      </c>
      <c r="Z37" s="7">
        <f t="shared" si="22"/>
        <v>60.2006689</v>
      </c>
    </row>
    <row r="38">
      <c r="A38" s="30" t="str">
        <f>IFERROR(__xludf.DUMMYFUNCTION("""COMPUTED_VALUE"""),"2014 11")</f>
        <v>2014 11</v>
      </c>
      <c r="B38" s="30" t="str">
        <f>IFERROR(__xludf.DUMMYFUNCTION("""COMPUTED_VALUE"""),"15.58")</f>
        <v>15.58</v>
      </c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3.209242619</v>
      </c>
      <c r="G38" s="7">
        <f t="shared" si="3"/>
        <v>100</v>
      </c>
      <c r="H38" s="7">
        <f t="shared" si="4"/>
        <v>6.418485237</v>
      </c>
      <c r="I38" s="7">
        <f t="shared" si="5"/>
        <v>150</v>
      </c>
      <c r="J38" s="7">
        <f t="shared" si="6"/>
        <v>9.627727856</v>
      </c>
      <c r="K38" s="7">
        <f t="shared" si="7"/>
        <v>200</v>
      </c>
      <c r="L38" s="7">
        <f t="shared" si="8"/>
        <v>12.83697047</v>
      </c>
      <c r="M38" s="7">
        <f t="shared" si="9"/>
        <v>300</v>
      </c>
      <c r="N38" s="7">
        <f t="shared" si="10"/>
        <v>19.25545571</v>
      </c>
      <c r="O38" s="7">
        <f t="shared" si="11"/>
        <v>400</v>
      </c>
      <c r="P38" s="7">
        <f t="shared" si="12"/>
        <v>25.67394095</v>
      </c>
      <c r="Q38" s="7">
        <f t="shared" si="13"/>
        <v>500</v>
      </c>
      <c r="R38" s="7">
        <f t="shared" si="14"/>
        <v>32.09242619</v>
      </c>
      <c r="S38" s="7">
        <f t="shared" si="15"/>
        <v>600</v>
      </c>
      <c r="T38" s="7">
        <f t="shared" si="16"/>
        <v>38.51091142</v>
      </c>
      <c r="U38" s="7">
        <f t="shared" si="17"/>
        <v>700</v>
      </c>
      <c r="V38" s="7">
        <f t="shared" si="18"/>
        <v>44.92939666</v>
      </c>
      <c r="W38" s="7">
        <f t="shared" si="19"/>
        <v>800</v>
      </c>
      <c r="X38" s="7">
        <f t="shared" si="20"/>
        <v>51.3478819</v>
      </c>
      <c r="Y38" s="7">
        <f t="shared" si="21"/>
        <v>900</v>
      </c>
      <c r="Z38" s="7">
        <f t="shared" si="22"/>
        <v>57.76636714</v>
      </c>
    </row>
    <row r="39">
      <c r="A39" s="30" t="str">
        <f>IFERROR(__xludf.DUMMYFUNCTION("""COMPUTED_VALUE"""),"2014 12")</f>
        <v>2014 12</v>
      </c>
      <c r="B39" s="30" t="str">
        <f>IFERROR(__xludf.DUMMYFUNCTION("""COMPUTED_VALUE"""),"16.29")</f>
        <v>16.29</v>
      </c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3.06936771</v>
      </c>
      <c r="G39" s="7">
        <f t="shared" si="3"/>
        <v>100</v>
      </c>
      <c r="H39" s="7">
        <f t="shared" si="4"/>
        <v>6.138735421</v>
      </c>
      <c r="I39" s="7">
        <f t="shared" si="5"/>
        <v>150</v>
      </c>
      <c r="J39" s="7">
        <f t="shared" si="6"/>
        <v>9.208103131</v>
      </c>
      <c r="K39" s="7">
        <f t="shared" si="7"/>
        <v>200</v>
      </c>
      <c r="L39" s="7">
        <f t="shared" si="8"/>
        <v>12.27747084</v>
      </c>
      <c r="M39" s="7">
        <f t="shared" si="9"/>
        <v>300</v>
      </c>
      <c r="N39" s="7">
        <f t="shared" si="10"/>
        <v>18.41620626</v>
      </c>
      <c r="O39" s="7">
        <f t="shared" si="11"/>
        <v>400</v>
      </c>
      <c r="P39" s="7">
        <f t="shared" si="12"/>
        <v>24.55494168</v>
      </c>
      <c r="Q39" s="7">
        <f t="shared" si="13"/>
        <v>500</v>
      </c>
      <c r="R39" s="7">
        <f t="shared" si="14"/>
        <v>30.6936771</v>
      </c>
      <c r="S39" s="7">
        <f t="shared" si="15"/>
        <v>600</v>
      </c>
      <c r="T39" s="7">
        <f t="shared" si="16"/>
        <v>36.83241252</v>
      </c>
      <c r="U39" s="7">
        <f t="shared" si="17"/>
        <v>700</v>
      </c>
      <c r="V39" s="7">
        <f t="shared" si="18"/>
        <v>42.97114794</v>
      </c>
      <c r="W39" s="7">
        <f t="shared" si="19"/>
        <v>800</v>
      </c>
      <c r="X39" s="7">
        <f t="shared" si="20"/>
        <v>49.10988336</v>
      </c>
      <c r="Y39" s="7">
        <f t="shared" si="21"/>
        <v>900</v>
      </c>
      <c r="Z39" s="7">
        <f t="shared" si="22"/>
        <v>55.24861878</v>
      </c>
    </row>
    <row r="40">
      <c r="A40" s="30" t="str">
        <f>IFERROR(__xludf.DUMMYFUNCTION("""COMPUTED_VALUE"""),"2015 01")</f>
        <v>2015 01</v>
      </c>
      <c r="B40" s="30" t="str">
        <f>IFERROR(__xludf.DUMMYFUNCTION("""COMPUTED_VALUE"""),"17.05")</f>
        <v>17.05</v>
      </c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2.93255132</v>
      </c>
      <c r="G40" s="7">
        <f t="shared" si="3"/>
        <v>100</v>
      </c>
      <c r="H40" s="7">
        <f t="shared" si="4"/>
        <v>5.865102639</v>
      </c>
      <c r="I40" s="7">
        <f t="shared" si="5"/>
        <v>150</v>
      </c>
      <c r="J40" s="7">
        <f t="shared" si="6"/>
        <v>8.797653959</v>
      </c>
      <c r="K40" s="7">
        <f t="shared" si="7"/>
        <v>200</v>
      </c>
      <c r="L40" s="7">
        <f t="shared" si="8"/>
        <v>11.73020528</v>
      </c>
      <c r="M40" s="7">
        <f t="shared" si="9"/>
        <v>300</v>
      </c>
      <c r="N40" s="7">
        <f t="shared" si="10"/>
        <v>17.59530792</v>
      </c>
      <c r="O40" s="7">
        <f t="shared" si="11"/>
        <v>400</v>
      </c>
      <c r="P40" s="7">
        <f t="shared" si="12"/>
        <v>23.46041056</v>
      </c>
      <c r="Q40" s="7">
        <f t="shared" si="13"/>
        <v>500</v>
      </c>
      <c r="R40" s="7">
        <f t="shared" si="14"/>
        <v>29.3255132</v>
      </c>
      <c r="S40" s="7">
        <f t="shared" si="15"/>
        <v>600</v>
      </c>
      <c r="T40" s="7">
        <f t="shared" si="16"/>
        <v>35.19061584</v>
      </c>
      <c r="U40" s="7">
        <f t="shared" si="17"/>
        <v>700</v>
      </c>
      <c r="V40" s="7">
        <f t="shared" si="18"/>
        <v>41.05571848</v>
      </c>
      <c r="W40" s="7">
        <f t="shared" si="19"/>
        <v>800</v>
      </c>
      <c r="X40" s="7">
        <f t="shared" si="20"/>
        <v>46.92082111</v>
      </c>
      <c r="Y40" s="7">
        <f t="shared" si="21"/>
        <v>900</v>
      </c>
      <c r="Z40" s="7">
        <f t="shared" si="22"/>
        <v>52.78592375</v>
      </c>
    </row>
    <row r="41">
      <c r="A41" s="30" t="str">
        <f>IFERROR(__xludf.DUMMYFUNCTION("""COMPUTED_VALUE"""),"2015 02")</f>
        <v>2015 02</v>
      </c>
      <c r="B41" s="30" t="str">
        <f>IFERROR(__xludf.DUMMYFUNCTION("""COMPUTED_VALUE"""),"17.23")</f>
        <v>17.23</v>
      </c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2.901915264</v>
      </c>
      <c r="G41" s="7">
        <f t="shared" si="3"/>
        <v>100</v>
      </c>
      <c r="H41" s="7">
        <f t="shared" si="4"/>
        <v>5.803830528</v>
      </c>
      <c r="I41" s="7">
        <f t="shared" si="5"/>
        <v>150</v>
      </c>
      <c r="J41" s="7">
        <f t="shared" si="6"/>
        <v>8.705745792</v>
      </c>
      <c r="K41" s="7">
        <f t="shared" si="7"/>
        <v>200</v>
      </c>
      <c r="L41" s="7">
        <f t="shared" si="8"/>
        <v>11.60766106</v>
      </c>
      <c r="M41" s="7">
        <f t="shared" si="9"/>
        <v>300</v>
      </c>
      <c r="N41" s="7">
        <f t="shared" si="10"/>
        <v>17.41149158</v>
      </c>
      <c r="O41" s="7">
        <f t="shared" si="11"/>
        <v>400</v>
      </c>
      <c r="P41" s="7">
        <f t="shared" si="12"/>
        <v>23.21532211</v>
      </c>
      <c r="Q41" s="7">
        <f t="shared" si="13"/>
        <v>500</v>
      </c>
      <c r="R41" s="7">
        <f t="shared" si="14"/>
        <v>29.01915264</v>
      </c>
      <c r="S41" s="7">
        <f t="shared" si="15"/>
        <v>600</v>
      </c>
      <c r="T41" s="7">
        <f t="shared" si="16"/>
        <v>34.82298317</v>
      </c>
      <c r="U41" s="7">
        <f t="shared" si="17"/>
        <v>700</v>
      </c>
      <c r="V41" s="7">
        <f t="shared" si="18"/>
        <v>40.6268137</v>
      </c>
      <c r="W41" s="7">
        <f t="shared" si="19"/>
        <v>800</v>
      </c>
      <c r="X41" s="7">
        <f t="shared" si="20"/>
        <v>46.43064423</v>
      </c>
      <c r="Y41" s="7">
        <f t="shared" si="21"/>
        <v>900</v>
      </c>
      <c r="Z41" s="7">
        <f t="shared" si="22"/>
        <v>52.23447475</v>
      </c>
    </row>
    <row r="42">
      <c r="A42" s="30" t="str">
        <f>IFERROR(__xludf.DUMMYFUNCTION("""COMPUTED_VALUE"""),"2015 03")</f>
        <v>2015 03</v>
      </c>
      <c r="B42" s="30" t="str">
        <f>IFERROR(__xludf.DUMMYFUNCTION("""COMPUTED_VALUE"""),"18.26")</f>
        <v>18.26</v>
      </c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2.73822563</v>
      </c>
      <c r="G42" s="7">
        <f t="shared" si="3"/>
        <v>100</v>
      </c>
      <c r="H42" s="7">
        <f t="shared" si="4"/>
        <v>5.47645126</v>
      </c>
      <c r="I42" s="7">
        <f t="shared" si="5"/>
        <v>150</v>
      </c>
      <c r="J42" s="7">
        <f t="shared" si="6"/>
        <v>8.214676889</v>
      </c>
      <c r="K42" s="7">
        <f t="shared" si="7"/>
        <v>200</v>
      </c>
      <c r="L42" s="7">
        <f t="shared" si="8"/>
        <v>10.95290252</v>
      </c>
      <c r="M42" s="7">
        <f t="shared" si="9"/>
        <v>300</v>
      </c>
      <c r="N42" s="7">
        <f t="shared" si="10"/>
        <v>16.42935378</v>
      </c>
      <c r="O42" s="7">
        <f t="shared" si="11"/>
        <v>400</v>
      </c>
      <c r="P42" s="7">
        <f t="shared" si="12"/>
        <v>21.90580504</v>
      </c>
      <c r="Q42" s="7">
        <f t="shared" si="13"/>
        <v>500</v>
      </c>
      <c r="R42" s="7">
        <f t="shared" si="14"/>
        <v>27.3822563</v>
      </c>
      <c r="S42" s="7">
        <f t="shared" si="15"/>
        <v>600</v>
      </c>
      <c r="T42" s="7">
        <f t="shared" si="16"/>
        <v>32.85870756</v>
      </c>
      <c r="U42" s="7">
        <f t="shared" si="17"/>
        <v>700</v>
      </c>
      <c r="V42" s="7">
        <f t="shared" si="18"/>
        <v>38.33515882</v>
      </c>
      <c r="W42" s="7">
        <f t="shared" si="19"/>
        <v>800</v>
      </c>
      <c r="X42" s="7">
        <f t="shared" si="20"/>
        <v>43.81161008</v>
      </c>
      <c r="Y42" s="7">
        <f t="shared" si="21"/>
        <v>900</v>
      </c>
      <c r="Z42" s="7">
        <f t="shared" si="22"/>
        <v>49.28806134</v>
      </c>
    </row>
    <row r="43">
      <c r="A43" s="30" t="str">
        <f>IFERROR(__xludf.DUMMYFUNCTION("""COMPUTED_VALUE"""),"2015 04")</f>
        <v>2015 04</v>
      </c>
      <c r="B43" s="30" t="str">
        <f>IFERROR(__xludf.DUMMYFUNCTION("""COMPUTED_VALUE"""),"18.05")</f>
        <v>18.05</v>
      </c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2.770083102</v>
      </c>
      <c r="G43" s="7">
        <f t="shared" si="3"/>
        <v>100</v>
      </c>
      <c r="H43" s="7">
        <f t="shared" si="4"/>
        <v>5.540166205</v>
      </c>
      <c r="I43" s="7">
        <f t="shared" si="5"/>
        <v>150</v>
      </c>
      <c r="J43" s="7">
        <f t="shared" si="6"/>
        <v>8.310249307</v>
      </c>
      <c r="K43" s="7">
        <f t="shared" si="7"/>
        <v>200</v>
      </c>
      <c r="L43" s="7">
        <f t="shared" si="8"/>
        <v>11.08033241</v>
      </c>
      <c r="M43" s="7">
        <f t="shared" si="9"/>
        <v>300</v>
      </c>
      <c r="N43" s="7">
        <f t="shared" si="10"/>
        <v>16.62049861</v>
      </c>
      <c r="O43" s="7">
        <f t="shared" si="11"/>
        <v>400</v>
      </c>
      <c r="P43" s="7">
        <f t="shared" si="12"/>
        <v>22.16066482</v>
      </c>
      <c r="Q43" s="7">
        <f t="shared" si="13"/>
        <v>500</v>
      </c>
      <c r="R43" s="7">
        <f t="shared" si="14"/>
        <v>27.70083102</v>
      </c>
      <c r="S43" s="7">
        <f t="shared" si="15"/>
        <v>600</v>
      </c>
      <c r="T43" s="7">
        <f t="shared" si="16"/>
        <v>33.24099723</v>
      </c>
      <c r="U43" s="7">
        <f t="shared" si="17"/>
        <v>700</v>
      </c>
      <c r="V43" s="7">
        <f t="shared" si="18"/>
        <v>38.78116343</v>
      </c>
      <c r="W43" s="7">
        <f t="shared" si="19"/>
        <v>800</v>
      </c>
      <c r="X43" s="7">
        <f t="shared" si="20"/>
        <v>44.32132964</v>
      </c>
      <c r="Y43" s="7">
        <f t="shared" si="21"/>
        <v>900</v>
      </c>
      <c r="Z43" s="7">
        <f t="shared" si="22"/>
        <v>49.86149584</v>
      </c>
    </row>
    <row r="44">
      <c r="A44" s="30" t="str">
        <f>IFERROR(__xludf.DUMMYFUNCTION("""COMPUTED_VALUE"""),"2015 05")</f>
        <v>2015 05</v>
      </c>
      <c r="B44" s="30" t="str">
        <f>IFERROR(__xludf.DUMMYFUNCTION("""COMPUTED_VALUE"""),"17.77")</f>
        <v>17.77</v>
      </c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2.813731007</v>
      </c>
      <c r="G44" s="7">
        <f t="shared" si="3"/>
        <v>100</v>
      </c>
      <c r="H44" s="7">
        <f t="shared" si="4"/>
        <v>5.627462015</v>
      </c>
      <c r="I44" s="7">
        <f t="shared" si="5"/>
        <v>150</v>
      </c>
      <c r="J44" s="7">
        <f t="shared" si="6"/>
        <v>8.441193022</v>
      </c>
      <c r="K44" s="7">
        <f t="shared" si="7"/>
        <v>200</v>
      </c>
      <c r="L44" s="7">
        <f t="shared" si="8"/>
        <v>11.25492403</v>
      </c>
      <c r="M44" s="7">
        <f t="shared" si="9"/>
        <v>300</v>
      </c>
      <c r="N44" s="7">
        <f t="shared" si="10"/>
        <v>16.88238604</v>
      </c>
      <c r="O44" s="7">
        <f t="shared" si="11"/>
        <v>400</v>
      </c>
      <c r="P44" s="7">
        <f t="shared" si="12"/>
        <v>22.50984806</v>
      </c>
      <c r="Q44" s="7">
        <f t="shared" si="13"/>
        <v>500</v>
      </c>
      <c r="R44" s="7">
        <f t="shared" si="14"/>
        <v>28.13731007</v>
      </c>
      <c r="S44" s="7">
        <f t="shared" si="15"/>
        <v>600</v>
      </c>
      <c r="T44" s="7">
        <f t="shared" si="16"/>
        <v>33.76477209</v>
      </c>
      <c r="U44" s="7">
        <f t="shared" si="17"/>
        <v>700</v>
      </c>
      <c r="V44" s="7">
        <f t="shared" si="18"/>
        <v>39.3922341</v>
      </c>
      <c r="W44" s="7">
        <f t="shared" si="19"/>
        <v>800</v>
      </c>
      <c r="X44" s="7">
        <f t="shared" si="20"/>
        <v>45.01969612</v>
      </c>
      <c r="Y44" s="7">
        <f t="shared" si="21"/>
        <v>900</v>
      </c>
      <c r="Z44" s="7">
        <f t="shared" si="22"/>
        <v>50.64715813</v>
      </c>
    </row>
    <row r="45">
      <c r="A45" s="30" t="str">
        <f>IFERROR(__xludf.DUMMYFUNCTION("""COMPUTED_VALUE"""),"2015 06")</f>
        <v>2015 06</v>
      </c>
      <c r="B45" s="30" t="str">
        <f>IFERROR(__xludf.DUMMYFUNCTION("""COMPUTED_VALUE"""),"18.57")</f>
        <v>18.57</v>
      </c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2.692514809</v>
      </c>
      <c r="G45" s="7">
        <f t="shared" si="3"/>
        <v>100</v>
      </c>
      <c r="H45" s="7">
        <f t="shared" si="4"/>
        <v>5.385029618</v>
      </c>
      <c r="I45" s="7">
        <f t="shared" si="5"/>
        <v>150</v>
      </c>
      <c r="J45" s="7">
        <f t="shared" si="6"/>
        <v>8.077544426</v>
      </c>
      <c r="K45" s="7">
        <f t="shared" si="7"/>
        <v>200</v>
      </c>
      <c r="L45" s="7">
        <f t="shared" si="8"/>
        <v>10.77005924</v>
      </c>
      <c r="M45" s="7">
        <f t="shared" si="9"/>
        <v>300</v>
      </c>
      <c r="N45" s="7">
        <f t="shared" si="10"/>
        <v>16.15508885</v>
      </c>
      <c r="O45" s="7">
        <f t="shared" si="11"/>
        <v>400</v>
      </c>
      <c r="P45" s="7">
        <f t="shared" si="12"/>
        <v>21.54011847</v>
      </c>
      <c r="Q45" s="7">
        <f t="shared" si="13"/>
        <v>500</v>
      </c>
      <c r="R45" s="7">
        <f t="shared" si="14"/>
        <v>26.92514809</v>
      </c>
      <c r="S45" s="7">
        <f t="shared" si="15"/>
        <v>600</v>
      </c>
      <c r="T45" s="7">
        <f t="shared" si="16"/>
        <v>32.31017771</v>
      </c>
      <c r="U45" s="7">
        <f t="shared" si="17"/>
        <v>700</v>
      </c>
      <c r="V45" s="7">
        <f t="shared" si="18"/>
        <v>37.69520732</v>
      </c>
      <c r="W45" s="7">
        <f t="shared" si="19"/>
        <v>800</v>
      </c>
      <c r="X45" s="7">
        <f t="shared" si="20"/>
        <v>43.08023694</v>
      </c>
      <c r="Y45" s="7">
        <f t="shared" si="21"/>
        <v>900</v>
      </c>
      <c r="Z45" s="7">
        <f t="shared" si="22"/>
        <v>48.46526656</v>
      </c>
    </row>
    <row r="46">
      <c r="A46" s="30" t="str">
        <f>IFERROR(__xludf.DUMMYFUNCTION("""COMPUTED_VALUE"""),"2015 07")</f>
        <v>2015 07</v>
      </c>
      <c r="B46" s="30" t="str">
        <f>IFERROR(__xludf.DUMMYFUNCTION("""COMPUTED_VALUE"""),"18")</f>
        <v>18</v>
      </c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2.777777778</v>
      </c>
      <c r="G46" s="7">
        <f t="shared" si="3"/>
        <v>100</v>
      </c>
      <c r="H46" s="7">
        <f t="shared" si="4"/>
        <v>5.555555556</v>
      </c>
      <c r="I46" s="7">
        <f t="shared" si="5"/>
        <v>150</v>
      </c>
      <c r="J46" s="7">
        <f t="shared" si="6"/>
        <v>8.333333333</v>
      </c>
      <c r="K46" s="7">
        <f t="shared" si="7"/>
        <v>200</v>
      </c>
      <c r="L46" s="7">
        <f t="shared" si="8"/>
        <v>11.11111111</v>
      </c>
      <c r="M46" s="7">
        <f t="shared" si="9"/>
        <v>300</v>
      </c>
      <c r="N46" s="7">
        <f t="shared" si="10"/>
        <v>16.66666667</v>
      </c>
      <c r="O46" s="7">
        <f t="shared" si="11"/>
        <v>400</v>
      </c>
      <c r="P46" s="7">
        <f t="shared" si="12"/>
        <v>22.22222222</v>
      </c>
      <c r="Q46" s="7">
        <f t="shared" si="13"/>
        <v>500</v>
      </c>
      <c r="R46" s="7">
        <f t="shared" si="14"/>
        <v>27.77777778</v>
      </c>
      <c r="S46" s="7">
        <f t="shared" si="15"/>
        <v>600</v>
      </c>
      <c r="T46" s="7">
        <f t="shared" si="16"/>
        <v>33.33333333</v>
      </c>
      <c r="U46" s="7">
        <f t="shared" si="17"/>
        <v>700</v>
      </c>
      <c r="V46" s="7">
        <f t="shared" si="18"/>
        <v>38.88888889</v>
      </c>
      <c r="W46" s="7">
        <f t="shared" si="19"/>
        <v>800</v>
      </c>
      <c r="X46" s="7">
        <f t="shared" si="20"/>
        <v>44.44444444</v>
      </c>
      <c r="Y46" s="7">
        <f t="shared" si="21"/>
        <v>900</v>
      </c>
      <c r="Z46" s="7">
        <f t="shared" si="22"/>
        <v>50</v>
      </c>
    </row>
    <row r="47">
      <c r="A47" s="30" t="str">
        <f>IFERROR(__xludf.DUMMYFUNCTION("""COMPUTED_VALUE"""),"2015 08")</f>
        <v>2015 08</v>
      </c>
      <c r="B47" s="30" t="str">
        <f>IFERROR(__xludf.DUMMYFUNCTION("""COMPUTED_VALUE"""),"19.34")</f>
        <v>19.34</v>
      </c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2.585315408</v>
      </c>
      <c r="G47" s="7">
        <f t="shared" si="3"/>
        <v>100</v>
      </c>
      <c r="H47" s="7">
        <f t="shared" si="4"/>
        <v>5.170630817</v>
      </c>
      <c r="I47" s="7">
        <f t="shared" si="5"/>
        <v>150</v>
      </c>
      <c r="J47" s="7">
        <f t="shared" si="6"/>
        <v>7.755946225</v>
      </c>
      <c r="K47" s="7">
        <f t="shared" si="7"/>
        <v>200</v>
      </c>
      <c r="L47" s="7">
        <f t="shared" si="8"/>
        <v>10.34126163</v>
      </c>
      <c r="M47" s="7">
        <f t="shared" si="9"/>
        <v>300</v>
      </c>
      <c r="N47" s="7">
        <f t="shared" si="10"/>
        <v>15.51189245</v>
      </c>
      <c r="O47" s="7">
        <f t="shared" si="11"/>
        <v>400</v>
      </c>
      <c r="P47" s="7">
        <f t="shared" si="12"/>
        <v>20.68252327</v>
      </c>
      <c r="Q47" s="7">
        <f t="shared" si="13"/>
        <v>500</v>
      </c>
      <c r="R47" s="7">
        <f t="shared" si="14"/>
        <v>25.85315408</v>
      </c>
      <c r="S47" s="7">
        <f t="shared" si="15"/>
        <v>600</v>
      </c>
      <c r="T47" s="7">
        <f t="shared" si="16"/>
        <v>31.0237849</v>
      </c>
      <c r="U47" s="7">
        <f t="shared" si="17"/>
        <v>700</v>
      </c>
      <c r="V47" s="7">
        <f t="shared" si="18"/>
        <v>36.19441572</v>
      </c>
      <c r="W47" s="7">
        <f t="shared" si="19"/>
        <v>800</v>
      </c>
      <c r="X47" s="7">
        <f t="shared" si="20"/>
        <v>41.36504654</v>
      </c>
      <c r="Y47" s="7">
        <f t="shared" si="21"/>
        <v>900</v>
      </c>
      <c r="Z47" s="7">
        <f t="shared" si="22"/>
        <v>46.53567735</v>
      </c>
    </row>
    <row r="48">
      <c r="A48" s="30" t="str">
        <f>IFERROR(__xludf.DUMMYFUNCTION("""COMPUTED_VALUE"""),"2015 09")</f>
        <v>2015 09</v>
      </c>
      <c r="B48" s="30" t="str">
        <f>IFERROR(__xludf.DUMMYFUNCTION("""COMPUTED_VALUE"""),"18.28")</f>
        <v>18.28</v>
      </c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2.735229759</v>
      </c>
      <c r="G48" s="7">
        <f t="shared" si="3"/>
        <v>100</v>
      </c>
      <c r="H48" s="7">
        <f t="shared" si="4"/>
        <v>5.470459519</v>
      </c>
      <c r="I48" s="7">
        <f t="shared" si="5"/>
        <v>150</v>
      </c>
      <c r="J48" s="7">
        <f t="shared" si="6"/>
        <v>8.205689278</v>
      </c>
      <c r="K48" s="7">
        <f t="shared" si="7"/>
        <v>200</v>
      </c>
      <c r="L48" s="7">
        <f t="shared" si="8"/>
        <v>10.94091904</v>
      </c>
      <c r="M48" s="7">
        <f t="shared" si="9"/>
        <v>300</v>
      </c>
      <c r="N48" s="7">
        <f t="shared" si="10"/>
        <v>16.41137856</v>
      </c>
      <c r="O48" s="7">
        <f t="shared" si="11"/>
        <v>400</v>
      </c>
      <c r="P48" s="7">
        <f t="shared" si="12"/>
        <v>21.88183807</v>
      </c>
      <c r="Q48" s="7">
        <f t="shared" si="13"/>
        <v>500</v>
      </c>
      <c r="R48" s="7">
        <f t="shared" si="14"/>
        <v>27.35229759</v>
      </c>
      <c r="S48" s="7">
        <f t="shared" si="15"/>
        <v>600</v>
      </c>
      <c r="T48" s="7">
        <f t="shared" si="16"/>
        <v>32.82275711</v>
      </c>
      <c r="U48" s="7">
        <f t="shared" si="17"/>
        <v>700</v>
      </c>
      <c r="V48" s="7">
        <f t="shared" si="18"/>
        <v>38.29321663</v>
      </c>
      <c r="W48" s="7">
        <f t="shared" si="19"/>
        <v>800</v>
      </c>
      <c r="X48" s="7">
        <f t="shared" si="20"/>
        <v>43.76367615</v>
      </c>
      <c r="Y48" s="7">
        <f t="shared" si="21"/>
        <v>900</v>
      </c>
      <c r="Z48" s="7">
        <f t="shared" si="22"/>
        <v>49.23413567</v>
      </c>
    </row>
    <row r="49">
      <c r="A49" s="30" t="str">
        <f>IFERROR(__xludf.DUMMYFUNCTION("""COMPUTED_VALUE"""),"2015 10")</f>
        <v>2015 10</v>
      </c>
      <c r="B49" s="30" t="str">
        <f>IFERROR(__xludf.DUMMYFUNCTION("""COMPUTED_VALUE"""),"18.35")</f>
        <v>18.35</v>
      </c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2.72479564</v>
      </c>
      <c r="G49" s="7">
        <f t="shared" si="3"/>
        <v>100</v>
      </c>
      <c r="H49" s="7">
        <f t="shared" si="4"/>
        <v>5.449591281</v>
      </c>
      <c r="I49" s="7">
        <f t="shared" si="5"/>
        <v>150</v>
      </c>
      <c r="J49" s="7">
        <f t="shared" si="6"/>
        <v>8.174386921</v>
      </c>
      <c r="K49" s="7">
        <f t="shared" si="7"/>
        <v>200</v>
      </c>
      <c r="L49" s="7">
        <f t="shared" si="8"/>
        <v>10.89918256</v>
      </c>
      <c r="M49" s="7">
        <f t="shared" si="9"/>
        <v>300</v>
      </c>
      <c r="N49" s="7">
        <f t="shared" si="10"/>
        <v>16.34877384</v>
      </c>
      <c r="O49" s="7">
        <f t="shared" si="11"/>
        <v>400</v>
      </c>
      <c r="P49" s="7">
        <f t="shared" si="12"/>
        <v>21.79836512</v>
      </c>
      <c r="Q49" s="7">
        <f t="shared" si="13"/>
        <v>500</v>
      </c>
      <c r="R49" s="7">
        <f t="shared" si="14"/>
        <v>27.2479564</v>
      </c>
      <c r="S49" s="7">
        <f t="shared" si="15"/>
        <v>600</v>
      </c>
      <c r="T49" s="7">
        <f t="shared" si="16"/>
        <v>32.69754768</v>
      </c>
      <c r="U49" s="7">
        <f t="shared" si="17"/>
        <v>700</v>
      </c>
      <c r="V49" s="7">
        <f t="shared" si="18"/>
        <v>38.14713896</v>
      </c>
      <c r="W49" s="7">
        <f t="shared" si="19"/>
        <v>800</v>
      </c>
      <c r="X49" s="7">
        <f t="shared" si="20"/>
        <v>43.59673025</v>
      </c>
      <c r="Y49" s="7">
        <f t="shared" si="21"/>
        <v>900</v>
      </c>
      <c r="Z49" s="7">
        <f t="shared" si="22"/>
        <v>49.04632153</v>
      </c>
    </row>
    <row r="50">
      <c r="A50" s="30" t="str">
        <f>IFERROR(__xludf.DUMMYFUNCTION("""COMPUTED_VALUE"""),"2015 11")</f>
        <v>2015 11</v>
      </c>
      <c r="B50" s="30" t="str">
        <f>IFERROR(__xludf.DUMMYFUNCTION("""COMPUTED_VALUE"""),"19.46")</f>
        <v>19.46</v>
      </c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2.569373073</v>
      </c>
      <c r="G50" s="7">
        <f t="shared" si="3"/>
        <v>100</v>
      </c>
      <c r="H50" s="7">
        <f t="shared" si="4"/>
        <v>5.138746146</v>
      </c>
      <c r="I50" s="7">
        <f t="shared" si="5"/>
        <v>150</v>
      </c>
      <c r="J50" s="7">
        <f t="shared" si="6"/>
        <v>7.708119219</v>
      </c>
      <c r="K50" s="7">
        <f t="shared" si="7"/>
        <v>200</v>
      </c>
      <c r="L50" s="7">
        <f t="shared" si="8"/>
        <v>10.27749229</v>
      </c>
      <c r="M50" s="7">
        <f t="shared" si="9"/>
        <v>300</v>
      </c>
      <c r="N50" s="7">
        <f t="shared" si="10"/>
        <v>15.41623844</v>
      </c>
      <c r="O50" s="7">
        <f t="shared" si="11"/>
        <v>400</v>
      </c>
      <c r="P50" s="7">
        <f t="shared" si="12"/>
        <v>20.55498458</v>
      </c>
      <c r="Q50" s="7">
        <f t="shared" si="13"/>
        <v>500</v>
      </c>
      <c r="R50" s="7">
        <f t="shared" si="14"/>
        <v>25.69373073</v>
      </c>
      <c r="S50" s="7">
        <f t="shared" si="15"/>
        <v>600</v>
      </c>
      <c r="T50" s="7">
        <f t="shared" si="16"/>
        <v>30.83247688</v>
      </c>
      <c r="U50" s="7">
        <f t="shared" si="17"/>
        <v>700</v>
      </c>
      <c r="V50" s="7">
        <f t="shared" si="18"/>
        <v>35.97122302</v>
      </c>
      <c r="W50" s="7">
        <f t="shared" si="19"/>
        <v>800</v>
      </c>
      <c r="X50" s="7">
        <f t="shared" si="20"/>
        <v>41.10996917</v>
      </c>
      <c r="Y50" s="7">
        <f t="shared" si="21"/>
        <v>900</v>
      </c>
      <c r="Z50" s="7">
        <f t="shared" si="22"/>
        <v>46.24871531</v>
      </c>
    </row>
    <row r="51">
      <c r="A51" s="30" t="str">
        <f>IFERROR(__xludf.DUMMYFUNCTION("""COMPUTED_VALUE"""),"2015 12")</f>
        <v>2015 12</v>
      </c>
      <c r="B51" s="30" t="str">
        <f>IFERROR(__xludf.DUMMYFUNCTION("""COMPUTED_VALUE"""),"19.38")</f>
        <v>19.38</v>
      </c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2.57997936</v>
      </c>
      <c r="G51" s="7">
        <f t="shared" si="3"/>
        <v>100</v>
      </c>
      <c r="H51" s="7">
        <f t="shared" si="4"/>
        <v>5.15995872</v>
      </c>
      <c r="I51" s="7">
        <f t="shared" si="5"/>
        <v>150</v>
      </c>
      <c r="J51" s="7">
        <f t="shared" si="6"/>
        <v>7.73993808</v>
      </c>
      <c r="K51" s="7">
        <f t="shared" si="7"/>
        <v>200</v>
      </c>
      <c r="L51" s="7">
        <f t="shared" si="8"/>
        <v>10.31991744</v>
      </c>
      <c r="M51" s="7">
        <f t="shared" si="9"/>
        <v>300</v>
      </c>
      <c r="N51" s="7">
        <f t="shared" si="10"/>
        <v>15.47987616</v>
      </c>
      <c r="O51" s="7">
        <f t="shared" si="11"/>
        <v>400</v>
      </c>
      <c r="P51" s="7">
        <f t="shared" si="12"/>
        <v>20.63983488</v>
      </c>
      <c r="Q51" s="7">
        <f t="shared" si="13"/>
        <v>500</v>
      </c>
      <c r="R51" s="7">
        <f t="shared" si="14"/>
        <v>25.7997936</v>
      </c>
      <c r="S51" s="7">
        <f t="shared" si="15"/>
        <v>600</v>
      </c>
      <c r="T51" s="7">
        <f t="shared" si="16"/>
        <v>30.95975232</v>
      </c>
      <c r="U51" s="7">
        <f t="shared" si="17"/>
        <v>700</v>
      </c>
      <c r="V51" s="7">
        <f t="shared" si="18"/>
        <v>36.11971104</v>
      </c>
      <c r="W51" s="7">
        <f t="shared" si="19"/>
        <v>800</v>
      </c>
      <c r="X51" s="7">
        <f t="shared" si="20"/>
        <v>41.27966976</v>
      </c>
      <c r="Y51" s="7">
        <f t="shared" si="21"/>
        <v>900</v>
      </c>
      <c r="Z51" s="7">
        <f t="shared" si="22"/>
        <v>46.43962848</v>
      </c>
    </row>
    <row r="52">
      <c r="A52" s="30" t="str">
        <f>IFERROR(__xludf.DUMMYFUNCTION("""COMPUTED_VALUE"""),"2016 01")</f>
        <v>2016 01</v>
      </c>
      <c r="B52" s="30" t="str">
        <f>IFERROR(__xludf.DUMMYFUNCTION("""COMPUTED_VALUE"""),"18.76")</f>
        <v>18.76</v>
      </c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2.665245203</v>
      </c>
      <c r="G52" s="7">
        <f t="shared" si="3"/>
        <v>100</v>
      </c>
      <c r="H52" s="7">
        <f t="shared" si="4"/>
        <v>5.330490405</v>
      </c>
      <c r="I52" s="7">
        <f t="shared" si="5"/>
        <v>150</v>
      </c>
      <c r="J52" s="7">
        <f t="shared" si="6"/>
        <v>7.995735608</v>
      </c>
      <c r="K52" s="7">
        <f t="shared" si="7"/>
        <v>200</v>
      </c>
      <c r="L52" s="7">
        <f t="shared" si="8"/>
        <v>10.66098081</v>
      </c>
      <c r="M52" s="7">
        <f t="shared" si="9"/>
        <v>300</v>
      </c>
      <c r="N52" s="7">
        <f t="shared" si="10"/>
        <v>15.99147122</v>
      </c>
      <c r="O52" s="7">
        <f t="shared" si="11"/>
        <v>400</v>
      </c>
      <c r="P52" s="7">
        <f t="shared" si="12"/>
        <v>21.32196162</v>
      </c>
      <c r="Q52" s="7">
        <f t="shared" si="13"/>
        <v>500</v>
      </c>
      <c r="R52" s="7">
        <f t="shared" si="14"/>
        <v>26.65245203</v>
      </c>
      <c r="S52" s="7">
        <f t="shared" si="15"/>
        <v>600</v>
      </c>
      <c r="T52" s="7">
        <f t="shared" si="16"/>
        <v>31.98294243</v>
      </c>
      <c r="U52" s="7">
        <f t="shared" si="17"/>
        <v>700</v>
      </c>
      <c r="V52" s="7">
        <f t="shared" si="18"/>
        <v>37.31343284</v>
      </c>
      <c r="W52" s="7">
        <f t="shared" si="19"/>
        <v>800</v>
      </c>
      <c r="X52" s="7">
        <f t="shared" si="20"/>
        <v>42.64392324</v>
      </c>
      <c r="Y52" s="7">
        <f t="shared" si="21"/>
        <v>900</v>
      </c>
      <c r="Z52" s="7">
        <f t="shared" si="22"/>
        <v>47.97441365</v>
      </c>
    </row>
    <row r="53">
      <c r="A53" s="30" t="str">
        <f>IFERROR(__xludf.DUMMYFUNCTION("""COMPUTED_VALUE"""),"2016 02")</f>
        <v>2016 02</v>
      </c>
      <c r="B53" s="30" t="str">
        <f>IFERROR(__xludf.DUMMYFUNCTION("""COMPUTED_VALUE"""),"18.29")</f>
        <v>18.29</v>
      </c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2.733734281</v>
      </c>
      <c r="G53" s="7">
        <f t="shared" si="3"/>
        <v>100</v>
      </c>
      <c r="H53" s="7">
        <f t="shared" si="4"/>
        <v>5.467468562</v>
      </c>
      <c r="I53" s="7">
        <f t="shared" si="5"/>
        <v>150</v>
      </c>
      <c r="J53" s="7">
        <f t="shared" si="6"/>
        <v>8.201202843</v>
      </c>
      <c r="K53" s="7">
        <f t="shared" si="7"/>
        <v>200</v>
      </c>
      <c r="L53" s="7">
        <f t="shared" si="8"/>
        <v>10.93493712</v>
      </c>
      <c r="M53" s="7">
        <f t="shared" si="9"/>
        <v>300</v>
      </c>
      <c r="N53" s="7">
        <f t="shared" si="10"/>
        <v>16.40240569</v>
      </c>
      <c r="O53" s="7">
        <f t="shared" si="11"/>
        <v>400</v>
      </c>
      <c r="P53" s="7">
        <f t="shared" si="12"/>
        <v>21.86987425</v>
      </c>
      <c r="Q53" s="7">
        <f t="shared" si="13"/>
        <v>500</v>
      </c>
      <c r="R53" s="7">
        <f t="shared" si="14"/>
        <v>27.33734281</v>
      </c>
      <c r="S53" s="7">
        <f t="shared" si="15"/>
        <v>600</v>
      </c>
      <c r="T53" s="7">
        <f t="shared" si="16"/>
        <v>32.80481137</v>
      </c>
      <c r="U53" s="7">
        <f t="shared" si="17"/>
        <v>700</v>
      </c>
      <c r="V53" s="7">
        <f t="shared" si="18"/>
        <v>38.27227993</v>
      </c>
      <c r="W53" s="7">
        <f t="shared" si="19"/>
        <v>800</v>
      </c>
      <c r="X53" s="7">
        <f t="shared" si="20"/>
        <v>43.7397485</v>
      </c>
      <c r="Y53" s="7">
        <f t="shared" si="21"/>
        <v>900</v>
      </c>
      <c r="Z53" s="7">
        <f t="shared" si="22"/>
        <v>49.20721706</v>
      </c>
    </row>
    <row r="54">
      <c r="A54" s="30" t="str">
        <f>IFERROR(__xludf.DUMMYFUNCTION("""COMPUTED_VALUE"""),"2016 03")</f>
        <v>2016 03</v>
      </c>
      <c r="B54" s="30" t="str">
        <f>IFERROR(__xludf.DUMMYFUNCTION("""COMPUTED_VALUE"""),"18.15")</f>
        <v>18.15</v>
      </c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2.754820937</v>
      </c>
      <c r="G54" s="7">
        <f t="shared" si="3"/>
        <v>100</v>
      </c>
      <c r="H54" s="7">
        <f t="shared" si="4"/>
        <v>5.509641873</v>
      </c>
      <c r="I54" s="7">
        <f t="shared" si="5"/>
        <v>150</v>
      </c>
      <c r="J54" s="7">
        <f t="shared" si="6"/>
        <v>8.26446281</v>
      </c>
      <c r="K54" s="7">
        <f t="shared" si="7"/>
        <v>200</v>
      </c>
      <c r="L54" s="7">
        <f t="shared" si="8"/>
        <v>11.01928375</v>
      </c>
      <c r="M54" s="7">
        <f t="shared" si="9"/>
        <v>300</v>
      </c>
      <c r="N54" s="7">
        <f t="shared" si="10"/>
        <v>16.52892562</v>
      </c>
      <c r="O54" s="7">
        <f t="shared" si="11"/>
        <v>400</v>
      </c>
      <c r="P54" s="7">
        <f t="shared" si="12"/>
        <v>22.03856749</v>
      </c>
      <c r="Q54" s="7">
        <f t="shared" si="13"/>
        <v>500</v>
      </c>
      <c r="R54" s="7">
        <f t="shared" si="14"/>
        <v>27.54820937</v>
      </c>
      <c r="S54" s="7">
        <f t="shared" si="15"/>
        <v>600</v>
      </c>
      <c r="T54" s="7">
        <f t="shared" si="16"/>
        <v>33.05785124</v>
      </c>
      <c r="U54" s="7">
        <f t="shared" si="17"/>
        <v>700</v>
      </c>
      <c r="V54" s="7">
        <f t="shared" si="18"/>
        <v>38.56749311</v>
      </c>
      <c r="W54" s="7">
        <f t="shared" si="19"/>
        <v>800</v>
      </c>
      <c r="X54" s="7">
        <f t="shared" si="20"/>
        <v>44.07713499</v>
      </c>
      <c r="Y54" s="7">
        <f t="shared" si="21"/>
        <v>900</v>
      </c>
      <c r="Z54" s="7">
        <f t="shared" si="22"/>
        <v>49.58677686</v>
      </c>
    </row>
    <row r="55">
      <c r="A55" s="30" t="str">
        <f>IFERROR(__xludf.DUMMYFUNCTION("""COMPUTED_VALUE"""),"2016 04")</f>
        <v>2016 04</v>
      </c>
      <c r="B55" s="30" t="str">
        <f>IFERROR(__xludf.DUMMYFUNCTION("""COMPUTED_VALUE"""),"17.95")</f>
        <v>17.95</v>
      </c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2.78551532</v>
      </c>
      <c r="G55" s="7">
        <f t="shared" si="3"/>
        <v>100</v>
      </c>
      <c r="H55" s="7">
        <f t="shared" si="4"/>
        <v>5.571030641</v>
      </c>
      <c r="I55" s="7">
        <f t="shared" si="5"/>
        <v>150</v>
      </c>
      <c r="J55" s="7">
        <f t="shared" si="6"/>
        <v>8.356545961</v>
      </c>
      <c r="K55" s="7">
        <f t="shared" si="7"/>
        <v>200</v>
      </c>
      <c r="L55" s="7">
        <f t="shared" si="8"/>
        <v>11.14206128</v>
      </c>
      <c r="M55" s="7">
        <f t="shared" si="9"/>
        <v>300</v>
      </c>
      <c r="N55" s="7">
        <f t="shared" si="10"/>
        <v>16.71309192</v>
      </c>
      <c r="O55" s="7">
        <f t="shared" si="11"/>
        <v>400</v>
      </c>
      <c r="P55" s="7">
        <f t="shared" si="12"/>
        <v>22.28412256</v>
      </c>
      <c r="Q55" s="7">
        <f t="shared" si="13"/>
        <v>500</v>
      </c>
      <c r="R55" s="7">
        <f t="shared" si="14"/>
        <v>27.8551532</v>
      </c>
      <c r="S55" s="7">
        <f t="shared" si="15"/>
        <v>600</v>
      </c>
      <c r="T55" s="7">
        <f t="shared" si="16"/>
        <v>33.42618384</v>
      </c>
      <c r="U55" s="7">
        <f t="shared" si="17"/>
        <v>700</v>
      </c>
      <c r="V55" s="7">
        <f t="shared" si="18"/>
        <v>38.99721448</v>
      </c>
      <c r="W55" s="7">
        <f t="shared" si="19"/>
        <v>800</v>
      </c>
      <c r="X55" s="7">
        <f t="shared" si="20"/>
        <v>44.56824513</v>
      </c>
      <c r="Y55" s="7">
        <f t="shared" si="21"/>
        <v>900</v>
      </c>
      <c r="Z55" s="7">
        <f t="shared" si="22"/>
        <v>50.13927577</v>
      </c>
    </row>
    <row r="56">
      <c r="A56" s="30" t="str">
        <f>IFERROR(__xludf.DUMMYFUNCTION("""COMPUTED_VALUE"""),"2016 05")</f>
        <v>2016 05</v>
      </c>
      <c r="B56" s="30" t="str">
        <f>IFERROR(__xludf.DUMMYFUNCTION("""COMPUTED_VALUE"""),"18.19")</f>
        <v>18.19</v>
      </c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2.748763057</v>
      </c>
      <c r="G56" s="7">
        <f t="shared" si="3"/>
        <v>100</v>
      </c>
      <c r="H56" s="7">
        <f t="shared" si="4"/>
        <v>5.497526113</v>
      </c>
      <c r="I56" s="7">
        <f t="shared" si="5"/>
        <v>150</v>
      </c>
      <c r="J56" s="7">
        <f t="shared" si="6"/>
        <v>8.24628917</v>
      </c>
      <c r="K56" s="7">
        <f t="shared" si="7"/>
        <v>200</v>
      </c>
      <c r="L56" s="7">
        <f t="shared" si="8"/>
        <v>10.99505223</v>
      </c>
      <c r="M56" s="7">
        <f t="shared" si="9"/>
        <v>300</v>
      </c>
      <c r="N56" s="7">
        <f t="shared" si="10"/>
        <v>16.49257834</v>
      </c>
      <c r="O56" s="7">
        <f t="shared" si="11"/>
        <v>400</v>
      </c>
      <c r="P56" s="7">
        <f t="shared" si="12"/>
        <v>21.99010445</v>
      </c>
      <c r="Q56" s="7">
        <f t="shared" si="13"/>
        <v>500</v>
      </c>
      <c r="R56" s="7">
        <f t="shared" si="14"/>
        <v>27.48763057</v>
      </c>
      <c r="S56" s="7">
        <f t="shared" si="15"/>
        <v>600</v>
      </c>
      <c r="T56" s="7">
        <f t="shared" si="16"/>
        <v>32.98515668</v>
      </c>
      <c r="U56" s="7">
        <f t="shared" si="17"/>
        <v>700</v>
      </c>
      <c r="V56" s="7">
        <f t="shared" si="18"/>
        <v>38.48268279</v>
      </c>
      <c r="W56" s="7">
        <f t="shared" si="19"/>
        <v>800</v>
      </c>
      <c r="X56" s="7">
        <f t="shared" si="20"/>
        <v>43.98020891</v>
      </c>
      <c r="Y56" s="7">
        <f t="shared" si="21"/>
        <v>900</v>
      </c>
      <c r="Z56" s="7">
        <f t="shared" si="22"/>
        <v>49.47773502</v>
      </c>
    </row>
    <row r="57">
      <c r="A57" s="30" t="str">
        <f>IFERROR(__xludf.DUMMYFUNCTION("""COMPUTED_VALUE"""),"2016 06")</f>
        <v>2016 06</v>
      </c>
      <c r="B57" s="30" t="str">
        <f>IFERROR(__xludf.DUMMYFUNCTION("""COMPUTED_VALUE"""),"19.35")</f>
        <v>19.35</v>
      </c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2.583979328</v>
      </c>
      <c r="G57" s="7">
        <f t="shared" si="3"/>
        <v>100</v>
      </c>
      <c r="H57" s="7">
        <f t="shared" si="4"/>
        <v>5.167958656</v>
      </c>
      <c r="I57" s="7">
        <f t="shared" si="5"/>
        <v>150</v>
      </c>
      <c r="J57" s="7">
        <f t="shared" si="6"/>
        <v>7.751937984</v>
      </c>
      <c r="K57" s="7">
        <f t="shared" si="7"/>
        <v>200</v>
      </c>
      <c r="L57" s="7">
        <f t="shared" si="8"/>
        <v>10.33591731</v>
      </c>
      <c r="M57" s="7">
        <f t="shared" si="9"/>
        <v>300</v>
      </c>
      <c r="N57" s="7">
        <f t="shared" si="10"/>
        <v>15.50387597</v>
      </c>
      <c r="O57" s="7">
        <f t="shared" si="11"/>
        <v>400</v>
      </c>
      <c r="P57" s="7">
        <f t="shared" si="12"/>
        <v>20.67183463</v>
      </c>
      <c r="Q57" s="7">
        <f t="shared" si="13"/>
        <v>500</v>
      </c>
      <c r="R57" s="7">
        <f t="shared" si="14"/>
        <v>25.83979328</v>
      </c>
      <c r="S57" s="7">
        <f t="shared" si="15"/>
        <v>600</v>
      </c>
      <c r="T57" s="7">
        <f t="shared" si="16"/>
        <v>31.00775194</v>
      </c>
      <c r="U57" s="7">
        <f t="shared" si="17"/>
        <v>700</v>
      </c>
      <c r="V57" s="7">
        <f t="shared" si="18"/>
        <v>36.17571059</v>
      </c>
      <c r="W57" s="7">
        <f t="shared" si="19"/>
        <v>800</v>
      </c>
      <c r="X57" s="7">
        <f t="shared" si="20"/>
        <v>41.34366925</v>
      </c>
      <c r="Y57" s="7">
        <f t="shared" si="21"/>
        <v>900</v>
      </c>
      <c r="Z57" s="7">
        <f t="shared" si="22"/>
        <v>46.51162791</v>
      </c>
    </row>
    <row r="58">
      <c r="A58" s="30" t="str">
        <f>IFERROR(__xludf.DUMMYFUNCTION("""COMPUTED_VALUE"""),"2016 07")</f>
        <v>2016 07</v>
      </c>
      <c r="B58" s="30" t="str">
        <f>IFERROR(__xludf.DUMMYFUNCTION("""COMPUTED_VALUE"""),"18.8")</f>
        <v>18.8</v>
      </c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2.659574468</v>
      </c>
      <c r="G58" s="7">
        <f t="shared" si="3"/>
        <v>100</v>
      </c>
      <c r="H58" s="7">
        <f t="shared" si="4"/>
        <v>5.319148936</v>
      </c>
      <c r="I58" s="7">
        <f t="shared" si="5"/>
        <v>150</v>
      </c>
      <c r="J58" s="7">
        <f t="shared" si="6"/>
        <v>7.978723404</v>
      </c>
      <c r="K58" s="7">
        <f t="shared" si="7"/>
        <v>200</v>
      </c>
      <c r="L58" s="7">
        <f t="shared" si="8"/>
        <v>10.63829787</v>
      </c>
      <c r="M58" s="7">
        <f t="shared" si="9"/>
        <v>300</v>
      </c>
      <c r="N58" s="7">
        <f t="shared" si="10"/>
        <v>15.95744681</v>
      </c>
      <c r="O58" s="7">
        <f t="shared" si="11"/>
        <v>400</v>
      </c>
      <c r="P58" s="7">
        <f t="shared" si="12"/>
        <v>21.27659574</v>
      </c>
      <c r="Q58" s="7">
        <f t="shared" si="13"/>
        <v>500</v>
      </c>
      <c r="R58" s="7">
        <f t="shared" si="14"/>
        <v>26.59574468</v>
      </c>
      <c r="S58" s="7">
        <f t="shared" si="15"/>
        <v>600</v>
      </c>
      <c r="T58" s="7">
        <f t="shared" si="16"/>
        <v>31.91489362</v>
      </c>
      <c r="U58" s="7">
        <f t="shared" si="17"/>
        <v>700</v>
      </c>
      <c r="V58" s="7">
        <f t="shared" si="18"/>
        <v>37.23404255</v>
      </c>
      <c r="W58" s="7">
        <f t="shared" si="19"/>
        <v>800</v>
      </c>
      <c r="X58" s="7">
        <f t="shared" si="20"/>
        <v>42.55319149</v>
      </c>
      <c r="Y58" s="7">
        <f t="shared" si="21"/>
        <v>900</v>
      </c>
      <c r="Z58" s="7">
        <f t="shared" si="22"/>
        <v>47.87234043</v>
      </c>
    </row>
    <row r="59">
      <c r="A59" s="30" t="str">
        <f>IFERROR(__xludf.DUMMYFUNCTION("""COMPUTED_VALUE"""),"2016 08")</f>
        <v>2016 08</v>
      </c>
      <c r="B59" s="30" t="str">
        <f>IFERROR(__xludf.DUMMYFUNCTION("""COMPUTED_VALUE"""),"19.22")</f>
        <v>19.22</v>
      </c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2.601456816</v>
      </c>
      <c r="G59" s="7">
        <f t="shared" si="3"/>
        <v>100</v>
      </c>
      <c r="H59" s="7">
        <f t="shared" si="4"/>
        <v>5.202913632</v>
      </c>
      <c r="I59" s="7">
        <f t="shared" si="5"/>
        <v>150</v>
      </c>
      <c r="J59" s="7">
        <f t="shared" si="6"/>
        <v>7.804370447</v>
      </c>
      <c r="K59" s="7">
        <f t="shared" si="7"/>
        <v>200</v>
      </c>
      <c r="L59" s="7">
        <f t="shared" si="8"/>
        <v>10.40582726</v>
      </c>
      <c r="M59" s="7">
        <f t="shared" si="9"/>
        <v>300</v>
      </c>
      <c r="N59" s="7">
        <f t="shared" si="10"/>
        <v>15.60874089</v>
      </c>
      <c r="O59" s="7">
        <f t="shared" si="11"/>
        <v>400</v>
      </c>
      <c r="P59" s="7">
        <f t="shared" si="12"/>
        <v>20.81165453</v>
      </c>
      <c r="Q59" s="7">
        <f t="shared" si="13"/>
        <v>500</v>
      </c>
      <c r="R59" s="7">
        <f t="shared" si="14"/>
        <v>26.01456816</v>
      </c>
      <c r="S59" s="7">
        <f t="shared" si="15"/>
        <v>600</v>
      </c>
      <c r="T59" s="7">
        <f t="shared" si="16"/>
        <v>31.21748179</v>
      </c>
      <c r="U59" s="7">
        <f t="shared" si="17"/>
        <v>700</v>
      </c>
      <c r="V59" s="7">
        <f t="shared" si="18"/>
        <v>36.42039542</v>
      </c>
      <c r="W59" s="7">
        <f t="shared" si="19"/>
        <v>800</v>
      </c>
      <c r="X59" s="7">
        <f t="shared" si="20"/>
        <v>41.62330905</v>
      </c>
      <c r="Y59" s="7">
        <f t="shared" si="21"/>
        <v>900</v>
      </c>
      <c r="Z59" s="7">
        <f t="shared" si="22"/>
        <v>46.82622268</v>
      </c>
    </row>
    <row r="60">
      <c r="A60" s="30" t="str">
        <f>IFERROR(__xludf.DUMMYFUNCTION("""COMPUTED_VALUE"""),"2016 09")</f>
        <v>2016 09</v>
      </c>
      <c r="B60" s="30" t="str">
        <f>IFERROR(__xludf.DUMMYFUNCTION("""COMPUTED_VALUE"""),"19.38")</f>
        <v>19.38</v>
      </c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2.57997936</v>
      </c>
      <c r="G60" s="7">
        <f t="shared" si="3"/>
        <v>100</v>
      </c>
      <c r="H60" s="7">
        <f t="shared" si="4"/>
        <v>5.15995872</v>
      </c>
      <c r="I60" s="7">
        <f t="shared" si="5"/>
        <v>150</v>
      </c>
      <c r="J60" s="7">
        <f t="shared" si="6"/>
        <v>7.73993808</v>
      </c>
      <c r="K60" s="7">
        <f t="shared" si="7"/>
        <v>200</v>
      </c>
      <c r="L60" s="7">
        <f t="shared" si="8"/>
        <v>10.31991744</v>
      </c>
      <c r="M60" s="7">
        <f t="shared" si="9"/>
        <v>300</v>
      </c>
      <c r="N60" s="7">
        <f t="shared" si="10"/>
        <v>15.47987616</v>
      </c>
      <c r="O60" s="7">
        <f t="shared" si="11"/>
        <v>400</v>
      </c>
      <c r="P60" s="7">
        <f t="shared" si="12"/>
        <v>20.63983488</v>
      </c>
      <c r="Q60" s="7">
        <f t="shared" si="13"/>
        <v>500</v>
      </c>
      <c r="R60" s="7">
        <f t="shared" si="14"/>
        <v>25.7997936</v>
      </c>
      <c r="S60" s="7">
        <f t="shared" si="15"/>
        <v>600</v>
      </c>
      <c r="T60" s="7">
        <f t="shared" si="16"/>
        <v>30.95975232</v>
      </c>
      <c r="U60" s="7">
        <f t="shared" si="17"/>
        <v>700</v>
      </c>
      <c r="V60" s="7">
        <f t="shared" si="18"/>
        <v>36.11971104</v>
      </c>
      <c r="W60" s="7">
        <f t="shared" si="19"/>
        <v>800</v>
      </c>
      <c r="X60" s="7">
        <f t="shared" si="20"/>
        <v>41.27966976</v>
      </c>
      <c r="Y60" s="7">
        <f t="shared" si="21"/>
        <v>900</v>
      </c>
      <c r="Z60" s="7">
        <f t="shared" si="22"/>
        <v>46.43962848</v>
      </c>
    </row>
    <row r="61">
      <c r="A61" s="30" t="str">
        <f>IFERROR(__xludf.DUMMYFUNCTION("""COMPUTED_VALUE"""),"2016 10")</f>
        <v>2016 10</v>
      </c>
      <c r="B61" s="30" t="str">
        <f>IFERROR(__xludf.DUMMYFUNCTION("""COMPUTED_VALUE"""),"18.97")</f>
        <v>18.97</v>
      </c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2.635740643</v>
      </c>
      <c r="G61" s="7">
        <f t="shared" si="3"/>
        <v>100</v>
      </c>
      <c r="H61" s="7">
        <f t="shared" si="4"/>
        <v>5.271481286</v>
      </c>
      <c r="I61" s="7">
        <f t="shared" si="5"/>
        <v>150</v>
      </c>
      <c r="J61" s="7">
        <f t="shared" si="6"/>
        <v>7.907221929</v>
      </c>
      <c r="K61" s="7">
        <f t="shared" si="7"/>
        <v>200</v>
      </c>
      <c r="L61" s="7">
        <f t="shared" si="8"/>
        <v>10.54296257</v>
      </c>
      <c r="M61" s="7">
        <f t="shared" si="9"/>
        <v>300</v>
      </c>
      <c r="N61" s="7">
        <f t="shared" si="10"/>
        <v>15.81444386</v>
      </c>
      <c r="O61" s="7">
        <f t="shared" si="11"/>
        <v>400</v>
      </c>
      <c r="P61" s="7">
        <f t="shared" si="12"/>
        <v>21.08592514</v>
      </c>
      <c r="Q61" s="7">
        <f t="shared" si="13"/>
        <v>500</v>
      </c>
      <c r="R61" s="7">
        <f t="shared" si="14"/>
        <v>26.35740643</v>
      </c>
      <c r="S61" s="7">
        <f t="shared" si="15"/>
        <v>600</v>
      </c>
      <c r="T61" s="7">
        <f t="shared" si="16"/>
        <v>31.62888772</v>
      </c>
      <c r="U61" s="7">
        <f t="shared" si="17"/>
        <v>700</v>
      </c>
      <c r="V61" s="7">
        <f t="shared" si="18"/>
        <v>36.900369</v>
      </c>
      <c r="W61" s="7">
        <f t="shared" si="19"/>
        <v>800</v>
      </c>
      <c r="X61" s="7">
        <f t="shared" si="20"/>
        <v>42.17185029</v>
      </c>
      <c r="Y61" s="7">
        <f t="shared" si="21"/>
        <v>900</v>
      </c>
      <c r="Z61" s="7">
        <f t="shared" si="22"/>
        <v>47.44333158</v>
      </c>
    </row>
    <row r="62">
      <c r="A62" s="30" t="str">
        <f>IFERROR(__xludf.DUMMYFUNCTION("""COMPUTED_VALUE"""),"2016 11")</f>
        <v>2016 11</v>
      </c>
      <c r="B62" s="30" t="str">
        <f>IFERROR(__xludf.DUMMYFUNCTION("""COMPUTED_VALUE"""),"18.66")</f>
        <v>18.66</v>
      </c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2.679528403</v>
      </c>
      <c r="G62" s="7">
        <f t="shared" si="3"/>
        <v>100</v>
      </c>
      <c r="H62" s="7">
        <f t="shared" si="4"/>
        <v>5.359056806</v>
      </c>
      <c r="I62" s="7">
        <f t="shared" si="5"/>
        <v>150</v>
      </c>
      <c r="J62" s="7">
        <f t="shared" si="6"/>
        <v>8.038585209</v>
      </c>
      <c r="K62" s="7">
        <f t="shared" si="7"/>
        <v>200</v>
      </c>
      <c r="L62" s="7">
        <f t="shared" si="8"/>
        <v>10.71811361</v>
      </c>
      <c r="M62" s="7">
        <f t="shared" si="9"/>
        <v>300</v>
      </c>
      <c r="N62" s="7">
        <f t="shared" si="10"/>
        <v>16.07717042</v>
      </c>
      <c r="O62" s="7">
        <f t="shared" si="11"/>
        <v>400</v>
      </c>
      <c r="P62" s="7">
        <f t="shared" si="12"/>
        <v>21.43622722</v>
      </c>
      <c r="Q62" s="7">
        <f t="shared" si="13"/>
        <v>500</v>
      </c>
      <c r="R62" s="7">
        <f t="shared" si="14"/>
        <v>26.79528403</v>
      </c>
      <c r="S62" s="7">
        <f t="shared" si="15"/>
        <v>600</v>
      </c>
      <c r="T62" s="7">
        <f t="shared" si="16"/>
        <v>32.15434084</v>
      </c>
      <c r="U62" s="7">
        <f t="shared" si="17"/>
        <v>700</v>
      </c>
      <c r="V62" s="7">
        <f t="shared" si="18"/>
        <v>37.51339764</v>
      </c>
      <c r="W62" s="7">
        <f t="shared" si="19"/>
        <v>800</v>
      </c>
      <c r="X62" s="7">
        <f t="shared" si="20"/>
        <v>42.87245445</v>
      </c>
      <c r="Y62" s="7">
        <f t="shared" si="21"/>
        <v>900</v>
      </c>
      <c r="Z62" s="7">
        <f t="shared" si="22"/>
        <v>48.23151125</v>
      </c>
    </row>
    <row r="63">
      <c r="A63" s="30" t="str">
        <f>IFERROR(__xludf.DUMMYFUNCTION("""COMPUTED_VALUE"""),"2016 12")</f>
        <v>2016 12</v>
      </c>
      <c r="B63" s="30" t="str">
        <f>IFERROR(__xludf.DUMMYFUNCTION("""COMPUTED_VALUE"""),"19.96")</f>
        <v>19.96</v>
      </c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2.50501002</v>
      </c>
      <c r="G63" s="7">
        <f t="shared" si="3"/>
        <v>100</v>
      </c>
      <c r="H63" s="7">
        <f t="shared" si="4"/>
        <v>5.01002004</v>
      </c>
      <c r="I63" s="7">
        <f t="shared" si="5"/>
        <v>150</v>
      </c>
      <c r="J63" s="7">
        <f t="shared" si="6"/>
        <v>7.51503006</v>
      </c>
      <c r="K63" s="7">
        <f t="shared" si="7"/>
        <v>200</v>
      </c>
      <c r="L63" s="7">
        <f t="shared" si="8"/>
        <v>10.02004008</v>
      </c>
      <c r="M63" s="7">
        <f t="shared" si="9"/>
        <v>300</v>
      </c>
      <c r="N63" s="7">
        <f t="shared" si="10"/>
        <v>15.03006012</v>
      </c>
      <c r="O63" s="7">
        <f t="shared" si="11"/>
        <v>400</v>
      </c>
      <c r="P63" s="7">
        <f t="shared" si="12"/>
        <v>20.04008016</v>
      </c>
      <c r="Q63" s="7">
        <f t="shared" si="13"/>
        <v>500</v>
      </c>
      <c r="R63" s="7">
        <f t="shared" si="14"/>
        <v>25.0501002</v>
      </c>
      <c r="S63" s="7">
        <f t="shared" si="15"/>
        <v>600</v>
      </c>
      <c r="T63" s="7">
        <f t="shared" si="16"/>
        <v>30.06012024</v>
      </c>
      <c r="U63" s="7">
        <f t="shared" si="17"/>
        <v>700</v>
      </c>
      <c r="V63" s="7">
        <f t="shared" si="18"/>
        <v>35.07014028</v>
      </c>
      <c r="W63" s="7">
        <f t="shared" si="19"/>
        <v>800</v>
      </c>
      <c r="X63" s="7">
        <f t="shared" si="20"/>
        <v>40.08016032</v>
      </c>
      <c r="Y63" s="7">
        <f t="shared" si="21"/>
        <v>900</v>
      </c>
      <c r="Z63" s="7">
        <f t="shared" si="22"/>
        <v>45.09018036</v>
      </c>
    </row>
    <row r="64">
      <c r="A64" s="30" t="str">
        <f>IFERROR(__xludf.DUMMYFUNCTION("""COMPUTED_VALUE"""),"2017 01")</f>
        <v>2017 01</v>
      </c>
      <c r="B64" s="30" t="str">
        <f>IFERROR(__xludf.DUMMYFUNCTION("""COMPUTED_VALUE"""),"20.81")</f>
        <v>20.81</v>
      </c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2.402691014</v>
      </c>
      <c r="G64" s="7">
        <f t="shared" si="3"/>
        <v>100</v>
      </c>
      <c r="H64" s="7">
        <f t="shared" si="4"/>
        <v>4.805382028</v>
      </c>
      <c r="I64" s="7">
        <f t="shared" si="5"/>
        <v>150</v>
      </c>
      <c r="J64" s="7">
        <f t="shared" si="6"/>
        <v>7.208073042</v>
      </c>
      <c r="K64" s="7">
        <f t="shared" si="7"/>
        <v>200</v>
      </c>
      <c r="L64" s="7">
        <f t="shared" si="8"/>
        <v>9.610764056</v>
      </c>
      <c r="M64" s="7">
        <f t="shared" si="9"/>
        <v>300</v>
      </c>
      <c r="N64" s="7">
        <f t="shared" si="10"/>
        <v>14.41614608</v>
      </c>
      <c r="O64" s="7">
        <f t="shared" si="11"/>
        <v>400</v>
      </c>
      <c r="P64" s="7">
        <f t="shared" si="12"/>
        <v>19.22152811</v>
      </c>
      <c r="Q64" s="7">
        <f t="shared" si="13"/>
        <v>500</v>
      </c>
      <c r="R64" s="7">
        <f t="shared" si="14"/>
        <v>24.02691014</v>
      </c>
      <c r="S64" s="7">
        <f t="shared" si="15"/>
        <v>600</v>
      </c>
      <c r="T64" s="7">
        <f t="shared" si="16"/>
        <v>28.83229217</v>
      </c>
      <c r="U64" s="7">
        <f t="shared" si="17"/>
        <v>700</v>
      </c>
      <c r="V64" s="7">
        <f t="shared" si="18"/>
        <v>33.6376742</v>
      </c>
      <c r="W64" s="7">
        <f t="shared" si="19"/>
        <v>800</v>
      </c>
      <c r="X64" s="7">
        <f t="shared" si="20"/>
        <v>38.44305622</v>
      </c>
      <c r="Y64" s="7">
        <f t="shared" si="21"/>
        <v>900</v>
      </c>
      <c r="Z64" s="7">
        <f t="shared" si="22"/>
        <v>43.24843825</v>
      </c>
    </row>
    <row r="65">
      <c r="A65" s="30" t="str">
        <f>IFERROR(__xludf.DUMMYFUNCTION("""COMPUTED_VALUE"""),"2017 02")</f>
        <v>2017 02</v>
      </c>
      <c r="B65" s="30" t="str">
        <f>IFERROR(__xludf.DUMMYFUNCTION("""COMPUTED_VALUE"""),"20.19")</f>
        <v>20.19</v>
      </c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2.476473502</v>
      </c>
      <c r="G65" s="7">
        <f t="shared" si="3"/>
        <v>100</v>
      </c>
      <c r="H65" s="7">
        <f t="shared" si="4"/>
        <v>4.952947003</v>
      </c>
      <c r="I65" s="7">
        <f t="shared" si="5"/>
        <v>150</v>
      </c>
      <c r="J65" s="7">
        <f t="shared" si="6"/>
        <v>7.429420505</v>
      </c>
      <c r="K65" s="7">
        <f t="shared" si="7"/>
        <v>200</v>
      </c>
      <c r="L65" s="7">
        <f t="shared" si="8"/>
        <v>9.905894007</v>
      </c>
      <c r="M65" s="7">
        <f t="shared" si="9"/>
        <v>300</v>
      </c>
      <c r="N65" s="7">
        <f t="shared" si="10"/>
        <v>14.85884101</v>
      </c>
      <c r="O65" s="7">
        <f t="shared" si="11"/>
        <v>400</v>
      </c>
      <c r="P65" s="7">
        <f t="shared" si="12"/>
        <v>19.81178801</v>
      </c>
      <c r="Q65" s="7">
        <f t="shared" si="13"/>
        <v>500</v>
      </c>
      <c r="R65" s="7">
        <f t="shared" si="14"/>
        <v>24.76473502</v>
      </c>
      <c r="S65" s="7">
        <f t="shared" si="15"/>
        <v>600</v>
      </c>
      <c r="T65" s="7">
        <f t="shared" si="16"/>
        <v>29.71768202</v>
      </c>
      <c r="U65" s="7">
        <f t="shared" si="17"/>
        <v>700</v>
      </c>
      <c r="V65" s="7">
        <f t="shared" si="18"/>
        <v>34.67062902</v>
      </c>
      <c r="W65" s="7">
        <f t="shared" si="19"/>
        <v>800</v>
      </c>
      <c r="X65" s="7">
        <f t="shared" si="20"/>
        <v>39.62357603</v>
      </c>
      <c r="Y65" s="7">
        <f t="shared" si="21"/>
        <v>900</v>
      </c>
      <c r="Z65" s="7">
        <f t="shared" si="22"/>
        <v>44.57652303</v>
      </c>
    </row>
    <row r="66">
      <c r="A66" s="30" t="str">
        <f>IFERROR(__xludf.DUMMYFUNCTION("""COMPUTED_VALUE"""),"2017 03")</f>
        <v>2017 03</v>
      </c>
      <c r="B66" s="30" t="str">
        <f>IFERROR(__xludf.DUMMYFUNCTION("""COMPUTED_VALUE"""),"20.78")</f>
        <v>20.78</v>
      </c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2.406159769</v>
      </c>
      <c r="G66" s="7">
        <f t="shared" si="3"/>
        <v>100</v>
      </c>
      <c r="H66" s="7">
        <f t="shared" si="4"/>
        <v>4.812319538</v>
      </c>
      <c r="I66" s="7">
        <f t="shared" si="5"/>
        <v>150</v>
      </c>
      <c r="J66" s="7">
        <f t="shared" si="6"/>
        <v>7.218479307</v>
      </c>
      <c r="K66" s="7">
        <f t="shared" si="7"/>
        <v>200</v>
      </c>
      <c r="L66" s="7">
        <f t="shared" si="8"/>
        <v>9.624639076</v>
      </c>
      <c r="M66" s="7">
        <f t="shared" si="9"/>
        <v>300</v>
      </c>
      <c r="N66" s="7">
        <f t="shared" si="10"/>
        <v>14.43695861</v>
      </c>
      <c r="O66" s="7">
        <f t="shared" si="11"/>
        <v>400</v>
      </c>
      <c r="P66" s="7">
        <f t="shared" si="12"/>
        <v>19.24927815</v>
      </c>
      <c r="Q66" s="7">
        <f t="shared" si="13"/>
        <v>500</v>
      </c>
      <c r="R66" s="7">
        <f t="shared" si="14"/>
        <v>24.06159769</v>
      </c>
      <c r="S66" s="7">
        <f t="shared" si="15"/>
        <v>600</v>
      </c>
      <c r="T66" s="7">
        <f t="shared" si="16"/>
        <v>28.87391723</v>
      </c>
      <c r="U66" s="7">
        <f t="shared" si="17"/>
        <v>700</v>
      </c>
      <c r="V66" s="7">
        <f t="shared" si="18"/>
        <v>33.68623677</v>
      </c>
      <c r="W66" s="7">
        <f t="shared" si="19"/>
        <v>800</v>
      </c>
      <c r="X66" s="7">
        <f t="shared" si="20"/>
        <v>38.4985563</v>
      </c>
      <c r="Y66" s="7">
        <f t="shared" si="21"/>
        <v>900</v>
      </c>
      <c r="Z66" s="7">
        <f t="shared" si="22"/>
        <v>43.31087584</v>
      </c>
    </row>
    <row r="67">
      <c r="A67" s="30" t="str">
        <f>IFERROR(__xludf.DUMMYFUNCTION("""COMPUTED_VALUE"""),"2017 04")</f>
        <v>2017 04</v>
      </c>
      <c r="B67" s="30" t="str">
        <f>IFERROR(__xludf.DUMMYFUNCTION("""COMPUTED_VALUE"""),"20.85")</f>
        <v>20.85</v>
      </c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2.398081535</v>
      </c>
      <c r="G67" s="7">
        <f t="shared" si="3"/>
        <v>100</v>
      </c>
      <c r="H67" s="7">
        <f t="shared" si="4"/>
        <v>4.79616307</v>
      </c>
      <c r="I67" s="7">
        <f t="shared" si="5"/>
        <v>150</v>
      </c>
      <c r="J67" s="7">
        <f t="shared" si="6"/>
        <v>7.194244604</v>
      </c>
      <c r="K67" s="7">
        <f t="shared" si="7"/>
        <v>200</v>
      </c>
      <c r="L67" s="7">
        <f t="shared" si="8"/>
        <v>9.592326139</v>
      </c>
      <c r="M67" s="7">
        <f t="shared" si="9"/>
        <v>300</v>
      </c>
      <c r="N67" s="7">
        <f t="shared" si="10"/>
        <v>14.38848921</v>
      </c>
      <c r="O67" s="7">
        <f t="shared" si="11"/>
        <v>400</v>
      </c>
      <c r="P67" s="7">
        <f t="shared" si="12"/>
        <v>19.18465228</v>
      </c>
      <c r="Q67" s="7">
        <f t="shared" si="13"/>
        <v>500</v>
      </c>
      <c r="R67" s="7">
        <f t="shared" si="14"/>
        <v>23.98081535</v>
      </c>
      <c r="S67" s="7">
        <f t="shared" si="15"/>
        <v>600</v>
      </c>
      <c r="T67" s="7">
        <f t="shared" si="16"/>
        <v>28.77697842</v>
      </c>
      <c r="U67" s="7">
        <f t="shared" si="17"/>
        <v>700</v>
      </c>
      <c r="V67" s="7">
        <f t="shared" si="18"/>
        <v>33.57314149</v>
      </c>
      <c r="W67" s="7">
        <f t="shared" si="19"/>
        <v>800</v>
      </c>
      <c r="X67" s="7">
        <f t="shared" si="20"/>
        <v>38.36930456</v>
      </c>
      <c r="Y67" s="7">
        <f t="shared" si="21"/>
        <v>900</v>
      </c>
      <c r="Z67" s="7">
        <f t="shared" si="22"/>
        <v>43.16546763</v>
      </c>
    </row>
    <row r="68">
      <c r="A68" s="30" t="str">
        <f>IFERROR(__xludf.DUMMYFUNCTION("""COMPUTED_VALUE"""),"2017 05")</f>
        <v>2017 05</v>
      </c>
      <c r="B68" s="30" t="str">
        <f>IFERROR(__xludf.DUMMYFUNCTION("""COMPUTED_VALUE"""),"21.36")</f>
        <v>21.36</v>
      </c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2.34082397</v>
      </c>
      <c r="G68" s="7">
        <f t="shared" si="3"/>
        <v>100</v>
      </c>
      <c r="H68" s="7">
        <f t="shared" si="4"/>
        <v>4.68164794</v>
      </c>
      <c r="I68" s="7">
        <f t="shared" si="5"/>
        <v>150</v>
      </c>
      <c r="J68" s="7">
        <f t="shared" si="6"/>
        <v>7.02247191</v>
      </c>
      <c r="K68" s="7">
        <f t="shared" si="7"/>
        <v>200</v>
      </c>
      <c r="L68" s="7">
        <f t="shared" si="8"/>
        <v>9.36329588</v>
      </c>
      <c r="M68" s="7">
        <f t="shared" si="9"/>
        <v>300</v>
      </c>
      <c r="N68" s="7">
        <f t="shared" si="10"/>
        <v>14.04494382</v>
      </c>
      <c r="O68" s="7">
        <f t="shared" si="11"/>
        <v>400</v>
      </c>
      <c r="P68" s="7">
        <f t="shared" si="12"/>
        <v>18.72659176</v>
      </c>
      <c r="Q68" s="7">
        <f t="shared" si="13"/>
        <v>500</v>
      </c>
      <c r="R68" s="7">
        <f t="shared" si="14"/>
        <v>23.4082397</v>
      </c>
      <c r="S68" s="7">
        <f t="shared" si="15"/>
        <v>600</v>
      </c>
      <c r="T68" s="7">
        <f t="shared" si="16"/>
        <v>28.08988764</v>
      </c>
      <c r="U68" s="7">
        <f t="shared" si="17"/>
        <v>700</v>
      </c>
      <c r="V68" s="7">
        <f t="shared" si="18"/>
        <v>32.77153558</v>
      </c>
      <c r="W68" s="7">
        <f t="shared" si="19"/>
        <v>800</v>
      </c>
      <c r="X68" s="7">
        <f t="shared" si="20"/>
        <v>37.45318352</v>
      </c>
      <c r="Y68" s="7">
        <f t="shared" si="21"/>
        <v>900</v>
      </c>
      <c r="Z68" s="7">
        <f t="shared" si="22"/>
        <v>42.13483146</v>
      </c>
    </row>
    <row r="69">
      <c r="A69" s="30" t="str">
        <f>IFERROR(__xludf.DUMMYFUNCTION("""COMPUTED_VALUE"""),"2017 06")</f>
        <v>2017 06</v>
      </c>
      <c r="B69" s="30" t="str">
        <f>IFERROR(__xludf.DUMMYFUNCTION("""COMPUTED_VALUE"""),"21.89")</f>
        <v>21.89</v>
      </c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2.284148013</v>
      </c>
      <c r="G69" s="7">
        <f t="shared" si="3"/>
        <v>100</v>
      </c>
      <c r="H69" s="7">
        <f t="shared" si="4"/>
        <v>4.568296026</v>
      </c>
      <c r="I69" s="7">
        <f t="shared" si="5"/>
        <v>150</v>
      </c>
      <c r="J69" s="7">
        <f t="shared" si="6"/>
        <v>6.852444038</v>
      </c>
      <c r="K69" s="7">
        <f t="shared" si="7"/>
        <v>200</v>
      </c>
      <c r="L69" s="7">
        <f t="shared" si="8"/>
        <v>9.136592051</v>
      </c>
      <c r="M69" s="7">
        <f t="shared" si="9"/>
        <v>300</v>
      </c>
      <c r="N69" s="7">
        <f t="shared" si="10"/>
        <v>13.70488808</v>
      </c>
      <c r="O69" s="7">
        <f t="shared" si="11"/>
        <v>400</v>
      </c>
      <c r="P69" s="7">
        <f t="shared" si="12"/>
        <v>18.2731841</v>
      </c>
      <c r="Q69" s="7">
        <f t="shared" si="13"/>
        <v>500</v>
      </c>
      <c r="R69" s="7">
        <f t="shared" si="14"/>
        <v>22.84148013</v>
      </c>
      <c r="S69" s="7">
        <f t="shared" si="15"/>
        <v>600</v>
      </c>
      <c r="T69" s="7">
        <f t="shared" si="16"/>
        <v>27.40977615</v>
      </c>
      <c r="U69" s="7">
        <f t="shared" si="17"/>
        <v>700</v>
      </c>
      <c r="V69" s="7">
        <f t="shared" si="18"/>
        <v>31.97807218</v>
      </c>
      <c r="W69" s="7">
        <f t="shared" si="19"/>
        <v>800</v>
      </c>
      <c r="X69" s="7">
        <f t="shared" si="20"/>
        <v>36.5463682</v>
      </c>
      <c r="Y69" s="7">
        <f t="shared" si="21"/>
        <v>900</v>
      </c>
      <c r="Z69" s="7">
        <f t="shared" si="22"/>
        <v>41.11466423</v>
      </c>
    </row>
    <row r="70">
      <c r="A70" s="30" t="str">
        <f>IFERROR(__xludf.DUMMYFUNCTION("""COMPUTED_VALUE"""),"2017 07")</f>
        <v>2017 07</v>
      </c>
      <c r="B70" s="30" t="str">
        <f>IFERROR(__xludf.DUMMYFUNCTION("""COMPUTED_VALUE"""),"21.21")</f>
        <v>21.21</v>
      </c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2.357378595</v>
      </c>
      <c r="G70" s="7">
        <f t="shared" si="3"/>
        <v>100</v>
      </c>
      <c r="H70" s="7">
        <f t="shared" si="4"/>
        <v>4.71475719</v>
      </c>
      <c r="I70" s="7">
        <f t="shared" si="5"/>
        <v>150</v>
      </c>
      <c r="J70" s="7">
        <f t="shared" si="6"/>
        <v>7.072135785</v>
      </c>
      <c r="K70" s="7">
        <f t="shared" si="7"/>
        <v>200</v>
      </c>
      <c r="L70" s="7">
        <f t="shared" si="8"/>
        <v>9.42951438</v>
      </c>
      <c r="M70" s="7">
        <f t="shared" si="9"/>
        <v>300</v>
      </c>
      <c r="N70" s="7">
        <f t="shared" si="10"/>
        <v>14.14427157</v>
      </c>
      <c r="O70" s="7">
        <f t="shared" si="11"/>
        <v>400</v>
      </c>
      <c r="P70" s="7">
        <f t="shared" si="12"/>
        <v>18.85902876</v>
      </c>
      <c r="Q70" s="7">
        <f t="shared" si="13"/>
        <v>500</v>
      </c>
      <c r="R70" s="7">
        <f t="shared" si="14"/>
        <v>23.57378595</v>
      </c>
      <c r="S70" s="7">
        <f t="shared" si="15"/>
        <v>600</v>
      </c>
      <c r="T70" s="7">
        <f t="shared" si="16"/>
        <v>28.28854314</v>
      </c>
      <c r="U70" s="7">
        <f t="shared" si="17"/>
        <v>700</v>
      </c>
      <c r="V70" s="7">
        <f t="shared" si="18"/>
        <v>33.00330033</v>
      </c>
      <c r="W70" s="7">
        <f t="shared" si="19"/>
        <v>800</v>
      </c>
      <c r="X70" s="7">
        <f t="shared" si="20"/>
        <v>37.71805752</v>
      </c>
      <c r="Y70" s="7">
        <f t="shared" si="21"/>
        <v>900</v>
      </c>
      <c r="Z70" s="7">
        <f t="shared" si="22"/>
        <v>42.43281471</v>
      </c>
    </row>
    <row r="71">
      <c r="A71" s="30" t="str">
        <f>IFERROR(__xludf.DUMMYFUNCTION("""COMPUTED_VALUE"""),"2017 08")</f>
        <v>2017 08</v>
      </c>
      <c r="B71" s="30" t="str">
        <f>IFERROR(__xludf.DUMMYFUNCTION("""COMPUTED_VALUE"""),"20.69")</f>
        <v>20.69</v>
      </c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2.41662639</v>
      </c>
      <c r="G71" s="7">
        <f t="shared" si="3"/>
        <v>100</v>
      </c>
      <c r="H71" s="7">
        <f t="shared" si="4"/>
        <v>4.833252779</v>
      </c>
      <c r="I71" s="7">
        <f t="shared" si="5"/>
        <v>150</v>
      </c>
      <c r="J71" s="7">
        <f t="shared" si="6"/>
        <v>7.249879169</v>
      </c>
      <c r="K71" s="7">
        <f t="shared" si="7"/>
        <v>200</v>
      </c>
      <c r="L71" s="7">
        <f t="shared" si="8"/>
        <v>9.666505558</v>
      </c>
      <c r="M71" s="7">
        <f t="shared" si="9"/>
        <v>300</v>
      </c>
      <c r="N71" s="7">
        <f t="shared" si="10"/>
        <v>14.49975834</v>
      </c>
      <c r="O71" s="7">
        <f t="shared" si="11"/>
        <v>400</v>
      </c>
      <c r="P71" s="7">
        <f t="shared" si="12"/>
        <v>19.33301112</v>
      </c>
      <c r="Q71" s="7">
        <f t="shared" si="13"/>
        <v>500</v>
      </c>
      <c r="R71" s="7">
        <f t="shared" si="14"/>
        <v>24.1662639</v>
      </c>
      <c r="S71" s="7">
        <f t="shared" si="15"/>
        <v>600</v>
      </c>
      <c r="T71" s="7">
        <f t="shared" si="16"/>
        <v>28.99951667</v>
      </c>
      <c r="U71" s="7">
        <f t="shared" si="17"/>
        <v>700</v>
      </c>
      <c r="V71" s="7">
        <f t="shared" si="18"/>
        <v>33.83276945</v>
      </c>
      <c r="W71" s="7">
        <f t="shared" si="19"/>
        <v>800</v>
      </c>
      <c r="X71" s="7">
        <f t="shared" si="20"/>
        <v>38.66602223</v>
      </c>
      <c r="Y71" s="7">
        <f t="shared" si="21"/>
        <v>900</v>
      </c>
      <c r="Z71" s="7">
        <f t="shared" si="22"/>
        <v>43.49927501</v>
      </c>
    </row>
    <row r="72">
      <c r="A72" s="30" t="str">
        <f>IFERROR(__xludf.DUMMYFUNCTION("""COMPUTED_VALUE"""),"2017 09")</f>
        <v>2017 09</v>
      </c>
      <c r="B72" s="30" t="str">
        <f>IFERROR(__xludf.DUMMYFUNCTION("""COMPUTED_VALUE"""),"20.96")</f>
        <v>20.96</v>
      </c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2.385496183</v>
      </c>
      <c r="G72" s="7">
        <f t="shared" si="3"/>
        <v>100</v>
      </c>
      <c r="H72" s="7">
        <f t="shared" si="4"/>
        <v>4.770992366</v>
      </c>
      <c r="I72" s="7">
        <f t="shared" si="5"/>
        <v>150</v>
      </c>
      <c r="J72" s="7">
        <f t="shared" si="6"/>
        <v>7.15648855</v>
      </c>
      <c r="K72" s="7">
        <f t="shared" si="7"/>
        <v>200</v>
      </c>
      <c r="L72" s="7">
        <f t="shared" si="8"/>
        <v>9.541984733</v>
      </c>
      <c r="M72" s="7">
        <f t="shared" si="9"/>
        <v>300</v>
      </c>
      <c r="N72" s="7">
        <f t="shared" si="10"/>
        <v>14.3129771</v>
      </c>
      <c r="O72" s="7">
        <f t="shared" si="11"/>
        <v>400</v>
      </c>
      <c r="P72" s="7">
        <f t="shared" si="12"/>
        <v>19.08396947</v>
      </c>
      <c r="Q72" s="7">
        <f t="shared" si="13"/>
        <v>500</v>
      </c>
      <c r="R72" s="7">
        <f t="shared" si="14"/>
        <v>23.85496183</v>
      </c>
      <c r="S72" s="7">
        <f t="shared" si="15"/>
        <v>600</v>
      </c>
      <c r="T72" s="7">
        <f t="shared" si="16"/>
        <v>28.6259542</v>
      </c>
      <c r="U72" s="7">
        <f t="shared" si="17"/>
        <v>700</v>
      </c>
      <c r="V72" s="7">
        <f t="shared" si="18"/>
        <v>33.39694656</v>
      </c>
      <c r="W72" s="7">
        <f t="shared" si="19"/>
        <v>800</v>
      </c>
      <c r="X72" s="7">
        <f t="shared" si="20"/>
        <v>38.16793893</v>
      </c>
      <c r="Y72" s="7">
        <f t="shared" si="21"/>
        <v>900</v>
      </c>
      <c r="Z72" s="7">
        <f t="shared" si="22"/>
        <v>42.9389313</v>
      </c>
    </row>
    <row r="73">
      <c r="A73" s="30" t="str">
        <f>IFERROR(__xludf.DUMMYFUNCTION("""COMPUTED_VALUE"""),"2017 10")</f>
        <v>2017 10</v>
      </c>
      <c r="B73" s="30" t="str">
        <f>IFERROR(__xludf.DUMMYFUNCTION("""COMPUTED_VALUE"""),"21.57")</f>
        <v>21.57</v>
      </c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2.318034307</v>
      </c>
      <c r="G73" s="7">
        <f t="shared" si="3"/>
        <v>100</v>
      </c>
      <c r="H73" s="7">
        <f t="shared" si="4"/>
        <v>4.636068614</v>
      </c>
      <c r="I73" s="7">
        <f t="shared" si="5"/>
        <v>150</v>
      </c>
      <c r="J73" s="7">
        <f t="shared" si="6"/>
        <v>6.954102921</v>
      </c>
      <c r="K73" s="7">
        <f t="shared" si="7"/>
        <v>200</v>
      </c>
      <c r="L73" s="7">
        <f t="shared" si="8"/>
        <v>9.272137228</v>
      </c>
      <c r="M73" s="7">
        <f t="shared" si="9"/>
        <v>300</v>
      </c>
      <c r="N73" s="7">
        <f t="shared" si="10"/>
        <v>13.90820584</v>
      </c>
      <c r="O73" s="7">
        <f t="shared" si="11"/>
        <v>400</v>
      </c>
      <c r="P73" s="7">
        <f t="shared" si="12"/>
        <v>18.54427446</v>
      </c>
      <c r="Q73" s="7">
        <f t="shared" si="13"/>
        <v>500</v>
      </c>
      <c r="R73" s="7">
        <f t="shared" si="14"/>
        <v>23.18034307</v>
      </c>
      <c r="S73" s="7">
        <f t="shared" si="15"/>
        <v>600</v>
      </c>
      <c r="T73" s="7">
        <f t="shared" si="16"/>
        <v>27.81641168</v>
      </c>
      <c r="U73" s="7">
        <f t="shared" si="17"/>
        <v>700</v>
      </c>
      <c r="V73" s="7">
        <f t="shared" si="18"/>
        <v>32.4524803</v>
      </c>
      <c r="W73" s="7">
        <f t="shared" si="19"/>
        <v>800</v>
      </c>
      <c r="X73" s="7">
        <f t="shared" si="20"/>
        <v>37.08854891</v>
      </c>
      <c r="Y73" s="7">
        <f t="shared" si="21"/>
        <v>900</v>
      </c>
      <c r="Z73" s="7">
        <f t="shared" si="22"/>
        <v>41.72461752</v>
      </c>
    </row>
    <row r="74">
      <c r="A74" s="30" t="str">
        <f>IFERROR(__xludf.DUMMYFUNCTION("""COMPUTED_VALUE"""),"2017 11")</f>
        <v>2017 11</v>
      </c>
      <c r="B74" s="30" t="str">
        <f>IFERROR(__xludf.DUMMYFUNCTION("""COMPUTED_VALUE"""),"22.57")</f>
        <v>22.57</v>
      </c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2.215330084</v>
      </c>
      <c r="G74" s="7">
        <f t="shared" si="3"/>
        <v>100</v>
      </c>
      <c r="H74" s="7">
        <f t="shared" si="4"/>
        <v>4.430660168</v>
      </c>
      <c r="I74" s="7">
        <f t="shared" si="5"/>
        <v>150</v>
      </c>
      <c r="J74" s="7">
        <f t="shared" si="6"/>
        <v>6.645990253</v>
      </c>
      <c r="K74" s="7">
        <f t="shared" si="7"/>
        <v>200</v>
      </c>
      <c r="L74" s="7">
        <f t="shared" si="8"/>
        <v>8.861320337</v>
      </c>
      <c r="M74" s="7">
        <f t="shared" si="9"/>
        <v>300</v>
      </c>
      <c r="N74" s="7">
        <f t="shared" si="10"/>
        <v>13.29198051</v>
      </c>
      <c r="O74" s="7">
        <f t="shared" si="11"/>
        <v>400</v>
      </c>
      <c r="P74" s="7">
        <f t="shared" si="12"/>
        <v>17.72264067</v>
      </c>
      <c r="Q74" s="7">
        <f t="shared" si="13"/>
        <v>500</v>
      </c>
      <c r="R74" s="7">
        <f t="shared" si="14"/>
        <v>22.15330084</v>
      </c>
      <c r="S74" s="7">
        <f t="shared" si="15"/>
        <v>600</v>
      </c>
      <c r="T74" s="7">
        <f t="shared" si="16"/>
        <v>26.58396101</v>
      </c>
      <c r="U74" s="7">
        <f t="shared" si="17"/>
        <v>700</v>
      </c>
      <c r="V74" s="7">
        <f t="shared" si="18"/>
        <v>31.01462118</v>
      </c>
      <c r="W74" s="7">
        <f t="shared" si="19"/>
        <v>800</v>
      </c>
      <c r="X74" s="7">
        <f t="shared" si="20"/>
        <v>35.44528135</v>
      </c>
      <c r="Y74" s="7">
        <f t="shared" si="21"/>
        <v>900</v>
      </c>
      <c r="Z74" s="7">
        <f t="shared" si="22"/>
        <v>39.87594152</v>
      </c>
    </row>
    <row r="75">
      <c r="A75" s="30" t="str">
        <f>IFERROR(__xludf.DUMMYFUNCTION("""COMPUTED_VALUE"""),"2017 12")</f>
        <v>2017 12</v>
      </c>
      <c r="B75" s="30" t="str">
        <f>IFERROR(__xludf.DUMMYFUNCTION("""COMPUTED_VALUE"""),"23.46")</f>
        <v>23.46</v>
      </c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2.131287298</v>
      </c>
      <c r="G75" s="7">
        <f t="shared" si="3"/>
        <v>100</v>
      </c>
      <c r="H75" s="7">
        <f t="shared" si="4"/>
        <v>4.262574595</v>
      </c>
      <c r="I75" s="7">
        <f t="shared" si="5"/>
        <v>150</v>
      </c>
      <c r="J75" s="7">
        <f t="shared" si="6"/>
        <v>6.393861893</v>
      </c>
      <c r="K75" s="7">
        <f t="shared" si="7"/>
        <v>200</v>
      </c>
      <c r="L75" s="7">
        <f t="shared" si="8"/>
        <v>8.52514919</v>
      </c>
      <c r="M75" s="7">
        <f t="shared" si="9"/>
        <v>300</v>
      </c>
      <c r="N75" s="7">
        <f t="shared" si="10"/>
        <v>12.78772379</v>
      </c>
      <c r="O75" s="7">
        <f t="shared" si="11"/>
        <v>400</v>
      </c>
      <c r="P75" s="7">
        <f t="shared" si="12"/>
        <v>17.05029838</v>
      </c>
      <c r="Q75" s="7">
        <f t="shared" si="13"/>
        <v>500</v>
      </c>
      <c r="R75" s="7">
        <f t="shared" si="14"/>
        <v>21.31287298</v>
      </c>
      <c r="S75" s="7">
        <f t="shared" si="15"/>
        <v>600</v>
      </c>
      <c r="T75" s="7">
        <f t="shared" si="16"/>
        <v>25.57544757</v>
      </c>
      <c r="U75" s="7">
        <f t="shared" si="17"/>
        <v>700</v>
      </c>
      <c r="V75" s="7">
        <f t="shared" si="18"/>
        <v>29.83802217</v>
      </c>
      <c r="W75" s="7">
        <f t="shared" si="19"/>
        <v>800</v>
      </c>
      <c r="X75" s="7">
        <f t="shared" si="20"/>
        <v>34.10059676</v>
      </c>
      <c r="Y75" s="7">
        <f t="shared" si="21"/>
        <v>900</v>
      </c>
      <c r="Z75" s="7">
        <f t="shared" si="22"/>
        <v>38.36317136</v>
      </c>
    </row>
    <row r="76">
      <c r="A76" s="30" t="str">
        <f>IFERROR(__xludf.DUMMYFUNCTION("""COMPUTED_VALUE"""),"2018 01")</f>
        <v>2018 01</v>
      </c>
      <c r="B76" s="30" t="str">
        <f>IFERROR(__xludf.DUMMYFUNCTION("""COMPUTED_VALUE"""),"22.92")</f>
        <v>22.92</v>
      </c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2.181500873</v>
      </c>
      <c r="G76" s="7">
        <f t="shared" si="3"/>
        <v>100</v>
      </c>
      <c r="H76" s="7">
        <f t="shared" si="4"/>
        <v>4.363001745</v>
      </c>
      <c r="I76" s="7">
        <f t="shared" si="5"/>
        <v>150</v>
      </c>
      <c r="J76" s="7">
        <f t="shared" si="6"/>
        <v>6.544502618</v>
      </c>
      <c r="K76" s="7">
        <f t="shared" si="7"/>
        <v>200</v>
      </c>
      <c r="L76" s="7">
        <f t="shared" si="8"/>
        <v>8.72600349</v>
      </c>
      <c r="M76" s="7">
        <f t="shared" si="9"/>
        <v>300</v>
      </c>
      <c r="N76" s="7">
        <f t="shared" si="10"/>
        <v>13.08900524</v>
      </c>
      <c r="O76" s="7">
        <f t="shared" si="11"/>
        <v>400</v>
      </c>
      <c r="P76" s="7">
        <f t="shared" si="12"/>
        <v>17.45200698</v>
      </c>
      <c r="Q76" s="7">
        <f t="shared" si="13"/>
        <v>500</v>
      </c>
      <c r="R76" s="7">
        <f t="shared" si="14"/>
        <v>21.81500873</v>
      </c>
      <c r="S76" s="7">
        <f t="shared" si="15"/>
        <v>600</v>
      </c>
      <c r="T76" s="7">
        <f t="shared" si="16"/>
        <v>26.17801047</v>
      </c>
      <c r="U76" s="7">
        <f t="shared" si="17"/>
        <v>700</v>
      </c>
      <c r="V76" s="7">
        <f t="shared" si="18"/>
        <v>30.54101222</v>
      </c>
      <c r="W76" s="7">
        <f t="shared" si="19"/>
        <v>800</v>
      </c>
      <c r="X76" s="7">
        <f t="shared" si="20"/>
        <v>34.90401396</v>
      </c>
      <c r="Y76" s="7">
        <f t="shared" si="21"/>
        <v>900</v>
      </c>
      <c r="Z76" s="7">
        <f t="shared" si="22"/>
        <v>39.26701571</v>
      </c>
    </row>
    <row r="77">
      <c r="A77" s="30" t="str">
        <f>IFERROR(__xludf.DUMMYFUNCTION("""COMPUTED_VALUE"""),"2018 02")</f>
        <v>2018 02</v>
      </c>
      <c r="B77" s="30" t="str">
        <f>IFERROR(__xludf.DUMMYFUNCTION("""COMPUTED_VALUE"""),"23.64")</f>
        <v>23.64</v>
      </c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2.115059222</v>
      </c>
      <c r="G77" s="7">
        <f t="shared" si="3"/>
        <v>100</v>
      </c>
      <c r="H77" s="7">
        <f t="shared" si="4"/>
        <v>4.230118443</v>
      </c>
      <c r="I77" s="7">
        <f t="shared" si="5"/>
        <v>150</v>
      </c>
      <c r="J77" s="7">
        <f t="shared" si="6"/>
        <v>6.345177665</v>
      </c>
      <c r="K77" s="7">
        <f t="shared" si="7"/>
        <v>200</v>
      </c>
      <c r="L77" s="7">
        <f t="shared" si="8"/>
        <v>8.460236887</v>
      </c>
      <c r="M77" s="7">
        <f t="shared" si="9"/>
        <v>300</v>
      </c>
      <c r="N77" s="7">
        <f t="shared" si="10"/>
        <v>12.69035533</v>
      </c>
      <c r="O77" s="7">
        <f t="shared" si="11"/>
        <v>400</v>
      </c>
      <c r="P77" s="7">
        <f t="shared" si="12"/>
        <v>16.92047377</v>
      </c>
      <c r="Q77" s="7">
        <f t="shared" si="13"/>
        <v>500</v>
      </c>
      <c r="R77" s="7">
        <f t="shared" si="14"/>
        <v>21.15059222</v>
      </c>
      <c r="S77" s="7">
        <f t="shared" si="15"/>
        <v>600</v>
      </c>
      <c r="T77" s="7">
        <f t="shared" si="16"/>
        <v>25.38071066</v>
      </c>
      <c r="U77" s="7">
        <f t="shared" si="17"/>
        <v>700</v>
      </c>
      <c r="V77" s="7">
        <f t="shared" si="18"/>
        <v>29.6108291</v>
      </c>
      <c r="W77" s="7">
        <f t="shared" si="19"/>
        <v>800</v>
      </c>
      <c r="X77" s="7">
        <f t="shared" si="20"/>
        <v>33.84094755</v>
      </c>
      <c r="Y77" s="7">
        <f t="shared" si="21"/>
        <v>900</v>
      </c>
      <c r="Z77" s="7">
        <f t="shared" si="22"/>
        <v>38.07106599</v>
      </c>
    </row>
    <row r="78">
      <c r="A78" s="30" t="str">
        <f>IFERROR(__xludf.DUMMYFUNCTION("""COMPUTED_VALUE"""),"2018 03")</f>
        <v>2018 03</v>
      </c>
      <c r="B78" s="30" t="str">
        <f>IFERROR(__xludf.DUMMYFUNCTION("""COMPUTED_VALUE"""),"23.55")</f>
        <v>23.55</v>
      </c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2.123142251</v>
      </c>
      <c r="G78" s="7">
        <f t="shared" si="3"/>
        <v>100</v>
      </c>
      <c r="H78" s="7">
        <f t="shared" si="4"/>
        <v>4.246284501</v>
      </c>
      <c r="I78" s="7">
        <f t="shared" si="5"/>
        <v>150</v>
      </c>
      <c r="J78" s="7">
        <f t="shared" si="6"/>
        <v>6.369426752</v>
      </c>
      <c r="K78" s="7">
        <f t="shared" si="7"/>
        <v>200</v>
      </c>
      <c r="L78" s="7">
        <f t="shared" si="8"/>
        <v>8.492569002</v>
      </c>
      <c r="M78" s="7">
        <f t="shared" si="9"/>
        <v>300</v>
      </c>
      <c r="N78" s="7">
        <f t="shared" si="10"/>
        <v>12.7388535</v>
      </c>
      <c r="O78" s="7">
        <f t="shared" si="11"/>
        <v>400</v>
      </c>
      <c r="P78" s="7">
        <f t="shared" si="12"/>
        <v>16.985138</v>
      </c>
      <c r="Q78" s="7">
        <f t="shared" si="13"/>
        <v>500</v>
      </c>
      <c r="R78" s="7">
        <f t="shared" si="14"/>
        <v>21.23142251</v>
      </c>
      <c r="S78" s="7">
        <f t="shared" si="15"/>
        <v>600</v>
      </c>
      <c r="T78" s="7">
        <f t="shared" si="16"/>
        <v>25.47770701</v>
      </c>
      <c r="U78" s="7">
        <f t="shared" si="17"/>
        <v>700</v>
      </c>
      <c r="V78" s="7">
        <f t="shared" si="18"/>
        <v>29.72399151</v>
      </c>
      <c r="W78" s="7">
        <f t="shared" si="19"/>
        <v>800</v>
      </c>
      <c r="X78" s="7">
        <f t="shared" si="20"/>
        <v>33.97027601</v>
      </c>
      <c r="Y78" s="7">
        <f t="shared" si="21"/>
        <v>900</v>
      </c>
      <c r="Z78" s="7">
        <f t="shared" si="22"/>
        <v>38.21656051</v>
      </c>
    </row>
    <row r="79">
      <c r="A79" s="30" t="str">
        <f>IFERROR(__xludf.DUMMYFUNCTION("""COMPUTED_VALUE"""),"2018 04")</f>
        <v>2018 04</v>
      </c>
      <c r="B79" s="30" t="str">
        <f>IFERROR(__xludf.DUMMYFUNCTION("""COMPUTED_VALUE"""),"22.48")</f>
        <v>22.48</v>
      </c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2.224199288</v>
      </c>
      <c r="G79" s="7">
        <f t="shared" si="3"/>
        <v>100</v>
      </c>
      <c r="H79" s="7">
        <f t="shared" si="4"/>
        <v>4.448398577</v>
      </c>
      <c r="I79" s="7">
        <f t="shared" si="5"/>
        <v>150</v>
      </c>
      <c r="J79" s="7">
        <f t="shared" si="6"/>
        <v>6.672597865</v>
      </c>
      <c r="K79" s="7">
        <f t="shared" si="7"/>
        <v>200</v>
      </c>
      <c r="L79" s="7">
        <f t="shared" si="8"/>
        <v>8.896797153</v>
      </c>
      <c r="M79" s="7">
        <f t="shared" si="9"/>
        <v>300</v>
      </c>
      <c r="N79" s="7">
        <f t="shared" si="10"/>
        <v>13.34519573</v>
      </c>
      <c r="O79" s="7">
        <f t="shared" si="11"/>
        <v>400</v>
      </c>
      <c r="P79" s="7">
        <f t="shared" si="12"/>
        <v>17.79359431</v>
      </c>
      <c r="Q79" s="7">
        <f t="shared" si="13"/>
        <v>500</v>
      </c>
      <c r="R79" s="7">
        <f t="shared" si="14"/>
        <v>22.24199288</v>
      </c>
      <c r="S79" s="7">
        <f t="shared" si="15"/>
        <v>600</v>
      </c>
      <c r="T79" s="7">
        <f t="shared" si="16"/>
        <v>26.69039146</v>
      </c>
      <c r="U79" s="7">
        <f t="shared" si="17"/>
        <v>700</v>
      </c>
      <c r="V79" s="7">
        <f t="shared" si="18"/>
        <v>31.13879004</v>
      </c>
      <c r="W79" s="7">
        <f t="shared" si="19"/>
        <v>800</v>
      </c>
      <c r="X79" s="7">
        <f t="shared" si="20"/>
        <v>35.58718861</v>
      </c>
      <c r="Y79" s="7">
        <f t="shared" si="21"/>
        <v>900</v>
      </c>
      <c r="Z79" s="7">
        <f t="shared" si="22"/>
        <v>40.03558719</v>
      </c>
    </row>
    <row r="80">
      <c r="A80" s="30" t="str">
        <f>IFERROR(__xludf.DUMMYFUNCTION("""COMPUTED_VALUE"""),"2018 05")</f>
        <v>2018 05</v>
      </c>
      <c r="B80" s="30" t="str">
        <f>IFERROR(__xludf.DUMMYFUNCTION("""COMPUTED_VALUE"""),"23.59")</f>
        <v>23.59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2.119542179</v>
      </c>
      <c r="G80" s="7">
        <f t="shared" si="3"/>
        <v>100</v>
      </c>
      <c r="H80" s="7">
        <f t="shared" si="4"/>
        <v>4.239084358</v>
      </c>
      <c r="I80" s="7">
        <f t="shared" si="5"/>
        <v>150</v>
      </c>
      <c r="J80" s="7">
        <f t="shared" si="6"/>
        <v>6.358626537</v>
      </c>
      <c r="K80" s="7">
        <f t="shared" si="7"/>
        <v>200</v>
      </c>
      <c r="L80" s="7">
        <f t="shared" si="8"/>
        <v>8.478168716</v>
      </c>
      <c r="M80" s="7">
        <f t="shared" si="9"/>
        <v>300</v>
      </c>
      <c r="N80" s="7">
        <f t="shared" si="10"/>
        <v>12.71725307</v>
      </c>
      <c r="O80" s="7">
        <f t="shared" si="11"/>
        <v>400</v>
      </c>
      <c r="P80" s="7">
        <f t="shared" si="12"/>
        <v>16.95633743</v>
      </c>
      <c r="Q80" s="7">
        <f t="shared" si="13"/>
        <v>500</v>
      </c>
      <c r="R80" s="7">
        <f t="shared" si="14"/>
        <v>21.19542179</v>
      </c>
      <c r="S80" s="7">
        <f t="shared" si="15"/>
        <v>600</v>
      </c>
      <c r="T80" s="7">
        <f t="shared" si="16"/>
        <v>25.43450615</v>
      </c>
      <c r="U80" s="7">
        <f t="shared" si="17"/>
        <v>700</v>
      </c>
      <c r="V80" s="7">
        <f t="shared" si="18"/>
        <v>29.6735905</v>
      </c>
      <c r="W80" s="7">
        <f t="shared" si="19"/>
        <v>800</v>
      </c>
      <c r="X80" s="7">
        <f t="shared" si="20"/>
        <v>33.91267486</v>
      </c>
      <c r="Y80" s="7">
        <f t="shared" si="21"/>
        <v>900</v>
      </c>
      <c r="Z80" s="7">
        <f t="shared" si="22"/>
        <v>38.15175922</v>
      </c>
    </row>
    <row r="81">
      <c r="A81" s="30" t="str">
        <f>IFERROR(__xludf.DUMMYFUNCTION("""COMPUTED_VALUE"""),"2018 06")</f>
        <v>2018 06</v>
      </c>
      <c r="B81" s="30" t="str">
        <f>IFERROR(__xludf.DUMMYFUNCTION("""COMPUTED_VALUE"""),"24.16")</f>
        <v>24.16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2.069536424</v>
      </c>
      <c r="G81" s="7">
        <f t="shared" si="3"/>
        <v>100</v>
      </c>
      <c r="H81" s="7">
        <f t="shared" si="4"/>
        <v>4.139072848</v>
      </c>
      <c r="I81" s="7">
        <f t="shared" si="5"/>
        <v>150</v>
      </c>
      <c r="J81" s="7">
        <f t="shared" si="6"/>
        <v>6.208609272</v>
      </c>
      <c r="K81" s="7">
        <f t="shared" si="7"/>
        <v>200</v>
      </c>
      <c r="L81" s="7">
        <f t="shared" si="8"/>
        <v>8.278145695</v>
      </c>
      <c r="M81" s="7">
        <f t="shared" si="9"/>
        <v>300</v>
      </c>
      <c r="N81" s="7">
        <f t="shared" si="10"/>
        <v>12.41721854</v>
      </c>
      <c r="O81" s="7">
        <f t="shared" si="11"/>
        <v>400</v>
      </c>
      <c r="P81" s="7">
        <f t="shared" si="12"/>
        <v>16.55629139</v>
      </c>
      <c r="Q81" s="7">
        <f t="shared" si="13"/>
        <v>500</v>
      </c>
      <c r="R81" s="7">
        <f t="shared" si="14"/>
        <v>20.69536424</v>
      </c>
      <c r="S81" s="7">
        <f t="shared" si="15"/>
        <v>600</v>
      </c>
      <c r="T81" s="7">
        <f t="shared" si="16"/>
        <v>24.83443709</v>
      </c>
      <c r="U81" s="7">
        <f t="shared" si="17"/>
        <v>700</v>
      </c>
      <c r="V81" s="7">
        <f t="shared" si="18"/>
        <v>28.97350993</v>
      </c>
      <c r="W81" s="7">
        <f t="shared" si="19"/>
        <v>800</v>
      </c>
      <c r="X81" s="7">
        <f t="shared" si="20"/>
        <v>33.11258278</v>
      </c>
      <c r="Y81" s="7">
        <f t="shared" si="21"/>
        <v>900</v>
      </c>
      <c r="Z81" s="7">
        <f t="shared" si="22"/>
        <v>37.25165563</v>
      </c>
    </row>
    <row r="82">
      <c r="A82" s="30" t="str">
        <f>IFERROR(__xludf.DUMMYFUNCTION("""COMPUTED_VALUE"""),"2018 07")</f>
        <v>2018 07</v>
      </c>
      <c r="B82" s="30" t="str">
        <f>IFERROR(__xludf.DUMMYFUNCTION("""COMPUTED_VALUE"""),"24.55")</f>
        <v>24.55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2.036659878</v>
      </c>
      <c r="G82" s="7">
        <f t="shared" si="3"/>
        <v>100</v>
      </c>
      <c r="H82" s="7">
        <f t="shared" si="4"/>
        <v>4.073319756</v>
      </c>
      <c r="I82" s="7">
        <f t="shared" si="5"/>
        <v>150</v>
      </c>
      <c r="J82" s="7">
        <f t="shared" si="6"/>
        <v>6.109979633</v>
      </c>
      <c r="K82" s="7">
        <f t="shared" si="7"/>
        <v>200</v>
      </c>
      <c r="L82" s="7">
        <f t="shared" si="8"/>
        <v>8.146639511</v>
      </c>
      <c r="M82" s="7">
        <f t="shared" si="9"/>
        <v>300</v>
      </c>
      <c r="N82" s="7">
        <f t="shared" si="10"/>
        <v>12.21995927</v>
      </c>
      <c r="O82" s="7">
        <f t="shared" si="11"/>
        <v>400</v>
      </c>
      <c r="P82" s="7">
        <f t="shared" si="12"/>
        <v>16.29327902</v>
      </c>
      <c r="Q82" s="7">
        <f t="shared" si="13"/>
        <v>500</v>
      </c>
      <c r="R82" s="7">
        <f t="shared" si="14"/>
        <v>20.36659878</v>
      </c>
      <c r="S82" s="7">
        <f t="shared" si="15"/>
        <v>600</v>
      </c>
      <c r="T82" s="7">
        <f t="shared" si="16"/>
        <v>24.43991853</v>
      </c>
      <c r="U82" s="7">
        <f t="shared" si="17"/>
        <v>700</v>
      </c>
      <c r="V82" s="7">
        <f t="shared" si="18"/>
        <v>28.51323829</v>
      </c>
      <c r="W82" s="7">
        <f t="shared" si="19"/>
        <v>800</v>
      </c>
      <c r="X82" s="7">
        <f t="shared" si="20"/>
        <v>32.58655804</v>
      </c>
      <c r="Y82" s="7">
        <f t="shared" si="21"/>
        <v>900</v>
      </c>
      <c r="Z82" s="7">
        <f t="shared" si="22"/>
        <v>36.6598778</v>
      </c>
    </row>
    <row r="83">
      <c r="A83" s="30" t="str">
        <f>IFERROR(__xludf.DUMMYFUNCTION("""COMPUTED_VALUE"""),"2018 08")</f>
        <v>2018 08</v>
      </c>
      <c r="B83" s="30" t="str">
        <f>IFERROR(__xludf.DUMMYFUNCTION("""COMPUTED_VALUE"""),"25.5")</f>
        <v>25.5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1.960784314</v>
      </c>
      <c r="G83" s="7">
        <f t="shared" si="3"/>
        <v>100</v>
      </c>
      <c r="H83" s="7">
        <f t="shared" si="4"/>
        <v>3.921568627</v>
      </c>
      <c r="I83" s="7">
        <f t="shared" si="5"/>
        <v>150</v>
      </c>
      <c r="J83" s="7">
        <f t="shared" si="6"/>
        <v>5.882352941</v>
      </c>
      <c r="K83" s="7">
        <f t="shared" si="7"/>
        <v>200</v>
      </c>
      <c r="L83" s="7">
        <f t="shared" si="8"/>
        <v>7.843137255</v>
      </c>
      <c r="M83" s="7">
        <f t="shared" si="9"/>
        <v>300</v>
      </c>
      <c r="N83" s="7">
        <f t="shared" si="10"/>
        <v>11.76470588</v>
      </c>
      <c r="O83" s="7">
        <f t="shared" si="11"/>
        <v>400</v>
      </c>
      <c r="P83" s="7">
        <f t="shared" si="12"/>
        <v>15.68627451</v>
      </c>
      <c r="Q83" s="7">
        <f t="shared" si="13"/>
        <v>500</v>
      </c>
      <c r="R83" s="7">
        <f t="shared" si="14"/>
        <v>19.60784314</v>
      </c>
      <c r="S83" s="7">
        <f t="shared" si="15"/>
        <v>600</v>
      </c>
      <c r="T83" s="7">
        <f t="shared" si="16"/>
        <v>23.52941176</v>
      </c>
      <c r="U83" s="7">
        <f t="shared" si="17"/>
        <v>700</v>
      </c>
      <c r="V83" s="7">
        <f t="shared" si="18"/>
        <v>27.45098039</v>
      </c>
      <c r="W83" s="7">
        <f t="shared" si="19"/>
        <v>800</v>
      </c>
      <c r="X83" s="7">
        <f t="shared" si="20"/>
        <v>31.37254902</v>
      </c>
      <c r="Y83" s="7">
        <f t="shared" si="21"/>
        <v>900</v>
      </c>
      <c r="Z83" s="7">
        <f t="shared" si="22"/>
        <v>35.29411765</v>
      </c>
    </row>
    <row r="84">
      <c r="A84" s="30" t="str">
        <f>IFERROR(__xludf.DUMMYFUNCTION("""COMPUTED_VALUE"""),"2018 09")</f>
        <v>2018 09</v>
      </c>
      <c r="B84" s="30" t="str">
        <f>IFERROR(__xludf.DUMMYFUNCTION("""COMPUTED_VALUE"""),"27.11")</f>
        <v>27.11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1.844337883</v>
      </c>
      <c r="G84" s="7">
        <f t="shared" si="3"/>
        <v>100</v>
      </c>
      <c r="H84" s="7">
        <f t="shared" si="4"/>
        <v>3.688675765</v>
      </c>
      <c r="I84" s="7">
        <f t="shared" si="5"/>
        <v>150</v>
      </c>
      <c r="J84" s="7">
        <f t="shared" si="6"/>
        <v>5.533013648</v>
      </c>
      <c r="K84" s="7">
        <f t="shared" si="7"/>
        <v>200</v>
      </c>
      <c r="L84" s="7">
        <f t="shared" si="8"/>
        <v>7.377351531</v>
      </c>
      <c r="M84" s="7">
        <f t="shared" si="9"/>
        <v>300</v>
      </c>
      <c r="N84" s="7">
        <f t="shared" si="10"/>
        <v>11.0660273</v>
      </c>
      <c r="O84" s="7">
        <f t="shared" si="11"/>
        <v>400</v>
      </c>
      <c r="P84" s="7">
        <f t="shared" si="12"/>
        <v>14.75470306</v>
      </c>
      <c r="Q84" s="7">
        <f t="shared" si="13"/>
        <v>500</v>
      </c>
      <c r="R84" s="7">
        <f t="shared" si="14"/>
        <v>18.44337883</v>
      </c>
      <c r="S84" s="7">
        <f t="shared" si="15"/>
        <v>600</v>
      </c>
      <c r="T84" s="7">
        <f t="shared" si="16"/>
        <v>22.13205459</v>
      </c>
      <c r="U84" s="7">
        <f t="shared" si="17"/>
        <v>700</v>
      </c>
      <c r="V84" s="7">
        <f t="shared" si="18"/>
        <v>25.82073036</v>
      </c>
      <c r="W84" s="7">
        <f t="shared" si="19"/>
        <v>800</v>
      </c>
      <c r="X84" s="7">
        <f t="shared" si="20"/>
        <v>29.50940612</v>
      </c>
      <c r="Y84" s="7">
        <f t="shared" si="21"/>
        <v>900</v>
      </c>
      <c r="Z84" s="7">
        <f t="shared" si="22"/>
        <v>33.19808189</v>
      </c>
    </row>
    <row r="85">
      <c r="A85" s="30" t="str">
        <f>IFERROR(__xludf.DUMMYFUNCTION("""COMPUTED_VALUE"""),"2018 10")</f>
        <v>2018 10</v>
      </c>
      <c r="B85" s="30" t="str">
        <f>IFERROR(__xludf.DUMMYFUNCTION("""COMPUTED_VALUE"""),"27.3")</f>
        <v>27.3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1.831501832</v>
      </c>
      <c r="G85" s="7">
        <f t="shared" si="3"/>
        <v>100</v>
      </c>
      <c r="H85" s="7">
        <f t="shared" si="4"/>
        <v>3.663003663</v>
      </c>
      <c r="I85" s="7">
        <f t="shared" si="5"/>
        <v>150</v>
      </c>
      <c r="J85" s="7">
        <f t="shared" si="6"/>
        <v>5.494505495</v>
      </c>
      <c r="K85" s="7">
        <f t="shared" si="7"/>
        <v>200</v>
      </c>
      <c r="L85" s="7">
        <f t="shared" si="8"/>
        <v>7.326007326</v>
      </c>
      <c r="M85" s="7">
        <f t="shared" si="9"/>
        <v>300</v>
      </c>
      <c r="N85" s="7">
        <f t="shared" si="10"/>
        <v>10.98901099</v>
      </c>
      <c r="O85" s="7">
        <f t="shared" si="11"/>
        <v>400</v>
      </c>
      <c r="P85" s="7">
        <f t="shared" si="12"/>
        <v>14.65201465</v>
      </c>
      <c r="Q85" s="7">
        <f t="shared" si="13"/>
        <v>500</v>
      </c>
      <c r="R85" s="7">
        <f t="shared" si="14"/>
        <v>18.31501832</v>
      </c>
      <c r="S85" s="7">
        <f t="shared" si="15"/>
        <v>600</v>
      </c>
      <c r="T85" s="7">
        <f t="shared" si="16"/>
        <v>21.97802198</v>
      </c>
      <c r="U85" s="7">
        <f t="shared" si="17"/>
        <v>700</v>
      </c>
      <c r="V85" s="7">
        <f t="shared" si="18"/>
        <v>25.64102564</v>
      </c>
      <c r="W85" s="7">
        <f t="shared" si="19"/>
        <v>800</v>
      </c>
      <c r="X85" s="7">
        <f t="shared" si="20"/>
        <v>29.3040293</v>
      </c>
      <c r="Y85" s="7">
        <f t="shared" si="21"/>
        <v>900</v>
      </c>
      <c r="Z85" s="7">
        <f t="shared" si="22"/>
        <v>32.96703297</v>
      </c>
    </row>
    <row r="86">
      <c r="A86" s="30" t="str">
        <f>IFERROR(__xludf.DUMMYFUNCTION("""COMPUTED_VALUE"""),"2018 11")</f>
        <v>2018 11</v>
      </c>
      <c r="B86" s="30" t="str">
        <f>IFERROR(__xludf.DUMMYFUNCTION("""COMPUTED_VALUE"""),"25.58")</f>
        <v>25.58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1.954652072</v>
      </c>
      <c r="G86" s="7">
        <f t="shared" si="3"/>
        <v>100</v>
      </c>
      <c r="H86" s="7">
        <f t="shared" si="4"/>
        <v>3.909304144</v>
      </c>
      <c r="I86" s="7">
        <f t="shared" si="5"/>
        <v>150</v>
      </c>
      <c r="J86" s="7">
        <f t="shared" si="6"/>
        <v>5.863956216</v>
      </c>
      <c r="K86" s="7">
        <f t="shared" si="7"/>
        <v>200</v>
      </c>
      <c r="L86" s="7">
        <f t="shared" si="8"/>
        <v>7.818608288</v>
      </c>
      <c r="M86" s="7">
        <f t="shared" si="9"/>
        <v>300</v>
      </c>
      <c r="N86" s="7">
        <f t="shared" si="10"/>
        <v>11.72791243</v>
      </c>
      <c r="O86" s="7">
        <f t="shared" si="11"/>
        <v>400</v>
      </c>
      <c r="P86" s="7">
        <f t="shared" si="12"/>
        <v>15.63721658</v>
      </c>
      <c r="Q86" s="7">
        <f t="shared" si="13"/>
        <v>500</v>
      </c>
      <c r="R86" s="7">
        <f t="shared" si="14"/>
        <v>19.54652072</v>
      </c>
      <c r="S86" s="7">
        <f t="shared" si="15"/>
        <v>600</v>
      </c>
      <c r="T86" s="7">
        <f t="shared" si="16"/>
        <v>23.45582486</v>
      </c>
      <c r="U86" s="7">
        <f t="shared" si="17"/>
        <v>700</v>
      </c>
      <c r="V86" s="7">
        <f t="shared" si="18"/>
        <v>27.36512901</v>
      </c>
      <c r="W86" s="7">
        <f t="shared" si="19"/>
        <v>800</v>
      </c>
      <c r="X86" s="7">
        <f t="shared" si="20"/>
        <v>31.27443315</v>
      </c>
      <c r="Y86" s="7">
        <f t="shared" si="21"/>
        <v>900</v>
      </c>
      <c r="Z86" s="7">
        <f t="shared" si="22"/>
        <v>35.18373729</v>
      </c>
    </row>
    <row r="87">
      <c r="A87" s="30" t="str">
        <f>IFERROR(__xludf.DUMMYFUNCTION("""COMPUTED_VALUE"""),"2018 12")</f>
        <v>2018 12</v>
      </c>
      <c r="B87" s="30" t="str">
        <f>IFERROR(__xludf.DUMMYFUNCTION("""COMPUTED_VALUE"""),"25.59")</f>
        <v>25.59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1.953888238</v>
      </c>
      <c r="G87" s="7">
        <f t="shared" si="3"/>
        <v>100</v>
      </c>
      <c r="H87" s="7">
        <f t="shared" si="4"/>
        <v>3.907776475</v>
      </c>
      <c r="I87" s="7">
        <f t="shared" si="5"/>
        <v>150</v>
      </c>
      <c r="J87" s="7">
        <f t="shared" si="6"/>
        <v>5.861664713</v>
      </c>
      <c r="K87" s="7">
        <f t="shared" si="7"/>
        <v>200</v>
      </c>
      <c r="L87" s="7">
        <f t="shared" si="8"/>
        <v>7.81555295</v>
      </c>
      <c r="M87" s="7">
        <f t="shared" si="9"/>
        <v>300</v>
      </c>
      <c r="N87" s="7">
        <f t="shared" si="10"/>
        <v>11.72332943</v>
      </c>
      <c r="O87" s="7">
        <f t="shared" si="11"/>
        <v>400</v>
      </c>
      <c r="P87" s="7">
        <f t="shared" si="12"/>
        <v>15.6311059</v>
      </c>
      <c r="Q87" s="7">
        <f t="shared" si="13"/>
        <v>500</v>
      </c>
      <c r="R87" s="7">
        <f t="shared" si="14"/>
        <v>19.53888238</v>
      </c>
      <c r="S87" s="7">
        <f t="shared" si="15"/>
        <v>600</v>
      </c>
      <c r="T87" s="7">
        <f t="shared" si="16"/>
        <v>23.44665885</v>
      </c>
      <c r="U87" s="7">
        <f t="shared" si="17"/>
        <v>700</v>
      </c>
      <c r="V87" s="7">
        <f t="shared" si="18"/>
        <v>27.35443533</v>
      </c>
      <c r="W87" s="7">
        <f t="shared" si="19"/>
        <v>800</v>
      </c>
      <c r="X87" s="7">
        <f t="shared" si="20"/>
        <v>31.2622118</v>
      </c>
      <c r="Y87" s="7">
        <f t="shared" si="21"/>
        <v>900</v>
      </c>
      <c r="Z87" s="7">
        <f t="shared" si="22"/>
        <v>35.16998828</v>
      </c>
    </row>
    <row r="88">
      <c r="A88" s="30" t="str">
        <f>IFERROR(__xludf.DUMMYFUNCTION("""COMPUTED_VALUE"""),"2019 01")</f>
        <v>2019 01</v>
      </c>
      <c r="B88" s="30" t="str">
        <f>IFERROR(__xludf.DUMMYFUNCTION("""COMPUTED_VALUE"""),"23.84")</f>
        <v>23.84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2.097315436</v>
      </c>
      <c r="G88" s="7">
        <f t="shared" si="3"/>
        <v>100</v>
      </c>
      <c r="H88" s="7">
        <f t="shared" si="4"/>
        <v>4.194630872</v>
      </c>
      <c r="I88" s="7">
        <f t="shared" si="5"/>
        <v>150</v>
      </c>
      <c r="J88" s="7">
        <f t="shared" si="6"/>
        <v>6.291946309</v>
      </c>
      <c r="K88" s="7">
        <f t="shared" si="7"/>
        <v>200</v>
      </c>
      <c r="L88" s="7">
        <f t="shared" si="8"/>
        <v>8.389261745</v>
      </c>
      <c r="M88" s="7">
        <f t="shared" si="9"/>
        <v>300</v>
      </c>
      <c r="N88" s="7">
        <f t="shared" si="10"/>
        <v>12.58389262</v>
      </c>
      <c r="O88" s="7">
        <f t="shared" si="11"/>
        <v>400</v>
      </c>
      <c r="P88" s="7">
        <f t="shared" si="12"/>
        <v>16.77852349</v>
      </c>
      <c r="Q88" s="7">
        <f t="shared" si="13"/>
        <v>500</v>
      </c>
      <c r="R88" s="7">
        <f t="shared" si="14"/>
        <v>20.97315436</v>
      </c>
      <c r="S88" s="7">
        <f t="shared" si="15"/>
        <v>600</v>
      </c>
      <c r="T88" s="7">
        <f t="shared" si="16"/>
        <v>25.16778523</v>
      </c>
      <c r="U88" s="7">
        <f t="shared" si="17"/>
        <v>700</v>
      </c>
      <c r="V88" s="7">
        <f t="shared" si="18"/>
        <v>29.36241611</v>
      </c>
      <c r="W88" s="7">
        <f t="shared" si="19"/>
        <v>800</v>
      </c>
      <c r="X88" s="7">
        <f t="shared" si="20"/>
        <v>33.55704698</v>
      </c>
      <c r="Y88" s="7">
        <f t="shared" si="21"/>
        <v>900</v>
      </c>
      <c r="Z88" s="7">
        <f t="shared" si="22"/>
        <v>37.75167785</v>
      </c>
    </row>
    <row r="89">
      <c r="A89" s="30" t="str">
        <f>IFERROR(__xludf.DUMMYFUNCTION("""COMPUTED_VALUE"""),"2019 02")</f>
        <v>2019 02</v>
      </c>
      <c r="B89" s="30" t="str">
        <f>IFERROR(__xludf.DUMMYFUNCTION("""COMPUTED_VALUE"""),"25.04")</f>
        <v>25.04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1.996805112</v>
      </c>
      <c r="G89" s="7">
        <f t="shared" si="3"/>
        <v>100</v>
      </c>
      <c r="H89" s="7">
        <f t="shared" si="4"/>
        <v>3.993610224</v>
      </c>
      <c r="I89" s="7">
        <f t="shared" si="5"/>
        <v>150</v>
      </c>
      <c r="J89" s="7">
        <f t="shared" si="6"/>
        <v>5.990415335</v>
      </c>
      <c r="K89" s="7">
        <f t="shared" si="7"/>
        <v>200</v>
      </c>
      <c r="L89" s="7">
        <f t="shared" si="8"/>
        <v>7.987220447</v>
      </c>
      <c r="M89" s="7">
        <f t="shared" si="9"/>
        <v>300</v>
      </c>
      <c r="N89" s="7">
        <f t="shared" si="10"/>
        <v>11.98083067</v>
      </c>
      <c r="O89" s="7">
        <f t="shared" si="11"/>
        <v>400</v>
      </c>
      <c r="P89" s="7">
        <f t="shared" si="12"/>
        <v>15.97444089</v>
      </c>
      <c r="Q89" s="7">
        <f t="shared" si="13"/>
        <v>500</v>
      </c>
      <c r="R89" s="7">
        <f t="shared" si="14"/>
        <v>19.96805112</v>
      </c>
      <c r="S89" s="7">
        <f t="shared" si="15"/>
        <v>600</v>
      </c>
      <c r="T89" s="7">
        <f t="shared" si="16"/>
        <v>23.96166134</v>
      </c>
      <c r="U89" s="7">
        <f t="shared" si="17"/>
        <v>700</v>
      </c>
      <c r="V89" s="7">
        <f t="shared" si="18"/>
        <v>27.95527157</v>
      </c>
      <c r="W89" s="7">
        <f t="shared" si="19"/>
        <v>800</v>
      </c>
      <c r="X89" s="7">
        <f t="shared" si="20"/>
        <v>31.94888179</v>
      </c>
      <c r="Y89" s="7">
        <f t="shared" si="21"/>
        <v>900</v>
      </c>
      <c r="Z89" s="7">
        <f t="shared" si="22"/>
        <v>35.94249201</v>
      </c>
    </row>
    <row r="90">
      <c r="A90" s="30" t="str">
        <f>IFERROR(__xludf.DUMMYFUNCTION("""COMPUTED_VALUE"""),"2019 03")</f>
        <v>2019 03</v>
      </c>
      <c r="B90" s="30" t="str">
        <f>IFERROR(__xludf.DUMMYFUNCTION("""COMPUTED_VALUE"""),"26.44")</f>
        <v>26.44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1.89107413</v>
      </c>
      <c r="G90" s="7">
        <f t="shared" si="3"/>
        <v>100</v>
      </c>
      <c r="H90" s="7">
        <f t="shared" si="4"/>
        <v>3.78214826</v>
      </c>
      <c r="I90" s="7">
        <f t="shared" si="5"/>
        <v>150</v>
      </c>
      <c r="J90" s="7">
        <f t="shared" si="6"/>
        <v>5.67322239</v>
      </c>
      <c r="K90" s="7">
        <f t="shared" si="7"/>
        <v>200</v>
      </c>
      <c r="L90" s="7">
        <f t="shared" si="8"/>
        <v>7.56429652</v>
      </c>
      <c r="M90" s="7">
        <f t="shared" si="9"/>
        <v>300</v>
      </c>
      <c r="N90" s="7">
        <f t="shared" si="10"/>
        <v>11.34644478</v>
      </c>
      <c r="O90" s="7">
        <f t="shared" si="11"/>
        <v>400</v>
      </c>
      <c r="P90" s="7">
        <f t="shared" si="12"/>
        <v>15.12859304</v>
      </c>
      <c r="Q90" s="7">
        <f t="shared" si="13"/>
        <v>500</v>
      </c>
      <c r="R90" s="7">
        <f t="shared" si="14"/>
        <v>18.9107413</v>
      </c>
      <c r="S90" s="7">
        <f t="shared" si="15"/>
        <v>600</v>
      </c>
      <c r="T90" s="7">
        <f t="shared" si="16"/>
        <v>22.69288956</v>
      </c>
      <c r="U90" s="7">
        <f t="shared" si="17"/>
        <v>700</v>
      </c>
      <c r="V90" s="7">
        <f t="shared" si="18"/>
        <v>26.47503782</v>
      </c>
      <c r="W90" s="7">
        <f t="shared" si="19"/>
        <v>800</v>
      </c>
      <c r="X90" s="7">
        <f t="shared" si="20"/>
        <v>30.25718608</v>
      </c>
      <c r="Y90" s="7">
        <f t="shared" si="21"/>
        <v>900</v>
      </c>
      <c r="Z90" s="7">
        <f t="shared" si="22"/>
        <v>34.03933434</v>
      </c>
    </row>
    <row r="91">
      <c r="A91" s="30" t="str">
        <f>IFERROR(__xludf.DUMMYFUNCTION("""COMPUTED_VALUE"""),"2019 04")</f>
        <v>2019 04</v>
      </c>
      <c r="B91" s="30" t="str">
        <f>IFERROR(__xludf.DUMMYFUNCTION("""COMPUTED_VALUE"""),"26.87")</f>
        <v>26.87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1.860811314</v>
      </c>
      <c r="G91" s="7">
        <f t="shared" si="3"/>
        <v>100</v>
      </c>
      <c r="H91" s="7">
        <f t="shared" si="4"/>
        <v>3.721622627</v>
      </c>
      <c r="I91" s="7">
        <f t="shared" si="5"/>
        <v>150</v>
      </c>
      <c r="J91" s="7">
        <f t="shared" si="6"/>
        <v>5.582433941</v>
      </c>
      <c r="K91" s="7">
        <f t="shared" si="7"/>
        <v>200</v>
      </c>
      <c r="L91" s="7">
        <f t="shared" si="8"/>
        <v>7.443245255</v>
      </c>
      <c r="M91" s="7">
        <f t="shared" si="9"/>
        <v>300</v>
      </c>
      <c r="N91" s="7">
        <f t="shared" si="10"/>
        <v>11.16486788</v>
      </c>
      <c r="O91" s="7">
        <f t="shared" si="11"/>
        <v>400</v>
      </c>
      <c r="P91" s="7">
        <f t="shared" si="12"/>
        <v>14.88649051</v>
      </c>
      <c r="Q91" s="7">
        <f t="shared" si="13"/>
        <v>500</v>
      </c>
      <c r="R91" s="7">
        <f t="shared" si="14"/>
        <v>18.60811314</v>
      </c>
      <c r="S91" s="7">
        <f t="shared" si="15"/>
        <v>600</v>
      </c>
      <c r="T91" s="7">
        <f t="shared" si="16"/>
        <v>22.32973576</v>
      </c>
      <c r="U91" s="7">
        <f t="shared" si="17"/>
        <v>700</v>
      </c>
      <c r="V91" s="7">
        <f t="shared" si="18"/>
        <v>26.05135839</v>
      </c>
      <c r="W91" s="7">
        <f t="shared" si="19"/>
        <v>800</v>
      </c>
      <c r="X91" s="7">
        <f t="shared" si="20"/>
        <v>29.77298102</v>
      </c>
      <c r="Y91" s="7">
        <f t="shared" si="21"/>
        <v>900</v>
      </c>
      <c r="Z91" s="7">
        <f t="shared" si="22"/>
        <v>33.49460365</v>
      </c>
    </row>
    <row r="92">
      <c r="A92" s="30" t="str">
        <f>IFERROR(__xludf.DUMMYFUNCTION("""COMPUTED_VALUE"""),"2019 05")</f>
        <v>2019 05</v>
      </c>
      <c r="B92" s="30" t="str">
        <f>IFERROR(__xludf.DUMMYFUNCTION("""COMPUTED_VALUE"""),"28.09")</f>
        <v>28.09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1.77999288</v>
      </c>
      <c r="G92" s="7">
        <f t="shared" si="3"/>
        <v>100</v>
      </c>
      <c r="H92" s="7">
        <f t="shared" si="4"/>
        <v>3.55998576</v>
      </c>
      <c r="I92" s="7">
        <f t="shared" si="5"/>
        <v>150</v>
      </c>
      <c r="J92" s="7">
        <f t="shared" si="6"/>
        <v>5.33997864</v>
      </c>
      <c r="K92" s="7">
        <f t="shared" si="7"/>
        <v>200</v>
      </c>
      <c r="L92" s="7">
        <f t="shared" si="8"/>
        <v>7.11997152</v>
      </c>
      <c r="M92" s="7">
        <f t="shared" si="9"/>
        <v>300</v>
      </c>
      <c r="N92" s="7">
        <f t="shared" si="10"/>
        <v>10.67995728</v>
      </c>
      <c r="O92" s="7">
        <f t="shared" si="11"/>
        <v>400</v>
      </c>
      <c r="P92" s="7">
        <f t="shared" si="12"/>
        <v>14.23994304</v>
      </c>
      <c r="Q92" s="7">
        <f t="shared" si="13"/>
        <v>500</v>
      </c>
      <c r="R92" s="7">
        <f t="shared" si="14"/>
        <v>17.7999288</v>
      </c>
      <c r="S92" s="7">
        <f t="shared" si="15"/>
        <v>600</v>
      </c>
      <c r="T92" s="7">
        <f t="shared" si="16"/>
        <v>21.35991456</v>
      </c>
      <c r="U92" s="7">
        <f t="shared" si="17"/>
        <v>700</v>
      </c>
      <c r="V92" s="7">
        <f t="shared" si="18"/>
        <v>24.91990032</v>
      </c>
      <c r="W92" s="7">
        <f t="shared" si="19"/>
        <v>800</v>
      </c>
      <c r="X92" s="7">
        <f t="shared" si="20"/>
        <v>28.47988608</v>
      </c>
      <c r="Y92" s="7">
        <f t="shared" si="21"/>
        <v>900</v>
      </c>
      <c r="Z92" s="7">
        <f t="shared" si="22"/>
        <v>32.03987184</v>
      </c>
    </row>
    <row r="93">
      <c r="A93" s="30" t="str">
        <f>IFERROR(__xludf.DUMMYFUNCTION("""COMPUTED_VALUE"""),"2019 06")</f>
        <v>2019 06</v>
      </c>
      <c r="B93" s="30" t="str">
        <f>IFERROR(__xludf.DUMMYFUNCTION("""COMPUTED_VALUE"""),"26.49")</f>
        <v>26.49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1.887504719</v>
      </c>
      <c r="G93" s="7">
        <f t="shared" si="3"/>
        <v>100</v>
      </c>
      <c r="H93" s="7">
        <f t="shared" si="4"/>
        <v>3.775009438</v>
      </c>
      <c r="I93" s="7">
        <f t="shared" si="5"/>
        <v>150</v>
      </c>
      <c r="J93" s="7">
        <f t="shared" si="6"/>
        <v>5.662514156</v>
      </c>
      <c r="K93" s="7">
        <f t="shared" si="7"/>
        <v>200</v>
      </c>
      <c r="L93" s="7">
        <f t="shared" si="8"/>
        <v>7.550018875</v>
      </c>
      <c r="M93" s="7">
        <f t="shared" si="9"/>
        <v>300</v>
      </c>
      <c r="N93" s="7">
        <f t="shared" si="10"/>
        <v>11.32502831</v>
      </c>
      <c r="O93" s="7">
        <f t="shared" si="11"/>
        <v>400</v>
      </c>
      <c r="P93" s="7">
        <f t="shared" si="12"/>
        <v>15.10003775</v>
      </c>
      <c r="Q93" s="7">
        <f t="shared" si="13"/>
        <v>500</v>
      </c>
      <c r="R93" s="7">
        <f t="shared" si="14"/>
        <v>18.87504719</v>
      </c>
      <c r="S93" s="7">
        <f t="shared" si="15"/>
        <v>600</v>
      </c>
      <c r="T93" s="7">
        <f t="shared" si="16"/>
        <v>22.65005663</v>
      </c>
      <c r="U93" s="7">
        <f t="shared" si="17"/>
        <v>700</v>
      </c>
      <c r="V93" s="7">
        <f t="shared" si="18"/>
        <v>26.42506606</v>
      </c>
      <c r="W93" s="7">
        <f t="shared" si="19"/>
        <v>800</v>
      </c>
      <c r="X93" s="7">
        <f t="shared" si="20"/>
        <v>30.2000755</v>
      </c>
      <c r="Y93" s="7">
        <f t="shared" si="21"/>
        <v>900</v>
      </c>
      <c r="Z93" s="7">
        <f t="shared" si="22"/>
        <v>33.97508494</v>
      </c>
    </row>
    <row r="94">
      <c r="A94" s="30" t="str">
        <f>IFERROR(__xludf.DUMMYFUNCTION("""COMPUTED_VALUE"""),"2019 07")</f>
        <v>2019 07</v>
      </c>
      <c r="B94" s="30" t="str">
        <f>IFERROR(__xludf.DUMMYFUNCTION("""COMPUTED_VALUE"""),"28.6")</f>
        <v>28.6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1.748251748</v>
      </c>
      <c r="G94" s="7">
        <f t="shared" si="3"/>
        <v>100</v>
      </c>
      <c r="H94" s="7">
        <f t="shared" si="4"/>
        <v>3.496503497</v>
      </c>
      <c r="I94" s="7">
        <f t="shared" si="5"/>
        <v>150</v>
      </c>
      <c r="J94" s="7">
        <f t="shared" si="6"/>
        <v>5.244755245</v>
      </c>
      <c r="K94" s="7">
        <f t="shared" si="7"/>
        <v>200</v>
      </c>
      <c r="L94" s="7">
        <f t="shared" si="8"/>
        <v>6.993006993</v>
      </c>
      <c r="M94" s="7">
        <f t="shared" si="9"/>
        <v>300</v>
      </c>
      <c r="N94" s="7">
        <f t="shared" si="10"/>
        <v>10.48951049</v>
      </c>
      <c r="O94" s="7">
        <f t="shared" si="11"/>
        <v>400</v>
      </c>
      <c r="P94" s="7">
        <f t="shared" si="12"/>
        <v>13.98601399</v>
      </c>
      <c r="Q94" s="7">
        <f t="shared" si="13"/>
        <v>500</v>
      </c>
      <c r="R94" s="7">
        <f t="shared" si="14"/>
        <v>17.48251748</v>
      </c>
      <c r="S94" s="7">
        <f t="shared" si="15"/>
        <v>600</v>
      </c>
      <c r="T94" s="7">
        <f t="shared" si="16"/>
        <v>20.97902098</v>
      </c>
      <c r="U94" s="7">
        <f t="shared" si="17"/>
        <v>700</v>
      </c>
      <c r="V94" s="7">
        <f t="shared" si="18"/>
        <v>24.47552448</v>
      </c>
      <c r="W94" s="7">
        <f t="shared" si="19"/>
        <v>800</v>
      </c>
      <c r="X94" s="7">
        <f t="shared" si="20"/>
        <v>27.97202797</v>
      </c>
      <c r="Y94" s="7">
        <f t="shared" si="21"/>
        <v>900</v>
      </c>
      <c r="Z94" s="7">
        <f t="shared" si="22"/>
        <v>31.46853147</v>
      </c>
    </row>
    <row r="95">
      <c r="A95" s="30" t="str">
        <f>IFERROR(__xludf.DUMMYFUNCTION("""COMPUTED_VALUE"""),"2019 08")</f>
        <v>2019 08</v>
      </c>
      <c r="B95" s="30" t="str">
        <f>IFERROR(__xludf.DUMMYFUNCTION("""COMPUTED_VALUE"""),"29.13")</f>
        <v>29.13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1.716443529</v>
      </c>
      <c r="G95" s="7">
        <f t="shared" si="3"/>
        <v>100</v>
      </c>
      <c r="H95" s="7">
        <f t="shared" si="4"/>
        <v>3.432887058</v>
      </c>
      <c r="I95" s="7">
        <f t="shared" si="5"/>
        <v>150</v>
      </c>
      <c r="J95" s="7">
        <f t="shared" si="6"/>
        <v>5.149330587</v>
      </c>
      <c r="K95" s="7">
        <f t="shared" si="7"/>
        <v>200</v>
      </c>
      <c r="L95" s="7">
        <f t="shared" si="8"/>
        <v>6.865774116</v>
      </c>
      <c r="M95" s="7">
        <f t="shared" si="9"/>
        <v>300</v>
      </c>
      <c r="N95" s="7">
        <f t="shared" si="10"/>
        <v>10.29866117</v>
      </c>
      <c r="O95" s="7">
        <f t="shared" si="11"/>
        <v>400</v>
      </c>
      <c r="P95" s="7">
        <f t="shared" si="12"/>
        <v>13.73154823</v>
      </c>
      <c r="Q95" s="7">
        <f t="shared" si="13"/>
        <v>500</v>
      </c>
      <c r="R95" s="7">
        <f t="shared" si="14"/>
        <v>17.16443529</v>
      </c>
      <c r="S95" s="7">
        <f t="shared" si="15"/>
        <v>600</v>
      </c>
      <c r="T95" s="7">
        <f t="shared" si="16"/>
        <v>20.59732235</v>
      </c>
      <c r="U95" s="7">
        <f t="shared" si="17"/>
        <v>700</v>
      </c>
      <c r="V95" s="7">
        <f t="shared" si="18"/>
        <v>24.03020941</v>
      </c>
      <c r="W95" s="7">
        <f t="shared" si="19"/>
        <v>800</v>
      </c>
      <c r="X95" s="7">
        <f t="shared" si="20"/>
        <v>27.46309646</v>
      </c>
      <c r="Y95" s="7">
        <f t="shared" si="21"/>
        <v>900</v>
      </c>
      <c r="Z95" s="7">
        <f t="shared" si="22"/>
        <v>30.89598352</v>
      </c>
    </row>
    <row r="96">
      <c r="A96" s="30" t="str">
        <f>IFERROR(__xludf.DUMMYFUNCTION("""COMPUTED_VALUE"""),"2019 09")</f>
        <v>2019 09</v>
      </c>
      <c r="B96" s="30" t="str">
        <f>IFERROR(__xludf.DUMMYFUNCTION("""COMPUTED_VALUE"""),"29.05")</f>
        <v>29.05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1.721170396</v>
      </c>
      <c r="G96" s="7">
        <f t="shared" si="3"/>
        <v>100</v>
      </c>
      <c r="H96" s="7">
        <f t="shared" si="4"/>
        <v>3.442340792</v>
      </c>
      <c r="I96" s="7">
        <f t="shared" si="5"/>
        <v>150</v>
      </c>
      <c r="J96" s="7">
        <f t="shared" si="6"/>
        <v>5.163511188</v>
      </c>
      <c r="K96" s="7">
        <f t="shared" si="7"/>
        <v>200</v>
      </c>
      <c r="L96" s="7">
        <f t="shared" si="8"/>
        <v>6.884681583</v>
      </c>
      <c r="M96" s="7">
        <f t="shared" si="9"/>
        <v>300</v>
      </c>
      <c r="N96" s="7">
        <f t="shared" si="10"/>
        <v>10.32702238</v>
      </c>
      <c r="O96" s="7">
        <f t="shared" si="11"/>
        <v>400</v>
      </c>
      <c r="P96" s="7">
        <f t="shared" si="12"/>
        <v>13.76936317</v>
      </c>
      <c r="Q96" s="7">
        <f t="shared" si="13"/>
        <v>500</v>
      </c>
      <c r="R96" s="7">
        <f t="shared" si="14"/>
        <v>17.21170396</v>
      </c>
      <c r="S96" s="7">
        <f t="shared" si="15"/>
        <v>600</v>
      </c>
      <c r="T96" s="7">
        <f t="shared" si="16"/>
        <v>20.65404475</v>
      </c>
      <c r="U96" s="7">
        <f t="shared" si="17"/>
        <v>700</v>
      </c>
      <c r="V96" s="7">
        <f t="shared" si="18"/>
        <v>24.09638554</v>
      </c>
      <c r="W96" s="7">
        <f t="shared" si="19"/>
        <v>800</v>
      </c>
      <c r="X96" s="7">
        <f t="shared" si="20"/>
        <v>27.53872633</v>
      </c>
      <c r="Y96" s="7">
        <f t="shared" si="21"/>
        <v>900</v>
      </c>
      <c r="Z96" s="7">
        <f t="shared" si="22"/>
        <v>30.98106713</v>
      </c>
    </row>
    <row r="97">
      <c r="A97" s="30" t="str">
        <f>IFERROR(__xludf.DUMMYFUNCTION("""COMPUTED_VALUE"""),"2019 10")</f>
        <v>2019 10</v>
      </c>
      <c r="B97" s="30" t="str">
        <f>IFERROR(__xludf.DUMMYFUNCTION("""COMPUTED_VALUE"""),"29.93")</f>
        <v>29.93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1.670564651</v>
      </c>
      <c r="G97" s="7">
        <f t="shared" si="3"/>
        <v>100</v>
      </c>
      <c r="H97" s="7">
        <f t="shared" si="4"/>
        <v>3.341129302</v>
      </c>
      <c r="I97" s="7">
        <f t="shared" si="5"/>
        <v>150</v>
      </c>
      <c r="J97" s="7">
        <f t="shared" si="6"/>
        <v>5.011693953</v>
      </c>
      <c r="K97" s="7">
        <f t="shared" si="7"/>
        <v>200</v>
      </c>
      <c r="L97" s="7">
        <f t="shared" si="8"/>
        <v>6.682258603</v>
      </c>
      <c r="M97" s="7">
        <f t="shared" si="9"/>
        <v>300</v>
      </c>
      <c r="N97" s="7">
        <f t="shared" si="10"/>
        <v>10.02338791</v>
      </c>
      <c r="O97" s="7">
        <f t="shared" si="11"/>
        <v>400</v>
      </c>
      <c r="P97" s="7">
        <f t="shared" si="12"/>
        <v>13.36451721</v>
      </c>
      <c r="Q97" s="7">
        <f t="shared" si="13"/>
        <v>500</v>
      </c>
      <c r="R97" s="7">
        <f t="shared" si="14"/>
        <v>16.70564651</v>
      </c>
      <c r="S97" s="7">
        <f t="shared" si="15"/>
        <v>600</v>
      </c>
      <c r="T97" s="7">
        <f t="shared" si="16"/>
        <v>20.04677581</v>
      </c>
      <c r="U97" s="7">
        <f t="shared" si="17"/>
        <v>700</v>
      </c>
      <c r="V97" s="7">
        <f t="shared" si="18"/>
        <v>23.38790511</v>
      </c>
      <c r="W97" s="7">
        <f t="shared" si="19"/>
        <v>800</v>
      </c>
      <c r="X97" s="7">
        <f t="shared" si="20"/>
        <v>26.72903441</v>
      </c>
      <c r="Y97" s="7">
        <f t="shared" si="21"/>
        <v>900</v>
      </c>
      <c r="Z97" s="7">
        <f t="shared" si="22"/>
        <v>30.07016372</v>
      </c>
    </row>
    <row r="98">
      <c r="A98" s="30" t="str">
        <f>IFERROR(__xludf.DUMMYFUNCTION("""COMPUTED_VALUE"""),"2019 11")</f>
        <v>2019 11</v>
      </c>
      <c r="B98" s="30" t="str">
        <f>IFERROR(__xludf.DUMMYFUNCTION("""COMPUTED_VALUE"""),"29.53")</f>
        <v>29.53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1.693193363</v>
      </c>
      <c r="G98" s="7">
        <f t="shared" si="3"/>
        <v>100</v>
      </c>
      <c r="H98" s="7">
        <f t="shared" si="4"/>
        <v>3.386386725</v>
      </c>
      <c r="I98" s="7">
        <f t="shared" si="5"/>
        <v>150</v>
      </c>
      <c r="J98" s="7">
        <f t="shared" si="6"/>
        <v>5.079580088</v>
      </c>
      <c r="K98" s="7">
        <f t="shared" si="7"/>
        <v>200</v>
      </c>
      <c r="L98" s="7">
        <f t="shared" si="8"/>
        <v>6.772773451</v>
      </c>
      <c r="M98" s="7">
        <f t="shared" si="9"/>
        <v>300</v>
      </c>
      <c r="N98" s="7">
        <f t="shared" si="10"/>
        <v>10.15916018</v>
      </c>
      <c r="O98" s="7">
        <f t="shared" si="11"/>
        <v>400</v>
      </c>
      <c r="P98" s="7">
        <f t="shared" si="12"/>
        <v>13.5455469</v>
      </c>
      <c r="Q98" s="7">
        <f t="shared" si="13"/>
        <v>500</v>
      </c>
      <c r="R98" s="7">
        <f t="shared" si="14"/>
        <v>16.93193363</v>
      </c>
      <c r="S98" s="7">
        <f t="shared" si="15"/>
        <v>600</v>
      </c>
      <c r="T98" s="7">
        <f t="shared" si="16"/>
        <v>20.31832035</v>
      </c>
      <c r="U98" s="7">
        <f t="shared" si="17"/>
        <v>700</v>
      </c>
      <c r="V98" s="7">
        <f t="shared" si="18"/>
        <v>23.70470708</v>
      </c>
      <c r="W98" s="7">
        <f t="shared" si="19"/>
        <v>800</v>
      </c>
      <c r="X98" s="7">
        <f t="shared" si="20"/>
        <v>27.0910938</v>
      </c>
      <c r="Y98" s="7">
        <f t="shared" si="21"/>
        <v>900</v>
      </c>
      <c r="Z98" s="7">
        <f t="shared" si="22"/>
        <v>30.47748053</v>
      </c>
    </row>
    <row r="99">
      <c r="A99" s="30" t="str">
        <f>IFERROR(__xludf.DUMMYFUNCTION("""COMPUTED_VALUE"""),"2019 12")</f>
        <v>2019 12</v>
      </c>
      <c r="B99" s="30" t="str">
        <f>IFERROR(__xludf.DUMMYFUNCTION("""COMPUTED_VALUE"""),"31.23")</f>
        <v>31.23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1.601024656</v>
      </c>
      <c r="G99" s="7">
        <f t="shared" si="3"/>
        <v>100</v>
      </c>
      <c r="H99" s="7">
        <f t="shared" si="4"/>
        <v>3.202049312</v>
      </c>
      <c r="I99" s="7">
        <f t="shared" si="5"/>
        <v>150</v>
      </c>
      <c r="J99" s="7">
        <f t="shared" si="6"/>
        <v>4.803073967</v>
      </c>
      <c r="K99" s="7">
        <f t="shared" si="7"/>
        <v>200</v>
      </c>
      <c r="L99" s="7">
        <f t="shared" si="8"/>
        <v>6.404098623</v>
      </c>
      <c r="M99" s="7">
        <f t="shared" si="9"/>
        <v>300</v>
      </c>
      <c r="N99" s="7">
        <f t="shared" si="10"/>
        <v>9.606147935</v>
      </c>
      <c r="O99" s="7">
        <f t="shared" si="11"/>
        <v>400</v>
      </c>
      <c r="P99" s="7">
        <f t="shared" si="12"/>
        <v>12.80819725</v>
      </c>
      <c r="Q99" s="7">
        <f t="shared" si="13"/>
        <v>500</v>
      </c>
      <c r="R99" s="7">
        <f t="shared" si="14"/>
        <v>16.01024656</v>
      </c>
      <c r="S99" s="7">
        <f t="shared" si="15"/>
        <v>600</v>
      </c>
      <c r="T99" s="7">
        <f t="shared" si="16"/>
        <v>19.21229587</v>
      </c>
      <c r="U99" s="7">
        <f t="shared" si="17"/>
        <v>700</v>
      </c>
      <c r="V99" s="7">
        <f t="shared" si="18"/>
        <v>22.41434518</v>
      </c>
      <c r="W99" s="7">
        <f t="shared" si="19"/>
        <v>800</v>
      </c>
      <c r="X99" s="7">
        <f t="shared" si="20"/>
        <v>25.61639449</v>
      </c>
      <c r="Y99" s="7">
        <f t="shared" si="21"/>
        <v>900</v>
      </c>
      <c r="Z99" s="7">
        <f t="shared" si="22"/>
        <v>28.8184438</v>
      </c>
    </row>
    <row r="100">
      <c r="A100" s="30" t="str">
        <f>IFERROR(__xludf.DUMMYFUNCTION("""COMPUTED_VALUE"""),"2020 01")</f>
        <v>2020 01</v>
      </c>
      <c r="B100" s="30" t="str">
        <f>IFERROR(__xludf.DUMMYFUNCTION("""COMPUTED_VALUE"""),"30.86")</f>
        <v>30.86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1.62022035</v>
      </c>
      <c r="G100" s="7">
        <f t="shared" si="3"/>
        <v>100</v>
      </c>
      <c r="H100" s="7">
        <f t="shared" si="4"/>
        <v>3.2404407</v>
      </c>
      <c r="I100" s="7">
        <f t="shared" si="5"/>
        <v>150</v>
      </c>
      <c r="J100" s="7">
        <f t="shared" si="6"/>
        <v>4.86066105</v>
      </c>
      <c r="K100" s="7">
        <f t="shared" si="7"/>
        <v>200</v>
      </c>
      <c r="L100" s="7">
        <f t="shared" si="8"/>
        <v>6.4808814</v>
      </c>
      <c r="M100" s="7">
        <f t="shared" si="9"/>
        <v>300</v>
      </c>
      <c r="N100" s="7">
        <f t="shared" si="10"/>
        <v>9.7213221</v>
      </c>
      <c r="O100" s="7">
        <f t="shared" si="11"/>
        <v>400</v>
      </c>
      <c r="P100" s="7">
        <f t="shared" si="12"/>
        <v>12.9617628</v>
      </c>
      <c r="Q100" s="7">
        <f t="shared" si="13"/>
        <v>500</v>
      </c>
      <c r="R100" s="7">
        <f t="shared" si="14"/>
        <v>16.2022035</v>
      </c>
      <c r="S100" s="7">
        <f t="shared" si="15"/>
        <v>600</v>
      </c>
      <c r="T100" s="7">
        <f t="shared" si="16"/>
        <v>19.4426442</v>
      </c>
      <c r="U100" s="7">
        <f t="shared" si="17"/>
        <v>700</v>
      </c>
      <c r="V100" s="7">
        <f t="shared" si="18"/>
        <v>22.6830849</v>
      </c>
      <c r="W100" s="7">
        <f t="shared" si="19"/>
        <v>800</v>
      </c>
      <c r="X100" s="7">
        <f t="shared" si="20"/>
        <v>25.9235256</v>
      </c>
      <c r="Y100" s="7">
        <f t="shared" si="21"/>
        <v>900</v>
      </c>
      <c r="Z100" s="7">
        <f t="shared" si="22"/>
        <v>29.1639663</v>
      </c>
    </row>
    <row r="101">
      <c r="A101" s="30" t="str">
        <f>IFERROR(__xludf.DUMMYFUNCTION("""COMPUTED_VALUE"""),"2020 02")</f>
        <v>2020 02</v>
      </c>
      <c r="B101" s="30" t="str">
        <f>IFERROR(__xludf.DUMMYFUNCTION("""COMPUTED_VALUE"""),"32.42")</f>
        <v>32.42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1.542257866</v>
      </c>
      <c r="G101" s="7">
        <f t="shared" si="3"/>
        <v>100</v>
      </c>
      <c r="H101" s="7">
        <f t="shared" si="4"/>
        <v>3.084515731</v>
      </c>
      <c r="I101" s="7">
        <f t="shared" si="5"/>
        <v>150</v>
      </c>
      <c r="J101" s="7">
        <f t="shared" si="6"/>
        <v>4.626773597</v>
      </c>
      <c r="K101" s="7">
        <f t="shared" si="7"/>
        <v>200</v>
      </c>
      <c r="L101" s="7">
        <f t="shared" si="8"/>
        <v>6.169031462</v>
      </c>
      <c r="M101" s="7">
        <f t="shared" si="9"/>
        <v>300</v>
      </c>
      <c r="N101" s="7">
        <f t="shared" si="10"/>
        <v>9.253547193</v>
      </c>
      <c r="O101" s="7">
        <f t="shared" si="11"/>
        <v>400</v>
      </c>
      <c r="P101" s="7">
        <f t="shared" si="12"/>
        <v>12.33806292</v>
      </c>
      <c r="Q101" s="7">
        <f t="shared" si="13"/>
        <v>500</v>
      </c>
      <c r="R101" s="7">
        <f t="shared" si="14"/>
        <v>15.42257866</v>
      </c>
      <c r="S101" s="7">
        <f t="shared" si="15"/>
        <v>600</v>
      </c>
      <c r="T101" s="7">
        <f t="shared" si="16"/>
        <v>18.50709439</v>
      </c>
      <c r="U101" s="7">
        <f t="shared" si="17"/>
        <v>700</v>
      </c>
      <c r="V101" s="7">
        <f t="shared" si="18"/>
        <v>21.59161012</v>
      </c>
      <c r="W101" s="7">
        <f t="shared" si="19"/>
        <v>800</v>
      </c>
      <c r="X101" s="7">
        <f t="shared" si="20"/>
        <v>24.67612585</v>
      </c>
      <c r="Y101" s="7">
        <f t="shared" si="21"/>
        <v>900</v>
      </c>
      <c r="Z101" s="7">
        <f t="shared" si="22"/>
        <v>27.76064158</v>
      </c>
    </row>
    <row r="102">
      <c r="A102" s="30" t="str">
        <f>IFERROR(__xludf.DUMMYFUNCTION("""COMPUTED_VALUE"""),"2020 03")</f>
        <v>2020 03</v>
      </c>
      <c r="B102" s="30" t="str">
        <f>IFERROR(__xludf.DUMMYFUNCTION("""COMPUTED_VALUE"""),"30.44")</f>
        <v>30.44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1.642575558</v>
      </c>
      <c r="G102" s="7">
        <f t="shared" si="3"/>
        <v>100</v>
      </c>
      <c r="H102" s="7">
        <f t="shared" si="4"/>
        <v>3.285151117</v>
      </c>
      <c r="I102" s="7">
        <f t="shared" si="5"/>
        <v>150</v>
      </c>
      <c r="J102" s="7">
        <f t="shared" si="6"/>
        <v>4.927726675</v>
      </c>
      <c r="K102" s="7">
        <f t="shared" si="7"/>
        <v>200</v>
      </c>
      <c r="L102" s="7">
        <f t="shared" si="8"/>
        <v>6.570302234</v>
      </c>
      <c r="M102" s="7">
        <f t="shared" si="9"/>
        <v>300</v>
      </c>
      <c r="N102" s="7">
        <f t="shared" si="10"/>
        <v>9.855453351</v>
      </c>
      <c r="O102" s="7">
        <f t="shared" si="11"/>
        <v>400</v>
      </c>
      <c r="P102" s="7">
        <f t="shared" si="12"/>
        <v>13.14060447</v>
      </c>
      <c r="Q102" s="7">
        <f t="shared" si="13"/>
        <v>500</v>
      </c>
      <c r="R102" s="7">
        <f t="shared" si="14"/>
        <v>16.42575558</v>
      </c>
      <c r="S102" s="7">
        <f t="shared" si="15"/>
        <v>600</v>
      </c>
      <c r="T102" s="7">
        <f t="shared" si="16"/>
        <v>19.7109067</v>
      </c>
      <c r="U102" s="7">
        <f t="shared" si="17"/>
        <v>700</v>
      </c>
      <c r="V102" s="7">
        <f t="shared" si="18"/>
        <v>22.99605782</v>
      </c>
      <c r="W102" s="7">
        <f t="shared" si="19"/>
        <v>800</v>
      </c>
      <c r="X102" s="7">
        <f t="shared" si="20"/>
        <v>26.28120894</v>
      </c>
      <c r="Y102" s="7">
        <f t="shared" si="21"/>
        <v>900</v>
      </c>
      <c r="Z102" s="7">
        <f t="shared" si="22"/>
        <v>29.56636005</v>
      </c>
    </row>
    <row r="103">
      <c r="A103" s="30" t="str">
        <f>IFERROR(__xludf.DUMMYFUNCTION("""COMPUTED_VALUE"""),"2020 04")</f>
        <v>2020 04</v>
      </c>
      <c r="B103" s="30" t="str">
        <f>IFERROR(__xludf.DUMMYFUNCTION("""COMPUTED_VALUE"""),"27.62")</f>
        <v>27.62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1.810282404</v>
      </c>
      <c r="G103" s="7">
        <f t="shared" si="3"/>
        <v>100</v>
      </c>
      <c r="H103" s="7">
        <f t="shared" si="4"/>
        <v>3.620564808</v>
      </c>
      <c r="I103" s="7">
        <f t="shared" si="5"/>
        <v>150</v>
      </c>
      <c r="J103" s="7">
        <f t="shared" si="6"/>
        <v>5.430847212</v>
      </c>
      <c r="K103" s="7">
        <f t="shared" si="7"/>
        <v>200</v>
      </c>
      <c r="L103" s="7">
        <f t="shared" si="8"/>
        <v>7.241129616</v>
      </c>
      <c r="M103" s="7">
        <f t="shared" si="9"/>
        <v>300</v>
      </c>
      <c r="N103" s="7">
        <f t="shared" si="10"/>
        <v>10.86169442</v>
      </c>
      <c r="O103" s="7">
        <f t="shared" si="11"/>
        <v>400</v>
      </c>
      <c r="P103" s="7">
        <f t="shared" si="12"/>
        <v>14.48225923</v>
      </c>
      <c r="Q103" s="7">
        <f t="shared" si="13"/>
        <v>500</v>
      </c>
      <c r="R103" s="7">
        <f t="shared" si="14"/>
        <v>18.10282404</v>
      </c>
      <c r="S103" s="7">
        <f t="shared" si="15"/>
        <v>600</v>
      </c>
      <c r="T103" s="7">
        <f t="shared" si="16"/>
        <v>21.72338885</v>
      </c>
      <c r="U103" s="7">
        <f t="shared" si="17"/>
        <v>700</v>
      </c>
      <c r="V103" s="7">
        <f t="shared" si="18"/>
        <v>25.34395366</v>
      </c>
      <c r="W103" s="7">
        <f t="shared" si="19"/>
        <v>800</v>
      </c>
      <c r="X103" s="7">
        <f t="shared" si="20"/>
        <v>28.96451846</v>
      </c>
      <c r="Y103" s="7">
        <f t="shared" si="21"/>
        <v>900</v>
      </c>
      <c r="Z103" s="7">
        <f t="shared" si="22"/>
        <v>32.58508327</v>
      </c>
    </row>
    <row r="104">
      <c r="A104" s="30" t="str">
        <f>IFERROR(__xludf.DUMMYFUNCTION("""COMPUTED_VALUE"""),"2020 05")</f>
        <v>2020 05</v>
      </c>
      <c r="B104" s="30" t="str">
        <f>IFERROR(__xludf.DUMMYFUNCTION("""COMPUTED_VALUE"""),"29.59")</f>
        <v>29.59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1.689760054</v>
      </c>
      <c r="G104" s="7">
        <f t="shared" si="3"/>
        <v>100</v>
      </c>
      <c r="H104" s="7">
        <f t="shared" si="4"/>
        <v>3.379520108</v>
      </c>
      <c r="I104" s="7">
        <f t="shared" si="5"/>
        <v>150</v>
      </c>
      <c r="J104" s="7">
        <f t="shared" si="6"/>
        <v>5.069280162</v>
      </c>
      <c r="K104" s="7">
        <f t="shared" si="7"/>
        <v>200</v>
      </c>
      <c r="L104" s="7">
        <f t="shared" si="8"/>
        <v>6.759040216</v>
      </c>
      <c r="M104" s="7">
        <f t="shared" si="9"/>
        <v>300</v>
      </c>
      <c r="N104" s="7">
        <f t="shared" si="10"/>
        <v>10.13856032</v>
      </c>
      <c r="O104" s="7">
        <f t="shared" si="11"/>
        <v>400</v>
      </c>
      <c r="P104" s="7">
        <f t="shared" si="12"/>
        <v>13.51808043</v>
      </c>
      <c r="Q104" s="7">
        <f t="shared" si="13"/>
        <v>500</v>
      </c>
      <c r="R104" s="7">
        <f t="shared" si="14"/>
        <v>16.89760054</v>
      </c>
      <c r="S104" s="7">
        <f t="shared" si="15"/>
        <v>600</v>
      </c>
      <c r="T104" s="7">
        <f t="shared" si="16"/>
        <v>20.27712065</v>
      </c>
      <c r="U104" s="7">
        <f t="shared" si="17"/>
        <v>700</v>
      </c>
      <c r="V104" s="7">
        <f t="shared" si="18"/>
        <v>23.65664076</v>
      </c>
      <c r="W104" s="7">
        <f t="shared" si="19"/>
        <v>800</v>
      </c>
      <c r="X104" s="7">
        <f t="shared" si="20"/>
        <v>27.03616087</v>
      </c>
      <c r="Y104" s="7">
        <f t="shared" si="21"/>
        <v>900</v>
      </c>
      <c r="Z104" s="7">
        <f t="shared" si="22"/>
        <v>30.41568097</v>
      </c>
    </row>
    <row r="105">
      <c r="A105" s="30" t="str">
        <f>IFERROR(__xludf.DUMMYFUNCTION("""COMPUTED_VALUE"""),"2020 06")</f>
        <v>2020 06</v>
      </c>
      <c r="B105" s="30" t="str">
        <f>IFERROR(__xludf.DUMMYFUNCTION("""COMPUTED_VALUE"""),"30.2")</f>
        <v>30.2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1.655629139</v>
      </c>
      <c r="G105" s="7">
        <f t="shared" si="3"/>
        <v>100</v>
      </c>
      <c r="H105" s="7">
        <f t="shared" si="4"/>
        <v>3.311258278</v>
      </c>
      <c r="I105" s="7">
        <f t="shared" si="5"/>
        <v>150</v>
      </c>
      <c r="J105" s="7">
        <f t="shared" si="6"/>
        <v>4.966887417</v>
      </c>
      <c r="K105" s="7">
        <f t="shared" si="7"/>
        <v>200</v>
      </c>
      <c r="L105" s="7">
        <f t="shared" si="8"/>
        <v>6.622516556</v>
      </c>
      <c r="M105" s="7">
        <f t="shared" si="9"/>
        <v>300</v>
      </c>
      <c r="N105" s="7">
        <f t="shared" si="10"/>
        <v>9.933774834</v>
      </c>
      <c r="O105" s="7">
        <f t="shared" si="11"/>
        <v>400</v>
      </c>
      <c r="P105" s="7">
        <f t="shared" si="12"/>
        <v>13.24503311</v>
      </c>
      <c r="Q105" s="7">
        <f t="shared" si="13"/>
        <v>500</v>
      </c>
      <c r="R105" s="7">
        <f t="shared" si="14"/>
        <v>16.55629139</v>
      </c>
      <c r="S105" s="7">
        <f t="shared" si="15"/>
        <v>600</v>
      </c>
      <c r="T105" s="7">
        <f t="shared" si="16"/>
        <v>19.86754967</v>
      </c>
      <c r="U105" s="7">
        <f t="shared" si="17"/>
        <v>700</v>
      </c>
      <c r="V105" s="7">
        <f t="shared" si="18"/>
        <v>23.17880795</v>
      </c>
      <c r="W105" s="7">
        <f t="shared" si="19"/>
        <v>800</v>
      </c>
      <c r="X105" s="7">
        <f t="shared" si="20"/>
        <v>26.49006623</v>
      </c>
      <c r="Y105" s="7">
        <f t="shared" si="21"/>
        <v>900</v>
      </c>
      <c r="Z105" s="7">
        <f t="shared" si="22"/>
        <v>29.8013245</v>
      </c>
    </row>
    <row r="106">
      <c r="A106" s="30" t="str">
        <f>IFERROR(__xludf.DUMMYFUNCTION("""COMPUTED_VALUE"""),"2020 07")</f>
        <v>2020 07</v>
      </c>
      <c r="B106" s="30" t="str">
        <f>IFERROR(__xludf.DUMMYFUNCTION("""COMPUTED_VALUE"""),"29.85")</f>
        <v>29.85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1.675041876</v>
      </c>
      <c r="G106" s="7">
        <f t="shared" si="3"/>
        <v>100</v>
      </c>
      <c r="H106" s="7">
        <f t="shared" si="4"/>
        <v>3.350083752</v>
      </c>
      <c r="I106" s="7">
        <f t="shared" si="5"/>
        <v>150</v>
      </c>
      <c r="J106" s="7">
        <f t="shared" si="6"/>
        <v>5.025125628</v>
      </c>
      <c r="K106" s="7">
        <f t="shared" si="7"/>
        <v>200</v>
      </c>
      <c r="L106" s="7">
        <f t="shared" si="8"/>
        <v>6.700167504</v>
      </c>
      <c r="M106" s="7">
        <f t="shared" si="9"/>
        <v>300</v>
      </c>
      <c r="N106" s="7">
        <f t="shared" si="10"/>
        <v>10.05025126</v>
      </c>
      <c r="O106" s="7">
        <f t="shared" si="11"/>
        <v>400</v>
      </c>
      <c r="P106" s="7">
        <f t="shared" si="12"/>
        <v>13.40033501</v>
      </c>
      <c r="Q106" s="7">
        <f t="shared" si="13"/>
        <v>500</v>
      </c>
      <c r="R106" s="7">
        <f t="shared" si="14"/>
        <v>16.75041876</v>
      </c>
      <c r="S106" s="7">
        <f t="shared" si="15"/>
        <v>600</v>
      </c>
      <c r="T106" s="7">
        <f t="shared" si="16"/>
        <v>20.10050251</v>
      </c>
      <c r="U106" s="7">
        <f t="shared" si="17"/>
        <v>700</v>
      </c>
      <c r="V106" s="7">
        <f t="shared" si="18"/>
        <v>23.45058626</v>
      </c>
      <c r="W106" s="7">
        <f t="shared" si="19"/>
        <v>800</v>
      </c>
      <c r="X106" s="7">
        <f t="shared" si="20"/>
        <v>26.80067002</v>
      </c>
      <c r="Y106" s="7">
        <f t="shared" si="21"/>
        <v>900</v>
      </c>
      <c r="Z106" s="7">
        <f t="shared" si="22"/>
        <v>30.15075377</v>
      </c>
    </row>
    <row r="107">
      <c r="A107" s="30" t="str">
        <f>IFERROR(__xludf.DUMMYFUNCTION("""COMPUTED_VALUE"""),"2020 08")</f>
        <v>2020 08</v>
      </c>
      <c r="B107" s="30" t="str">
        <f>IFERROR(__xludf.DUMMYFUNCTION("""COMPUTED_VALUE"""),"30.57")</f>
        <v>30.57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1.635590448</v>
      </c>
      <c r="G107" s="7">
        <f t="shared" si="3"/>
        <v>100</v>
      </c>
      <c r="H107" s="7">
        <f t="shared" si="4"/>
        <v>3.271180896</v>
      </c>
      <c r="I107" s="7">
        <f t="shared" si="5"/>
        <v>150</v>
      </c>
      <c r="J107" s="7">
        <f t="shared" si="6"/>
        <v>4.906771344</v>
      </c>
      <c r="K107" s="7">
        <f t="shared" si="7"/>
        <v>200</v>
      </c>
      <c r="L107" s="7">
        <f t="shared" si="8"/>
        <v>6.542361793</v>
      </c>
      <c r="M107" s="7">
        <f t="shared" si="9"/>
        <v>300</v>
      </c>
      <c r="N107" s="7">
        <f t="shared" si="10"/>
        <v>9.813542689</v>
      </c>
      <c r="O107" s="7">
        <f t="shared" si="11"/>
        <v>400</v>
      </c>
      <c r="P107" s="7">
        <f t="shared" si="12"/>
        <v>13.08472359</v>
      </c>
      <c r="Q107" s="7">
        <f t="shared" si="13"/>
        <v>500</v>
      </c>
      <c r="R107" s="7">
        <f t="shared" si="14"/>
        <v>16.35590448</v>
      </c>
      <c r="S107" s="7">
        <f t="shared" si="15"/>
        <v>600</v>
      </c>
      <c r="T107" s="7">
        <f t="shared" si="16"/>
        <v>19.62708538</v>
      </c>
      <c r="U107" s="7">
        <f t="shared" si="17"/>
        <v>700</v>
      </c>
      <c r="V107" s="7">
        <f t="shared" si="18"/>
        <v>22.89826627</v>
      </c>
      <c r="W107" s="7">
        <f t="shared" si="19"/>
        <v>800</v>
      </c>
      <c r="X107" s="7">
        <f t="shared" si="20"/>
        <v>26.16944717</v>
      </c>
      <c r="Y107" s="7">
        <f t="shared" si="21"/>
        <v>900</v>
      </c>
      <c r="Z107" s="7">
        <f t="shared" si="22"/>
        <v>29.44062807</v>
      </c>
    </row>
    <row r="108">
      <c r="A108" s="30" t="str">
        <f>IFERROR(__xludf.DUMMYFUNCTION("""COMPUTED_VALUE"""),"2020 09")</f>
        <v>2020 09</v>
      </c>
      <c r="B108" s="30" t="str">
        <f>IFERROR(__xludf.DUMMYFUNCTION("""COMPUTED_VALUE"""),"31.67")</f>
        <v>31.67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1.578781181</v>
      </c>
      <c r="G108" s="7">
        <f t="shared" si="3"/>
        <v>100</v>
      </c>
      <c r="H108" s="7">
        <f t="shared" si="4"/>
        <v>3.157562362</v>
      </c>
      <c r="I108" s="7">
        <f t="shared" si="5"/>
        <v>150</v>
      </c>
      <c r="J108" s="7">
        <f t="shared" si="6"/>
        <v>4.736343543</v>
      </c>
      <c r="K108" s="7">
        <f t="shared" si="7"/>
        <v>200</v>
      </c>
      <c r="L108" s="7">
        <f t="shared" si="8"/>
        <v>6.315124724</v>
      </c>
      <c r="M108" s="7">
        <f t="shared" si="9"/>
        <v>300</v>
      </c>
      <c r="N108" s="7">
        <f t="shared" si="10"/>
        <v>9.472687086</v>
      </c>
      <c r="O108" s="7">
        <f t="shared" si="11"/>
        <v>400</v>
      </c>
      <c r="P108" s="7">
        <f t="shared" si="12"/>
        <v>12.63024945</v>
      </c>
      <c r="Q108" s="7">
        <f t="shared" si="13"/>
        <v>500</v>
      </c>
      <c r="R108" s="7">
        <f t="shared" si="14"/>
        <v>15.78781181</v>
      </c>
      <c r="S108" s="7">
        <f t="shared" si="15"/>
        <v>600</v>
      </c>
      <c r="T108" s="7">
        <f t="shared" si="16"/>
        <v>18.94537417</v>
      </c>
      <c r="U108" s="7">
        <f t="shared" si="17"/>
        <v>700</v>
      </c>
      <c r="V108" s="7">
        <f t="shared" si="18"/>
        <v>22.10293653</v>
      </c>
      <c r="W108" s="7">
        <f t="shared" si="19"/>
        <v>800</v>
      </c>
      <c r="X108" s="7">
        <f t="shared" si="20"/>
        <v>25.26049889</v>
      </c>
      <c r="Y108" s="7">
        <f t="shared" si="21"/>
        <v>900</v>
      </c>
      <c r="Z108" s="7">
        <f t="shared" si="22"/>
        <v>28.41806126</v>
      </c>
    </row>
    <row r="109">
      <c r="A109" s="30" t="str">
        <f>IFERROR(__xludf.DUMMYFUNCTION("""COMPUTED_VALUE"""),"2020 10")</f>
        <v>2020 10</v>
      </c>
      <c r="B109" s="30" t="str">
        <f>IFERROR(__xludf.DUMMYFUNCTION("""COMPUTED_VALUE"""),"31.37")</f>
        <v>31.37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1.593879503</v>
      </c>
      <c r="G109" s="7">
        <f t="shared" si="3"/>
        <v>100</v>
      </c>
      <c r="H109" s="7">
        <f t="shared" si="4"/>
        <v>3.187759005</v>
      </c>
      <c r="I109" s="7">
        <f t="shared" si="5"/>
        <v>150</v>
      </c>
      <c r="J109" s="7">
        <f t="shared" si="6"/>
        <v>4.781638508</v>
      </c>
      <c r="K109" s="7">
        <f t="shared" si="7"/>
        <v>200</v>
      </c>
      <c r="L109" s="7">
        <f t="shared" si="8"/>
        <v>6.375518011</v>
      </c>
      <c r="M109" s="7">
        <f t="shared" si="9"/>
        <v>300</v>
      </c>
      <c r="N109" s="7">
        <f t="shared" si="10"/>
        <v>9.563277016</v>
      </c>
      <c r="O109" s="7">
        <f t="shared" si="11"/>
        <v>400</v>
      </c>
      <c r="P109" s="7">
        <f t="shared" si="12"/>
        <v>12.75103602</v>
      </c>
      <c r="Q109" s="7">
        <f t="shared" si="13"/>
        <v>500</v>
      </c>
      <c r="R109" s="7">
        <f t="shared" si="14"/>
        <v>15.93879503</v>
      </c>
      <c r="S109" s="7">
        <f t="shared" si="15"/>
        <v>600</v>
      </c>
      <c r="T109" s="7">
        <f t="shared" si="16"/>
        <v>19.12655403</v>
      </c>
      <c r="U109" s="7">
        <f t="shared" si="17"/>
        <v>700</v>
      </c>
      <c r="V109" s="7">
        <f t="shared" si="18"/>
        <v>22.31431304</v>
      </c>
      <c r="W109" s="7">
        <f t="shared" si="19"/>
        <v>800</v>
      </c>
      <c r="X109" s="7">
        <f t="shared" si="20"/>
        <v>25.50207204</v>
      </c>
      <c r="Y109" s="7">
        <f t="shared" si="21"/>
        <v>900</v>
      </c>
      <c r="Z109" s="7">
        <f t="shared" si="22"/>
        <v>28.68983105</v>
      </c>
    </row>
    <row r="110">
      <c r="A110" s="30" t="str">
        <f>IFERROR(__xludf.DUMMYFUNCTION("""COMPUTED_VALUE"""),"2020 11")</f>
        <v>2020 11</v>
      </c>
      <c r="B110" s="30" t="str">
        <f>IFERROR(__xludf.DUMMYFUNCTION("""COMPUTED_VALUE"""),"31.25")</f>
        <v>31.25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1.6</v>
      </c>
      <c r="G110" s="7">
        <f t="shared" si="3"/>
        <v>100</v>
      </c>
      <c r="H110" s="7">
        <f t="shared" si="4"/>
        <v>3.2</v>
      </c>
      <c r="I110" s="7">
        <f t="shared" si="5"/>
        <v>150</v>
      </c>
      <c r="J110" s="7">
        <f t="shared" si="6"/>
        <v>4.8</v>
      </c>
      <c r="K110" s="7">
        <f t="shared" si="7"/>
        <v>200</v>
      </c>
      <c r="L110" s="7">
        <f t="shared" si="8"/>
        <v>6.4</v>
      </c>
      <c r="M110" s="7">
        <f t="shared" si="9"/>
        <v>300</v>
      </c>
      <c r="N110" s="7">
        <f t="shared" si="10"/>
        <v>9.6</v>
      </c>
      <c r="O110" s="7">
        <f t="shared" si="11"/>
        <v>400</v>
      </c>
      <c r="P110" s="7">
        <f t="shared" si="12"/>
        <v>12.8</v>
      </c>
      <c r="Q110" s="7">
        <f t="shared" si="13"/>
        <v>500</v>
      </c>
      <c r="R110" s="7">
        <f t="shared" si="14"/>
        <v>16</v>
      </c>
      <c r="S110" s="7">
        <f t="shared" si="15"/>
        <v>600</v>
      </c>
      <c r="T110" s="7">
        <f t="shared" si="16"/>
        <v>19.2</v>
      </c>
      <c r="U110" s="7">
        <f t="shared" si="17"/>
        <v>700</v>
      </c>
      <c r="V110" s="7">
        <f t="shared" si="18"/>
        <v>22.4</v>
      </c>
      <c r="W110" s="7">
        <f t="shared" si="19"/>
        <v>800</v>
      </c>
      <c r="X110" s="7">
        <f t="shared" si="20"/>
        <v>25.6</v>
      </c>
      <c r="Y110" s="7">
        <f t="shared" si="21"/>
        <v>900</v>
      </c>
      <c r="Z110" s="7">
        <f t="shared" si="22"/>
        <v>28.8</v>
      </c>
    </row>
    <row r="111">
      <c r="A111" s="30" t="str">
        <f>IFERROR(__xludf.DUMMYFUNCTION("""COMPUTED_VALUE"""),"2020 12")</f>
        <v>2020 12</v>
      </c>
      <c r="B111" s="30" t="str">
        <f>IFERROR(__xludf.DUMMYFUNCTION("""COMPUTED_VALUE"""),"33.16")</f>
        <v>33.16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1.507840772</v>
      </c>
      <c r="G111" s="7">
        <f t="shared" si="3"/>
        <v>100</v>
      </c>
      <c r="H111" s="7">
        <f t="shared" si="4"/>
        <v>3.015681544</v>
      </c>
      <c r="I111" s="7">
        <f t="shared" si="5"/>
        <v>150</v>
      </c>
      <c r="J111" s="7">
        <f t="shared" si="6"/>
        <v>4.523522316</v>
      </c>
      <c r="K111" s="7">
        <f t="shared" si="7"/>
        <v>200</v>
      </c>
      <c r="L111" s="7">
        <f t="shared" si="8"/>
        <v>6.031363088</v>
      </c>
      <c r="M111" s="7">
        <f t="shared" si="9"/>
        <v>300</v>
      </c>
      <c r="N111" s="7">
        <f t="shared" si="10"/>
        <v>9.047044632</v>
      </c>
      <c r="O111" s="7">
        <f t="shared" si="11"/>
        <v>400</v>
      </c>
      <c r="P111" s="7">
        <f t="shared" si="12"/>
        <v>12.06272618</v>
      </c>
      <c r="Q111" s="7">
        <f t="shared" si="13"/>
        <v>500</v>
      </c>
      <c r="R111" s="7">
        <f t="shared" si="14"/>
        <v>15.07840772</v>
      </c>
      <c r="S111" s="7">
        <f t="shared" si="15"/>
        <v>600</v>
      </c>
      <c r="T111" s="7">
        <f t="shared" si="16"/>
        <v>18.09408926</v>
      </c>
      <c r="U111" s="7">
        <f t="shared" si="17"/>
        <v>700</v>
      </c>
      <c r="V111" s="7">
        <f t="shared" si="18"/>
        <v>21.10977081</v>
      </c>
      <c r="W111" s="7">
        <f t="shared" si="19"/>
        <v>800</v>
      </c>
      <c r="X111" s="7">
        <f t="shared" si="20"/>
        <v>24.12545235</v>
      </c>
      <c r="Y111" s="7">
        <f t="shared" si="21"/>
        <v>900</v>
      </c>
      <c r="Z111" s="7">
        <f t="shared" si="22"/>
        <v>27.1411339</v>
      </c>
    </row>
    <row r="112">
      <c r="A112" s="30" t="str">
        <f>IFERROR(__xludf.DUMMYFUNCTION("""COMPUTED_VALUE"""),"2021 01")</f>
        <v>2021 01</v>
      </c>
      <c r="B112" s="30" t="str">
        <f>IFERROR(__xludf.DUMMYFUNCTION("""COMPUTED_VALUE"""),"32.52")</f>
        <v>32.52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1.537515375</v>
      </c>
      <c r="G112" s="7">
        <f t="shared" si="3"/>
        <v>100</v>
      </c>
      <c r="H112" s="7">
        <f t="shared" si="4"/>
        <v>3.07503075</v>
      </c>
      <c r="I112" s="7">
        <f t="shared" si="5"/>
        <v>150</v>
      </c>
      <c r="J112" s="7">
        <f t="shared" si="6"/>
        <v>4.612546125</v>
      </c>
      <c r="K112" s="7">
        <f t="shared" si="7"/>
        <v>200</v>
      </c>
      <c r="L112" s="7">
        <f t="shared" si="8"/>
        <v>6.150061501</v>
      </c>
      <c r="M112" s="7">
        <f t="shared" si="9"/>
        <v>300</v>
      </c>
      <c r="N112" s="7">
        <f t="shared" si="10"/>
        <v>9.225092251</v>
      </c>
      <c r="O112" s="7">
        <f t="shared" si="11"/>
        <v>400</v>
      </c>
      <c r="P112" s="7">
        <f t="shared" si="12"/>
        <v>12.300123</v>
      </c>
      <c r="Q112" s="7">
        <f t="shared" si="13"/>
        <v>500</v>
      </c>
      <c r="R112" s="7">
        <f t="shared" si="14"/>
        <v>15.37515375</v>
      </c>
      <c r="S112" s="7">
        <f t="shared" si="15"/>
        <v>600</v>
      </c>
      <c r="T112" s="7">
        <f t="shared" si="16"/>
        <v>18.4501845</v>
      </c>
      <c r="U112" s="7">
        <f t="shared" si="17"/>
        <v>700</v>
      </c>
      <c r="V112" s="7">
        <f t="shared" si="18"/>
        <v>21.52521525</v>
      </c>
      <c r="W112" s="7">
        <f t="shared" si="19"/>
        <v>800</v>
      </c>
      <c r="X112" s="7">
        <f t="shared" si="20"/>
        <v>24.600246</v>
      </c>
      <c r="Y112" s="7">
        <f t="shared" si="21"/>
        <v>900</v>
      </c>
      <c r="Z112" s="7">
        <f t="shared" si="22"/>
        <v>27.67527675</v>
      </c>
    </row>
    <row r="113">
      <c r="A113" s="30" t="str">
        <f>IFERROR(__xludf.DUMMYFUNCTION("""COMPUTED_VALUE"""),"2021 02")</f>
        <v>2021 02</v>
      </c>
      <c r="B113" s="30" t="str">
        <f>IFERROR(__xludf.DUMMYFUNCTION("""COMPUTED_VALUE"""),"32.53")</f>
        <v>32.53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1.53704273</v>
      </c>
      <c r="G113" s="7">
        <f t="shared" si="3"/>
        <v>100</v>
      </c>
      <c r="H113" s="7">
        <f t="shared" si="4"/>
        <v>3.07408546</v>
      </c>
      <c r="I113" s="7">
        <f t="shared" si="5"/>
        <v>150</v>
      </c>
      <c r="J113" s="7">
        <f t="shared" si="6"/>
        <v>4.611128189</v>
      </c>
      <c r="K113" s="7">
        <f t="shared" si="7"/>
        <v>200</v>
      </c>
      <c r="L113" s="7">
        <f t="shared" si="8"/>
        <v>6.148170919</v>
      </c>
      <c r="M113" s="7">
        <f t="shared" si="9"/>
        <v>300</v>
      </c>
      <c r="N113" s="7">
        <f t="shared" si="10"/>
        <v>9.222256379</v>
      </c>
      <c r="O113" s="7">
        <f t="shared" si="11"/>
        <v>400</v>
      </c>
      <c r="P113" s="7">
        <f t="shared" si="12"/>
        <v>12.29634184</v>
      </c>
      <c r="Q113" s="7">
        <f t="shared" si="13"/>
        <v>500</v>
      </c>
      <c r="R113" s="7">
        <f t="shared" si="14"/>
        <v>15.3704273</v>
      </c>
      <c r="S113" s="7">
        <f t="shared" si="15"/>
        <v>600</v>
      </c>
      <c r="T113" s="7">
        <f t="shared" si="16"/>
        <v>18.44451276</v>
      </c>
      <c r="U113" s="7">
        <f t="shared" si="17"/>
        <v>700</v>
      </c>
      <c r="V113" s="7">
        <f t="shared" si="18"/>
        <v>21.51859822</v>
      </c>
      <c r="W113" s="7">
        <f t="shared" si="19"/>
        <v>800</v>
      </c>
      <c r="X113" s="7">
        <f t="shared" si="20"/>
        <v>24.59268368</v>
      </c>
      <c r="Y113" s="7">
        <f t="shared" si="21"/>
        <v>900</v>
      </c>
      <c r="Z113" s="7">
        <f t="shared" si="22"/>
        <v>27.66676914</v>
      </c>
    </row>
    <row r="114">
      <c r="A114" s="30" t="str">
        <f>IFERROR(__xludf.DUMMYFUNCTION("""COMPUTED_VALUE"""),"2021 03")</f>
        <v>2021 03</v>
      </c>
      <c r="B114" s="30" t="str">
        <f>IFERROR(__xludf.DUMMYFUNCTION("""COMPUTED_VALUE"""),"33.12")</f>
        <v>33.12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1.509661836</v>
      </c>
      <c r="G114" s="7">
        <f t="shared" si="3"/>
        <v>100</v>
      </c>
      <c r="H114" s="7">
        <f t="shared" si="4"/>
        <v>3.019323671</v>
      </c>
      <c r="I114" s="7">
        <f t="shared" si="5"/>
        <v>150</v>
      </c>
      <c r="J114" s="7">
        <f t="shared" si="6"/>
        <v>4.528985507</v>
      </c>
      <c r="K114" s="7">
        <f t="shared" si="7"/>
        <v>200</v>
      </c>
      <c r="L114" s="7">
        <f t="shared" si="8"/>
        <v>6.038647343</v>
      </c>
      <c r="M114" s="7">
        <f t="shared" si="9"/>
        <v>300</v>
      </c>
      <c r="N114" s="7">
        <f t="shared" si="10"/>
        <v>9.057971014</v>
      </c>
      <c r="O114" s="7">
        <f t="shared" si="11"/>
        <v>400</v>
      </c>
      <c r="P114" s="7">
        <f t="shared" si="12"/>
        <v>12.07729469</v>
      </c>
      <c r="Q114" s="7">
        <f t="shared" si="13"/>
        <v>500</v>
      </c>
      <c r="R114" s="7">
        <f t="shared" si="14"/>
        <v>15.09661836</v>
      </c>
      <c r="S114" s="7">
        <f t="shared" si="15"/>
        <v>600</v>
      </c>
      <c r="T114" s="7">
        <f t="shared" si="16"/>
        <v>18.11594203</v>
      </c>
      <c r="U114" s="7">
        <f t="shared" si="17"/>
        <v>700</v>
      </c>
      <c r="V114" s="7">
        <f t="shared" si="18"/>
        <v>21.1352657</v>
      </c>
      <c r="W114" s="7">
        <f t="shared" si="19"/>
        <v>800</v>
      </c>
      <c r="X114" s="7">
        <f t="shared" si="20"/>
        <v>24.15458937</v>
      </c>
      <c r="Y114" s="7">
        <f t="shared" si="21"/>
        <v>900</v>
      </c>
      <c r="Z114" s="7">
        <f t="shared" si="22"/>
        <v>27.17391304</v>
      </c>
    </row>
    <row r="115">
      <c r="A115" s="30" t="str">
        <f>IFERROR(__xludf.DUMMYFUNCTION("""COMPUTED_VALUE"""),"2021 04")</f>
        <v>2021 04</v>
      </c>
      <c r="B115" s="30" t="str">
        <f>IFERROR(__xludf.DUMMYFUNCTION("""COMPUTED_VALUE"""),"35.17")</f>
        <v>35.17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1.421666193</v>
      </c>
      <c r="G115" s="7">
        <f t="shared" si="3"/>
        <v>100</v>
      </c>
      <c r="H115" s="7">
        <f t="shared" si="4"/>
        <v>2.843332386</v>
      </c>
      <c r="I115" s="7">
        <f t="shared" si="5"/>
        <v>150</v>
      </c>
      <c r="J115" s="7">
        <f t="shared" si="6"/>
        <v>4.264998578</v>
      </c>
      <c r="K115" s="7">
        <f t="shared" si="7"/>
        <v>200</v>
      </c>
      <c r="L115" s="7">
        <f t="shared" si="8"/>
        <v>5.686664771</v>
      </c>
      <c r="M115" s="7">
        <f t="shared" si="9"/>
        <v>300</v>
      </c>
      <c r="N115" s="7">
        <f t="shared" si="10"/>
        <v>8.529997157</v>
      </c>
      <c r="O115" s="7">
        <f t="shared" si="11"/>
        <v>400</v>
      </c>
      <c r="P115" s="7">
        <f t="shared" si="12"/>
        <v>11.37332954</v>
      </c>
      <c r="Q115" s="7">
        <f t="shared" si="13"/>
        <v>500</v>
      </c>
      <c r="R115" s="7">
        <f t="shared" si="14"/>
        <v>14.21666193</v>
      </c>
      <c r="S115" s="7">
        <f t="shared" si="15"/>
        <v>600</v>
      </c>
      <c r="T115" s="7">
        <f t="shared" si="16"/>
        <v>17.05999431</v>
      </c>
      <c r="U115" s="7">
        <f t="shared" si="17"/>
        <v>700</v>
      </c>
      <c r="V115" s="7">
        <f t="shared" si="18"/>
        <v>19.9033267</v>
      </c>
      <c r="W115" s="7">
        <f t="shared" si="19"/>
        <v>800</v>
      </c>
      <c r="X115" s="7">
        <f t="shared" si="20"/>
        <v>22.74665908</v>
      </c>
      <c r="Y115" s="7">
        <f t="shared" si="21"/>
        <v>900</v>
      </c>
      <c r="Z115" s="7">
        <f t="shared" si="22"/>
        <v>25.58999147</v>
      </c>
    </row>
    <row r="116">
      <c r="A116" s="30" t="str">
        <f>IFERROR(__xludf.DUMMYFUNCTION("""COMPUTED_VALUE"""),"2021 05")</f>
        <v>2021 05</v>
      </c>
      <c r="B116" s="30" t="str">
        <f>IFERROR(__xludf.DUMMYFUNCTION("""COMPUTED_VALUE"""),"36.27")</f>
        <v>36.27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1.378549766</v>
      </c>
      <c r="G116" s="7">
        <f t="shared" si="3"/>
        <v>100</v>
      </c>
      <c r="H116" s="7">
        <f t="shared" si="4"/>
        <v>2.757099531</v>
      </c>
      <c r="I116" s="7">
        <f t="shared" si="5"/>
        <v>150</v>
      </c>
      <c r="J116" s="7">
        <f t="shared" si="6"/>
        <v>4.135649297</v>
      </c>
      <c r="K116" s="7">
        <f t="shared" si="7"/>
        <v>200</v>
      </c>
      <c r="L116" s="7">
        <f t="shared" si="8"/>
        <v>5.514199063</v>
      </c>
      <c r="M116" s="7">
        <f t="shared" si="9"/>
        <v>300</v>
      </c>
      <c r="N116" s="7">
        <f t="shared" si="10"/>
        <v>8.271298594</v>
      </c>
      <c r="O116" s="7">
        <f t="shared" si="11"/>
        <v>400</v>
      </c>
      <c r="P116" s="7">
        <f t="shared" si="12"/>
        <v>11.02839813</v>
      </c>
      <c r="Q116" s="7">
        <f t="shared" si="13"/>
        <v>500</v>
      </c>
      <c r="R116" s="7">
        <f t="shared" si="14"/>
        <v>13.78549766</v>
      </c>
      <c r="S116" s="7">
        <f t="shared" si="15"/>
        <v>600</v>
      </c>
      <c r="T116" s="7">
        <f t="shared" si="16"/>
        <v>16.54259719</v>
      </c>
      <c r="U116" s="7">
        <f t="shared" si="17"/>
        <v>700</v>
      </c>
      <c r="V116" s="7">
        <f t="shared" si="18"/>
        <v>19.29969672</v>
      </c>
      <c r="W116" s="7">
        <f t="shared" si="19"/>
        <v>800</v>
      </c>
      <c r="X116" s="7">
        <f t="shared" si="20"/>
        <v>22.05679625</v>
      </c>
      <c r="Y116" s="7">
        <f t="shared" si="21"/>
        <v>900</v>
      </c>
      <c r="Z116" s="7">
        <f t="shared" si="22"/>
        <v>24.81389578</v>
      </c>
    </row>
    <row r="117">
      <c r="A117" s="30" t="str">
        <f>IFERROR(__xludf.DUMMYFUNCTION("""COMPUTED_VALUE"""),"2021 06")</f>
        <v>2021 06</v>
      </c>
      <c r="B117" s="30" t="str">
        <f>IFERROR(__xludf.DUMMYFUNCTION("""COMPUTED_VALUE"""),"36.31")</f>
        <v>36.31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1.377031121</v>
      </c>
      <c r="G117" s="7">
        <f t="shared" si="3"/>
        <v>100</v>
      </c>
      <c r="H117" s="7">
        <f t="shared" si="4"/>
        <v>2.754062242</v>
      </c>
      <c r="I117" s="7">
        <f t="shared" si="5"/>
        <v>150</v>
      </c>
      <c r="J117" s="7">
        <f t="shared" si="6"/>
        <v>4.131093363</v>
      </c>
      <c r="K117" s="7">
        <f t="shared" si="7"/>
        <v>200</v>
      </c>
      <c r="L117" s="7">
        <f t="shared" si="8"/>
        <v>5.508124484</v>
      </c>
      <c r="M117" s="7">
        <f t="shared" si="9"/>
        <v>300</v>
      </c>
      <c r="N117" s="7">
        <f t="shared" si="10"/>
        <v>8.262186725</v>
      </c>
      <c r="O117" s="7">
        <f t="shared" si="11"/>
        <v>400</v>
      </c>
      <c r="P117" s="7">
        <f t="shared" si="12"/>
        <v>11.01624897</v>
      </c>
      <c r="Q117" s="7">
        <f t="shared" si="13"/>
        <v>500</v>
      </c>
      <c r="R117" s="7">
        <f t="shared" si="14"/>
        <v>13.77031121</v>
      </c>
      <c r="S117" s="7">
        <f t="shared" si="15"/>
        <v>600</v>
      </c>
      <c r="T117" s="7">
        <f t="shared" si="16"/>
        <v>16.52437345</v>
      </c>
      <c r="U117" s="7">
        <f t="shared" si="17"/>
        <v>700</v>
      </c>
      <c r="V117" s="7">
        <f t="shared" si="18"/>
        <v>19.27843569</v>
      </c>
      <c r="W117" s="7">
        <f t="shared" si="19"/>
        <v>800</v>
      </c>
      <c r="X117" s="7">
        <f t="shared" si="20"/>
        <v>22.03249793</v>
      </c>
      <c r="Y117" s="7">
        <f t="shared" si="21"/>
        <v>900</v>
      </c>
      <c r="Z117" s="7">
        <f t="shared" si="22"/>
        <v>24.78656018</v>
      </c>
    </row>
    <row r="118">
      <c r="A118" s="30" t="str">
        <f>IFERROR(__xludf.DUMMYFUNCTION("""COMPUTED_VALUE"""),"2021 07")</f>
        <v>2021 07</v>
      </c>
      <c r="B118" s="30" t="str">
        <f>IFERROR(__xludf.DUMMYFUNCTION("""COMPUTED_VALUE"""),"38.35")</f>
        <v>38.35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1.303780965</v>
      </c>
      <c r="G118" s="7">
        <f t="shared" si="3"/>
        <v>100</v>
      </c>
      <c r="H118" s="7">
        <f t="shared" si="4"/>
        <v>2.60756193</v>
      </c>
      <c r="I118" s="7">
        <f t="shared" si="5"/>
        <v>150</v>
      </c>
      <c r="J118" s="7">
        <f t="shared" si="6"/>
        <v>3.911342894</v>
      </c>
      <c r="K118" s="7">
        <f t="shared" si="7"/>
        <v>200</v>
      </c>
      <c r="L118" s="7">
        <f t="shared" si="8"/>
        <v>5.215123859</v>
      </c>
      <c r="M118" s="7">
        <f t="shared" si="9"/>
        <v>300</v>
      </c>
      <c r="N118" s="7">
        <f t="shared" si="10"/>
        <v>7.822685789</v>
      </c>
      <c r="O118" s="7">
        <f t="shared" si="11"/>
        <v>400</v>
      </c>
      <c r="P118" s="7">
        <f t="shared" si="12"/>
        <v>10.43024772</v>
      </c>
      <c r="Q118" s="7">
        <f t="shared" si="13"/>
        <v>500</v>
      </c>
      <c r="R118" s="7">
        <f t="shared" si="14"/>
        <v>13.03780965</v>
      </c>
      <c r="S118" s="7">
        <f t="shared" si="15"/>
        <v>600</v>
      </c>
      <c r="T118" s="7">
        <f t="shared" si="16"/>
        <v>15.64537158</v>
      </c>
      <c r="U118" s="7">
        <f t="shared" si="17"/>
        <v>700</v>
      </c>
      <c r="V118" s="7">
        <f t="shared" si="18"/>
        <v>18.25293351</v>
      </c>
      <c r="W118" s="7">
        <f t="shared" si="19"/>
        <v>800</v>
      </c>
      <c r="X118" s="7">
        <f t="shared" si="20"/>
        <v>20.86049544</v>
      </c>
      <c r="Y118" s="7">
        <f t="shared" si="21"/>
        <v>900</v>
      </c>
      <c r="Z118" s="7">
        <f t="shared" si="22"/>
        <v>23.46805737</v>
      </c>
    </row>
    <row r="119">
      <c r="A119" s="30" t="str">
        <f>IFERROR(__xludf.DUMMYFUNCTION("""COMPUTED_VALUE"""),"2021 08")</f>
        <v>2021 08</v>
      </c>
      <c r="B119" s="30" t="str">
        <f>IFERROR(__xludf.DUMMYFUNCTION("""COMPUTED_VALUE"""),"40.15")</f>
        <v>40.15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1.245330012</v>
      </c>
      <c r="G119" s="7">
        <f t="shared" si="3"/>
        <v>100</v>
      </c>
      <c r="H119" s="7">
        <f t="shared" si="4"/>
        <v>2.490660025</v>
      </c>
      <c r="I119" s="7">
        <f t="shared" si="5"/>
        <v>150</v>
      </c>
      <c r="J119" s="7">
        <f t="shared" si="6"/>
        <v>3.735990037</v>
      </c>
      <c r="K119" s="7">
        <f t="shared" si="7"/>
        <v>200</v>
      </c>
      <c r="L119" s="7">
        <f t="shared" si="8"/>
        <v>4.98132005</v>
      </c>
      <c r="M119" s="7">
        <f t="shared" si="9"/>
        <v>300</v>
      </c>
      <c r="N119" s="7">
        <f t="shared" si="10"/>
        <v>7.471980075</v>
      </c>
      <c r="O119" s="7">
        <f t="shared" si="11"/>
        <v>400</v>
      </c>
      <c r="P119" s="7">
        <f t="shared" si="12"/>
        <v>9.9626401</v>
      </c>
      <c r="Q119" s="7">
        <f t="shared" si="13"/>
        <v>500</v>
      </c>
      <c r="R119" s="7">
        <f t="shared" si="14"/>
        <v>12.45330012</v>
      </c>
      <c r="S119" s="7">
        <f t="shared" si="15"/>
        <v>600</v>
      </c>
      <c r="T119" s="7">
        <f t="shared" si="16"/>
        <v>14.94396015</v>
      </c>
      <c r="U119" s="7">
        <f t="shared" si="17"/>
        <v>700</v>
      </c>
      <c r="V119" s="7">
        <f t="shared" si="18"/>
        <v>17.43462017</v>
      </c>
      <c r="W119" s="7">
        <f t="shared" si="19"/>
        <v>800</v>
      </c>
      <c r="X119" s="7">
        <f t="shared" si="20"/>
        <v>19.9252802</v>
      </c>
      <c r="Y119" s="7">
        <f t="shared" si="21"/>
        <v>900</v>
      </c>
      <c r="Z119" s="7">
        <f t="shared" si="22"/>
        <v>22.41594022</v>
      </c>
    </row>
    <row r="120">
      <c r="A120" s="30" t="str">
        <f>IFERROR(__xludf.DUMMYFUNCTION("""COMPUTED_VALUE"""),"2021 09")</f>
        <v>2021 09</v>
      </c>
      <c r="B120" s="30" t="str">
        <f>IFERROR(__xludf.DUMMYFUNCTION("""COMPUTED_VALUE"""),"41.38")</f>
        <v>41.38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1.208313195</v>
      </c>
      <c r="G120" s="7">
        <f t="shared" si="3"/>
        <v>100</v>
      </c>
      <c r="H120" s="7">
        <f t="shared" si="4"/>
        <v>2.41662639</v>
      </c>
      <c r="I120" s="7">
        <f t="shared" si="5"/>
        <v>150</v>
      </c>
      <c r="J120" s="7">
        <f t="shared" si="6"/>
        <v>3.624939584</v>
      </c>
      <c r="K120" s="7">
        <f t="shared" si="7"/>
        <v>200</v>
      </c>
      <c r="L120" s="7">
        <f t="shared" si="8"/>
        <v>4.833252779</v>
      </c>
      <c r="M120" s="7">
        <f t="shared" si="9"/>
        <v>300</v>
      </c>
      <c r="N120" s="7">
        <f t="shared" si="10"/>
        <v>7.249879169</v>
      </c>
      <c r="O120" s="7">
        <f t="shared" si="11"/>
        <v>400</v>
      </c>
      <c r="P120" s="7">
        <f t="shared" si="12"/>
        <v>9.666505558</v>
      </c>
      <c r="Q120" s="7">
        <f t="shared" si="13"/>
        <v>500</v>
      </c>
      <c r="R120" s="7">
        <f t="shared" si="14"/>
        <v>12.08313195</v>
      </c>
      <c r="S120" s="7">
        <f t="shared" si="15"/>
        <v>600</v>
      </c>
      <c r="T120" s="7">
        <f t="shared" si="16"/>
        <v>14.49975834</v>
      </c>
      <c r="U120" s="7">
        <f t="shared" si="17"/>
        <v>700</v>
      </c>
      <c r="V120" s="7">
        <f t="shared" si="18"/>
        <v>16.91638473</v>
      </c>
      <c r="W120" s="7">
        <f t="shared" si="19"/>
        <v>800</v>
      </c>
      <c r="X120" s="7">
        <f t="shared" si="20"/>
        <v>19.33301112</v>
      </c>
      <c r="Y120" s="7">
        <f t="shared" si="21"/>
        <v>900</v>
      </c>
      <c r="Z120" s="7">
        <f t="shared" si="22"/>
        <v>21.74963751</v>
      </c>
    </row>
    <row r="121">
      <c r="A121" s="30" t="str">
        <f>IFERROR(__xludf.DUMMYFUNCTION("""COMPUTED_VALUE"""),"2021 10")</f>
        <v>2021 10</v>
      </c>
      <c r="B121" s="30" t="str">
        <f>IFERROR(__xludf.DUMMYFUNCTION("""COMPUTED_VALUE"""),"39.66")</f>
        <v>39.66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1.260716087</v>
      </c>
      <c r="G121" s="7">
        <f t="shared" si="3"/>
        <v>100</v>
      </c>
      <c r="H121" s="7">
        <f t="shared" si="4"/>
        <v>2.521432173</v>
      </c>
      <c r="I121" s="7">
        <f t="shared" si="5"/>
        <v>150</v>
      </c>
      <c r="J121" s="7">
        <f t="shared" si="6"/>
        <v>3.78214826</v>
      </c>
      <c r="K121" s="7">
        <f t="shared" si="7"/>
        <v>200</v>
      </c>
      <c r="L121" s="7">
        <f t="shared" si="8"/>
        <v>5.042864347</v>
      </c>
      <c r="M121" s="7">
        <f t="shared" si="9"/>
        <v>300</v>
      </c>
      <c r="N121" s="7">
        <f t="shared" si="10"/>
        <v>7.56429652</v>
      </c>
      <c r="O121" s="7">
        <f t="shared" si="11"/>
        <v>400</v>
      </c>
      <c r="P121" s="7">
        <f t="shared" si="12"/>
        <v>10.08572869</v>
      </c>
      <c r="Q121" s="7">
        <f t="shared" si="13"/>
        <v>500</v>
      </c>
      <c r="R121" s="7">
        <f t="shared" si="14"/>
        <v>12.60716087</v>
      </c>
      <c r="S121" s="7">
        <f t="shared" si="15"/>
        <v>600</v>
      </c>
      <c r="T121" s="7">
        <f t="shared" si="16"/>
        <v>15.12859304</v>
      </c>
      <c r="U121" s="7">
        <f t="shared" si="17"/>
        <v>700</v>
      </c>
      <c r="V121" s="7">
        <f t="shared" si="18"/>
        <v>17.65002521</v>
      </c>
      <c r="W121" s="7">
        <f t="shared" si="19"/>
        <v>800</v>
      </c>
      <c r="X121" s="7">
        <f t="shared" si="20"/>
        <v>20.17145739</v>
      </c>
      <c r="Y121" s="7">
        <f t="shared" si="21"/>
        <v>900</v>
      </c>
      <c r="Z121" s="7">
        <f t="shared" si="22"/>
        <v>22.69288956</v>
      </c>
    </row>
    <row r="122">
      <c r="A122" s="30" t="str">
        <f>IFERROR(__xludf.DUMMYFUNCTION("""COMPUTED_VALUE"""),"2021 11")</f>
        <v>2021 11</v>
      </c>
      <c r="B122" s="30" t="str">
        <f>IFERROR(__xludf.DUMMYFUNCTION("""COMPUTED_VALUE"""),"41")</f>
        <v>41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1.219512195</v>
      </c>
      <c r="G122" s="7">
        <f t="shared" si="3"/>
        <v>100</v>
      </c>
      <c r="H122" s="7">
        <f t="shared" si="4"/>
        <v>2.43902439</v>
      </c>
      <c r="I122" s="7">
        <f t="shared" si="5"/>
        <v>150</v>
      </c>
      <c r="J122" s="7">
        <f t="shared" si="6"/>
        <v>3.658536585</v>
      </c>
      <c r="K122" s="7">
        <f t="shared" si="7"/>
        <v>200</v>
      </c>
      <c r="L122" s="7">
        <f t="shared" si="8"/>
        <v>4.87804878</v>
      </c>
      <c r="M122" s="7">
        <f t="shared" si="9"/>
        <v>300</v>
      </c>
      <c r="N122" s="7">
        <f t="shared" si="10"/>
        <v>7.317073171</v>
      </c>
      <c r="O122" s="7">
        <f t="shared" si="11"/>
        <v>400</v>
      </c>
      <c r="P122" s="7">
        <f t="shared" si="12"/>
        <v>9.756097561</v>
      </c>
      <c r="Q122" s="7">
        <f t="shared" si="13"/>
        <v>500</v>
      </c>
      <c r="R122" s="7">
        <f t="shared" si="14"/>
        <v>12.19512195</v>
      </c>
      <c r="S122" s="7">
        <f t="shared" si="15"/>
        <v>600</v>
      </c>
      <c r="T122" s="7">
        <f t="shared" si="16"/>
        <v>14.63414634</v>
      </c>
      <c r="U122" s="7">
        <f t="shared" si="17"/>
        <v>700</v>
      </c>
      <c r="V122" s="7">
        <f t="shared" si="18"/>
        <v>17.07317073</v>
      </c>
      <c r="W122" s="7">
        <f t="shared" si="19"/>
        <v>800</v>
      </c>
      <c r="X122" s="7">
        <f t="shared" si="20"/>
        <v>19.51219512</v>
      </c>
      <c r="Y122" s="7">
        <f t="shared" si="21"/>
        <v>900</v>
      </c>
      <c r="Z122" s="7">
        <f t="shared" si="22"/>
        <v>21.95121951</v>
      </c>
    </row>
    <row r="123">
      <c r="A123" s="30" t="str">
        <f>IFERROR(__xludf.DUMMYFUNCTION("""COMPUTED_VALUE"""),"2021 12")</f>
        <v>2021 12</v>
      </c>
      <c r="B123" s="30" t="str">
        <f>IFERROR(__xludf.DUMMYFUNCTION("""COMPUTED_VALUE"""),"42.92")</f>
        <v>42.92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1.164958062</v>
      </c>
      <c r="G123" s="7">
        <f t="shared" si="3"/>
        <v>100</v>
      </c>
      <c r="H123" s="7">
        <f t="shared" si="4"/>
        <v>2.329916123</v>
      </c>
      <c r="I123" s="7">
        <f t="shared" si="5"/>
        <v>150</v>
      </c>
      <c r="J123" s="7">
        <f t="shared" si="6"/>
        <v>3.494874185</v>
      </c>
      <c r="K123" s="7">
        <f t="shared" si="7"/>
        <v>200</v>
      </c>
      <c r="L123" s="7">
        <f t="shared" si="8"/>
        <v>4.659832246</v>
      </c>
      <c r="M123" s="7">
        <f t="shared" si="9"/>
        <v>300</v>
      </c>
      <c r="N123" s="7">
        <f t="shared" si="10"/>
        <v>6.989748369</v>
      </c>
      <c r="O123" s="7">
        <f t="shared" si="11"/>
        <v>400</v>
      </c>
      <c r="P123" s="7">
        <f t="shared" si="12"/>
        <v>9.319664492</v>
      </c>
      <c r="Q123" s="7">
        <f t="shared" si="13"/>
        <v>500</v>
      </c>
      <c r="R123" s="7">
        <f t="shared" si="14"/>
        <v>11.64958062</v>
      </c>
      <c r="S123" s="7">
        <f t="shared" si="15"/>
        <v>600</v>
      </c>
      <c r="T123" s="7">
        <f t="shared" si="16"/>
        <v>13.97949674</v>
      </c>
      <c r="U123" s="7">
        <f t="shared" si="17"/>
        <v>700</v>
      </c>
      <c r="V123" s="7">
        <f t="shared" si="18"/>
        <v>16.30941286</v>
      </c>
      <c r="W123" s="7">
        <f t="shared" si="19"/>
        <v>800</v>
      </c>
      <c r="X123" s="7">
        <f t="shared" si="20"/>
        <v>18.63932898</v>
      </c>
      <c r="Y123" s="7">
        <f t="shared" si="21"/>
        <v>900</v>
      </c>
      <c r="Z123" s="7">
        <f t="shared" si="22"/>
        <v>20.96924511</v>
      </c>
    </row>
    <row r="124">
      <c r="A124" s="30" t="str">
        <f>IFERROR(__xludf.DUMMYFUNCTION("""COMPUTED_VALUE"""),"2022 01")</f>
        <v>2022 01</v>
      </c>
      <c r="B124" s="30" t="str">
        <f>IFERROR(__xludf.DUMMYFUNCTION("""COMPUTED_VALUE"""),"44.42")</f>
        <v>44.42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1.12561909</v>
      </c>
      <c r="G124" s="7">
        <f t="shared" si="3"/>
        <v>100</v>
      </c>
      <c r="H124" s="7">
        <f t="shared" si="4"/>
        <v>2.251238181</v>
      </c>
      <c r="I124" s="7">
        <f t="shared" si="5"/>
        <v>150</v>
      </c>
      <c r="J124" s="7">
        <f t="shared" si="6"/>
        <v>3.376857271</v>
      </c>
      <c r="K124" s="7">
        <f t="shared" si="7"/>
        <v>200</v>
      </c>
      <c r="L124" s="7">
        <f t="shared" si="8"/>
        <v>4.502476362</v>
      </c>
      <c r="M124" s="7">
        <f t="shared" si="9"/>
        <v>300</v>
      </c>
      <c r="N124" s="7">
        <f t="shared" si="10"/>
        <v>6.753714543</v>
      </c>
      <c r="O124" s="7">
        <f t="shared" si="11"/>
        <v>400</v>
      </c>
      <c r="P124" s="7">
        <f t="shared" si="12"/>
        <v>9.004952724</v>
      </c>
      <c r="Q124" s="7">
        <f t="shared" si="13"/>
        <v>500</v>
      </c>
      <c r="R124" s="7">
        <f t="shared" si="14"/>
        <v>11.2561909</v>
      </c>
      <c r="S124" s="7">
        <f t="shared" si="15"/>
        <v>600</v>
      </c>
      <c r="T124" s="7">
        <f t="shared" si="16"/>
        <v>13.50742909</v>
      </c>
      <c r="U124" s="7">
        <f t="shared" si="17"/>
        <v>700</v>
      </c>
      <c r="V124" s="7">
        <f t="shared" si="18"/>
        <v>15.75866727</v>
      </c>
      <c r="W124" s="7">
        <f t="shared" si="19"/>
        <v>800</v>
      </c>
      <c r="X124" s="7">
        <f t="shared" si="20"/>
        <v>18.00990545</v>
      </c>
      <c r="Y124" s="7">
        <f t="shared" si="21"/>
        <v>900</v>
      </c>
      <c r="Z124" s="7">
        <f t="shared" si="22"/>
        <v>20.26114363</v>
      </c>
    </row>
    <row r="125">
      <c r="A125" s="30" t="str">
        <f>IFERROR(__xludf.DUMMYFUNCTION("""COMPUTED_VALUE"""),"2022 02")</f>
        <v>2022 02</v>
      </c>
      <c r="B125" s="30" t="str">
        <f>IFERROR(__xludf.DUMMYFUNCTION("""COMPUTED_VALUE"""),"42.5")</f>
        <v>42.5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1.176470588</v>
      </c>
      <c r="G125" s="7">
        <f t="shared" si="3"/>
        <v>100</v>
      </c>
      <c r="H125" s="7">
        <f t="shared" si="4"/>
        <v>2.352941176</v>
      </c>
      <c r="I125" s="7">
        <f t="shared" si="5"/>
        <v>150</v>
      </c>
      <c r="J125" s="7">
        <f t="shared" si="6"/>
        <v>3.529411765</v>
      </c>
      <c r="K125" s="7">
        <f t="shared" si="7"/>
        <v>200</v>
      </c>
      <c r="L125" s="7">
        <f t="shared" si="8"/>
        <v>4.705882353</v>
      </c>
      <c r="M125" s="7">
        <f t="shared" si="9"/>
        <v>300</v>
      </c>
      <c r="N125" s="7">
        <f t="shared" si="10"/>
        <v>7.058823529</v>
      </c>
      <c r="O125" s="7">
        <f t="shared" si="11"/>
        <v>400</v>
      </c>
      <c r="P125" s="7">
        <f t="shared" si="12"/>
        <v>9.411764706</v>
      </c>
      <c r="Q125" s="7">
        <f t="shared" si="13"/>
        <v>500</v>
      </c>
      <c r="R125" s="7">
        <f t="shared" si="14"/>
        <v>11.76470588</v>
      </c>
      <c r="S125" s="7">
        <f t="shared" si="15"/>
        <v>600</v>
      </c>
      <c r="T125" s="7">
        <f t="shared" si="16"/>
        <v>14.11764706</v>
      </c>
      <c r="U125" s="7">
        <f t="shared" si="17"/>
        <v>700</v>
      </c>
      <c r="V125" s="7">
        <f t="shared" si="18"/>
        <v>16.47058824</v>
      </c>
      <c r="W125" s="7">
        <f t="shared" si="19"/>
        <v>800</v>
      </c>
      <c r="X125" s="7">
        <f t="shared" si="20"/>
        <v>18.82352941</v>
      </c>
      <c r="Y125" s="7">
        <f t="shared" si="21"/>
        <v>900</v>
      </c>
      <c r="Z125" s="7">
        <f t="shared" si="22"/>
        <v>21.17647059</v>
      </c>
    </row>
    <row r="126">
      <c r="A126" s="30" t="str">
        <f>IFERROR(__xludf.DUMMYFUNCTION("""COMPUTED_VALUE"""),"2022 03")</f>
        <v>2022 03</v>
      </c>
      <c r="B126" s="30" t="str">
        <f>IFERROR(__xludf.DUMMYFUNCTION("""COMPUTED_VALUE"""),"40.23")</f>
        <v>40.23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1.242853592</v>
      </c>
      <c r="G126" s="7">
        <f t="shared" si="3"/>
        <v>100</v>
      </c>
      <c r="H126" s="7">
        <f t="shared" si="4"/>
        <v>2.485707184</v>
      </c>
      <c r="I126" s="7">
        <f t="shared" si="5"/>
        <v>150</v>
      </c>
      <c r="J126" s="7">
        <f t="shared" si="6"/>
        <v>3.728560776</v>
      </c>
      <c r="K126" s="7">
        <f t="shared" si="7"/>
        <v>200</v>
      </c>
      <c r="L126" s="7">
        <f t="shared" si="8"/>
        <v>4.971414367</v>
      </c>
      <c r="M126" s="7">
        <f t="shared" si="9"/>
        <v>300</v>
      </c>
      <c r="N126" s="7">
        <f t="shared" si="10"/>
        <v>7.457121551</v>
      </c>
      <c r="O126" s="7">
        <f t="shared" si="11"/>
        <v>400</v>
      </c>
      <c r="P126" s="7">
        <f t="shared" si="12"/>
        <v>9.942828735</v>
      </c>
      <c r="Q126" s="7">
        <f t="shared" si="13"/>
        <v>500</v>
      </c>
      <c r="R126" s="7">
        <f t="shared" si="14"/>
        <v>12.42853592</v>
      </c>
      <c r="S126" s="7">
        <f t="shared" si="15"/>
        <v>600</v>
      </c>
      <c r="T126" s="7">
        <f t="shared" si="16"/>
        <v>14.9142431</v>
      </c>
      <c r="U126" s="7">
        <f t="shared" si="17"/>
        <v>700</v>
      </c>
      <c r="V126" s="7">
        <f t="shared" si="18"/>
        <v>17.39995029</v>
      </c>
      <c r="W126" s="7">
        <f t="shared" si="19"/>
        <v>800</v>
      </c>
      <c r="X126" s="7">
        <f t="shared" si="20"/>
        <v>19.88565747</v>
      </c>
      <c r="Y126" s="7">
        <f t="shared" si="21"/>
        <v>900</v>
      </c>
      <c r="Z126" s="7">
        <f t="shared" si="22"/>
        <v>22.37136465</v>
      </c>
    </row>
    <row r="127">
      <c r="A127" s="30" t="str">
        <f>IFERROR(__xludf.DUMMYFUNCTION("""COMPUTED_VALUE"""),"2022 04")</f>
        <v>2022 04</v>
      </c>
      <c r="B127" s="30" t="str">
        <f>IFERROR(__xludf.DUMMYFUNCTION("""COMPUTED_VALUE"""),"40.56")</f>
        <v>40.56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1.232741617</v>
      </c>
      <c r="G127" s="7">
        <f t="shared" si="3"/>
        <v>100</v>
      </c>
      <c r="H127" s="7">
        <f t="shared" si="4"/>
        <v>2.465483235</v>
      </c>
      <c r="I127" s="7">
        <f t="shared" si="5"/>
        <v>150</v>
      </c>
      <c r="J127" s="7">
        <f t="shared" si="6"/>
        <v>3.698224852</v>
      </c>
      <c r="K127" s="7">
        <f t="shared" si="7"/>
        <v>200</v>
      </c>
      <c r="L127" s="7">
        <f t="shared" si="8"/>
        <v>4.930966469</v>
      </c>
      <c r="M127" s="7">
        <f t="shared" si="9"/>
        <v>300</v>
      </c>
      <c r="N127" s="7">
        <f t="shared" si="10"/>
        <v>7.396449704</v>
      </c>
      <c r="O127" s="7">
        <f t="shared" si="11"/>
        <v>400</v>
      </c>
      <c r="P127" s="7">
        <f t="shared" si="12"/>
        <v>9.861932939</v>
      </c>
      <c r="Q127" s="7">
        <f t="shared" si="13"/>
        <v>500</v>
      </c>
      <c r="R127" s="7">
        <f t="shared" si="14"/>
        <v>12.32741617</v>
      </c>
      <c r="S127" s="7">
        <f t="shared" si="15"/>
        <v>600</v>
      </c>
      <c r="T127" s="7">
        <f t="shared" si="16"/>
        <v>14.79289941</v>
      </c>
      <c r="U127" s="7">
        <f t="shared" si="17"/>
        <v>700</v>
      </c>
      <c r="V127" s="7">
        <f t="shared" si="18"/>
        <v>17.25838264</v>
      </c>
      <c r="W127" s="7">
        <f t="shared" si="19"/>
        <v>800</v>
      </c>
      <c r="X127" s="7">
        <f t="shared" si="20"/>
        <v>19.72386588</v>
      </c>
      <c r="Y127" s="7">
        <f t="shared" si="21"/>
        <v>900</v>
      </c>
      <c r="Z127" s="7">
        <f t="shared" si="22"/>
        <v>22.18934911</v>
      </c>
    </row>
    <row r="128">
      <c r="A128" s="30" t="str">
        <f>IFERROR(__xludf.DUMMYFUNCTION("""COMPUTED_VALUE"""),"2022 05")</f>
        <v>2022 05</v>
      </c>
      <c r="B128" s="30" t="str">
        <f>IFERROR(__xludf.DUMMYFUNCTION("""COMPUTED_VALUE"""),"39.31")</f>
        <v>39.31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1.271940982</v>
      </c>
      <c r="G128" s="7">
        <f t="shared" si="3"/>
        <v>100</v>
      </c>
      <c r="H128" s="7">
        <f t="shared" si="4"/>
        <v>2.543881964</v>
      </c>
      <c r="I128" s="7">
        <f t="shared" si="5"/>
        <v>150</v>
      </c>
      <c r="J128" s="7">
        <f t="shared" si="6"/>
        <v>3.815822946</v>
      </c>
      <c r="K128" s="7">
        <f t="shared" si="7"/>
        <v>200</v>
      </c>
      <c r="L128" s="7">
        <f t="shared" si="8"/>
        <v>5.087763928</v>
      </c>
      <c r="M128" s="7">
        <f t="shared" si="9"/>
        <v>300</v>
      </c>
      <c r="N128" s="7">
        <f t="shared" si="10"/>
        <v>7.631645892</v>
      </c>
      <c r="O128" s="7">
        <f t="shared" si="11"/>
        <v>400</v>
      </c>
      <c r="P128" s="7">
        <f t="shared" si="12"/>
        <v>10.17552786</v>
      </c>
      <c r="Q128" s="7">
        <f t="shared" si="13"/>
        <v>500</v>
      </c>
      <c r="R128" s="7">
        <f t="shared" si="14"/>
        <v>12.71940982</v>
      </c>
      <c r="S128" s="7">
        <f t="shared" si="15"/>
        <v>600</v>
      </c>
      <c r="T128" s="7">
        <f t="shared" si="16"/>
        <v>15.26329178</v>
      </c>
      <c r="U128" s="7">
        <f t="shared" si="17"/>
        <v>700</v>
      </c>
      <c r="V128" s="7">
        <f t="shared" si="18"/>
        <v>17.80717375</v>
      </c>
      <c r="W128" s="7">
        <f t="shared" si="19"/>
        <v>800</v>
      </c>
      <c r="X128" s="7">
        <f t="shared" si="20"/>
        <v>20.35105571</v>
      </c>
      <c r="Y128" s="7">
        <f t="shared" si="21"/>
        <v>900</v>
      </c>
      <c r="Z128" s="7">
        <f t="shared" si="22"/>
        <v>22.89493767</v>
      </c>
    </row>
    <row r="129">
      <c r="A129" s="30" t="str">
        <f>IFERROR(__xludf.DUMMYFUNCTION("""COMPUTED_VALUE"""),"2022 06")</f>
        <v>2022 06</v>
      </c>
      <c r="B129" s="30" t="str">
        <f>IFERROR(__xludf.DUMMYFUNCTION("""COMPUTED_VALUE"""),"38.52")</f>
        <v>38.52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1.298026999</v>
      </c>
      <c r="G129" s="7">
        <f t="shared" si="3"/>
        <v>100</v>
      </c>
      <c r="H129" s="7">
        <f t="shared" si="4"/>
        <v>2.596053998</v>
      </c>
      <c r="I129" s="7">
        <f t="shared" si="5"/>
        <v>150</v>
      </c>
      <c r="J129" s="7">
        <f t="shared" si="6"/>
        <v>3.894080997</v>
      </c>
      <c r="K129" s="7">
        <f t="shared" si="7"/>
        <v>200</v>
      </c>
      <c r="L129" s="7">
        <f t="shared" si="8"/>
        <v>5.192107996</v>
      </c>
      <c r="M129" s="7">
        <f t="shared" si="9"/>
        <v>300</v>
      </c>
      <c r="N129" s="7">
        <f t="shared" si="10"/>
        <v>7.788161994</v>
      </c>
      <c r="O129" s="7">
        <f t="shared" si="11"/>
        <v>400</v>
      </c>
      <c r="P129" s="7">
        <f t="shared" si="12"/>
        <v>10.38421599</v>
      </c>
      <c r="Q129" s="7">
        <f t="shared" si="13"/>
        <v>500</v>
      </c>
      <c r="R129" s="7">
        <f t="shared" si="14"/>
        <v>12.98026999</v>
      </c>
      <c r="S129" s="7">
        <f t="shared" si="15"/>
        <v>600</v>
      </c>
      <c r="T129" s="7">
        <f t="shared" si="16"/>
        <v>15.57632399</v>
      </c>
      <c r="U129" s="7">
        <f t="shared" si="17"/>
        <v>700</v>
      </c>
      <c r="V129" s="7">
        <f t="shared" si="18"/>
        <v>18.17237799</v>
      </c>
      <c r="W129" s="7">
        <f t="shared" si="19"/>
        <v>800</v>
      </c>
      <c r="X129" s="7">
        <f t="shared" si="20"/>
        <v>20.76843198</v>
      </c>
      <c r="Y129" s="7">
        <f t="shared" si="21"/>
        <v>900</v>
      </c>
      <c r="Z129" s="7">
        <f t="shared" si="22"/>
        <v>23.36448598</v>
      </c>
    </row>
    <row r="130">
      <c r="A130" s="30" t="str">
        <f>IFERROR(__xludf.DUMMYFUNCTION("""COMPUTED_VALUE"""),"2022 07")</f>
        <v>2022 07</v>
      </c>
      <c r="B130" s="30" t="str">
        <f>IFERROR(__xludf.DUMMYFUNCTION("""COMPUTED_VALUE"""),"36.59")</f>
        <v>36.59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1.366493577</v>
      </c>
      <c r="G130" s="7">
        <f t="shared" si="3"/>
        <v>100</v>
      </c>
      <c r="H130" s="7">
        <f t="shared" si="4"/>
        <v>2.732987155</v>
      </c>
      <c r="I130" s="7">
        <f t="shared" si="5"/>
        <v>150</v>
      </c>
      <c r="J130" s="7">
        <f t="shared" si="6"/>
        <v>4.099480732</v>
      </c>
      <c r="K130" s="7">
        <f t="shared" si="7"/>
        <v>200</v>
      </c>
      <c r="L130" s="7">
        <f t="shared" si="8"/>
        <v>5.46597431</v>
      </c>
      <c r="M130" s="7">
        <f t="shared" si="9"/>
        <v>300</v>
      </c>
      <c r="N130" s="7">
        <f t="shared" si="10"/>
        <v>8.198961465</v>
      </c>
      <c r="O130" s="7">
        <f t="shared" si="11"/>
        <v>400</v>
      </c>
      <c r="P130" s="7">
        <f t="shared" si="12"/>
        <v>10.93194862</v>
      </c>
      <c r="Q130" s="7">
        <f t="shared" si="13"/>
        <v>500</v>
      </c>
      <c r="R130" s="7">
        <f t="shared" si="14"/>
        <v>13.66493577</v>
      </c>
      <c r="S130" s="7">
        <f t="shared" si="15"/>
        <v>600</v>
      </c>
      <c r="T130" s="7">
        <f t="shared" si="16"/>
        <v>16.39792293</v>
      </c>
      <c r="U130" s="7">
        <f t="shared" si="17"/>
        <v>700</v>
      </c>
      <c r="V130" s="7">
        <f t="shared" si="18"/>
        <v>19.13091008</v>
      </c>
      <c r="W130" s="7">
        <f t="shared" si="19"/>
        <v>800</v>
      </c>
      <c r="X130" s="7">
        <f t="shared" si="20"/>
        <v>21.86389724</v>
      </c>
      <c r="Y130" s="7">
        <f t="shared" si="21"/>
        <v>900</v>
      </c>
      <c r="Z130" s="7">
        <f t="shared" si="22"/>
        <v>24.59688439</v>
      </c>
    </row>
    <row r="131">
      <c r="A131" s="30" t="str">
        <f>IFERROR(__xludf.DUMMYFUNCTION("""COMPUTED_VALUE"""),"2022 08")</f>
        <v>2022 08</v>
      </c>
      <c r="B131" s="30" t="str">
        <f>IFERROR(__xludf.DUMMYFUNCTION("""COMPUTED_VALUE"""),"39.29")</f>
        <v>39.29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1.272588445</v>
      </c>
      <c r="G131" s="7">
        <f t="shared" si="3"/>
        <v>100</v>
      </c>
      <c r="H131" s="7">
        <f t="shared" si="4"/>
        <v>2.54517689</v>
      </c>
      <c r="I131" s="7">
        <f t="shared" si="5"/>
        <v>150</v>
      </c>
      <c r="J131" s="7">
        <f t="shared" si="6"/>
        <v>3.817765335</v>
      </c>
      <c r="K131" s="7">
        <f t="shared" si="7"/>
        <v>200</v>
      </c>
      <c r="L131" s="7">
        <f t="shared" si="8"/>
        <v>5.09035378</v>
      </c>
      <c r="M131" s="7">
        <f t="shared" si="9"/>
        <v>300</v>
      </c>
      <c r="N131" s="7">
        <f t="shared" si="10"/>
        <v>7.635530669</v>
      </c>
      <c r="O131" s="7">
        <f t="shared" si="11"/>
        <v>400</v>
      </c>
      <c r="P131" s="7">
        <f t="shared" si="12"/>
        <v>10.18070756</v>
      </c>
      <c r="Q131" s="7">
        <f t="shared" si="13"/>
        <v>500</v>
      </c>
      <c r="R131" s="7">
        <f t="shared" si="14"/>
        <v>12.72588445</v>
      </c>
      <c r="S131" s="7">
        <f t="shared" si="15"/>
        <v>600</v>
      </c>
      <c r="T131" s="7">
        <f t="shared" si="16"/>
        <v>15.27106134</v>
      </c>
      <c r="U131" s="7">
        <f t="shared" si="17"/>
        <v>700</v>
      </c>
      <c r="V131" s="7">
        <f t="shared" si="18"/>
        <v>17.81623823</v>
      </c>
      <c r="W131" s="7">
        <f t="shared" si="19"/>
        <v>800</v>
      </c>
      <c r="X131" s="7">
        <f t="shared" si="20"/>
        <v>20.36141512</v>
      </c>
      <c r="Y131" s="7">
        <f t="shared" si="21"/>
        <v>900</v>
      </c>
      <c r="Z131" s="7">
        <f t="shared" si="22"/>
        <v>22.90659201</v>
      </c>
    </row>
    <row r="132">
      <c r="A132" s="30" t="str">
        <f>IFERROR(__xludf.DUMMYFUNCTION("""COMPUTED_VALUE"""),"2022 09")</f>
        <v>2022 09</v>
      </c>
      <c r="B132" s="30" t="str">
        <f>IFERROR(__xludf.DUMMYFUNCTION("""COMPUTED_VALUE"""),"38.46")</f>
        <v>38.46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1.300052002</v>
      </c>
      <c r="G132" s="7">
        <f t="shared" si="3"/>
        <v>100</v>
      </c>
      <c r="H132" s="7">
        <f t="shared" si="4"/>
        <v>2.600104004</v>
      </c>
      <c r="I132" s="7">
        <f t="shared" si="5"/>
        <v>150</v>
      </c>
      <c r="J132" s="7">
        <f t="shared" si="6"/>
        <v>3.900156006</v>
      </c>
      <c r="K132" s="7">
        <f t="shared" si="7"/>
        <v>200</v>
      </c>
      <c r="L132" s="7">
        <f t="shared" si="8"/>
        <v>5.200208008</v>
      </c>
      <c r="M132" s="7">
        <f t="shared" si="9"/>
        <v>300</v>
      </c>
      <c r="N132" s="7">
        <f t="shared" si="10"/>
        <v>7.800312012</v>
      </c>
      <c r="O132" s="7">
        <f t="shared" si="11"/>
        <v>400</v>
      </c>
      <c r="P132" s="7">
        <f t="shared" si="12"/>
        <v>10.40041602</v>
      </c>
      <c r="Q132" s="7">
        <f t="shared" si="13"/>
        <v>500</v>
      </c>
      <c r="R132" s="7">
        <f t="shared" si="14"/>
        <v>13.00052002</v>
      </c>
      <c r="S132" s="7">
        <f t="shared" si="15"/>
        <v>600</v>
      </c>
      <c r="T132" s="7">
        <f t="shared" si="16"/>
        <v>15.60062402</v>
      </c>
      <c r="U132" s="7">
        <f t="shared" si="17"/>
        <v>700</v>
      </c>
      <c r="V132" s="7">
        <f t="shared" si="18"/>
        <v>18.20072803</v>
      </c>
      <c r="W132" s="7">
        <f t="shared" si="19"/>
        <v>800</v>
      </c>
      <c r="X132" s="7">
        <f t="shared" si="20"/>
        <v>20.80083203</v>
      </c>
      <c r="Y132" s="7">
        <f t="shared" si="21"/>
        <v>900</v>
      </c>
      <c r="Z132" s="7">
        <f t="shared" si="22"/>
        <v>23.40093604</v>
      </c>
    </row>
    <row r="133">
      <c r="A133" s="30" t="str">
        <f>IFERROR(__xludf.DUMMYFUNCTION("""COMPUTED_VALUE"""),"2022 10")</f>
        <v>2022 10</v>
      </c>
      <c r="B133" s="30" t="str">
        <f>IFERROR(__xludf.DUMMYFUNCTION("""COMPUTED_VALUE"""),"37.1")</f>
        <v>37.1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1.347708895</v>
      </c>
      <c r="G133" s="7">
        <f t="shared" si="3"/>
        <v>100</v>
      </c>
      <c r="H133" s="7">
        <f t="shared" si="4"/>
        <v>2.69541779</v>
      </c>
      <c r="I133" s="7">
        <f t="shared" si="5"/>
        <v>150</v>
      </c>
      <c r="J133" s="7">
        <f t="shared" si="6"/>
        <v>4.043126685</v>
      </c>
      <c r="K133" s="7">
        <f t="shared" si="7"/>
        <v>200</v>
      </c>
      <c r="L133" s="7">
        <f t="shared" si="8"/>
        <v>5.39083558</v>
      </c>
      <c r="M133" s="7">
        <f t="shared" si="9"/>
        <v>300</v>
      </c>
      <c r="N133" s="7">
        <f t="shared" si="10"/>
        <v>8.086253369</v>
      </c>
      <c r="O133" s="7">
        <f t="shared" si="11"/>
        <v>400</v>
      </c>
      <c r="P133" s="7">
        <f t="shared" si="12"/>
        <v>10.78167116</v>
      </c>
      <c r="Q133" s="7">
        <f t="shared" si="13"/>
        <v>500</v>
      </c>
      <c r="R133" s="7">
        <f t="shared" si="14"/>
        <v>13.47708895</v>
      </c>
      <c r="S133" s="7">
        <f t="shared" si="15"/>
        <v>600</v>
      </c>
      <c r="T133" s="7">
        <f t="shared" si="16"/>
        <v>16.17250674</v>
      </c>
      <c r="U133" s="7">
        <f t="shared" si="17"/>
        <v>700</v>
      </c>
      <c r="V133" s="7">
        <f t="shared" si="18"/>
        <v>18.86792453</v>
      </c>
      <c r="W133" s="7">
        <f t="shared" si="19"/>
        <v>800</v>
      </c>
      <c r="X133" s="7">
        <f t="shared" si="20"/>
        <v>21.56334232</v>
      </c>
      <c r="Y133" s="7">
        <f t="shared" si="21"/>
        <v>900</v>
      </c>
      <c r="Z133" s="7">
        <f t="shared" si="22"/>
        <v>24.25876011</v>
      </c>
    </row>
    <row r="134">
      <c r="A134" s="30" t="str">
        <f>IFERROR(__xludf.DUMMYFUNCTION("""COMPUTED_VALUE"""),"2022 11")</f>
        <v>2022 11</v>
      </c>
      <c r="B134" s="30" t="str">
        <f>IFERROR(__xludf.DUMMYFUNCTION("""COMPUTED_VALUE"""),"40.36")</f>
        <v>40.36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1.238850347</v>
      </c>
      <c r="G134" s="7">
        <f t="shared" si="3"/>
        <v>100</v>
      </c>
      <c r="H134" s="7">
        <f t="shared" si="4"/>
        <v>2.477700694</v>
      </c>
      <c r="I134" s="7">
        <f t="shared" si="5"/>
        <v>150</v>
      </c>
      <c r="J134" s="7">
        <f t="shared" si="6"/>
        <v>3.716551041</v>
      </c>
      <c r="K134" s="7">
        <f t="shared" si="7"/>
        <v>200</v>
      </c>
      <c r="L134" s="7">
        <f t="shared" si="8"/>
        <v>4.955401388</v>
      </c>
      <c r="M134" s="7">
        <f t="shared" si="9"/>
        <v>300</v>
      </c>
      <c r="N134" s="7">
        <f t="shared" si="10"/>
        <v>7.433102081</v>
      </c>
      <c r="O134" s="7">
        <f t="shared" si="11"/>
        <v>400</v>
      </c>
      <c r="P134" s="7">
        <f t="shared" si="12"/>
        <v>9.910802775</v>
      </c>
      <c r="Q134" s="7">
        <f t="shared" si="13"/>
        <v>500</v>
      </c>
      <c r="R134" s="7">
        <f t="shared" si="14"/>
        <v>12.38850347</v>
      </c>
      <c r="S134" s="7">
        <f t="shared" si="15"/>
        <v>600</v>
      </c>
      <c r="T134" s="7">
        <f t="shared" si="16"/>
        <v>14.86620416</v>
      </c>
      <c r="U134" s="7">
        <f t="shared" si="17"/>
        <v>700</v>
      </c>
      <c r="V134" s="7">
        <f t="shared" si="18"/>
        <v>17.34390486</v>
      </c>
      <c r="W134" s="7">
        <f t="shared" si="19"/>
        <v>800</v>
      </c>
      <c r="X134" s="7">
        <f t="shared" si="20"/>
        <v>19.82160555</v>
      </c>
      <c r="Y134" s="7">
        <f t="shared" si="21"/>
        <v>900</v>
      </c>
      <c r="Z134" s="7">
        <f t="shared" si="22"/>
        <v>22.29930624</v>
      </c>
    </row>
    <row r="135">
      <c r="A135" s="30" t="str">
        <f>IFERROR(__xludf.DUMMYFUNCTION("""COMPUTED_VALUE"""),"2022 12")</f>
        <v>2022 12</v>
      </c>
      <c r="B135" s="30" t="str">
        <f>IFERROR(__xludf.DUMMYFUNCTION("""COMPUTED_VALUE"""),"40.06")</f>
        <v>40.06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1.248127808</v>
      </c>
      <c r="G135" s="7">
        <f t="shared" si="3"/>
        <v>100</v>
      </c>
      <c r="H135" s="7">
        <f t="shared" si="4"/>
        <v>2.496255617</v>
      </c>
      <c r="I135" s="7">
        <f t="shared" si="5"/>
        <v>150</v>
      </c>
      <c r="J135" s="7">
        <f t="shared" si="6"/>
        <v>3.744383425</v>
      </c>
      <c r="K135" s="7">
        <f t="shared" si="7"/>
        <v>200</v>
      </c>
      <c r="L135" s="7">
        <f t="shared" si="8"/>
        <v>4.992511233</v>
      </c>
      <c r="M135" s="7">
        <f t="shared" si="9"/>
        <v>300</v>
      </c>
      <c r="N135" s="7">
        <f t="shared" si="10"/>
        <v>7.48876685</v>
      </c>
      <c r="O135" s="7">
        <f t="shared" si="11"/>
        <v>400</v>
      </c>
      <c r="P135" s="7">
        <f t="shared" si="12"/>
        <v>9.985022466</v>
      </c>
      <c r="Q135" s="7">
        <f t="shared" si="13"/>
        <v>500</v>
      </c>
      <c r="R135" s="7">
        <f t="shared" si="14"/>
        <v>12.48127808</v>
      </c>
      <c r="S135" s="7">
        <f t="shared" si="15"/>
        <v>600</v>
      </c>
      <c r="T135" s="7">
        <f t="shared" si="16"/>
        <v>14.9775337</v>
      </c>
      <c r="U135" s="7">
        <f t="shared" si="17"/>
        <v>700</v>
      </c>
      <c r="V135" s="7">
        <f t="shared" si="18"/>
        <v>17.47378932</v>
      </c>
      <c r="W135" s="7">
        <f t="shared" si="19"/>
        <v>800</v>
      </c>
      <c r="X135" s="7">
        <f t="shared" si="20"/>
        <v>19.97004493</v>
      </c>
      <c r="Y135" s="7">
        <f t="shared" si="21"/>
        <v>900</v>
      </c>
      <c r="Z135" s="7">
        <f t="shared" si="22"/>
        <v>22.46630055</v>
      </c>
    </row>
    <row r="136">
      <c r="A136" s="30" t="str">
        <f>IFERROR(__xludf.DUMMYFUNCTION("""COMPUTED_VALUE"""),"2023 01")</f>
        <v>2023 01</v>
      </c>
      <c r="B136" s="30" t="str">
        <f>IFERROR(__xludf.DUMMYFUNCTION("""COMPUTED_VALUE"""),"37.54")</f>
        <v>37.54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1.331912627</v>
      </c>
      <c r="G136" s="7">
        <f t="shared" si="3"/>
        <v>100</v>
      </c>
      <c r="H136" s="7">
        <f t="shared" si="4"/>
        <v>2.663825253</v>
      </c>
      <c r="I136" s="7">
        <f t="shared" si="5"/>
        <v>150</v>
      </c>
      <c r="J136" s="7">
        <f t="shared" si="6"/>
        <v>3.99573788</v>
      </c>
      <c r="K136" s="7">
        <f t="shared" si="7"/>
        <v>200</v>
      </c>
      <c r="L136" s="7">
        <f t="shared" si="8"/>
        <v>5.327650506</v>
      </c>
      <c r="M136" s="7">
        <f t="shared" si="9"/>
        <v>300</v>
      </c>
      <c r="N136" s="7">
        <f t="shared" si="10"/>
        <v>7.991475759</v>
      </c>
      <c r="O136" s="7">
        <f t="shared" si="11"/>
        <v>400</v>
      </c>
      <c r="P136" s="7">
        <f t="shared" si="12"/>
        <v>10.65530101</v>
      </c>
      <c r="Q136" s="7">
        <f t="shared" si="13"/>
        <v>500</v>
      </c>
      <c r="R136" s="7">
        <f t="shared" si="14"/>
        <v>13.31912627</v>
      </c>
      <c r="S136" s="7">
        <f t="shared" si="15"/>
        <v>600</v>
      </c>
      <c r="T136" s="7">
        <f t="shared" si="16"/>
        <v>15.98295152</v>
      </c>
      <c r="U136" s="7">
        <f t="shared" si="17"/>
        <v>700</v>
      </c>
      <c r="V136" s="7">
        <f t="shared" si="18"/>
        <v>18.64677677</v>
      </c>
      <c r="W136" s="7">
        <f t="shared" si="19"/>
        <v>800</v>
      </c>
      <c r="X136" s="7">
        <f t="shared" si="20"/>
        <v>21.31060202</v>
      </c>
      <c r="Y136" s="7">
        <f t="shared" si="21"/>
        <v>900</v>
      </c>
      <c r="Z136" s="7">
        <f t="shared" si="22"/>
        <v>23.97442728</v>
      </c>
    </row>
    <row r="137">
      <c r="A137" s="30" t="str">
        <f>IFERROR(__xludf.DUMMYFUNCTION("""COMPUTED_VALUE"""),"2023 02")</f>
        <v>2023 02</v>
      </c>
      <c r="B137" s="30" t="str">
        <f>IFERROR(__xludf.DUMMYFUNCTION("""COMPUTED_VALUE"""),"38.39")</f>
        <v>38.39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1.302422506</v>
      </c>
      <c r="G137" s="7">
        <f t="shared" si="3"/>
        <v>100</v>
      </c>
      <c r="H137" s="7">
        <f t="shared" si="4"/>
        <v>2.604845012</v>
      </c>
      <c r="I137" s="7">
        <f t="shared" si="5"/>
        <v>150</v>
      </c>
      <c r="J137" s="7">
        <f t="shared" si="6"/>
        <v>3.907267518</v>
      </c>
      <c r="K137" s="7">
        <f t="shared" si="7"/>
        <v>200</v>
      </c>
      <c r="L137" s="7">
        <f t="shared" si="8"/>
        <v>5.209690023</v>
      </c>
      <c r="M137" s="7">
        <f t="shared" si="9"/>
        <v>300</v>
      </c>
      <c r="N137" s="7">
        <f t="shared" si="10"/>
        <v>7.814535035</v>
      </c>
      <c r="O137" s="7">
        <f t="shared" si="11"/>
        <v>400</v>
      </c>
      <c r="P137" s="7">
        <f t="shared" si="12"/>
        <v>10.41938005</v>
      </c>
      <c r="Q137" s="7">
        <f t="shared" si="13"/>
        <v>500</v>
      </c>
      <c r="R137" s="7">
        <f t="shared" si="14"/>
        <v>13.02422506</v>
      </c>
      <c r="S137" s="7">
        <f t="shared" si="15"/>
        <v>600</v>
      </c>
      <c r="T137" s="7">
        <f t="shared" si="16"/>
        <v>15.62907007</v>
      </c>
      <c r="U137" s="7">
        <f t="shared" si="17"/>
        <v>700</v>
      </c>
      <c r="V137" s="7">
        <f t="shared" si="18"/>
        <v>18.23391508</v>
      </c>
      <c r="W137" s="7">
        <f t="shared" si="19"/>
        <v>800</v>
      </c>
      <c r="X137" s="7">
        <f t="shared" si="20"/>
        <v>20.83876009</v>
      </c>
      <c r="Y137" s="7">
        <f t="shared" si="21"/>
        <v>900</v>
      </c>
      <c r="Z137" s="7">
        <f t="shared" si="22"/>
        <v>23.44360511</v>
      </c>
    </row>
    <row r="138">
      <c r="A138" s="30" t="str">
        <f>IFERROR(__xludf.DUMMYFUNCTION("""COMPUTED_VALUE"""),"2023 03")</f>
        <v>2023 03</v>
      </c>
      <c r="B138" s="30" t="str">
        <f>IFERROR(__xludf.DUMMYFUNCTION("""COMPUTED_VALUE"""),"39.31")</f>
        <v>39.31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1.271940982</v>
      </c>
      <c r="G138" s="7">
        <f t="shared" si="3"/>
        <v>100</v>
      </c>
      <c r="H138" s="7">
        <f t="shared" si="4"/>
        <v>2.543881964</v>
      </c>
      <c r="I138" s="7">
        <f t="shared" si="5"/>
        <v>150</v>
      </c>
      <c r="J138" s="7">
        <f t="shared" si="6"/>
        <v>3.815822946</v>
      </c>
      <c r="K138" s="7">
        <f t="shared" si="7"/>
        <v>200</v>
      </c>
      <c r="L138" s="7">
        <f t="shared" si="8"/>
        <v>5.087763928</v>
      </c>
      <c r="M138" s="7">
        <f t="shared" si="9"/>
        <v>300</v>
      </c>
      <c r="N138" s="7">
        <f t="shared" si="10"/>
        <v>7.631645892</v>
      </c>
      <c r="O138" s="7">
        <f t="shared" si="11"/>
        <v>400</v>
      </c>
      <c r="P138" s="7">
        <f t="shared" si="12"/>
        <v>10.17552786</v>
      </c>
      <c r="Q138" s="7">
        <f t="shared" si="13"/>
        <v>500</v>
      </c>
      <c r="R138" s="7">
        <f t="shared" si="14"/>
        <v>12.71940982</v>
      </c>
      <c r="S138" s="7">
        <f t="shared" si="15"/>
        <v>600</v>
      </c>
      <c r="T138" s="7">
        <f t="shared" si="16"/>
        <v>15.26329178</v>
      </c>
      <c r="U138" s="7">
        <f t="shared" si="17"/>
        <v>700</v>
      </c>
      <c r="V138" s="7">
        <f t="shared" si="18"/>
        <v>17.80717375</v>
      </c>
      <c r="W138" s="7">
        <f t="shared" si="19"/>
        <v>800</v>
      </c>
      <c r="X138" s="7">
        <f t="shared" si="20"/>
        <v>20.35105571</v>
      </c>
      <c r="Y138" s="7">
        <f t="shared" si="21"/>
        <v>900</v>
      </c>
      <c r="Z138" s="7">
        <f t="shared" si="22"/>
        <v>22.89493767</v>
      </c>
    </row>
    <row r="139">
      <c r="A139" s="30" t="str">
        <f>IFERROR(__xludf.DUMMYFUNCTION("""COMPUTED_VALUE"""),"2023 04")</f>
        <v>2023 04</v>
      </c>
      <c r="B139" s="30" t="str">
        <f>IFERROR(__xludf.DUMMYFUNCTION("""COMPUTED_VALUE"""),"40.98")</f>
        <v>40.98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1.220107369</v>
      </c>
      <c r="G139" s="7">
        <f t="shared" si="3"/>
        <v>100</v>
      </c>
      <c r="H139" s="7">
        <f t="shared" si="4"/>
        <v>2.440214739</v>
      </c>
      <c r="I139" s="7">
        <f t="shared" si="5"/>
        <v>150</v>
      </c>
      <c r="J139" s="7">
        <f t="shared" si="6"/>
        <v>3.660322108</v>
      </c>
      <c r="K139" s="7">
        <f t="shared" si="7"/>
        <v>200</v>
      </c>
      <c r="L139" s="7">
        <f t="shared" si="8"/>
        <v>4.880429478</v>
      </c>
      <c r="M139" s="7">
        <f t="shared" si="9"/>
        <v>300</v>
      </c>
      <c r="N139" s="7">
        <f t="shared" si="10"/>
        <v>7.320644217</v>
      </c>
      <c r="O139" s="7">
        <f t="shared" si="11"/>
        <v>400</v>
      </c>
      <c r="P139" s="7">
        <f t="shared" si="12"/>
        <v>9.760858956</v>
      </c>
      <c r="Q139" s="7">
        <f t="shared" si="13"/>
        <v>500</v>
      </c>
      <c r="R139" s="7">
        <f t="shared" si="14"/>
        <v>12.20107369</v>
      </c>
      <c r="S139" s="7">
        <f t="shared" si="15"/>
        <v>600</v>
      </c>
      <c r="T139" s="7">
        <f t="shared" si="16"/>
        <v>14.64128843</v>
      </c>
      <c r="U139" s="7">
        <f t="shared" si="17"/>
        <v>700</v>
      </c>
      <c r="V139" s="7">
        <f t="shared" si="18"/>
        <v>17.08150317</v>
      </c>
      <c r="W139" s="7">
        <f t="shared" si="19"/>
        <v>800</v>
      </c>
      <c r="X139" s="7">
        <f t="shared" si="20"/>
        <v>19.52171791</v>
      </c>
      <c r="Y139" s="7">
        <f t="shared" si="21"/>
        <v>900</v>
      </c>
      <c r="Z139" s="7">
        <f t="shared" si="22"/>
        <v>21.96193265</v>
      </c>
    </row>
    <row r="140">
      <c r="A140" s="30" t="str">
        <f>IFERROR(__xludf.DUMMYFUNCTION("""COMPUTED_VALUE"""),"2023 05")</f>
        <v>2023 05</v>
      </c>
      <c r="B140" s="30" t="str">
        <f>IFERROR(__xludf.DUMMYFUNCTION("""COMPUTED_VALUE"""),"41.93")</f>
        <v>41.93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1.19246363</v>
      </c>
      <c r="G140" s="7">
        <f t="shared" si="3"/>
        <v>100</v>
      </c>
      <c r="H140" s="7">
        <f t="shared" si="4"/>
        <v>2.38492726</v>
      </c>
      <c r="I140" s="7">
        <f t="shared" si="5"/>
        <v>150</v>
      </c>
      <c r="J140" s="7">
        <f t="shared" si="6"/>
        <v>3.57739089</v>
      </c>
      <c r="K140" s="7">
        <f t="shared" si="7"/>
        <v>200</v>
      </c>
      <c r="L140" s="7">
        <f t="shared" si="8"/>
        <v>4.769854519</v>
      </c>
      <c r="M140" s="7">
        <f t="shared" si="9"/>
        <v>300</v>
      </c>
      <c r="N140" s="7">
        <f t="shared" si="10"/>
        <v>7.154781779</v>
      </c>
      <c r="O140" s="7">
        <f t="shared" si="11"/>
        <v>400</v>
      </c>
      <c r="P140" s="7">
        <f t="shared" si="12"/>
        <v>9.539709039</v>
      </c>
      <c r="Q140" s="7">
        <f t="shared" si="13"/>
        <v>500</v>
      </c>
      <c r="R140" s="7">
        <f t="shared" si="14"/>
        <v>11.9246363</v>
      </c>
      <c r="S140" s="7">
        <f t="shared" si="15"/>
        <v>600</v>
      </c>
      <c r="T140" s="7">
        <f t="shared" si="16"/>
        <v>14.30956356</v>
      </c>
      <c r="U140" s="7">
        <f t="shared" si="17"/>
        <v>700</v>
      </c>
      <c r="V140" s="7">
        <f t="shared" si="18"/>
        <v>16.69449082</v>
      </c>
      <c r="W140" s="7">
        <f t="shared" si="19"/>
        <v>800</v>
      </c>
      <c r="X140" s="7">
        <f t="shared" si="20"/>
        <v>19.07941808</v>
      </c>
      <c r="Y140" s="7">
        <f t="shared" si="21"/>
        <v>900</v>
      </c>
      <c r="Z140" s="7">
        <f t="shared" si="22"/>
        <v>21.46434534</v>
      </c>
    </row>
    <row r="141">
      <c r="A141" s="30" t="str">
        <f>IFERROR(__xludf.DUMMYFUNCTION("""COMPUTED_VALUE"""),"2023 06")</f>
        <v>2023 06</v>
      </c>
      <c r="B141" s="30" t="str">
        <f>IFERROR(__xludf.DUMMYFUNCTION("""COMPUTED_VALUE"""),"42.99")</f>
        <v>42.99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1.163061177</v>
      </c>
      <c r="G141" s="7">
        <f t="shared" si="3"/>
        <v>100</v>
      </c>
      <c r="H141" s="7">
        <f t="shared" si="4"/>
        <v>2.326122354</v>
      </c>
      <c r="I141" s="7">
        <f t="shared" si="5"/>
        <v>150</v>
      </c>
      <c r="J141" s="7">
        <f t="shared" si="6"/>
        <v>3.489183531</v>
      </c>
      <c r="K141" s="7">
        <f t="shared" si="7"/>
        <v>200</v>
      </c>
      <c r="L141" s="7">
        <f t="shared" si="8"/>
        <v>4.652244708</v>
      </c>
      <c r="M141" s="7">
        <f t="shared" si="9"/>
        <v>300</v>
      </c>
      <c r="N141" s="7">
        <f t="shared" si="10"/>
        <v>6.978367062</v>
      </c>
      <c r="O141" s="7">
        <f t="shared" si="11"/>
        <v>400</v>
      </c>
      <c r="P141" s="7">
        <f t="shared" si="12"/>
        <v>9.304489416</v>
      </c>
      <c r="Q141" s="7">
        <f t="shared" si="13"/>
        <v>500</v>
      </c>
      <c r="R141" s="7">
        <f t="shared" si="14"/>
        <v>11.63061177</v>
      </c>
      <c r="S141" s="7">
        <f t="shared" si="15"/>
        <v>600</v>
      </c>
      <c r="T141" s="7">
        <f t="shared" si="16"/>
        <v>13.95673412</v>
      </c>
      <c r="U141" s="7">
        <f t="shared" si="17"/>
        <v>700</v>
      </c>
      <c r="V141" s="7">
        <f t="shared" si="18"/>
        <v>16.28285648</v>
      </c>
      <c r="W141" s="7">
        <f t="shared" si="19"/>
        <v>800</v>
      </c>
      <c r="X141" s="7">
        <f t="shared" si="20"/>
        <v>18.60897883</v>
      </c>
      <c r="Y141" s="7">
        <f t="shared" si="21"/>
        <v>900</v>
      </c>
      <c r="Z141" s="7">
        <f t="shared" si="22"/>
        <v>20.93510119</v>
      </c>
    </row>
    <row r="142">
      <c r="A142" s="30" t="str">
        <f>IFERROR(__xludf.DUMMYFUNCTION("""COMPUTED_VALUE"""),"2023 07")</f>
        <v>2023 07</v>
      </c>
      <c r="B142" s="30" t="str">
        <f>IFERROR(__xludf.DUMMYFUNCTION("""COMPUTED_VALUE"""),"44.47")</f>
        <v>44.47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1.124353497</v>
      </c>
      <c r="G142" s="7">
        <f t="shared" si="3"/>
        <v>100</v>
      </c>
      <c r="H142" s="7">
        <f t="shared" si="4"/>
        <v>2.248706993</v>
      </c>
      <c r="I142" s="7">
        <f t="shared" si="5"/>
        <v>150</v>
      </c>
      <c r="J142" s="7">
        <f t="shared" si="6"/>
        <v>3.37306049</v>
      </c>
      <c r="K142" s="7">
        <f t="shared" si="7"/>
        <v>200</v>
      </c>
      <c r="L142" s="7">
        <f t="shared" si="8"/>
        <v>4.497413987</v>
      </c>
      <c r="M142" s="7">
        <f t="shared" si="9"/>
        <v>300</v>
      </c>
      <c r="N142" s="7">
        <f t="shared" si="10"/>
        <v>6.74612098</v>
      </c>
      <c r="O142" s="7">
        <f t="shared" si="11"/>
        <v>400</v>
      </c>
      <c r="P142" s="7">
        <f t="shared" si="12"/>
        <v>8.994827974</v>
      </c>
      <c r="Q142" s="7">
        <f t="shared" si="13"/>
        <v>500</v>
      </c>
      <c r="R142" s="7">
        <f t="shared" si="14"/>
        <v>11.24353497</v>
      </c>
      <c r="S142" s="7">
        <f t="shared" si="15"/>
        <v>600</v>
      </c>
      <c r="T142" s="7">
        <f t="shared" si="16"/>
        <v>13.49224196</v>
      </c>
      <c r="U142" s="7">
        <f t="shared" si="17"/>
        <v>700</v>
      </c>
      <c r="V142" s="7">
        <f t="shared" si="18"/>
        <v>15.74094895</v>
      </c>
      <c r="W142" s="7">
        <f t="shared" si="19"/>
        <v>800</v>
      </c>
      <c r="X142" s="7">
        <f t="shared" si="20"/>
        <v>17.98965595</v>
      </c>
      <c r="Y142" s="7">
        <f t="shared" si="21"/>
        <v>900</v>
      </c>
      <c r="Z142" s="7">
        <f t="shared" si="22"/>
        <v>20.23836294</v>
      </c>
    </row>
    <row r="143">
      <c r="A143" s="30" t="str">
        <f>IFERROR(__xludf.DUMMYFUNCTION("""COMPUTED_VALUE"""),"2023 08")</f>
        <v>2023 08</v>
      </c>
      <c r="B143" s="30" t="str">
        <f>IFERROR(__xludf.DUMMYFUNCTION("""COMPUTED_VALUE"""),"45.91")</f>
        <v>45.91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1.089087345</v>
      </c>
      <c r="G143" s="7">
        <f t="shared" si="3"/>
        <v>100</v>
      </c>
      <c r="H143" s="7">
        <f t="shared" si="4"/>
        <v>2.17817469</v>
      </c>
      <c r="I143" s="7">
        <f t="shared" si="5"/>
        <v>150</v>
      </c>
      <c r="J143" s="7">
        <f t="shared" si="6"/>
        <v>3.267262034</v>
      </c>
      <c r="K143" s="7">
        <f t="shared" si="7"/>
        <v>200</v>
      </c>
      <c r="L143" s="7">
        <f t="shared" si="8"/>
        <v>4.356349379</v>
      </c>
      <c r="M143" s="7">
        <f t="shared" si="9"/>
        <v>300</v>
      </c>
      <c r="N143" s="7">
        <f t="shared" si="10"/>
        <v>6.534524069</v>
      </c>
      <c r="O143" s="7">
        <f t="shared" si="11"/>
        <v>400</v>
      </c>
      <c r="P143" s="7">
        <f t="shared" si="12"/>
        <v>8.712698758</v>
      </c>
      <c r="Q143" s="7">
        <f t="shared" si="13"/>
        <v>500</v>
      </c>
      <c r="R143" s="7">
        <f t="shared" si="14"/>
        <v>10.89087345</v>
      </c>
      <c r="S143" s="7">
        <f t="shared" si="15"/>
        <v>600</v>
      </c>
      <c r="T143" s="7">
        <f t="shared" si="16"/>
        <v>13.06904814</v>
      </c>
      <c r="U143" s="7">
        <f t="shared" si="17"/>
        <v>700</v>
      </c>
      <c r="V143" s="7">
        <f t="shared" si="18"/>
        <v>15.24722283</v>
      </c>
      <c r="W143" s="7">
        <f t="shared" si="19"/>
        <v>800</v>
      </c>
      <c r="X143" s="7">
        <f t="shared" si="20"/>
        <v>17.42539752</v>
      </c>
      <c r="Y143" s="7">
        <f t="shared" si="21"/>
        <v>900</v>
      </c>
      <c r="Z143" s="7">
        <f t="shared" si="22"/>
        <v>19.60357221</v>
      </c>
    </row>
    <row r="144">
      <c r="A144" s="30" t="str">
        <f>IFERROR(__xludf.DUMMYFUNCTION("""COMPUTED_VALUE"""),"2023 09")</f>
        <v>2023 09</v>
      </c>
      <c r="B144" s="30" t="str">
        <f>IFERROR(__xludf.DUMMYFUNCTION("""COMPUTED_VALUE"""),"46.61")</f>
        <v>46.61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1.072731174</v>
      </c>
      <c r="G144" s="7">
        <f t="shared" si="3"/>
        <v>100</v>
      </c>
      <c r="H144" s="7">
        <f t="shared" si="4"/>
        <v>2.145462347</v>
      </c>
      <c r="I144" s="7">
        <f t="shared" si="5"/>
        <v>150</v>
      </c>
      <c r="J144" s="7">
        <f t="shared" si="6"/>
        <v>3.218193521</v>
      </c>
      <c r="K144" s="7">
        <f t="shared" si="7"/>
        <v>200</v>
      </c>
      <c r="L144" s="7">
        <f t="shared" si="8"/>
        <v>4.290924694</v>
      </c>
      <c r="M144" s="7">
        <f t="shared" si="9"/>
        <v>300</v>
      </c>
      <c r="N144" s="7">
        <f t="shared" si="10"/>
        <v>6.436387041</v>
      </c>
      <c r="O144" s="7">
        <f t="shared" si="11"/>
        <v>400</v>
      </c>
      <c r="P144" s="7">
        <f t="shared" si="12"/>
        <v>8.581849389</v>
      </c>
      <c r="Q144" s="7">
        <f t="shared" si="13"/>
        <v>500</v>
      </c>
      <c r="R144" s="7">
        <f t="shared" si="14"/>
        <v>10.72731174</v>
      </c>
      <c r="S144" s="7">
        <f t="shared" si="15"/>
        <v>600</v>
      </c>
      <c r="T144" s="7">
        <f t="shared" si="16"/>
        <v>12.87277408</v>
      </c>
      <c r="U144" s="7">
        <f t="shared" si="17"/>
        <v>700</v>
      </c>
      <c r="V144" s="7">
        <f t="shared" si="18"/>
        <v>15.01823643</v>
      </c>
      <c r="W144" s="7">
        <f t="shared" si="19"/>
        <v>800</v>
      </c>
      <c r="X144" s="7">
        <f t="shared" si="20"/>
        <v>17.16369878</v>
      </c>
      <c r="Y144" s="7">
        <f t="shared" si="21"/>
        <v>900</v>
      </c>
      <c r="Z144" s="7">
        <f t="shared" si="22"/>
        <v>19.30916112</v>
      </c>
    </row>
    <row r="145">
      <c r="A145" s="19" t="str">
        <f>IFERROR(__xludf.DUMMYFUNCTION("""COMPUTED_VALUE"""),"2023 10")</f>
        <v>2023 10</v>
      </c>
      <c r="B145" s="19" t="str">
        <f>IFERROR(__xludf.DUMMYFUNCTION("""COMPUTED_VALUE"""),"44.94")</f>
        <v>44.94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1.112594571</v>
      </c>
      <c r="G145" s="7">
        <f t="shared" si="3"/>
        <v>100</v>
      </c>
      <c r="H145" s="7">
        <f t="shared" si="4"/>
        <v>2.225189141</v>
      </c>
      <c r="I145" s="7">
        <f t="shared" si="5"/>
        <v>150</v>
      </c>
      <c r="J145" s="7">
        <f t="shared" si="6"/>
        <v>3.337783712</v>
      </c>
      <c r="K145" s="7">
        <f t="shared" si="7"/>
        <v>200</v>
      </c>
      <c r="L145" s="7">
        <f t="shared" si="8"/>
        <v>4.450378282</v>
      </c>
      <c r="M145" s="7">
        <f t="shared" si="9"/>
        <v>300</v>
      </c>
      <c r="N145" s="7">
        <f t="shared" si="10"/>
        <v>6.675567423</v>
      </c>
      <c r="O145" s="7">
        <f t="shared" si="11"/>
        <v>400</v>
      </c>
      <c r="P145" s="7">
        <f t="shared" si="12"/>
        <v>8.900756564</v>
      </c>
      <c r="Q145" s="7">
        <f t="shared" si="13"/>
        <v>500</v>
      </c>
      <c r="R145" s="7">
        <f t="shared" si="14"/>
        <v>11.12594571</v>
      </c>
      <c r="S145" s="7">
        <f t="shared" si="15"/>
        <v>600</v>
      </c>
      <c r="T145" s="7">
        <f t="shared" si="16"/>
        <v>13.35113485</v>
      </c>
      <c r="U145" s="7">
        <f t="shared" si="17"/>
        <v>700</v>
      </c>
      <c r="V145" s="7">
        <f t="shared" si="18"/>
        <v>15.57632399</v>
      </c>
      <c r="W145" s="7">
        <f t="shared" si="19"/>
        <v>800</v>
      </c>
      <c r="X145" s="7">
        <f t="shared" si="20"/>
        <v>17.80151313</v>
      </c>
      <c r="Y145" s="7">
        <f t="shared" si="21"/>
        <v>900</v>
      </c>
      <c r="Z145" s="7">
        <f t="shared" si="22"/>
        <v>20.02670227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365.3507563</v>
      </c>
      <c r="G352" s="33"/>
      <c r="H352" s="34">
        <f>SUMIF(H3:H351,"&lt;&gt;#DIV/0!")</f>
        <v>730.7015127</v>
      </c>
      <c r="I352" s="33"/>
      <c r="J352" s="34">
        <f>SUMIF(J3:J351,"&lt;&gt;#DIV/0!")</f>
        <v>1096.052269</v>
      </c>
      <c r="K352" s="33"/>
      <c r="L352" s="34">
        <f>SUMIF(L3:L351,"&lt;&gt;#DIV/0!")</f>
        <v>1461.403025</v>
      </c>
      <c r="M352" s="33"/>
      <c r="N352" s="34">
        <f>SUMIF(N3:N351,"&lt;&gt;#DIV/0!")</f>
        <v>2192.104538</v>
      </c>
      <c r="O352" s="33"/>
      <c r="P352" s="34">
        <f>SUMIF(P3:P351,"&lt;&gt;#DIV/0!")</f>
        <v>2922.806051</v>
      </c>
      <c r="Q352" s="33"/>
      <c r="R352" s="34">
        <f>SUMIF(R3:R351,"&lt;&gt;#DIV/0!")</f>
        <v>3653.507563</v>
      </c>
      <c r="S352" s="33"/>
      <c r="T352" s="34">
        <f>SUMIF(T3:T351,"&lt;&gt;#DIV/0!")</f>
        <v>4384.209076</v>
      </c>
      <c r="U352" s="33"/>
      <c r="V352" s="34">
        <f>SUMIF(V3:V351,"&lt;&gt;#DIV/0!")</f>
        <v>5114.910589</v>
      </c>
      <c r="W352" s="33"/>
      <c r="X352" s="34">
        <f>SUMIF(X3:X351,"&lt;&gt;#DIV/0!")</f>
        <v>5845.612102</v>
      </c>
      <c r="Y352" s="33"/>
      <c r="Z352" s="34">
        <f>SUMIF(Z3:Z351,"&lt;&gt;#DIV/0!")</f>
        <v>6576.313614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8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A4" s="29" t="str">
        <f>IFERROR(__xludf.DUMMYFUNCTION("ARRAYFORMULA(SORTN(TEXT(GOOGLEFINANCE(CONCAT(""ASX:"",A2), ""price"", DATE(2012,1,1), DATE(2030,12,1), ""daily""), 
 {""yyyy mm"", ""@""}), 9^9, 2, 1, 1))"),"2012 01")</f>
        <v>2012 01</v>
      </c>
      <c r="B4" s="30" t="str">
        <f>IFERROR(__xludf.DUMMYFUNCTION("""COMPUTED_VALUE"""),"63.77")</f>
        <v>63.77</v>
      </c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0.7840677435</v>
      </c>
      <c r="G4" s="7">
        <f t="shared" si="3"/>
        <v>100</v>
      </c>
      <c r="H4" s="7">
        <f t="shared" si="4"/>
        <v>1.568135487</v>
      </c>
      <c r="I4" s="7">
        <f t="shared" si="5"/>
        <v>150</v>
      </c>
      <c r="J4" s="7">
        <f t="shared" si="6"/>
        <v>2.35220323</v>
      </c>
      <c r="K4" s="7">
        <f t="shared" si="7"/>
        <v>200</v>
      </c>
      <c r="L4" s="7">
        <f t="shared" si="8"/>
        <v>3.136270974</v>
      </c>
      <c r="M4" s="7">
        <f t="shared" si="9"/>
        <v>300</v>
      </c>
      <c r="N4" s="7">
        <f t="shared" si="10"/>
        <v>4.704406461</v>
      </c>
      <c r="O4" s="7">
        <f t="shared" si="11"/>
        <v>400</v>
      </c>
      <c r="P4" s="7">
        <f t="shared" si="12"/>
        <v>6.272541948</v>
      </c>
      <c r="Q4" s="7">
        <f t="shared" si="13"/>
        <v>500</v>
      </c>
      <c r="R4" s="7">
        <f t="shared" si="14"/>
        <v>7.840677435</v>
      </c>
      <c r="S4" s="7">
        <f t="shared" si="15"/>
        <v>600</v>
      </c>
      <c r="T4" s="7">
        <f t="shared" si="16"/>
        <v>9.408812921</v>
      </c>
      <c r="U4" s="7">
        <f t="shared" si="17"/>
        <v>700</v>
      </c>
      <c r="V4" s="7">
        <f t="shared" si="18"/>
        <v>10.97694841</v>
      </c>
      <c r="W4" s="7">
        <f t="shared" si="19"/>
        <v>800</v>
      </c>
      <c r="X4" s="7">
        <f t="shared" si="20"/>
        <v>12.5450839</v>
      </c>
      <c r="Y4" s="7">
        <f t="shared" si="21"/>
        <v>900</v>
      </c>
      <c r="Z4" s="7">
        <f t="shared" si="22"/>
        <v>14.11321938</v>
      </c>
    </row>
    <row r="5">
      <c r="A5" s="30" t="str">
        <f>IFERROR(__xludf.DUMMYFUNCTION("""COMPUTED_VALUE"""),"2012 02")</f>
        <v>2012 02</v>
      </c>
      <c r="B5" s="30" t="str">
        <f>IFERROR(__xludf.DUMMYFUNCTION("""COMPUTED_VALUE"""),"63.65")</f>
        <v>63.65</v>
      </c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0.7855459544</v>
      </c>
      <c r="G5" s="7">
        <f t="shared" si="3"/>
        <v>100</v>
      </c>
      <c r="H5" s="7">
        <f t="shared" si="4"/>
        <v>1.571091909</v>
      </c>
      <c r="I5" s="7">
        <f t="shared" si="5"/>
        <v>150</v>
      </c>
      <c r="J5" s="7">
        <f t="shared" si="6"/>
        <v>2.356637863</v>
      </c>
      <c r="K5" s="7">
        <f t="shared" si="7"/>
        <v>200</v>
      </c>
      <c r="L5" s="7">
        <f t="shared" si="8"/>
        <v>3.142183818</v>
      </c>
      <c r="M5" s="7">
        <f t="shared" si="9"/>
        <v>300</v>
      </c>
      <c r="N5" s="7">
        <f t="shared" si="10"/>
        <v>4.713275727</v>
      </c>
      <c r="O5" s="7">
        <f t="shared" si="11"/>
        <v>400</v>
      </c>
      <c r="P5" s="7">
        <f t="shared" si="12"/>
        <v>6.284367636</v>
      </c>
      <c r="Q5" s="7">
        <f t="shared" si="13"/>
        <v>500</v>
      </c>
      <c r="R5" s="7">
        <f t="shared" si="14"/>
        <v>7.855459544</v>
      </c>
      <c r="S5" s="7">
        <f t="shared" si="15"/>
        <v>600</v>
      </c>
      <c r="T5" s="7">
        <f t="shared" si="16"/>
        <v>9.426551453</v>
      </c>
      <c r="U5" s="7">
        <f t="shared" si="17"/>
        <v>700</v>
      </c>
      <c r="V5" s="7">
        <f t="shared" si="18"/>
        <v>10.99764336</v>
      </c>
      <c r="W5" s="7">
        <f t="shared" si="19"/>
        <v>800</v>
      </c>
      <c r="X5" s="7">
        <f t="shared" si="20"/>
        <v>12.56873527</v>
      </c>
      <c r="Y5" s="7">
        <f t="shared" si="21"/>
        <v>900</v>
      </c>
      <c r="Z5" s="7">
        <f t="shared" si="22"/>
        <v>14.13982718</v>
      </c>
    </row>
    <row r="6">
      <c r="A6" s="30" t="str">
        <f>IFERROR(__xludf.DUMMYFUNCTION("""COMPUTED_VALUE"""),"2012 03")</f>
        <v>2012 03</v>
      </c>
      <c r="B6" s="30" t="str">
        <f>IFERROR(__xludf.DUMMYFUNCTION("""COMPUTED_VALUE"""),"65.44")</f>
        <v>65.44</v>
      </c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0.7640586797</v>
      </c>
      <c r="G6" s="7">
        <f t="shared" si="3"/>
        <v>100</v>
      </c>
      <c r="H6" s="7">
        <f t="shared" si="4"/>
        <v>1.528117359</v>
      </c>
      <c r="I6" s="7">
        <f t="shared" si="5"/>
        <v>150</v>
      </c>
      <c r="J6" s="7">
        <f t="shared" si="6"/>
        <v>2.292176039</v>
      </c>
      <c r="K6" s="7">
        <f t="shared" si="7"/>
        <v>200</v>
      </c>
      <c r="L6" s="7">
        <f t="shared" si="8"/>
        <v>3.056234719</v>
      </c>
      <c r="M6" s="7">
        <f t="shared" si="9"/>
        <v>300</v>
      </c>
      <c r="N6" s="7">
        <f t="shared" si="10"/>
        <v>4.584352078</v>
      </c>
      <c r="O6" s="7">
        <f t="shared" si="11"/>
        <v>400</v>
      </c>
      <c r="P6" s="7">
        <f t="shared" si="12"/>
        <v>6.112469438</v>
      </c>
      <c r="Q6" s="7">
        <f t="shared" si="13"/>
        <v>500</v>
      </c>
      <c r="R6" s="7">
        <f t="shared" si="14"/>
        <v>7.640586797</v>
      </c>
      <c r="S6" s="7">
        <f t="shared" si="15"/>
        <v>600</v>
      </c>
      <c r="T6" s="7">
        <f t="shared" si="16"/>
        <v>9.168704156</v>
      </c>
      <c r="U6" s="7">
        <f t="shared" si="17"/>
        <v>700</v>
      </c>
      <c r="V6" s="7">
        <f t="shared" si="18"/>
        <v>10.69682152</v>
      </c>
      <c r="W6" s="7">
        <f t="shared" si="19"/>
        <v>800</v>
      </c>
      <c r="X6" s="7">
        <f t="shared" si="20"/>
        <v>12.22493888</v>
      </c>
      <c r="Y6" s="7">
        <f t="shared" si="21"/>
        <v>900</v>
      </c>
      <c r="Z6" s="7">
        <f t="shared" si="22"/>
        <v>13.75305623</v>
      </c>
    </row>
    <row r="7">
      <c r="A7" s="30" t="str">
        <f>IFERROR(__xludf.DUMMYFUNCTION("""COMPUTED_VALUE"""),"2012 04")</f>
        <v>2012 04</v>
      </c>
      <c r="B7" s="30" t="str">
        <f>IFERROR(__xludf.DUMMYFUNCTION("""COMPUTED_VALUE"""),"69.71")</f>
        <v>69.71</v>
      </c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0.7172572084</v>
      </c>
      <c r="G7" s="7">
        <f t="shared" si="3"/>
        <v>100</v>
      </c>
      <c r="H7" s="7">
        <f t="shared" si="4"/>
        <v>1.434514417</v>
      </c>
      <c r="I7" s="7">
        <f t="shared" si="5"/>
        <v>150</v>
      </c>
      <c r="J7" s="7">
        <f t="shared" si="6"/>
        <v>2.151771625</v>
      </c>
      <c r="K7" s="7">
        <f t="shared" si="7"/>
        <v>200</v>
      </c>
      <c r="L7" s="7">
        <f t="shared" si="8"/>
        <v>2.869028834</v>
      </c>
      <c r="M7" s="7">
        <f t="shared" si="9"/>
        <v>300</v>
      </c>
      <c r="N7" s="7">
        <f t="shared" si="10"/>
        <v>4.303543251</v>
      </c>
      <c r="O7" s="7">
        <f t="shared" si="11"/>
        <v>400</v>
      </c>
      <c r="P7" s="7">
        <f t="shared" si="12"/>
        <v>5.738057667</v>
      </c>
      <c r="Q7" s="7">
        <f t="shared" si="13"/>
        <v>500</v>
      </c>
      <c r="R7" s="7">
        <f t="shared" si="14"/>
        <v>7.172572084</v>
      </c>
      <c r="S7" s="7">
        <f t="shared" si="15"/>
        <v>600</v>
      </c>
      <c r="T7" s="7">
        <f t="shared" si="16"/>
        <v>8.607086501</v>
      </c>
      <c r="U7" s="7">
        <f t="shared" si="17"/>
        <v>700</v>
      </c>
      <c r="V7" s="7">
        <f t="shared" si="18"/>
        <v>10.04160092</v>
      </c>
      <c r="W7" s="7">
        <f t="shared" si="19"/>
        <v>800</v>
      </c>
      <c r="X7" s="7">
        <f t="shared" si="20"/>
        <v>11.47611533</v>
      </c>
      <c r="Y7" s="7">
        <f t="shared" si="21"/>
        <v>900</v>
      </c>
      <c r="Z7" s="7">
        <f t="shared" si="22"/>
        <v>12.91062975</v>
      </c>
    </row>
    <row r="8">
      <c r="A8" s="30" t="str">
        <f>IFERROR(__xludf.DUMMYFUNCTION("""COMPUTED_VALUE"""),"2012 05")</f>
        <v>2012 05</v>
      </c>
      <c r="B8" s="30" t="str">
        <f>IFERROR(__xludf.DUMMYFUNCTION("""COMPUTED_VALUE"""),"69.36")</f>
        <v>69.36</v>
      </c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0.7208765859</v>
      </c>
      <c r="G8" s="7">
        <f t="shared" si="3"/>
        <v>100</v>
      </c>
      <c r="H8" s="7">
        <f t="shared" si="4"/>
        <v>1.441753172</v>
      </c>
      <c r="I8" s="7">
        <f t="shared" si="5"/>
        <v>150</v>
      </c>
      <c r="J8" s="7">
        <f t="shared" si="6"/>
        <v>2.162629758</v>
      </c>
      <c r="K8" s="7">
        <f t="shared" si="7"/>
        <v>200</v>
      </c>
      <c r="L8" s="7">
        <f t="shared" si="8"/>
        <v>2.883506344</v>
      </c>
      <c r="M8" s="7">
        <f t="shared" si="9"/>
        <v>300</v>
      </c>
      <c r="N8" s="7">
        <f t="shared" si="10"/>
        <v>4.325259516</v>
      </c>
      <c r="O8" s="7">
        <f t="shared" si="11"/>
        <v>400</v>
      </c>
      <c r="P8" s="7">
        <f t="shared" si="12"/>
        <v>5.767012687</v>
      </c>
      <c r="Q8" s="7">
        <f t="shared" si="13"/>
        <v>500</v>
      </c>
      <c r="R8" s="7">
        <f t="shared" si="14"/>
        <v>7.208765859</v>
      </c>
      <c r="S8" s="7">
        <f t="shared" si="15"/>
        <v>600</v>
      </c>
      <c r="T8" s="7">
        <f t="shared" si="16"/>
        <v>8.650519031</v>
      </c>
      <c r="U8" s="7">
        <f t="shared" si="17"/>
        <v>700</v>
      </c>
      <c r="V8" s="7">
        <f t="shared" si="18"/>
        <v>10.0922722</v>
      </c>
      <c r="W8" s="7">
        <f t="shared" si="19"/>
        <v>800</v>
      </c>
      <c r="X8" s="7">
        <f t="shared" si="20"/>
        <v>11.53402537</v>
      </c>
      <c r="Y8" s="7">
        <f t="shared" si="21"/>
        <v>900</v>
      </c>
      <c r="Z8" s="7">
        <f t="shared" si="22"/>
        <v>12.97577855</v>
      </c>
    </row>
    <row r="9">
      <c r="A9" s="30" t="str">
        <f>IFERROR(__xludf.DUMMYFUNCTION("""COMPUTED_VALUE"""),"2012 06")</f>
        <v>2012 06</v>
      </c>
      <c r="B9" s="30" t="str">
        <f>IFERROR(__xludf.DUMMYFUNCTION("""COMPUTED_VALUE"""),"69.2")</f>
        <v>69.2</v>
      </c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0.7225433526</v>
      </c>
      <c r="G9" s="7">
        <f t="shared" si="3"/>
        <v>100</v>
      </c>
      <c r="H9" s="7">
        <f t="shared" si="4"/>
        <v>1.445086705</v>
      </c>
      <c r="I9" s="7">
        <f t="shared" si="5"/>
        <v>150</v>
      </c>
      <c r="J9" s="7">
        <f t="shared" si="6"/>
        <v>2.167630058</v>
      </c>
      <c r="K9" s="7">
        <f t="shared" si="7"/>
        <v>200</v>
      </c>
      <c r="L9" s="7">
        <f t="shared" si="8"/>
        <v>2.89017341</v>
      </c>
      <c r="M9" s="7">
        <f t="shared" si="9"/>
        <v>300</v>
      </c>
      <c r="N9" s="7">
        <f t="shared" si="10"/>
        <v>4.335260116</v>
      </c>
      <c r="O9" s="7">
        <f t="shared" si="11"/>
        <v>400</v>
      </c>
      <c r="P9" s="7">
        <f t="shared" si="12"/>
        <v>5.780346821</v>
      </c>
      <c r="Q9" s="7">
        <f t="shared" si="13"/>
        <v>500</v>
      </c>
      <c r="R9" s="7">
        <f t="shared" si="14"/>
        <v>7.225433526</v>
      </c>
      <c r="S9" s="7">
        <f t="shared" si="15"/>
        <v>600</v>
      </c>
      <c r="T9" s="7">
        <f t="shared" si="16"/>
        <v>8.670520231</v>
      </c>
      <c r="U9" s="7">
        <f t="shared" si="17"/>
        <v>700</v>
      </c>
      <c r="V9" s="7">
        <f t="shared" si="18"/>
        <v>10.11560694</v>
      </c>
      <c r="W9" s="7">
        <f t="shared" si="19"/>
        <v>800</v>
      </c>
      <c r="X9" s="7">
        <f t="shared" si="20"/>
        <v>11.56069364</v>
      </c>
      <c r="Y9" s="7">
        <f t="shared" si="21"/>
        <v>900</v>
      </c>
      <c r="Z9" s="7">
        <f t="shared" si="22"/>
        <v>13.00578035</v>
      </c>
    </row>
    <row r="10">
      <c r="A10" s="30" t="str">
        <f>IFERROR(__xludf.DUMMYFUNCTION("""COMPUTED_VALUE"""),"2012 07")</f>
        <v>2012 07</v>
      </c>
      <c r="B10" s="30" t="str">
        <f>IFERROR(__xludf.DUMMYFUNCTION("""COMPUTED_VALUE"""),"67.92")</f>
        <v>67.92</v>
      </c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0.7361601885</v>
      </c>
      <c r="G10" s="7">
        <f t="shared" si="3"/>
        <v>100</v>
      </c>
      <c r="H10" s="7">
        <f t="shared" si="4"/>
        <v>1.472320377</v>
      </c>
      <c r="I10" s="7">
        <f t="shared" si="5"/>
        <v>150</v>
      </c>
      <c r="J10" s="7">
        <f t="shared" si="6"/>
        <v>2.208480565</v>
      </c>
      <c r="K10" s="7">
        <f t="shared" si="7"/>
        <v>200</v>
      </c>
      <c r="L10" s="7">
        <f t="shared" si="8"/>
        <v>2.944640754</v>
      </c>
      <c r="M10" s="7">
        <f t="shared" si="9"/>
        <v>300</v>
      </c>
      <c r="N10" s="7">
        <f t="shared" si="10"/>
        <v>4.416961131</v>
      </c>
      <c r="O10" s="7">
        <f t="shared" si="11"/>
        <v>400</v>
      </c>
      <c r="P10" s="7">
        <f t="shared" si="12"/>
        <v>5.889281508</v>
      </c>
      <c r="Q10" s="7">
        <f t="shared" si="13"/>
        <v>500</v>
      </c>
      <c r="R10" s="7">
        <f t="shared" si="14"/>
        <v>7.361601885</v>
      </c>
      <c r="S10" s="7">
        <f t="shared" si="15"/>
        <v>600</v>
      </c>
      <c r="T10" s="7">
        <f t="shared" si="16"/>
        <v>8.833922261</v>
      </c>
      <c r="U10" s="7">
        <f t="shared" si="17"/>
        <v>700</v>
      </c>
      <c r="V10" s="7">
        <f t="shared" si="18"/>
        <v>10.30624264</v>
      </c>
      <c r="W10" s="7">
        <f t="shared" si="19"/>
        <v>800</v>
      </c>
      <c r="X10" s="7">
        <f t="shared" si="20"/>
        <v>11.77856302</v>
      </c>
      <c r="Y10" s="7">
        <f t="shared" si="21"/>
        <v>900</v>
      </c>
      <c r="Z10" s="7">
        <f t="shared" si="22"/>
        <v>13.25088339</v>
      </c>
    </row>
    <row r="11">
      <c r="A11" s="30" t="str">
        <f>IFERROR(__xludf.DUMMYFUNCTION("""COMPUTED_VALUE"""),"2012 08")</f>
        <v>2012 08</v>
      </c>
      <c r="B11" s="30" t="str">
        <f>IFERROR(__xludf.DUMMYFUNCTION("""COMPUTED_VALUE"""),"67.06")</f>
        <v>67.06</v>
      </c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0.7456009544</v>
      </c>
      <c r="G11" s="7">
        <f t="shared" si="3"/>
        <v>100</v>
      </c>
      <c r="H11" s="7">
        <f t="shared" si="4"/>
        <v>1.491201909</v>
      </c>
      <c r="I11" s="7">
        <f t="shared" si="5"/>
        <v>150</v>
      </c>
      <c r="J11" s="7">
        <f t="shared" si="6"/>
        <v>2.236802863</v>
      </c>
      <c r="K11" s="7">
        <f t="shared" si="7"/>
        <v>200</v>
      </c>
      <c r="L11" s="7">
        <f t="shared" si="8"/>
        <v>2.982403817</v>
      </c>
      <c r="M11" s="7">
        <f t="shared" si="9"/>
        <v>300</v>
      </c>
      <c r="N11" s="7">
        <f t="shared" si="10"/>
        <v>4.473605726</v>
      </c>
      <c r="O11" s="7">
        <f t="shared" si="11"/>
        <v>400</v>
      </c>
      <c r="P11" s="7">
        <f t="shared" si="12"/>
        <v>5.964807635</v>
      </c>
      <c r="Q11" s="7">
        <f t="shared" si="13"/>
        <v>500</v>
      </c>
      <c r="R11" s="7">
        <f t="shared" si="14"/>
        <v>7.456009544</v>
      </c>
      <c r="S11" s="7">
        <f t="shared" si="15"/>
        <v>600</v>
      </c>
      <c r="T11" s="7">
        <f t="shared" si="16"/>
        <v>8.947211452</v>
      </c>
      <c r="U11" s="7">
        <f t="shared" si="17"/>
        <v>700</v>
      </c>
      <c r="V11" s="7">
        <f t="shared" si="18"/>
        <v>10.43841336</v>
      </c>
      <c r="W11" s="7">
        <f t="shared" si="19"/>
        <v>800</v>
      </c>
      <c r="X11" s="7">
        <f t="shared" si="20"/>
        <v>11.92961527</v>
      </c>
      <c r="Y11" s="7">
        <f t="shared" si="21"/>
        <v>900</v>
      </c>
      <c r="Z11" s="7">
        <f t="shared" si="22"/>
        <v>13.42081718</v>
      </c>
    </row>
    <row r="12">
      <c r="A12" s="30" t="str">
        <f>IFERROR(__xludf.DUMMYFUNCTION("""COMPUTED_VALUE"""),"2012 09")</f>
        <v>2012 09</v>
      </c>
      <c r="B12" s="30" t="str">
        <f>IFERROR(__xludf.DUMMYFUNCTION("""COMPUTED_VALUE"""),"70.33")</f>
        <v>70.33</v>
      </c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0.7109341675</v>
      </c>
      <c r="G12" s="7">
        <f t="shared" si="3"/>
        <v>100</v>
      </c>
      <c r="H12" s="7">
        <f t="shared" si="4"/>
        <v>1.421868335</v>
      </c>
      <c r="I12" s="7">
        <f t="shared" si="5"/>
        <v>150</v>
      </c>
      <c r="J12" s="7">
        <f t="shared" si="6"/>
        <v>2.132802502</v>
      </c>
      <c r="K12" s="7">
        <f t="shared" si="7"/>
        <v>200</v>
      </c>
      <c r="L12" s="7">
        <f t="shared" si="8"/>
        <v>2.84373667</v>
      </c>
      <c r="M12" s="7">
        <f t="shared" si="9"/>
        <v>300</v>
      </c>
      <c r="N12" s="7">
        <f t="shared" si="10"/>
        <v>4.265605005</v>
      </c>
      <c r="O12" s="7">
        <f t="shared" si="11"/>
        <v>400</v>
      </c>
      <c r="P12" s="7">
        <f t="shared" si="12"/>
        <v>5.68747334</v>
      </c>
      <c r="Q12" s="7">
        <f t="shared" si="13"/>
        <v>500</v>
      </c>
      <c r="R12" s="7">
        <f t="shared" si="14"/>
        <v>7.109341675</v>
      </c>
      <c r="S12" s="7">
        <f t="shared" si="15"/>
        <v>600</v>
      </c>
      <c r="T12" s="7">
        <f t="shared" si="16"/>
        <v>8.53121001</v>
      </c>
      <c r="U12" s="7">
        <f t="shared" si="17"/>
        <v>700</v>
      </c>
      <c r="V12" s="7">
        <f t="shared" si="18"/>
        <v>9.953078345</v>
      </c>
      <c r="W12" s="7">
        <f t="shared" si="19"/>
        <v>800</v>
      </c>
      <c r="X12" s="7">
        <f t="shared" si="20"/>
        <v>11.37494668</v>
      </c>
      <c r="Y12" s="7">
        <f t="shared" si="21"/>
        <v>900</v>
      </c>
      <c r="Z12" s="7">
        <f t="shared" si="22"/>
        <v>12.79681501</v>
      </c>
    </row>
    <row r="13">
      <c r="A13" s="30" t="str">
        <f>IFERROR(__xludf.DUMMYFUNCTION("""COMPUTED_VALUE"""),"2012 10")</f>
        <v>2012 10</v>
      </c>
      <c r="B13" s="30" t="str">
        <f>IFERROR(__xludf.DUMMYFUNCTION("""COMPUTED_VALUE"""),"71.12")</f>
        <v>71.12</v>
      </c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0.7030371204</v>
      </c>
      <c r="G13" s="7">
        <f t="shared" si="3"/>
        <v>100</v>
      </c>
      <c r="H13" s="7">
        <f t="shared" si="4"/>
        <v>1.406074241</v>
      </c>
      <c r="I13" s="7">
        <f t="shared" si="5"/>
        <v>150</v>
      </c>
      <c r="J13" s="7">
        <f t="shared" si="6"/>
        <v>2.109111361</v>
      </c>
      <c r="K13" s="7">
        <f t="shared" si="7"/>
        <v>200</v>
      </c>
      <c r="L13" s="7">
        <f t="shared" si="8"/>
        <v>2.812148481</v>
      </c>
      <c r="M13" s="7">
        <f t="shared" si="9"/>
        <v>300</v>
      </c>
      <c r="N13" s="7">
        <f t="shared" si="10"/>
        <v>4.218222722</v>
      </c>
      <c r="O13" s="7">
        <f t="shared" si="11"/>
        <v>400</v>
      </c>
      <c r="P13" s="7">
        <f t="shared" si="12"/>
        <v>5.624296963</v>
      </c>
      <c r="Q13" s="7">
        <f t="shared" si="13"/>
        <v>500</v>
      </c>
      <c r="R13" s="7">
        <f t="shared" si="14"/>
        <v>7.030371204</v>
      </c>
      <c r="S13" s="7">
        <f t="shared" si="15"/>
        <v>600</v>
      </c>
      <c r="T13" s="7">
        <f t="shared" si="16"/>
        <v>8.436445444</v>
      </c>
      <c r="U13" s="7">
        <f t="shared" si="17"/>
        <v>700</v>
      </c>
      <c r="V13" s="7">
        <f t="shared" si="18"/>
        <v>9.842519685</v>
      </c>
      <c r="W13" s="7">
        <f t="shared" si="19"/>
        <v>800</v>
      </c>
      <c r="X13" s="7">
        <f t="shared" si="20"/>
        <v>11.24859393</v>
      </c>
      <c r="Y13" s="7">
        <f t="shared" si="21"/>
        <v>900</v>
      </c>
      <c r="Z13" s="7">
        <f t="shared" si="22"/>
        <v>12.65466817</v>
      </c>
    </row>
    <row r="14">
      <c r="A14" s="30" t="str">
        <f>IFERROR(__xludf.DUMMYFUNCTION("""COMPUTED_VALUE"""),"2012 11")</f>
        <v>2012 11</v>
      </c>
      <c r="B14" s="30" t="str">
        <f>IFERROR(__xludf.DUMMYFUNCTION("""COMPUTED_VALUE"""),"69.65")</f>
        <v>69.65</v>
      </c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0.7178750897</v>
      </c>
      <c r="G14" s="7">
        <f t="shared" si="3"/>
        <v>100</v>
      </c>
      <c r="H14" s="7">
        <f t="shared" si="4"/>
        <v>1.435750179</v>
      </c>
      <c r="I14" s="7">
        <f t="shared" si="5"/>
        <v>150</v>
      </c>
      <c r="J14" s="7">
        <f t="shared" si="6"/>
        <v>2.153625269</v>
      </c>
      <c r="K14" s="7">
        <f t="shared" si="7"/>
        <v>200</v>
      </c>
      <c r="L14" s="7">
        <f t="shared" si="8"/>
        <v>2.871500359</v>
      </c>
      <c r="M14" s="7">
        <f t="shared" si="9"/>
        <v>300</v>
      </c>
      <c r="N14" s="7">
        <f t="shared" si="10"/>
        <v>4.307250538</v>
      </c>
      <c r="O14" s="7">
        <f t="shared" si="11"/>
        <v>400</v>
      </c>
      <c r="P14" s="7">
        <f t="shared" si="12"/>
        <v>5.743000718</v>
      </c>
      <c r="Q14" s="7">
        <f t="shared" si="13"/>
        <v>500</v>
      </c>
      <c r="R14" s="7">
        <f t="shared" si="14"/>
        <v>7.178750897</v>
      </c>
      <c r="S14" s="7">
        <f t="shared" si="15"/>
        <v>600</v>
      </c>
      <c r="T14" s="7">
        <f t="shared" si="16"/>
        <v>8.614501077</v>
      </c>
      <c r="U14" s="7">
        <f t="shared" si="17"/>
        <v>700</v>
      </c>
      <c r="V14" s="7">
        <f t="shared" si="18"/>
        <v>10.05025126</v>
      </c>
      <c r="W14" s="7">
        <f t="shared" si="19"/>
        <v>800</v>
      </c>
      <c r="X14" s="7">
        <f t="shared" si="20"/>
        <v>11.48600144</v>
      </c>
      <c r="Y14" s="7">
        <f t="shared" si="21"/>
        <v>900</v>
      </c>
      <c r="Z14" s="7">
        <f t="shared" si="22"/>
        <v>12.92175162</v>
      </c>
    </row>
    <row r="15">
      <c r="A15" s="30" t="str">
        <f>IFERROR(__xludf.DUMMYFUNCTION("""COMPUTED_VALUE"""),"2012 12")</f>
        <v>2012 12</v>
      </c>
      <c r="B15" s="30" t="str">
        <f>IFERROR(__xludf.DUMMYFUNCTION("""COMPUTED_VALUE"""),"70.43")</f>
        <v>70.43</v>
      </c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0.709924748</v>
      </c>
      <c r="G15" s="7">
        <f t="shared" si="3"/>
        <v>100</v>
      </c>
      <c r="H15" s="7">
        <f t="shared" si="4"/>
        <v>1.419849496</v>
      </c>
      <c r="I15" s="7">
        <f t="shared" si="5"/>
        <v>150</v>
      </c>
      <c r="J15" s="7">
        <f t="shared" si="6"/>
        <v>2.129774244</v>
      </c>
      <c r="K15" s="7">
        <f t="shared" si="7"/>
        <v>200</v>
      </c>
      <c r="L15" s="7">
        <f t="shared" si="8"/>
        <v>2.839698992</v>
      </c>
      <c r="M15" s="7">
        <f t="shared" si="9"/>
        <v>300</v>
      </c>
      <c r="N15" s="7">
        <f t="shared" si="10"/>
        <v>4.259548488</v>
      </c>
      <c r="O15" s="7">
        <f t="shared" si="11"/>
        <v>400</v>
      </c>
      <c r="P15" s="7">
        <f t="shared" si="12"/>
        <v>5.679397984</v>
      </c>
      <c r="Q15" s="7">
        <f t="shared" si="13"/>
        <v>500</v>
      </c>
      <c r="R15" s="7">
        <f t="shared" si="14"/>
        <v>7.09924748</v>
      </c>
      <c r="S15" s="7">
        <f t="shared" si="15"/>
        <v>600</v>
      </c>
      <c r="T15" s="7">
        <f t="shared" si="16"/>
        <v>8.519096976</v>
      </c>
      <c r="U15" s="7">
        <f t="shared" si="17"/>
        <v>700</v>
      </c>
      <c r="V15" s="7">
        <f t="shared" si="18"/>
        <v>9.938946472</v>
      </c>
      <c r="W15" s="7">
        <f t="shared" si="19"/>
        <v>800</v>
      </c>
      <c r="X15" s="7">
        <f t="shared" si="20"/>
        <v>11.35879597</v>
      </c>
      <c r="Y15" s="7">
        <f t="shared" si="21"/>
        <v>900</v>
      </c>
      <c r="Z15" s="7">
        <f t="shared" si="22"/>
        <v>12.77864546</v>
      </c>
    </row>
    <row r="16">
      <c r="A16" s="30" t="str">
        <f>IFERROR(__xludf.DUMMYFUNCTION("""COMPUTED_VALUE"""),"2013 01")</f>
        <v>2013 01</v>
      </c>
      <c r="B16" s="30" t="str">
        <f>IFERROR(__xludf.DUMMYFUNCTION("""COMPUTED_VALUE"""),"70.85")</f>
        <v>70.85</v>
      </c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0.705716302</v>
      </c>
      <c r="G16" s="7">
        <f t="shared" si="3"/>
        <v>100</v>
      </c>
      <c r="H16" s="7">
        <f t="shared" si="4"/>
        <v>1.411432604</v>
      </c>
      <c r="I16" s="7">
        <f t="shared" si="5"/>
        <v>150</v>
      </c>
      <c r="J16" s="7">
        <f t="shared" si="6"/>
        <v>2.117148906</v>
      </c>
      <c r="K16" s="7">
        <f t="shared" si="7"/>
        <v>200</v>
      </c>
      <c r="L16" s="7">
        <f t="shared" si="8"/>
        <v>2.822865208</v>
      </c>
      <c r="M16" s="7">
        <f t="shared" si="9"/>
        <v>300</v>
      </c>
      <c r="N16" s="7">
        <f t="shared" si="10"/>
        <v>4.234297812</v>
      </c>
      <c r="O16" s="7">
        <f t="shared" si="11"/>
        <v>400</v>
      </c>
      <c r="P16" s="7">
        <f t="shared" si="12"/>
        <v>5.645730416</v>
      </c>
      <c r="Q16" s="7">
        <f t="shared" si="13"/>
        <v>500</v>
      </c>
      <c r="R16" s="7">
        <f t="shared" si="14"/>
        <v>7.05716302</v>
      </c>
      <c r="S16" s="7">
        <f t="shared" si="15"/>
        <v>600</v>
      </c>
      <c r="T16" s="7">
        <f t="shared" si="16"/>
        <v>8.468595625</v>
      </c>
      <c r="U16" s="7">
        <f t="shared" si="17"/>
        <v>700</v>
      </c>
      <c r="V16" s="7">
        <f t="shared" si="18"/>
        <v>9.880028229</v>
      </c>
      <c r="W16" s="7">
        <f t="shared" si="19"/>
        <v>800</v>
      </c>
      <c r="X16" s="7">
        <f t="shared" si="20"/>
        <v>11.29146083</v>
      </c>
      <c r="Y16" s="7">
        <f t="shared" si="21"/>
        <v>900</v>
      </c>
      <c r="Z16" s="7">
        <f t="shared" si="22"/>
        <v>12.70289344</v>
      </c>
    </row>
    <row r="17">
      <c r="A17" s="30" t="str">
        <f>IFERROR(__xludf.DUMMYFUNCTION("""COMPUTED_VALUE"""),"2013 02")</f>
        <v>2013 02</v>
      </c>
      <c r="B17" s="30" t="str">
        <f>IFERROR(__xludf.DUMMYFUNCTION("""COMPUTED_VALUE"""),"74.96")</f>
        <v>74.96</v>
      </c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0.667022412</v>
      </c>
      <c r="G17" s="7">
        <f t="shared" si="3"/>
        <v>100</v>
      </c>
      <c r="H17" s="7">
        <f t="shared" si="4"/>
        <v>1.334044824</v>
      </c>
      <c r="I17" s="7">
        <f t="shared" si="5"/>
        <v>150</v>
      </c>
      <c r="J17" s="7">
        <f t="shared" si="6"/>
        <v>2.001067236</v>
      </c>
      <c r="K17" s="7">
        <f t="shared" si="7"/>
        <v>200</v>
      </c>
      <c r="L17" s="7">
        <f t="shared" si="8"/>
        <v>2.668089648</v>
      </c>
      <c r="M17" s="7">
        <f t="shared" si="9"/>
        <v>300</v>
      </c>
      <c r="N17" s="7">
        <f t="shared" si="10"/>
        <v>4.002134472</v>
      </c>
      <c r="O17" s="7">
        <f t="shared" si="11"/>
        <v>400</v>
      </c>
      <c r="P17" s="7">
        <f t="shared" si="12"/>
        <v>5.336179296</v>
      </c>
      <c r="Q17" s="7">
        <f t="shared" si="13"/>
        <v>500</v>
      </c>
      <c r="R17" s="7">
        <f t="shared" si="14"/>
        <v>6.67022412</v>
      </c>
      <c r="S17" s="7">
        <f t="shared" si="15"/>
        <v>600</v>
      </c>
      <c r="T17" s="7">
        <f t="shared" si="16"/>
        <v>8.004268943</v>
      </c>
      <c r="U17" s="7">
        <f t="shared" si="17"/>
        <v>700</v>
      </c>
      <c r="V17" s="7">
        <f t="shared" si="18"/>
        <v>9.338313767</v>
      </c>
      <c r="W17" s="7">
        <f t="shared" si="19"/>
        <v>800</v>
      </c>
      <c r="X17" s="7">
        <f t="shared" si="20"/>
        <v>10.67235859</v>
      </c>
      <c r="Y17" s="7">
        <f t="shared" si="21"/>
        <v>900</v>
      </c>
      <c r="Z17" s="7">
        <f t="shared" si="22"/>
        <v>12.00640342</v>
      </c>
    </row>
    <row r="18">
      <c r="A18" s="30" t="str">
        <f>IFERROR(__xludf.DUMMYFUNCTION("""COMPUTED_VALUE"""),"2013 03")</f>
        <v>2013 03</v>
      </c>
      <c r="B18" s="30" t="str">
        <f>IFERROR(__xludf.DUMMYFUNCTION("""COMPUTED_VALUE"""),"76.77")</f>
        <v>76.77</v>
      </c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0.6512960792</v>
      </c>
      <c r="G18" s="7">
        <f t="shared" si="3"/>
        <v>100</v>
      </c>
      <c r="H18" s="7">
        <f t="shared" si="4"/>
        <v>1.302592158</v>
      </c>
      <c r="I18" s="7">
        <f t="shared" si="5"/>
        <v>150</v>
      </c>
      <c r="J18" s="7">
        <f t="shared" si="6"/>
        <v>1.953888238</v>
      </c>
      <c r="K18" s="7">
        <f t="shared" si="7"/>
        <v>200</v>
      </c>
      <c r="L18" s="7">
        <f t="shared" si="8"/>
        <v>2.605184317</v>
      </c>
      <c r="M18" s="7">
        <f t="shared" si="9"/>
        <v>300</v>
      </c>
      <c r="N18" s="7">
        <f t="shared" si="10"/>
        <v>3.907776475</v>
      </c>
      <c r="O18" s="7">
        <f t="shared" si="11"/>
        <v>400</v>
      </c>
      <c r="P18" s="7">
        <f t="shared" si="12"/>
        <v>5.210368634</v>
      </c>
      <c r="Q18" s="7">
        <f t="shared" si="13"/>
        <v>500</v>
      </c>
      <c r="R18" s="7">
        <f t="shared" si="14"/>
        <v>6.512960792</v>
      </c>
      <c r="S18" s="7">
        <f t="shared" si="15"/>
        <v>600</v>
      </c>
      <c r="T18" s="7">
        <f t="shared" si="16"/>
        <v>7.81555295</v>
      </c>
      <c r="U18" s="7">
        <f t="shared" si="17"/>
        <v>700</v>
      </c>
      <c r="V18" s="7">
        <f t="shared" si="18"/>
        <v>9.118145109</v>
      </c>
      <c r="W18" s="7">
        <f t="shared" si="19"/>
        <v>800</v>
      </c>
      <c r="X18" s="7">
        <f t="shared" si="20"/>
        <v>10.42073727</v>
      </c>
      <c r="Y18" s="7">
        <f t="shared" si="21"/>
        <v>900</v>
      </c>
      <c r="Z18" s="7">
        <f t="shared" si="22"/>
        <v>11.72332943</v>
      </c>
    </row>
    <row r="19">
      <c r="A19" s="30" t="str">
        <f>IFERROR(__xludf.DUMMYFUNCTION("""COMPUTED_VALUE"""),"2013 04")</f>
        <v>2013 04</v>
      </c>
      <c r="B19" s="30" t="str">
        <f>IFERROR(__xludf.DUMMYFUNCTION("""COMPUTED_VALUE"""),"77.15")</f>
        <v>77.15</v>
      </c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0.64808814</v>
      </c>
      <c r="G19" s="7">
        <f t="shared" si="3"/>
        <v>100</v>
      </c>
      <c r="H19" s="7">
        <f t="shared" si="4"/>
        <v>1.29617628</v>
      </c>
      <c r="I19" s="7">
        <f t="shared" si="5"/>
        <v>150</v>
      </c>
      <c r="J19" s="7">
        <f t="shared" si="6"/>
        <v>1.94426442</v>
      </c>
      <c r="K19" s="7">
        <f t="shared" si="7"/>
        <v>200</v>
      </c>
      <c r="L19" s="7">
        <f t="shared" si="8"/>
        <v>2.59235256</v>
      </c>
      <c r="M19" s="7">
        <f t="shared" si="9"/>
        <v>300</v>
      </c>
      <c r="N19" s="7">
        <f t="shared" si="10"/>
        <v>3.88852884</v>
      </c>
      <c r="O19" s="7">
        <f t="shared" si="11"/>
        <v>400</v>
      </c>
      <c r="P19" s="7">
        <f t="shared" si="12"/>
        <v>5.18470512</v>
      </c>
      <c r="Q19" s="7">
        <f t="shared" si="13"/>
        <v>500</v>
      </c>
      <c r="R19" s="7">
        <f t="shared" si="14"/>
        <v>6.4808814</v>
      </c>
      <c r="S19" s="7">
        <f t="shared" si="15"/>
        <v>600</v>
      </c>
      <c r="T19" s="7">
        <f t="shared" si="16"/>
        <v>7.77705768</v>
      </c>
      <c r="U19" s="7">
        <f t="shared" si="17"/>
        <v>700</v>
      </c>
      <c r="V19" s="7">
        <f t="shared" si="18"/>
        <v>9.07323396</v>
      </c>
      <c r="W19" s="7">
        <f t="shared" si="19"/>
        <v>800</v>
      </c>
      <c r="X19" s="7">
        <f t="shared" si="20"/>
        <v>10.36941024</v>
      </c>
      <c r="Y19" s="7">
        <f t="shared" si="21"/>
        <v>900</v>
      </c>
      <c r="Z19" s="7">
        <f t="shared" si="22"/>
        <v>11.66558652</v>
      </c>
    </row>
    <row r="20">
      <c r="A20" s="30" t="str">
        <f>IFERROR(__xludf.DUMMYFUNCTION("""COMPUTED_VALUE"""),"2013 05")</f>
        <v>2013 05</v>
      </c>
      <c r="B20" s="30" t="str">
        <f>IFERROR(__xludf.DUMMYFUNCTION("""COMPUTED_VALUE"""),"79.53")</f>
        <v>79.53</v>
      </c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0.6286935748</v>
      </c>
      <c r="G20" s="7">
        <f t="shared" si="3"/>
        <v>100</v>
      </c>
      <c r="H20" s="7">
        <f t="shared" si="4"/>
        <v>1.25738715</v>
      </c>
      <c r="I20" s="7">
        <f t="shared" si="5"/>
        <v>150</v>
      </c>
      <c r="J20" s="7">
        <f t="shared" si="6"/>
        <v>1.886080724</v>
      </c>
      <c r="K20" s="7">
        <f t="shared" si="7"/>
        <v>200</v>
      </c>
      <c r="L20" s="7">
        <f t="shared" si="8"/>
        <v>2.514774299</v>
      </c>
      <c r="M20" s="7">
        <f t="shared" si="9"/>
        <v>300</v>
      </c>
      <c r="N20" s="7">
        <f t="shared" si="10"/>
        <v>3.772161449</v>
      </c>
      <c r="O20" s="7">
        <f t="shared" si="11"/>
        <v>400</v>
      </c>
      <c r="P20" s="7">
        <f t="shared" si="12"/>
        <v>5.029548598</v>
      </c>
      <c r="Q20" s="7">
        <f t="shared" si="13"/>
        <v>500</v>
      </c>
      <c r="R20" s="7">
        <f t="shared" si="14"/>
        <v>6.286935748</v>
      </c>
      <c r="S20" s="7">
        <f t="shared" si="15"/>
        <v>600</v>
      </c>
      <c r="T20" s="7">
        <f t="shared" si="16"/>
        <v>7.544322897</v>
      </c>
      <c r="U20" s="7">
        <f t="shared" si="17"/>
        <v>700</v>
      </c>
      <c r="V20" s="7">
        <f t="shared" si="18"/>
        <v>8.801710047</v>
      </c>
      <c r="W20" s="7">
        <f t="shared" si="19"/>
        <v>800</v>
      </c>
      <c r="X20" s="7">
        <f t="shared" si="20"/>
        <v>10.0590972</v>
      </c>
      <c r="Y20" s="7">
        <f t="shared" si="21"/>
        <v>900</v>
      </c>
      <c r="Z20" s="7">
        <f t="shared" si="22"/>
        <v>11.31648435</v>
      </c>
    </row>
    <row r="21">
      <c r="A21" s="30" t="str">
        <f>IFERROR(__xludf.DUMMYFUNCTION("""COMPUTED_VALUE"""),"2013 06")</f>
        <v>2013 06</v>
      </c>
      <c r="B21" s="30" t="str">
        <f>IFERROR(__xludf.DUMMYFUNCTION("""COMPUTED_VALUE"""),"87.85")</f>
        <v>87.85</v>
      </c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0.5691519636</v>
      </c>
      <c r="G21" s="7">
        <f t="shared" si="3"/>
        <v>100</v>
      </c>
      <c r="H21" s="7">
        <f t="shared" si="4"/>
        <v>1.138303927</v>
      </c>
      <c r="I21" s="7">
        <f t="shared" si="5"/>
        <v>150</v>
      </c>
      <c r="J21" s="7">
        <f t="shared" si="6"/>
        <v>1.707455891</v>
      </c>
      <c r="K21" s="7">
        <f t="shared" si="7"/>
        <v>200</v>
      </c>
      <c r="L21" s="7">
        <f t="shared" si="8"/>
        <v>2.276607854</v>
      </c>
      <c r="M21" s="7">
        <f t="shared" si="9"/>
        <v>300</v>
      </c>
      <c r="N21" s="7">
        <f t="shared" si="10"/>
        <v>3.414911781</v>
      </c>
      <c r="O21" s="7">
        <f t="shared" si="11"/>
        <v>400</v>
      </c>
      <c r="P21" s="7">
        <f t="shared" si="12"/>
        <v>4.553215709</v>
      </c>
      <c r="Q21" s="7">
        <f t="shared" si="13"/>
        <v>500</v>
      </c>
      <c r="R21" s="7">
        <f t="shared" si="14"/>
        <v>5.691519636</v>
      </c>
      <c r="S21" s="7">
        <f t="shared" si="15"/>
        <v>600</v>
      </c>
      <c r="T21" s="7">
        <f t="shared" si="16"/>
        <v>6.829823563</v>
      </c>
      <c r="U21" s="7">
        <f t="shared" si="17"/>
        <v>700</v>
      </c>
      <c r="V21" s="7">
        <f t="shared" si="18"/>
        <v>7.96812749</v>
      </c>
      <c r="W21" s="7">
        <f t="shared" si="19"/>
        <v>800</v>
      </c>
      <c r="X21" s="7">
        <f t="shared" si="20"/>
        <v>9.106431417</v>
      </c>
      <c r="Y21" s="7">
        <f t="shared" si="21"/>
        <v>900</v>
      </c>
      <c r="Z21" s="7">
        <f t="shared" si="22"/>
        <v>10.24473534</v>
      </c>
    </row>
    <row r="22">
      <c r="A22" s="30" t="str">
        <f>IFERROR(__xludf.DUMMYFUNCTION("""COMPUTED_VALUE"""),"2013 07")</f>
        <v>2013 07</v>
      </c>
      <c r="B22" s="30" t="str">
        <f>IFERROR(__xludf.DUMMYFUNCTION("""COMPUTED_VALUE"""),"90.38")</f>
        <v>90.38</v>
      </c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0.5532197389</v>
      </c>
      <c r="G22" s="7">
        <f t="shared" si="3"/>
        <v>100</v>
      </c>
      <c r="H22" s="7">
        <f t="shared" si="4"/>
        <v>1.106439478</v>
      </c>
      <c r="I22" s="7">
        <f t="shared" si="5"/>
        <v>150</v>
      </c>
      <c r="J22" s="7">
        <f t="shared" si="6"/>
        <v>1.659659217</v>
      </c>
      <c r="K22" s="7">
        <f t="shared" si="7"/>
        <v>200</v>
      </c>
      <c r="L22" s="7">
        <f t="shared" si="8"/>
        <v>2.212878956</v>
      </c>
      <c r="M22" s="7">
        <f t="shared" si="9"/>
        <v>300</v>
      </c>
      <c r="N22" s="7">
        <f t="shared" si="10"/>
        <v>3.319318433</v>
      </c>
      <c r="O22" s="7">
        <f t="shared" si="11"/>
        <v>400</v>
      </c>
      <c r="P22" s="7">
        <f t="shared" si="12"/>
        <v>4.425757911</v>
      </c>
      <c r="Q22" s="7">
        <f t="shared" si="13"/>
        <v>500</v>
      </c>
      <c r="R22" s="7">
        <f t="shared" si="14"/>
        <v>5.532197389</v>
      </c>
      <c r="S22" s="7">
        <f t="shared" si="15"/>
        <v>600</v>
      </c>
      <c r="T22" s="7">
        <f t="shared" si="16"/>
        <v>6.638636867</v>
      </c>
      <c r="U22" s="7">
        <f t="shared" si="17"/>
        <v>700</v>
      </c>
      <c r="V22" s="7">
        <f t="shared" si="18"/>
        <v>7.745076344</v>
      </c>
      <c r="W22" s="7">
        <f t="shared" si="19"/>
        <v>800</v>
      </c>
      <c r="X22" s="7">
        <f t="shared" si="20"/>
        <v>8.851515822</v>
      </c>
      <c r="Y22" s="7">
        <f t="shared" si="21"/>
        <v>900</v>
      </c>
      <c r="Z22" s="7">
        <f t="shared" si="22"/>
        <v>9.9579553</v>
      </c>
    </row>
    <row r="23">
      <c r="A23" s="30" t="str">
        <f>IFERROR(__xludf.DUMMYFUNCTION("""COMPUTED_VALUE"""),"2013 08")</f>
        <v>2013 08</v>
      </c>
      <c r="B23" s="30" t="str">
        <f>IFERROR(__xludf.DUMMYFUNCTION("""COMPUTED_VALUE"""),"98.22")</f>
        <v>98.22</v>
      </c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0.509061291</v>
      </c>
      <c r="G23" s="7">
        <f t="shared" si="3"/>
        <v>100</v>
      </c>
      <c r="H23" s="7">
        <f t="shared" si="4"/>
        <v>1.018122582</v>
      </c>
      <c r="I23" s="7">
        <f t="shared" si="5"/>
        <v>150</v>
      </c>
      <c r="J23" s="7">
        <f t="shared" si="6"/>
        <v>1.527183873</v>
      </c>
      <c r="K23" s="7">
        <f t="shared" si="7"/>
        <v>200</v>
      </c>
      <c r="L23" s="7">
        <f t="shared" si="8"/>
        <v>2.036245164</v>
      </c>
      <c r="M23" s="7">
        <f t="shared" si="9"/>
        <v>300</v>
      </c>
      <c r="N23" s="7">
        <f t="shared" si="10"/>
        <v>3.054367746</v>
      </c>
      <c r="O23" s="7">
        <f t="shared" si="11"/>
        <v>400</v>
      </c>
      <c r="P23" s="7">
        <f t="shared" si="12"/>
        <v>4.072490328</v>
      </c>
      <c r="Q23" s="7">
        <f t="shared" si="13"/>
        <v>500</v>
      </c>
      <c r="R23" s="7">
        <f t="shared" si="14"/>
        <v>5.09061291</v>
      </c>
      <c r="S23" s="7">
        <f t="shared" si="15"/>
        <v>600</v>
      </c>
      <c r="T23" s="7">
        <f t="shared" si="16"/>
        <v>6.108735492</v>
      </c>
      <c r="U23" s="7">
        <f t="shared" si="17"/>
        <v>700</v>
      </c>
      <c r="V23" s="7">
        <f t="shared" si="18"/>
        <v>7.126858074</v>
      </c>
      <c r="W23" s="7">
        <f t="shared" si="19"/>
        <v>800</v>
      </c>
      <c r="X23" s="7">
        <f t="shared" si="20"/>
        <v>8.144980656</v>
      </c>
      <c r="Y23" s="7">
        <f t="shared" si="21"/>
        <v>900</v>
      </c>
      <c r="Z23" s="7">
        <f t="shared" si="22"/>
        <v>9.163103238</v>
      </c>
    </row>
    <row r="24">
      <c r="A24" s="30" t="str">
        <f>IFERROR(__xludf.DUMMYFUNCTION("""COMPUTED_VALUE"""),"2013 09")</f>
        <v>2013 09</v>
      </c>
      <c r="B24" s="30" t="str">
        <f>IFERROR(__xludf.DUMMYFUNCTION("""COMPUTED_VALUE"""),"99.85")</f>
        <v>99.85</v>
      </c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0.5007511267</v>
      </c>
      <c r="G24" s="7">
        <f t="shared" si="3"/>
        <v>100</v>
      </c>
      <c r="H24" s="7">
        <f t="shared" si="4"/>
        <v>1.001502253</v>
      </c>
      <c r="I24" s="7">
        <f t="shared" si="5"/>
        <v>150</v>
      </c>
      <c r="J24" s="7">
        <f t="shared" si="6"/>
        <v>1.50225338</v>
      </c>
      <c r="K24" s="7">
        <f t="shared" si="7"/>
        <v>200</v>
      </c>
      <c r="L24" s="7">
        <f t="shared" si="8"/>
        <v>2.003004507</v>
      </c>
      <c r="M24" s="7">
        <f t="shared" si="9"/>
        <v>300</v>
      </c>
      <c r="N24" s="7">
        <f t="shared" si="10"/>
        <v>3.00450676</v>
      </c>
      <c r="O24" s="7">
        <f t="shared" si="11"/>
        <v>400</v>
      </c>
      <c r="P24" s="7">
        <f t="shared" si="12"/>
        <v>4.006009014</v>
      </c>
      <c r="Q24" s="7">
        <f t="shared" si="13"/>
        <v>500</v>
      </c>
      <c r="R24" s="7">
        <f t="shared" si="14"/>
        <v>5.007511267</v>
      </c>
      <c r="S24" s="7">
        <f t="shared" si="15"/>
        <v>600</v>
      </c>
      <c r="T24" s="7">
        <f t="shared" si="16"/>
        <v>6.00901352</v>
      </c>
      <c r="U24" s="7">
        <f t="shared" si="17"/>
        <v>700</v>
      </c>
      <c r="V24" s="7">
        <f t="shared" si="18"/>
        <v>7.010515774</v>
      </c>
      <c r="W24" s="7">
        <f t="shared" si="19"/>
        <v>800</v>
      </c>
      <c r="X24" s="7">
        <f t="shared" si="20"/>
        <v>8.012018027</v>
      </c>
      <c r="Y24" s="7">
        <f t="shared" si="21"/>
        <v>900</v>
      </c>
      <c r="Z24" s="7">
        <f t="shared" si="22"/>
        <v>9.01352028</v>
      </c>
    </row>
    <row r="25">
      <c r="A25" s="30" t="str">
        <f>IFERROR(__xludf.DUMMYFUNCTION("""COMPUTED_VALUE"""),"2013 10")</f>
        <v>2013 10</v>
      </c>
      <c r="B25" s="30" t="str">
        <f>IFERROR(__xludf.DUMMYFUNCTION("""COMPUTED_VALUE"""),"93.57")</f>
        <v>93.57</v>
      </c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0.5343593032</v>
      </c>
      <c r="G25" s="7">
        <f t="shared" si="3"/>
        <v>100</v>
      </c>
      <c r="H25" s="7">
        <f t="shared" si="4"/>
        <v>1.068718606</v>
      </c>
      <c r="I25" s="7">
        <f t="shared" si="5"/>
        <v>150</v>
      </c>
      <c r="J25" s="7">
        <f t="shared" si="6"/>
        <v>1.60307791</v>
      </c>
      <c r="K25" s="7">
        <f t="shared" si="7"/>
        <v>200</v>
      </c>
      <c r="L25" s="7">
        <f t="shared" si="8"/>
        <v>2.137437213</v>
      </c>
      <c r="M25" s="7">
        <f t="shared" si="9"/>
        <v>300</v>
      </c>
      <c r="N25" s="7">
        <f t="shared" si="10"/>
        <v>3.206155819</v>
      </c>
      <c r="O25" s="7">
        <f t="shared" si="11"/>
        <v>400</v>
      </c>
      <c r="P25" s="7">
        <f t="shared" si="12"/>
        <v>4.274874426</v>
      </c>
      <c r="Q25" s="7">
        <f t="shared" si="13"/>
        <v>500</v>
      </c>
      <c r="R25" s="7">
        <f t="shared" si="14"/>
        <v>5.343593032</v>
      </c>
      <c r="S25" s="7">
        <f t="shared" si="15"/>
        <v>600</v>
      </c>
      <c r="T25" s="7">
        <f t="shared" si="16"/>
        <v>6.412311638</v>
      </c>
      <c r="U25" s="7">
        <f t="shared" si="17"/>
        <v>700</v>
      </c>
      <c r="V25" s="7">
        <f t="shared" si="18"/>
        <v>7.481030245</v>
      </c>
      <c r="W25" s="7">
        <f t="shared" si="19"/>
        <v>800</v>
      </c>
      <c r="X25" s="7">
        <f t="shared" si="20"/>
        <v>8.549748851</v>
      </c>
      <c r="Y25" s="7">
        <f t="shared" si="21"/>
        <v>900</v>
      </c>
      <c r="Z25" s="7">
        <f t="shared" si="22"/>
        <v>9.618467458</v>
      </c>
    </row>
    <row r="26">
      <c r="A26" s="30" t="str">
        <f>IFERROR(__xludf.DUMMYFUNCTION("""COMPUTED_VALUE"""),"2013 11")</f>
        <v>2013 11</v>
      </c>
      <c r="B26" s="30" t="str">
        <f>IFERROR(__xludf.DUMMYFUNCTION("""COMPUTED_VALUE"""),"96.47")</f>
        <v>96.47</v>
      </c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0.5182958433</v>
      </c>
      <c r="G26" s="7">
        <f t="shared" si="3"/>
        <v>100</v>
      </c>
      <c r="H26" s="7">
        <f t="shared" si="4"/>
        <v>1.036591687</v>
      </c>
      <c r="I26" s="7">
        <f t="shared" si="5"/>
        <v>150</v>
      </c>
      <c r="J26" s="7">
        <f t="shared" si="6"/>
        <v>1.55488753</v>
      </c>
      <c r="K26" s="7">
        <f t="shared" si="7"/>
        <v>200</v>
      </c>
      <c r="L26" s="7">
        <f t="shared" si="8"/>
        <v>2.073183373</v>
      </c>
      <c r="M26" s="7">
        <f t="shared" si="9"/>
        <v>300</v>
      </c>
      <c r="N26" s="7">
        <f t="shared" si="10"/>
        <v>3.10977506</v>
      </c>
      <c r="O26" s="7">
        <f t="shared" si="11"/>
        <v>400</v>
      </c>
      <c r="P26" s="7">
        <f t="shared" si="12"/>
        <v>4.146366746</v>
      </c>
      <c r="Q26" s="7">
        <f t="shared" si="13"/>
        <v>500</v>
      </c>
      <c r="R26" s="7">
        <f t="shared" si="14"/>
        <v>5.182958433</v>
      </c>
      <c r="S26" s="7">
        <f t="shared" si="15"/>
        <v>600</v>
      </c>
      <c r="T26" s="7">
        <f t="shared" si="16"/>
        <v>6.219550119</v>
      </c>
      <c r="U26" s="7">
        <f t="shared" si="17"/>
        <v>700</v>
      </c>
      <c r="V26" s="7">
        <f t="shared" si="18"/>
        <v>7.256141806</v>
      </c>
      <c r="W26" s="7">
        <f t="shared" si="19"/>
        <v>800</v>
      </c>
      <c r="X26" s="7">
        <f t="shared" si="20"/>
        <v>8.292733492</v>
      </c>
      <c r="Y26" s="7">
        <f t="shared" si="21"/>
        <v>900</v>
      </c>
      <c r="Z26" s="7">
        <f t="shared" si="22"/>
        <v>9.329325179</v>
      </c>
    </row>
    <row r="27">
      <c r="A27" s="30" t="str">
        <f>IFERROR(__xludf.DUMMYFUNCTION("""COMPUTED_VALUE"""),"2013 12")</f>
        <v>2013 12</v>
      </c>
      <c r="B27" s="30" t="str">
        <f>IFERROR(__xludf.DUMMYFUNCTION("""COMPUTED_VALUE"""),"102.73")</f>
        <v>102.73</v>
      </c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0.4867127421</v>
      </c>
      <c r="G27" s="7">
        <f t="shared" si="3"/>
        <v>100</v>
      </c>
      <c r="H27" s="7">
        <f t="shared" si="4"/>
        <v>0.9734254843</v>
      </c>
      <c r="I27" s="7">
        <f t="shared" si="5"/>
        <v>150</v>
      </c>
      <c r="J27" s="7">
        <f t="shared" si="6"/>
        <v>1.460138226</v>
      </c>
      <c r="K27" s="7">
        <f t="shared" si="7"/>
        <v>200</v>
      </c>
      <c r="L27" s="7">
        <f t="shared" si="8"/>
        <v>1.946850969</v>
      </c>
      <c r="M27" s="7">
        <f t="shared" si="9"/>
        <v>300</v>
      </c>
      <c r="N27" s="7">
        <f t="shared" si="10"/>
        <v>2.920276453</v>
      </c>
      <c r="O27" s="7">
        <f t="shared" si="11"/>
        <v>400</v>
      </c>
      <c r="P27" s="7">
        <f t="shared" si="12"/>
        <v>3.893701937</v>
      </c>
      <c r="Q27" s="7">
        <f t="shared" si="13"/>
        <v>500</v>
      </c>
      <c r="R27" s="7">
        <f t="shared" si="14"/>
        <v>4.867127421</v>
      </c>
      <c r="S27" s="7">
        <f t="shared" si="15"/>
        <v>600</v>
      </c>
      <c r="T27" s="7">
        <f t="shared" si="16"/>
        <v>5.840552906</v>
      </c>
      <c r="U27" s="7">
        <f t="shared" si="17"/>
        <v>700</v>
      </c>
      <c r="V27" s="7">
        <f t="shared" si="18"/>
        <v>6.81397839</v>
      </c>
      <c r="W27" s="7">
        <f t="shared" si="19"/>
        <v>800</v>
      </c>
      <c r="X27" s="7">
        <f t="shared" si="20"/>
        <v>7.787403874</v>
      </c>
      <c r="Y27" s="7">
        <f t="shared" si="21"/>
        <v>900</v>
      </c>
      <c r="Z27" s="7">
        <f t="shared" si="22"/>
        <v>8.760829359</v>
      </c>
    </row>
    <row r="28">
      <c r="A28" s="30" t="str">
        <f>IFERROR(__xludf.DUMMYFUNCTION("""COMPUTED_VALUE"""),"2014 01")</f>
        <v>2014 01</v>
      </c>
      <c r="B28" s="30" t="str">
        <f>IFERROR(__xludf.DUMMYFUNCTION("""COMPUTED_VALUE"""),"107.26")</f>
        <v>107.26</v>
      </c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0.4661570017</v>
      </c>
      <c r="G28" s="7">
        <f t="shared" si="3"/>
        <v>100</v>
      </c>
      <c r="H28" s="7">
        <f t="shared" si="4"/>
        <v>0.9323140034</v>
      </c>
      <c r="I28" s="7">
        <f t="shared" si="5"/>
        <v>150</v>
      </c>
      <c r="J28" s="7">
        <f t="shared" si="6"/>
        <v>1.398471005</v>
      </c>
      <c r="K28" s="7">
        <f t="shared" si="7"/>
        <v>200</v>
      </c>
      <c r="L28" s="7">
        <f t="shared" si="8"/>
        <v>1.864628007</v>
      </c>
      <c r="M28" s="7">
        <f t="shared" si="9"/>
        <v>300</v>
      </c>
      <c r="N28" s="7">
        <f t="shared" si="10"/>
        <v>2.79694201</v>
      </c>
      <c r="O28" s="7">
        <f t="shared" si="11"/>
        <v>400</v>
      </c>
      <c r="P28" s="7">
        <f t="shared" si="12"/>
        <v>3.729256013</v>
      </c>
      <c r="Q28" s="7">
        <f t="shared" si="13"/>
        <v>500</v>
      </c>
      <c r="R28" s="7">
        <f t="shared" si="14"/>
        <v>4.661570017</v>
      </c>
      <c r="S28" s="7">
        <f t="shared" si="15"/>
        <v>600</v>
      </c>
      <c r="T28" s="7">
        <f t="shared" si="16"/>
        <v>5.59388402</v>
      </c>
      <c r="U28" s="7">
        <f t="shared" si="17"/>
        <v>700</v>
      </c>
      <c r="V28" s="7">
        <f t="shared" si="18"/>
        <v>6.526198023</v>
      </c>
      <c r="W28" s="7">
        <f t="shared" si="19"/>
        <v>800</v>
      </c>
      <c r="X28" s="7">
        <f t="shared" si="20"/>
        <v>7.458512027</v>
      </c>
      <c r="Y28" s="7">
        <f t="shared" si="21"/>
        <v>900</v>
      </c>
      <c r="Z28" s="7">
        <f t="shared" si="22"/>
        <v>8.39082603</v>
      </c>
    </row>
    <row r="29">
      <c r="A29" s="30" t="str">
        <f>IFERROR(__xludf.DUMMYFUNCTION("""COMPUTED_VALUE"""),"2014 02")</f>
        <v>2014 02</v>
      </c>
      <c r="B29" s="30" t="str">
        <f>IFERROR(__xludf.DUMMYFUNCTION("""COMPUTED_VALUE"""),"104.34")</f>
        <v>104.34</v>
      </c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0.4792026069</v>
      </c>
      <c r="G29" s="7">
        <f t="shared" si="3"/>
        <v>100</v>
      </c>
      <c r="H29" s="7">
        <f t="shared" si="4"/>
        <v>0.9584052137</v>
      </c>
      <c r="I29" s="7">
        <f t="shared" si="5"/>
        <v>150</v>
      </c>
      <c r="J29" s="7">
        <f t="shared" si="6"/>
        <v>1.437607821</v>
      </c>
      <c r="K29" s="7">
        <f t="shared" si="7"/>
        <v>200</v>
      </c>
      <c r="L29" s="7">
        <f t="shared" si="8"/>
        <v>1.916810427</v>
      </c>
      <c r="M29" s="7">
        <f t="shared" si="9"/>
        <v>300</v>
      </c>
      <c r="N29" s="7">
        <f t="shared" si="10"/>
        <v>2.875215641</v>
      </c>
      <c r="O29" s="7">
        <f t="shared" si="11"/>
        <v>400</v>
      </c>
      <c r="P29" s="7">
        <f t="shared" si="12"/>
        <v>3.833620855</v>
      </c>
      <c r="Q29" s="7">
        <f t="shared" si="13"/>
        <v>500</v>
      </c>
      <c r="R29" s="7">
        <f t="shared" si="14"/>
        <v>4.792026069</v>
      </c>
      <c r="S29" s="7">
        <f t="shared" si="15"/>
        <v>600</v>
      </c>
      <c r="T29" s="7">
        <f t="shared" si="16"/>
        <v>5.750431282</v>
      </c>
      <c r="U29" s="7">
        <f t="shared" si="17"/>
        <v>700</v>
      </c>
      <c r="V29" s="7">
        <f t="shared" si="18"/>
        <v>6.708836496</v>
      </c>
      <c r="W29" s="7">
        <f t="shared" si="19"/>
        <v>800</v>
      </c>
      <c r="X29" s="7">
        <f t="shared" si="20"/>
        <v>7.66724171</v>
      </c>
      <c r="Y29" s="7">
        <f t="shared" si="21"/>
        <v>900</v>
      </c>
      <c r="Z29" s="7">
        <f t="shared" si="22"/>
        <v>8.625646924</v>
      </c>
    </row>
    <row r="30">
      <c r="A30" s="30" t="str">
        <f>IFERROR(__xludf.DUMMYFUNCTION("""COMPUTED_VALUE"""),"2014 03")</f>
        <v>2014 03</v>
      </c>
      <c r="B30" s="30" t="str">
        <f>IFERROR(__xludf.DUMMYFUNCTION("""COMPUTED_VALUE"""),"108.48")</f>
        <v>108.48</v>
      </c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0.4609144543</v>
      </c>
      <c r="G30" s="7">
        <f t="shared" si="3"/>
        <v>100</v>
      </c>
      <c r="H30" s="7">
        <f t="shared" si="4"/>
        <v>0.9218289086</v>
      </c>
      <c r="I30" s="7">
        <f t="shared" si="5"/>
        <v>150</v>
      </c>
      <c r="J30" s="7">
        <f t="shared" si="6"/>
        <v>1.382743363</v>
      </c>
      <c r="K30" s="7">
        <f t="shared" si="7"/>
        <v>200</v>
      </c>
      <c r="L30" s="7">
        <f t="shared" si="8"/>
        <v>1.843657817</v>
      </c>
      <c r="M30" s="7">
        <f t="shared" si="9"/>
        <v>300</v>
      </c>
      <c r="N30" s="7">
        <f t="shared" si="10"/>
        <v>2.765486726</v>
      </c>
      <c r="O30" s="7">
        <f t="shared" si="11"/>
        <v>400</v>
      </c>
      <c r="P30" s="7">
        <f t="shared" si="12"/>
        <v>3.687315634</v>
      </c>
      <c r="Q30" s="7">
        <f t="shared" si="13"/>
        <v>500</v>
      </c>
      <c r="R30" s="7">
        <f t="shared" si="14"/>
        <v>4.609144543</v>
      </c>
      <c r="S30" s="7">
        <f t="shared" si="15"/>
        <v>600</v>
      </c>
      <c r="T30" s="7">
        <f t="shared" si="16"/>
        <v>5.530973451</v>
      </c>
      <c r="U30" s="7">
        <f t="shared" si="17"/>
        <v>700</v>
      </c>
      <c r="V30" s="7">
        <f t="shared" si="18"/>
        <v>6.45280236</v>
      </c>
      <c r="W30" s="7">
        <f t="shared" si="19"/>
        <v>800</v>
      </c>
      <c r="X30" s="7">
        <f t="shared" si="20"/>
        <v>7.374631268</v>
      </c>
      <c r="Y30" s="7">
        <f t="shared" si="21"/>
        <v>900</v>
      </c>
      <c r="Z30" s="7">
        <f t="shared" si="22"/>
        <v>8.296460177</v>
      </c>
    </row>
    <row r="31">
      <c r="A31" s="30" t="str">
        <f>IFERROR(__xludf.DUMMYFUNCTION("""COMPUTED_VALUE"""),"2014 04")</f>
        <v>2014 04</v>
      </c>
      <c r="B31" s="30" t="str">
        <f>IFERROR(__xludf.DUMMYFUNCTION("""COMPUTED_VALUE"""),"106.69")</f>
        <v>106.69</v>
      </c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0.4686474834</v>
      </c>
      <c r="G31" s="7">
        <f t="shared" si="3"/>
        <v>100</v>
      </c>
      <c r="H31" s="7">
        <f t="shared" si="4"/>
        <v>0.9372949667</v>
      </c>
      <c r="I31" s="7">
        <f t="shared" si="5"/>
        <v>150</v>
      </c>
      <c r="J31" s="7">
        <f t="shared" si="6"/>
        <v>1.40594245</v>
      </c>
      <c r="K31" s="7">
        <f t="shared" si="7"/>
        <v>200</v>
      </c>
      <c r="L31" s="7">
        <f t="shared" si="8"/>
        <v>1.874589933</v>
      </c>
      <c r="M31" s="7">
        <f t="shared" si="9"/>
        <v>300</v>
      </c>
      <c r="N31" s="7">
        <f t="shared" si="10"/>
        <v>2.8118849</v>
      </c>
      <c r="O31" s="7">
        <f t="shared" si="11"/>
        <v>400</v>
      </c>
      <c r="P31" s="7">
        <f t="shared" si="12"/>
        <v>3.749179867</v>
      </c>
      <c r="Q31" s="7">
        <f t="shared" si="13"/>
        <v>500</v>
      </c>
      <c r="R31" s="7">
        <f t="shared" si="14"/>
        <v>4.686474834</v>
      </c>
      <c r="S31" s="7">
        <f t="shared" si="15"/>
        <v>600</v>
      </c>
      <c r="T31" s="7">
        <f t="shared" si="16"/>
        <v>5.6237698</v>
      </c>
      <c r="U31" s="7">
        <f t="shared" si="17"/>
        <v>700</v>
      </c>
      <c r="V31" s="7">
        <f t="shared" si="18"/>
        <v>6.561064767</v>
      </c>
      <c r="W31" s="7">
        <f t="shared" si="19"/>
        <v>800</v>
      </c>
      <c r="X31" s="7">
        <f t="shared" si="20"/>
        <v>7.498359734</v>
      </c>
      <c r="Y31" s="7">
        <f t="shared" si="21"/>
        <v>900</v>
      </c>
      <c r="Z31" s="7">
        <f t="shared" si="22"/>
        <v>8.435654701</v>
      </c>
    </row>
    <row r="32">
      <c r="A32" s="30" t="str">
        <f>IFERROR(__xludf.DUMMYFUNCTION("""COMPUTED_VALUE"""),"2014 05")</f>
        <v>2014 05</v>
      </c>
      <c r="B32" s="30" t="str">
        <f>IFERROR(__xludf.DUMMYFUNCTION("""COMPUTED_VALUE"""),"105.1")</f>
        <v>105.1</v>
      </c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0.475737393</v>
      </c>
      <c r="G32" s="7">
        <f t="shared" si="3"/>
        <v>100</v>
      </c>
      <c r="H32" s="7">
        <f t="shared" si="4"/>
        <v>0.9514747859</v>
      </c>
      <c r="I32" s="7">
        <f t="shared" si="5"/>
        <v>150</v>
      </c>
      <c r="J32" s="7">
        <f t="shared" si="6"/>
        <v>1.427212179</v>
      </c>
      <c r="K32" s="7">
        <f t="shared" si="7"/>
        <v>200</v>
      </c>
      <c r="L32" s="7">
        <f t="shared" si="8"/>
        <v>1.902949572</v>
      </c>
      <c r="M32" s="7">
        <f t="shared" si="9"/>
        <v>300</v>
      </c>
      <c r="N32" s="7">
        <f t="shared" si="10"/>
        <v>2.854424358</v>
      </c>
      <c r="O32" s="7">
        <f t="shared" si="11"/>
        <v>400</v>
      </c>
      <c r="P32" s="7">
        <f t="shared" si="12"/>
        <v>3.805899144</v>
      </c>
      <c r="Q32" s="7">
        <f t="shared" si="13"/>
        <v>500</v>
      </c>
      <c r="R32" s="7">
        <f t="shared" si="14"/>
        <v>4.75737393</v>
      </c>
      <c r="S32" s="7">
        <f t="shared" si="15"/>
        <v>600</v>
      </c>
      <c r="T32" s="7">
        <f t="shared" si="16"/>
        <v>5.708848716</v>
      </c>
      <c r="U32" s="7">
        <f t="shared" si="17"/>
        <v>700</v>
      </c>
      <c r="V32" s="7">
        <f t="shared" si="18"/>
        <v>6.660323501</v>
      </c>
      <c r="W32" s="7">
        <f t="shared" si="19"/>
        <v>800</v>
      </c>
      <c r="X32" s="7">
        <f t="shared" si="20"/>
        <v>7.611798287</v>
      </c>
      <c r="Y32" s="7">
        <f t="shared" si="21"/>
        <v>900</v>
      </c>
      <c r="Z32" s="7">
        <f t="shared" si="22"/>
        <v>8.563273073</v>
      </c>
    </row>
    <row r="33">
      <c r="A33" s="30" t="str">
        <f>IFERROR(__xludf.DUMMYFUNCTION("""COMPUTED_VALUE"""),"2014 06")</f>
        <v>2014 06</v>
      </c>
      <c r="B33" s="30" t="str">
        <f>IFERROR(__xludf.DUMMYFUNCTION("""COMPUTED_VALUE"""),"108")</f>
        <v>108</v>
      </c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0.462962963</v>
      </c>
      <c r="G33" s="7">
        <f t="shared" si="3"/>
        <v>100</v>
      </c>
      <c r="H33" s="7">
        <f t="shared" si="4"/>
        <v>0.9259259259</v>
      </c>
      <c r="I33" s="7">
        <f t="shared" si="5"/>
        <v>150</v>
      </c>
      <c r="J33" s="7">
        <f t="shared" si="6"/>
        <v>1.388888889</v>
      </c>
      <c r="K33" s="7">
        <f t="shared" si="7"/>
        <v>200</v>
      </c>
      <c r="L33" s="7">
        <f t="shared" si="8"/>
        <v>1.851851852</v>
      </c>
      <c r="M33" s="7">
        <f t="shared" si="9"/>
        <v>300</v>
      </c>
      <c r="N33" s="7">
        <f t="shared" si="10"/>
        <v>2.777777778</v>
      </c>
      <c r="O33" s="7">
        <f t="shared" si="11"/>
        <v>400</v>
      </c>
      <c r="P33" s="7">
        <f t="shared" si="12"/>
        <v>3.703703704</v>
      </c>
      <c r="Q33" s="7">
        <f t="shared" si="13"/>
        <v>500</v>
      </c>
      <c r="R33" s="7">
        <f t="shared" si="14"/>
        <v>4.62962963</v>
      </c>
      <c r="S33" s="7">
        <f t="shared" si="15"/>
        <v>600</v>
      </c>
      <c r="T33" s="7">
        <f t="shared" si="16"/>
        <v>5.555555556</v>
      </c>
      <c r="U33" s="7">
        <f t="shared" si="17"/>
        <v>700</v>
      </c>
      <c r="V33" s="7">
        <f t="shared" si="18"/>
        <v>6.481481481</v>
      </c>
      <c r="W33" s="7">
        <f t="shared" si="19"/>
        <v>800</v>
      </c>
      <c r="X33" s="7">
        <f t="shared" si="20"/>
        <v>7.407407407</v>
      </c>
      <c r="Y33" s="7">
        <f t="shared" si="21"/>
        <v>900</v>
      </c>
      <c r="Z33" s="7">
        <f t="shared" si="22"/>
        <v>8.333333333</v>
      </c>
    </row>
    <row r="34">
      <c r="A34" s="30" t="str">
        <f>IFERROR(__xludf.DUMMYFUNCTION("""COMPUTED_VALUE"""),"2014 07")</f>
        <v>2014 07</v>
      </c>
      <c r="B34" s="30" t="str">
        <f>IFERROR(__xludf.DUMMYFUNCTION("""COMPUTED_VALUE"""),"107.87")</f>
        <v>107.87</v>
      </c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0.4635209048</v>
      </c>
      <c r="G34" s="7">
        <f t="shared" si="3"/>
        <v>100</v>
      </c>
      <c r="H34" s="7">
        <f t="shared" si="4"/>
        <v>0.9270418096</v>
      </c>
      <c r="I34" s="7">
        <f t="shared" si="5"/>
        <v>150</v>
      </c>
      <c r="J34" s="7">
        <f t="shared" si="6"/>
        <v>1.390562714</v>
      </c>
      <c r="K34" s="7">
        <f t="shared" si="7"/>
        <v>200</v>
      </c>
      <c r="L34" s="7">
        <f t="shared" si="8"/>
        <v>1.854083619</v>
      </c>
      <c r="M34" s="7">
        <f t="shared" si="9"/>
        <v>300</v>
      </c>
      <c r="N34" s="7">
        <f t="shared" si="10"/>
        <v>2.781125429</v>
      </c>
      <c r="O34" s="7">
        <f t="shared" si="11"/>
        <v>400</v>
      </c>
      <c r="P34" s="7">
        <f t="shared" si="12"/>
        <v>3.708167238</v>
      </c>
      <c r="Q34" s="7">
        <f t="shared" si="13"/>
        <v>500</v>
      </c>
      <c r="R34" s="7">
        <f t="shared" si="14"/>
        <v>4.635209048</v>
      </c>
      <c r="S34" s="7">
        <f t="shared" si="15"/>
        <v>600</v>
      </c>
      <c r="T34" s="7">
        <f t="shared" si="16"/>
        <v>5.562250858</v>
      </c>
      <c r="U34" s="7">
        <f t="shared" si="17"/>
        <v>700</v>
      </c>
      <c r="V34" s="7">
        <f t="shared" si="18"/>
        <v>6.489292667</v>
      </c>
      <c r="W34" s="7">
        <f t="shared" si="19"/>
        <v>800</v>
      </c>
      <c r="X34" s="7">
        <f t="shared" si="20"/>
        <v>7.416334477</v>
      </c>
      <c r="Y34" s="7">
        <f t="shared" si="21"/>
        <v>900</v>
      </c>
      <c r="Z34" s="7">
        <f t="shared" si="22"/>
        <v>8.343376286</v>
      </c>
    </row>
    <row r="35">
      <c r="A35" s="30" t="str">
        <f>IFERROR(__xludf.DUMMYFUNCTION("""COMPUTED_VALUE"""),"2014 08")</f>
        <v>2014 08</v>
      </c>
      <c r="B35" s="30" t="str">
        <f>IFERROR(__xludf.DUMMYFUNCTION("""COMPUTED_VALUE"""),"107.5")</f>
        <v>107.5</v>
      </c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0.4651162791</v>
      </c>
      <c r="G35" s="7">
        <f t="shared" si="3"/>
        <v>100</v>
      </c>
      <c r="H35" s="7">
        <f t="shared" si="4"/>
        <v>0.9302325581</v>
      </c>
      <c r="I35" s="7">
        <f t="shared" si="5"/>
        <v>150</v>
      </c>
      <c r="J35" s="7">
        <f t="shared" si="6"/>
        <v>1.395348837</v>
      </c>
      <c r="K35" s="7">
        <f t="shared" si="7"/>
        <v>200</v>
      </c>
      <c r="L35" s="7">
        <f t="shared" si="8"/>
        <v>1.860465116</v>
      </c>
      <c r="M35" s="7">
        <f t="shared" si="9"/>
        <v>300</v>
      </c>
      <c r="N35" s="7">
        <f t="shared" si="10"/>
        <v>2.790697674</v>
      </c>
      <c r="O35" s="7">
        <f t="shared" si="11"/>
        <v>400</v>
      </c>
      <c r="P35" s="7">
        <f t="shared" si="12"/>
        <v>3.720930233</v>
      </c>
      <c r="Q35" s="7">
        <f t="shared" si="13"/>
        <v>500</v>
      </c>
      <c r="R35" s="7">
        <f t="shared" si="14"/>
        <v>4.651162791</v>
      </c>
      <c r="S35" s="7">
        <f t="shared" si="15"/>
        <v>600</v>
      </c>
      <c r="T35" s="7">
        <f t="shared" si="16"/>
        <v>5.581395349</v>
      </c>
      <c r="U35" s="7">
        <f t="shared" si="17"/>
        <v>700</v>
      </c>
      <c r="V35" s="7">
        <f t="shared" si="18"/>
        <v>6.511627907</v>
      </c>
      <c r="W35" s="7">
        <f t="shared" si="19"/>
        <v>800</v>
      </c>
      <c r="X35" s="7">
        <f t="shared" si="20"/>
        <v>7.441860465</v>
      </c>
      <c r="Y35" s="7">
        <f t="shared" si="21"/>
        <v>900</v>
      </c>
      <c r="Z35" s="7">
        <f t="shared" si="22"/>
        <v>8.372093023</v>
      </c>
    </row>
    <row r="36">
      <c r="A36" s="30" t="str">
        <f>IFERROR(__xludf.DUMMYFUNCTION("""COMPUTED_VALUE"""),"2014 09")</f>
        <v>2014 09</v>
      </c>
      <c r="B36" s="30" t="str">
        <f>IFERROR(__xludf.DUMMYFUNCTION("""COMPUTED_VALUE"""),"111.37")</f>
        <v>111.37</v>
      </c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0.4489539373</v>
      </c>
      <c r="G36" s="7">
        <f t="shared" si="3"/>
        <v>100</v>
      </c>
      <c r="H36" s="7">
        <f t="shared" si="4"/>
        <v>0.8979078747</v>
      </c>
      <c r="I36" s="7">
        <f t="shared" si="5"/>
        <v>150</v>
      </c>
      <c r="J36" s="7">
        <f t="shared" si="6"/>
        <v>1.346861812</v>
      </c>
      <c r="K36" s="7">
        <f t="shared" si="7"/>
        <v>200</v>
      </c>
      <c r="L36" s="7">
        <f t="shared" si="8"/>
        <v>1.795815749</v>
      </c>
      <c r="M36" s="7">
        <f t="shared" si="9"/>
        <v>300</v>
      </c>
      <c r="N36" s="7">
        <f t="shared" si="10"/>
        <v>2.693723624</v>
      </c>
      <c r="O36" s="7">
        <f t="shared" si="11"/>
        <v>400</v>
      </c>
      <c r="P36" s="7">
        <f t="shared" si="12"/>
        <v>3.591631499</v>
      </c>
      <c r="Q36" s="7">
        <f t="shared" si="13"/>
        <v>500</v>
      </c>
      <c r="R36" s="7">
        <f t="shared" si="14"/>
        <v>4.489539373</v>
      </c>
      <c r="S36" s="7">
        <f t="shared" si="15"/>
        <v>600</v>
      </c>
      <c r="T36" s="7">
        <f t="shared" si="16"/>
        <v>5.387447248</v>
      </c>
      <c r="U36" s="7">
        <f t="shared" si="17"/>
        <v>700</v>
      </c>
      <c r="V36" s="7">
        <f t="shared" si="18"/>
        <v>6.285355123</v>
      </c>
      <c r="W36" s="7">
        <f t="shared" si="19"/>
        <v>800</v>
      </c>
      <c r="X36" s="7">
        <f t="shared" si="20"/>
        <v>7.183262997</v>
      </c>
      <c r="Y36" s="7">
        <f t="shared" si="21"/>
        <v>900</v>
      </c>
      <c r="Z36" s="7">
        <f t="shared" si="22"/>
        <v>8.081170872</v>
      </c>
    </row>
    <row r="37">
      <c r="A37" s="30" t="str">
        <f>IFERROR(__xludf.DUMMYFUNCTION("""COMPUTED_VALUE"""),"2014 10")</f>
        <v>2014 10</v>
      </c>
      <c r="B37" s="30" t="str">
        <f>IFERROR(__xludf.DUMMYFUNCTION("""COMPUTED_VALUE"""),"114.9")</f>
        <v>114.9</v>
      </c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0.4351610096</v>
      </c>
      <c r="G37" s="7">
        <f t="shared" si="3"/>
        <v>100</v>
      </c>
      <c r="H37" s="7">
        <f t="shared" si="4"/>
        <v>0.8703220191</v>
      </c>
      <c r="I37" s="7">
        <f t="shared" si="5"/>
        <v>150</v>
      </c>
      <c r="J37" s="7">
        <f t="shared" si="6"/>
        <v>1.305483029</v>
      </c>
      <c r="K37" s="7">
        <f t="shared" si="7"/>
        <v>200</v>
      </c>
      <c r="L37" s="7">
        <f t="shared" si="8"/>
        <v>1.740644038</v>
      </c>
      <c r="M37" s="7">
        <f t="shared" si="9"/>
        <v>300</v>
      </c>
      <c r="N37" s="7">
        <f t="shared" si="10"/>
        <v>2.610966057</v>
      </c>
      <c r="O37" s="7">
        <f t="shared" si="11"/>
        <v>400</v>
      </c>
      <c r="P37" s="7">
        <f t="shared" si="12"/>
        <v>3.481288077</v>
      </c>
      <c r="Q37" s="7">
        <f t="shared" si="13"/>
        <v>500</v>
      </c>
      <c r="R37" s="7">
        <f t="shared" si="14"/>
        <v>4.351610096</v>
      </c>
      <c r="S37" s="7">
        <f t="shared" si="15"/>
        <v>600</v>
      </c>
      <c r="T37" s="7">
        <f t="shared" si="16"/>
        <v>5.221932115</v>
      </c>
      <c r="U37" s="7">
        <f t="shared" si="17"/>
        <v>700</v>
      </c>
      <c r="V37" s="7">
        <f t="shared" si="18"/>
        <v>6.092254134</v>
      </c>
      <c r="W37" s="7">
        <f t="shared" si="19"/>
        <v>800</v>
      </c>
      <c r="X37" s="7">
        <f t="shared" si="20"/>
        <v>6.962576153</v>
      </c>
      <c r="Y37" s="7">
        <f t="shared" si="21"/>
        <v>900</v>
      </c>
      <c r="Z37" s="7">
        <f t="shared" si="22"/>
        <v>7.832898172</v>
      </c>
    </row>
    <row r="38">
      <c r="A38" s="30" t="str">
        <f>IFERROR(__xludf.DUMMYFUNCTION("""COMPUTED_VALUE"""),"2014 11")</f>
        <v>2014 11</v>
      </c>
      <c r="B38" s="30" t="str">
        <f>IFERROR(__xludf.DUMMYFUNCTION("""COMPUTED_VALUE"""),"119.65")</f>
        <v>119.65</v>
      </c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0.4178854994</v>
      </c>
      <c r="G38" s="7">
        <f t="shared" si="3"/>
        <v>100</v>
      </c>
      <c r="H38" s="7">
        <f t="shared" si="4"/>
        <v>0.8357709987</v>
      </c>
      <c r="I38" s="7">
        <f t="shared" si="5"/>
        <v>150</v>
      </c>
      <c r="J38" s="7">
        <f t="shared" si="6"/>
        <v>1.253656498</v>
      </c>
      <c r="K38" s="7">
        <f t="shared" si="7"/>
        <v>200</v>
      </c>
      <c r="L38" s="7">
        <f t="shared" si="8"/>
        <v>1.671541997</v>
      </c>
      <c r="M38" s="7">
        <f t="shared" si="9"/>
        <v>300</v>
      </c>
      <c r="N38" s="7">
        <f t="shared" si="10"/>
        <v>2.507312996</v>
      </c>
      <c r="O38" s="7">
        <f t="shared" si="11"/>
        <v>400</v>
      </c>
      <c r="P38" s="7">
        <f t="shared" si="12"/>
        <v>3.343083995</v>
      </c>
      <c r="Q38" s="7">
        <f t="shared" si="13"/>
        <v>500</v>
      </c>
      <c r="R38" s="7">
        <f t="shared" si="14"/>
        <v>4.178854994</v>
      </c>
      <c r="S38" s="7">
        <f t="shared" si="15"/>
        <v>600</v>
      </c>
      <c r="T38" s="7">
        <f t="shared" si="16"/>
        <v>5.014625992</v>
      </c>
      <c r="U38" s="7">
        <f t="shared" si="17"/>
        <v>700</v>
      </c>
      <c r="V38" s="7">
        <f t="shared" si="18"/>
        <v>5.850396991</v>
      </c>
      <c r="W38" s="7">
        <f t="shared" si="19"/>
        <v>800</v>
      </c>
      <c r="X38" s="7">
        <f t="shared" si="20"/>
        <v>6.68616799</v>
      </c>
      <c r="Y38" s="7">
        <f t="shared" si="21"/>
        <v>900</v>
      </c>
      <c r="Z38" s="7">
        <f t="shared" si="22"/>
        <v>7.521938989</v>
      </c>
    </row>
    <row r="39">
      <c r="A39" s="30" t="str">
        <f>IFERROR(__xludf.DUMMYFUNCTION("""COMPUTED_VALUE"""),"2014 12")</f>
        <v>2014 12</v>
      </c>
      <c r="B39" s="30" t="str">
        <f>IFERROR(__xludf.DUMMYFUNCTION("""COMPUTED_VALUE"""),"124.6")</f>
        <v>124.6</v>
      </c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0.4012841091</v>
      </c>
      <c r="G39" s="7">
        <f t="shared" si="3"/>
        <v>100</v>
      </c>
      <c r="H39" s="7">
        <f t="shared" si="4"/>
        <v>0.8025682183</v>
      </c>
      <c r="I39" s="7">
        <f t="shared" si="5"/>
        <v>150</v>
      </c>
      <c r="J39" s="7">
        <f t="shared" si="6"/>
        <v>1.203852327</v>
      </c>
      <c r="K39" s="7">
        <f t="shared" si="7"/>
        <v>200</v>
      </c>
      <c r="L39" s="7">
        <f t="shared" si="8"/>
        <v>1.605136437</v>
      </c>
      <c r="M39" s="7">
        <f t="shared" si="9"/>
        <v>300</v>
      </c>
      <c r="N39" s="7">
        <f t="shared" si="10"/>
        <v>2.407704655</v>
      </c>
      <c r="O39" s="7">
        <f t="shared" si="11"/>
        <v>400</v>
      </c>
      <c r="P39" s="7">
        <f t="shared" si="12"/>
        <v>3.210272873</v>
      </c>
      <c r="Q39" s="7">
        <f t="shared" si="13"/>
        <v>500</v>
      </c>
      <c r="R39" s="7">
        <f t="shared" si="14"/>
        <v>4.012841091</v>
      </c>
      <c r="S39" s="7">
        <f t="shared" si="15"/>
        <v>600</v>
      </c>
      <c r="T39" s="7">
        <f t="shared" si="16"/>
        <v>4.81540931</v>
      </c>
      <c r="U39" s="7">
        <f t="shared" si="17"/>
        <v>700</v>
      </c>
      <c r="V39" s="7">
        <f t="shared" si="18"/>
        <v>5.617977528</v>
      </c>
      <c r="W39" s="7">
        <f t="shared" si="19"/>
        <v>800</v>
      </c>
      <c r="X39" s="7">
        <f t="shared" si="20"/>
        <v>6.420545746</v>
      </c>
      <c r="Y39" s="7">
        <f t="shared" si="21"/>
        <v>900</v>
      </c>
      <c r="Z39" s="7">
        <f t="shared" si="22"/>
        <v>7.223113965</v>
      </c>
    </row>
    <row r="40">
      <c r="A40" s="30" t="str">
        <f>IFERROR(__xludf.DUMMYFUNCTION("""COMPUTED_VALUE"""),"2015 01")</f>
        <v>2015 01</v>
      </c>
      <c r="B40" s="30" t="str">
        <f>IFERROR(__xludf.DUMMYFUNCTION("""COMPUTED_VALUE"""),"131.07")</f>
        <v>131.07</v>
      </c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0.3814755474</v>
      </c>
      <c r="G40" s="7">
        <f t="shared" si="3"/>
        <v>100</v>
      </c>
      <c r="H40" s="7">
        <f t="shared" si="4"/>
        <v>0.7629510948</v>
      </c>
      <c r="I40" s="7">
        <f t="shared" si="5"/>
        <v>150</v>
      </c>
      <c r="J40" s="7">
        <f t="shared" si="6"/>
        <v>1.144426642</v>
      </c>
      <c r="K40" s="7">
        <f t="shared" si="7"/>
        <v>200</v>
      </c>
      <c r="L40" s="7">
        <f t="shared" si="8"/>
        <v>1.52590219</v>
      </c>
      <c r="M40" s="7">
        <f t="shared" si="9"/>
        <v>300</v>
      </c>
      <c r="N40" s="7">
        <f t="shared" si="10"/>
        <v>2.288853285</v>
      </c>
      <c r="O40" s="7">
        <f t="shared" si="11"/>
        <v>400</v>
      </c>
      <c r="P40" s="7">
        <f t="shared" si="12"/>
        <v>3.051804379</v>
      </c>
      <c r="Q40" s="7">
        <f t="shared" si="13"/>
        <v>500</v>
      </c>
      <c r="R40" s="7">
        <f t="shared" si="14"/>
        <v>3.814755474</v>
      </c>
      <c r="S40" s="7">
        <f t="shared" si="15"/>
        <v>600</v>
      </c>
      <c r="T40" s="7">
        <f t="shared" si="16"/>
        <v>4.577706569</v>
      </c>
      <c r="U40" s="7">
        <f t="shared" si="17"/>
        <v>700</v>
      </c>
      <c r="V40" s="7">
        <f t="shared" si="18"/>
        <v>5.340657664</v>
      </c>
      <c r="W40" s="7">
        <f t="shared" si="19"/>
        <v>800</v>
      </c>
      <c r="X40" s="7">
        <f t="shared" si="20"/>
        <v>6.103608759</v>
      </c>
      <c r="Y40" s="7">
        <f t="shared" si="21"/>
        <v>900</v>
      </c>
      <c r="Z40" s="7">
        <f t="shared" si="22"/>
        <v>6.866559854</v>
      </c>
    </row>
    <row r="41">
      <c r="A41" s="30" t="str">
        <f>IFERROR(__xludf.DUMMYFUNCTION("""COMPUTED_VALUE"""),"2015 02")</f>
        <v>2015 02</v>
      </c>
      <c r="B41" s="30" t="str">
        <f>IFERROR(__xludf.DUMMYFUNCTION("""COMPUTED_VALUE"""),"133")</f>
        <v>133</v>
      </c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0.3759398496</v>
      </c>
      <c r="G41" s="7">
        <f t="shared" si="3"/>
        <v>100</v>
      </c>
      <c r="H41" s="7">
        <f t="shared" si="4"/>
        <v>0.7518796992</v>
      </c>
      <c r="I41" s="7">
        <f t="shared" si="5"/>
        <v>150</v>
      </c>
      <c r="J41" s="7">
        <f t="shared" si="6"/>
        <v>1.127819549</v>
      </c>
      <c r="K41" s="7">
        <f t="shared" si="7"/>
        <v>200</v>
      </c>
      <c r="L41" s="7">
        <f t="shared" si="8"/>
        <v>1.503759398</v>
      </c>
      <c r="M41" s="7">
        <f t="shared" si="9"/>
        <v>300</v>
      </c>
      <c r="N41" s="7">
        <f t="shared" si="10"/>
        <v>2.255639098</v>
      </c>
      <c r="O41" s="7">
        <f t="shared" si="11"/>
        <v>400</v>
      </c>
      <c r="P41" s="7">
        <f t="shared" si="12"/>
        <v>3.007518797</v>
      </c>
      <c r="Q41" s="7">
        <f t="shared" si="13"/>
        <v>500</v>
      </c>
      <c r="R41" s="7">
        <f t="shared" si="14"/>
        <v>3.759398496</v>
      </c>
      <c r="S41" s="7">
        <f t="shared" si="15"/>
        <v>600</v>
      </c>
      <c r="T41" s="7">
        <f t="shared" si="16"/>
        <v>4.511278195</v>
      </c>
      <c r="U41" s="7">
        <f t="shared" si="17"/>
        <v>700</v>
      </c>
      <c r="V41" s="7">
        <f t="shared" si="18"/>
        <v>5.263157895</v>
      </c>
      <c r="W41" s="7">
        <f t="shared" si="19"/>
        <v>800</v>
      </c>
      <c r="X41" s="7">
        <f t="shared" si="20"/>
        <v>6.015037594</v>
      </c>
      <c r="Y41" s="7">
        <f t="shared" si="21"/>
        <v>900</v>
      </c>
      <c r="Z41" s="7">
        <f t="shared" si="22"/>
        <v>6.766917293</v>
      </c>
    </row>
    <row r="42">
      <c r="A42" s="30" t="str">
        <f>IFERROR(__xludf.DUMMYFUNCTION("""COMPUTED_VALUE"""),"2015 03")</f>
        <v>2015 03</v>
      </c>
      <c r="B42" s="30" t="str">
        <f>IFERROR(__xludf.DUMMYFUNCTION("""COMPUTED_VALUE"""),"140.64")</f>
        <v>140.64</v>
      </c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0.3555176337</v>
      </c>
      <c r="G42" s="7">
        <f t="shared" si="3"/>
        <v>100</v>
      </c>
      <c r="H42" s="7">
        <f t="shared" si="4"/>
        <v>0.7110352673</v>
      </c>
      <c r="I42" s="7">
        <f t="shared" si="5"/>
        <v>150</v>
      </c>
      <c r="J42" s="7">
        <f t="shared" si="6"/>
        <v>1.066552901</v>
      </c>
      <c r="K42" s="7">
        <f t="shared" si="7"/>
        <v>200</v>
      </c>
      <c r="L42" s="7">
        <f t="shared" si="8"/>
        <v>1.422070535</v>
      </c>
      <c r="M42" s="7">
        <f t="shared" si="9"/>
        <v>300</v>
      </c>
      <c r="N42" s="7">
        <f t="shared" si="10"/>
        <v>2.133105802</v>
      </c>
      <c r="O42" s="7">
        <f t="shared" si="11"/>
        <v>400</v>
      </c>
      <c r="P42" s="7">
        <f t="shared" si="12"/>
        <v>2.844141069</v>
      </c>
      <c r="Q42" s="7">
        <f t="shared" si="13"/>
        <v>500</v>
      </c>
      <c r="R42" s="7">
        <f t="shared" si="14"/>
        <v>3.555176337</v>
      </c>
      <c r="S42" s="7">
        <f t="shared" si="15"/>
        <v>600</v>
      </c>
      <c r="T42" s="7">
        <f t="shared" si="16"/>
        <v>4.266211604</v>
      </c>
      <c r="U42" s="7">
        <f t="shared" si="17"/>
        <v>700</v>
      </c>
      <c r="V42" s="7">
        <f t="shared" si="18"/>
        <v>4.977246871</v>
      </c>
      <c r="W42" s="7">
        <f t="shared" si="19"/>
        <v>800</v>
      </c>
      <c r="X42" s="7">
        <f t="shared" si="20"/>
        <v>5.688282139</v>
      </c>
      <c r="Y42" s="7">
        <f t="shared" si="21"/>
        <v>900</v>
      </c>
      <c r="Z42" s="7">
        <f t="shared" si="22"/>
        <v>6.399317406</v>
      </c>
    </row>
    <row r="43">
      <c r="A43" s="30" t="str">
        <f>IFERROR(__xludf.DUMMYFUNCTION("""COMPUTED_VALUE"""),"2015 04")</f>
        <v>2015 04</v>
      </c>
      <c r="B43" s="30" t="str">
        <f>IFERROR(__xludf.DUMMYFUNCTION("""COMPUTED_VALUE"""),"139.94")</f>
        <v>139.94</v>
      </c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0.357295984</v>
      </c>
      <c r="G43" s="7">
        <f t="shared" si="3"/>
        <v>100</v>
      </c>
      <c r="H43" s="7">
        <f t="shared" si="4"/>
        <v>0.714591968</v>
      </c>
      <c r="I43" s="7">
        <f t="shared" si="5"/>
        <v>150</v>
      </c>
      <c r="J43" s="7">
        <f t="shared" si="6"/>
        <v>1.071887952</v>
      </c>
      <c r="K43" s="7">
        <f t="shared" si="7"/>
        <v>200</v>
      </c>
      <c r="L43" s="7">
        <f t="shared" si="8"/>
        <v>1.429183936</v>
      </c>
      <c r="M43" s="7">
        <f t="shared" si="9"/>
        <v>300</v>
      </c>
      <c r="N43" s="7">
        <f t="shared" si="10"/>
        <v>2.143775904</v>
      </c>
      <c r="O43" s="7">
        <f t="shared" si="11"/>
        <v>400</v>
      </c>
      <c r="P43" s="7">
        <f t="shared" si="12"/>
        <v>2.858367872</v>
      </c>
      <c r="Q43" s="7">
        <f t="shared" si="13"/>
        <v>500</v>
      </c>
      <c r="R43" s="7">
        <f t="shared" si="14"/>
        <v>3.57295984</v>
      </c>
      <c r="S43" s="7">
        <f t="shared" si="15"/>
        <v>600</v>
      </c>
      <c r="T43" s="7">
        <f t="shared" si="16"/>
        <v>4.287551808</v>
      </c>
      <c r="U43" s="7">
        <f t="shared" si="17"/>
        <v>700</v>
      </c>
      <c r="V43" s="7">
        <f t="shared" si="18"/>
        <v>5.002143776</v>
      </c>
      <c r="W43" s="7">
        <f t="shared" si="19"/>
        <v>800</v>
      </c>
      <c r="X43" s="7">
        <f t="shared" si="20"/>
        <v>5.716735744</v>
      </c>
      <c r="Y43" s="7">
        <f t="shared" si="21"/>
        <v>900</v>
      </c>
      <c r="Z43" s="7">
        <f t="shared" si="22"/>
        <v>6.431327712</v>
      </c>
    </row>
    <row r="44">
      <c r="A44" s="30" t="str">
        <f>IFERROR(__xludf.DUMMYFUNCTION("""COMPUTED_VALUE"""),"2015 05")</f>
        <v>2015 05</v>
      </c>
      <c r="B44" s="30" t="str">
        <f>IFERROR(__xludf.DUMMYFUNCTION("""COMPUTED_VALUE"""),"136.91")</f>
        <v>136.91</v>
      </c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0.3652034183</v>
      </c>
      <c r="G44" s="7">
        <f t="shared" si="3"/>
        <v>100</v>
      </c>
      <c r="H44" s="7">
        <f t="shared" si="4"/>
        <v>0.7304068366</v>
      </c>
      <c r="I44" s="7">
        <f t="shared" si="5"/>
        <v>150</v>
      </c>
      <c r="J44" s="7">
        <f t="shared" si="6"/>
        <v>1.095610255</v>
      </c>
      <c r="K44" s="7">
        <f t="shared" si="7"/>
        <v>200</v>
      </c>
      <c r="L44" s="7">
        <f t="shared" si="8"/>
        <v>1.460813673</v>
      </c>
      <c r="M44" s="7">
        <f t="shared" si="9"/>
        <v>300</v>
      </c>
      <c r="N44" s="7">
        <f t="shared" si="10"/>
        <v>2.19122051</v>
      </c>
      <c r="O44" s="7">
        <f t="shared" si="11"/>
        <v>400</v>
      </c>
      <c r="P44" s="7">
        <f t="shared" si="12"/>
        <v>2.921627346</v>
      </c>
      <c r="Q44" s="7">
        <f t="shared" si="13"/>
        <v>500</v>
      </c>
      <c r="R44" s="7">
        <f t="shared" si="14"/>
        <v>3.652034183</v>
      </c>
      <c r="S44" s="7">
        <f t="shared" si="15"/>
        <v>600</v>
      </c>
      <c r="T44" s="7">
        <f t="shared" si="16"/>
        <v>4.38244102</v>
      </c>
      <c r="U44" s="7">
        <f t="shared" si="17"/>
        <v>700</v>
      </c>
      <c r="V44" s="7">
        <f t="shared" si="18"/>
        <v>5.112847856</v>
      </c>
      <c r="W44" s="7">
        <f t="shared" si="19"/>
        <v>800</v>
      </c>
      <c r="X44" s="7">
        <f t="shared" si="20"/>
        <v>5.843254693</v>
      </c>
      <c r="Y44" s="7">
        <f t="shared" si="21"/>
        <v>900</v>
      </c>
      <c r="Z44" s="7">
        <f t="shared" si="22"/>
        <v>6.573661529</v>
      </c>
    </row>
    <row r="45">
      <c r="A45" s="30" t="str">
        <f>IFERROR(__xludf.DUMMYFUNCTION("""COMPUTED_VALUE"""),"2015 06")</f>
        <v>2015 06</v>
      </c>
      <c r="B45" s="30" t="str">
        <f>IFERROR(__xludf.DUMMYFUNCTION("""COMPUTED_VALUE"""),"143.3")</f>
        <v>143.3</v>
      </c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0.3489183531</v>
      </c>
      <c r="G45" s="7">
        <f t="shared" si="3"/>
        <v>100</v>
      </c>
      <c r="H45" s="7">
        <f t="shared" si="4"/>
        <v>0.6978367062</v>
      </c>
      <c r="I45" s="7">
        <f t="shared" si="5"/>
        <v>150</v>
      </c>
      <c r="J45" s="7">
        <f t="shared" si="6"/>
        <v>1.046755059</v>
      </c>
      <c r="K45" s="7">
        <f t="shared" si="7"/>
        <v>200</v>
      </c>
      <c r="L45" s="7">
        <f t="shared" si="8"/>
        <v>1.395673412</v>
      </c>
      <c r="M45" s="7">
        <f t="shared" si="9"/>
        <v>300</v>
      </c>
      <c r="N45" s="7">
        <f t="shared" si="10"/>
        <v>2.093510119</v>
      </c>
      <c r="O45" s="7">
        <f t="shared" si="11"/>
        <v>400</v>
      </c>
      <c r="P45" s="7">
        <f t="shared" si="12"/>
        <v>2.791346825</v>
      </c>
      <c r="Q45" s="7">
        <f t="shared" si="13"/>
        <v>500</v>
      </c>
      <c r="R45" s="7">
        <f t="shared" si="14"/>
        <v>3.489183531</v>
      </c>
      <c r="S45" s="7">
        <f t="shared" si="15"/>
        <v>600</v>
      </c>
      <c r="T45" s="7">
        <f t="shared" si="16"/>
        <v>4.187020237</v>
      </c>
      <c r="U45" s="7">
        <f t="shared" si="17"/>
        <v>700</v>
      </c>
      <c r="V45" s="7">
        <f t="shared" si="18"/>
        <v>4.884856943</v>
      </c>
      <c r="W45" s="7">
        <f t="shared" si="19"/>
        <v>800</v>
      </c>
      <c r="X45" s="7">
        <f t="shared" si="20"/>
        <v>5.58269365</v>
      </c>
      <c r="Y45" s="7">
        <f t="shared" si="21"/>
        <v>900</v>
      </c>
      <c r="Z45" s="7">
        <f t="shared" si="22"/>
        <v>6.280530356</v>
      </c>
    </row>
    <row r="46">
      <c r="A46" s="30" t="str">
        <f>IFERROR(__xludf.DUMMYFUNCTION("""COMPUTED_VALUE"""),"2015 07")</f>
        <v>2015 07</v>
      </c>
      <c r="B46" s="30" t="str">
        <f>IFERROR(__xludf.DUMMYFUNCTION("""COMPUTED_VALUE"""),"139.41")</f>
        <v>139.41</v>
      </c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0.358654329</v>
      </c>
      <c r="G46" s="7">
        <f t="shared" si="3"/>
        <v>100</v>
      </c>
      <c r="H46" s="7">
        <f t="shared" si="4"/>
        <v>0.7173086579</v>
      </c>
      <c r="I46" s="7">
        <f t="shared" si="5"/>
        <v>150</v>
      </c>
      <c r="J46" s="7">
        <f t="shared" si="6"/>
        <v>1.075962987</v>
      </c>
      <c r="K46" s="7">
        <f t="shared" si="7"/>
        <v>200</v>
      </c>
      <c r="L46" s="7">
        <f t="shared" si="8"/>
        <v>1.434617316</v>
      </c>
      <c r="M46" s="7">
        <f t="shared" si="9"/>
        <v>300</v>
      </c>
      <c r="N46" s="7">
        <f t="shared" si="10"/>
        <v>2.151925974</v>
      </c>
      <c r="O46" s="7">
        <f t="shared" si="11"/>
        <v>400</v>
      </c>
      <c r="P46" s="7">
        <f t="shared" si="12"/>
        <v>2.869234632</v>
      </c>
      <c r="Q46" s="7">
        <f t="shared" si="13"/>
        <v>500</v>
      </c>
      <c r="R46" s="7">
        <f t="shared" si="14"/>
        <v>3.58654329</v>
      </c>
      <c r="S46" s="7">
        <f t="shared" si="15"/>
        <v>600</v>
      </c>
      <c r="T46" s="7">
        <f t="shared" si="16"/>
        <v>4.303851947</v>
      </c>
      <c r="U46" s="7">
        <f t="shared" si="17"/>
        <v>700</v>
      </c>
      <c r="V46" s="7">
        <f t="shared" si="18"/>
        <v>5.021160605</v>
      </c>
      <c r="W46" s="7">
        <f t="shared" si="19"/>
        <v>800</v>
      </c>
      <c r="X46" s="7">
        <f t="shared" si="20"/>
        <v>5.738469263</v>
      </c>
      <c r="Y46" s="7">
        <f t="shared" si="21"/>
        <v>900</v>
      </c>
      <c r="Z46" s="7">
        <f t="shared" si="22"/>
        <v>6.455777921</v>
      </c>
    </row>
    <row r="47">
      <c r="A47" s="30" t="str">
        <f>IFERROR(__xludf.DUMMYFUNCTION("""COMPUTED_VALUE"""),"2015 08")</f>
        <v>2015 08</v>
      </c>
      <c r="B47" s="30" t="str">
        <f>IFERROR(__xludf.DUMMYFUNCTION("""COMPUTED_VALUE"""),"149.18")</f>
        <v>149.18</v>
      </c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0.3351655718</v>
      </c>
      <c r="G47" s="7">
        <f t="shared" si="3"/>
        <v>100</v>
      </c>
      <c r="H47" s="7">
        <f t="shared" si="4"/>
        <v>0.6703311436</v>
      </c>
      <c r="I47" s="7">
        <f t="shared" si="5"/>
        <v>150</v>
      </c>
      <c r="J47" s="7">
        <f t="shared" si="6"/>
        <v>1.005496715</v>
      </c>
      <c r="K47" s="7">
        <f t="shared" si="7"/>
        <v>200</v>
      </c>
      <c r="L47" s="7">
        <f t="shared" si="8"/>
        <v>1.340662287</v>
      </c>
      <c r="M47" s="7">
        <f t="shared" si="9"/>
        <v>300</v>
      </c>
      <c r="N47" s="7">
        <f t="shared" si="10"/>
        <v>2.010993431</v>
      </c>
      <c r="O47" s="7">
        <f t="shared" si="11"/>
        <v>400</v>
      </c>
      <c r="P47" s="7">
        <f t="shared" si="12"/>
        <v>2.681324574</v>
      </c>
      <c r="Q47" s="7">
        <f t="shared" si="13"/>
        <v>500</v>
      </c>
      <c r="R47" s="7">
        <f t="shared" si="14"/>
        <v>3.351655718</v>
      </c>
      <c r="S47" s="7">
        <f t="shared" si="15"/>
        <v>600</v>
      </c>
      <c r="T47" s="7">
        <f t="shared" si="16"/>
        <v>4.021986862</v>
      </c>
      <c r="U47" s="7">
        <f t="shared" si="17"/>
        <v>700</v>
      </c>
      <c r="V47" s="7">
        <f t="shared" si="18"/>
        <v>4.692318005</v>
      </c>
      <c r="W47" s="7">
        <f t="shared" si="19"/>
        <v>800</v>
      </c>
      <c r="X47" s="7">
        <f t="shared" si="20"/>
        <v>5.362649149</v>
      </c>
      <c r="Y47" s="7">
        <f t="shared" si="21"/>
        <v>900</v>
      </c>
      <c r="Z47" s="7">
        <f t="shared" si="22"/>
        <v>6.032980292</v>
      </c>
    </row>
    <row r="48">
      <c r="A48" s="30" t="str">
        <f>IFERROR(__xludf.DUMMYFUNCTION("""COMPUTED_VALUE"""),"2015 09")</f>
        <v>2015 09</v>
      </c>
      <c r="B48" s="30" t="str">
        <f>IFERROR(__xludf.DUMMYFUNCTION("""COMPUTED_VALUE"""),"141.35")</f>
        <v>141.35</v>
      </c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0.3537318712</v>
      </c>
      <c r="G48" s="7">
        <f t="shared" si="3"/>
        <v>100</v>
      </c>
      <c r="H48" s="7">
        <f t="shared" si="4"/>
        <v>0.7074637425</v>
      </c>
      <c r="I48" s="7">
        <f t="shared" si="5"/>
        <v>150</v>
      </c>
      <c r="J48" s="7">
        <f t="shared" si="6"/>
        <v>1.061195614</v>
      </c>
      <c r="K48" s="7">
        <f t="shared" si="7"/>
        <v>200</v>
      </c>
      <c r="L48" s="7">
        <f t="shared" si="8"/>
        <v>1.414927485</v>
      </c>
      <c r="M48" s="7">
        <f t="shared" si="9"/>
        <v>300</v>
      </c>
      <c r="N48" s="7">
        <f t="shared" si="10"/>
        <v>2.122391227</v>
      </c>
      <c r="O48" s="7">
        <f t="shared" si="11"/>
        <v>400</v>
      </c>
      <c r="P48" s="7">
        <f t="shared" si="12"/>
        <v>2.82985497</v>
      </c>
      <c r="Q48" s="7">
        <f t="shared" si="13"/>
        <v>500</v>
      </c>
      <c r="R48" s="7">
        <f t="shared" si="14"/>
        <v>3.537318712</v>
      </c>
      <c r="S48" s="7">
        <f t="shared" si="15"/>
        <v>600</v>
      </c>
      <c r="T48" s="7">
        <f t="shared" si="16"/>
        <v>4.244782455</v>
      </c>
      <c r="U48" s="7">
        <f t="shared" si="17"/>
        <v>700</v>
      </c>
      <c r="V48" s="7">
        <f t="shared" si="18"/>
        <v>4.952246197</v>
      </c>
      <c r="W48" s="7">
        <f t="shared" si="19"/>
        <v>800</v>
      </c>
      <c r="X48" s="7">
        <f t="shared" si="20"/>
        <v>5.65970994</v>
      </c>
      <c r="Y48" s="7">
        <f t="shared" si="21"/>
        <v>900</v>
      </c>
      <c r="Z48" s="7">
        <f t="shared" si="22"/>
        <v>6.367173682</v>
      </c>
    </row>
    <row r="49">
      <c r="A49" s="30" t="str">
        <f>IFERROR(__xludf.DUMMYFUNCTION("""COMPUTED_VALUE"""),"2015 10")</f>
        <v>2015 10</v>
      </c>
      <c r="B49" s="30" t="str">
        <f>IFERROR(__xludf.DUMMYFUNCTION("""COMPUTED_VALUE"""),"141.2")</f>
        <v>141.2</v>
      </c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0.3541076487</v>
      </c>
      <c r="G49" s="7">
        <f t="shared" si="3"/>
        <v>100</v>
      </c>
      <c r="H49" s="7">
        <f t="shared" si="4"/>
        <v>0.7082152975</v>
      </c>
      <c r="I49" s="7">
        <f t="shared" si="5"/>
        <v>150</v>
      </c>
      <c r="J49" s="7">
        <f t="shared" si="6"/>
        <v>1.062322946</v>
      </c>
      <c r="K49" s="7">
        <f t="shared" si="7"/>
        <v>200</v>
      </c>
      <c r="L49" s="7">
        <f t="shared" si="8"/>
        <v>1.416430595</v>
      </c>
      <c r="M49" s="7">
        <f t="shared" si="9"/>
        <v>300</v>
      </c>
      <c r="N49" s="7">
        <f t="shared" si="10"/>
        <v>2.124645892</v>
      </c>
      <c r="O49" s="7">
        <f t="shared" si="11"/>
        <v>400</v>
      </c>
      <c r="P49" s="7">
        <f t="shared" si="12"/>
        <v>2.83286119</v>
      </c>
      <c r="Q49" s="7">
        <f t="shared" si="13"/>
        <v>500</v>
      </c>
      <c r="R49" s="7">
        <f t="shared" si="14"/>
        <v>3.541076487</v>
      </c>
      <c r="S49" s="7">
        <f t="shared" si="15"/>
        <v>600</v>
      </c>
      <c r="T49" s="7">
        <f t="shared" si="16"/>
        <v>4.249291785</v>
      </c>
      <c r="U49" s="7">
        <f t="shared" si="17"/>
        <v>700</v>
      </c>
      <c r="V49" s="7">
        <f t="shared" si="18"/>
        <v>4.957507082</v>
      </c>
      <c r="W49" s="7">
        <f t="shared" si="19"/>
        <v>800</v>
      </c>
      <c r="X49" s="7">
        <f t="shared" si="20"/>
        <v>5.66572238</v>
      </c>
      <c r="Y49" s="7">
        <f t="shared" si="21"/>
        <v>900</v>
      </c>
      <c r="Z49" s="7">
        <f t="shared" si="22"/>
        <v>6.373937677</v>
      </c>
    </row>
    <row r="50">
      <c r="A50" s="30" t="str">
        <f>IFERROR(__xludf.DUMMYFUNCTION("""COMPUTED_VALUE"""),"2015 11")</f>
        <v>2015 11</v>
      </c>
      <c r="B50" s="30" t="str">
        <f>IFERROR(__xludf.DUMMYFUNCTION("""COMPUTED_VALUE"""),"148.77")</f>
        <v>148.77</v>
      </c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0.3360892653</v>
      </c>
      <c r="G50" s="7">
        <f t="shared" si="3"/>
        <v>100</v>
      </c>
      <c r="H50" s="7">
        <f t="shared" si="4"/>
        <v>0.6721785306</v>
      </c>
      <c r="I50" s="7">
        <f t="shared" si="5"/>
        <v>150</v>
      </c>
      <c r="J50" s="7">
        <f t="shared" si="6"/>
        <v>1.008267796</v>
      </c>
      <c r="K50" s="7">
        <f t="shared" si="7"/>
        <v>200</v>
      </c>
      <c r="L50" s="7">
        <f t="shared" si="8"/>
        <v>1.344357061</v>
      </c>
      <c r="M50" s="7">
        <f t="shared" si="9"/>
        <v>300</v>
      </c>
      <c r="N50" s="7">
        <f t="shared" si="10"/>
        <v>2.016535592</v>
      </c>
      <c r="O50" s="7">
        <f t="shared" si="11"/>
        <v>400</v>
      </c>
      <c r="P50" s="7">
        <f t="shared" si="12"/>
        <v>2.688714122</v>
      </c>
      <c r="Q50" s="7">
        <f t="shared" si="13"/>
        <v>500</v>
      </c>
      <c r="R50" s="7">
        <f t="shared" si="14"/>
        <v>3.360892653</v>
      </c>
      <c r="S50" s="7">
        <f t="shared" si="15"/>
        <v>600</v>
      </c>
      <c r="T50" s="7">
        <f t="shared" si="16"/>
        <v>4.033071184</v>
      </c>
      <c r="U50" s="7">
        <f t="shared" si="17"/>
        <v>700</v>
      </c>
      <c r="V50" s="7">
        <f t="shared" si="18"/>
        <v>4.705249714</v>
      </c>
      <c r="W50" s="7">
        <f t="shared" si="19"/>
        <v>800</v>
      </c>
      <c r="X50" s="7">
        <f t="shared" si="20"/>
        <v>5.377428245</v>
      </c>
      <c r="Y50" s="7">
        <f t="shared" si="21"/>
        <v>900</v>
      </c>
      <c r="Z50" s="7">
        <f t="shared" si="22"/>
        <v>6.049606776</v>
      </c>
    </row>
    <row r="51">
      <c r="A51" s="30" t="str">
        <f>IFERROR(__xludf.DUMMYFUNCTION("""COMPUTED_VALUE"""),"2015 12")</f>
        <v>2015 12</v>
      </c>
      <c r="B51" s="30" t="str">
        <f>IFERROR(__xludf.DUMMYFUNCTION("""COMPUTED_VALUE"""),"148.56")</f>
        <v>148.56</v>
      </c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0.3365643511</v>
      </c>
      <c r="G51" s="7">
        <f t="shared" si="3"/>
        <v>100</v>
      </c>
      <c r="H51" s="7">
        <f t="shared" si="4"/>
        <v>0.6731287022</v>
      </c>
      <c r="I51" s="7">
        <f t="shared" si="5"/>
        <v>150</v>
      </c>
      <c r="J51" s="7">
        <f t="shared" si="6"/>
        <v>1.009693053</v>
      </c>
      <c r="K51" s="7">
        <f t="shared" si="7"/>
        <v>200</v>
      </c>
      <c r="L51" s="7">
        <f t="shared" si="8"/>
        <v>1.346257404</v>
      </c>
      <c r="M51" s="7">
        <f t="shared" si="9"/>
        <v>300</v>
      </c>
      <c r="N51" s="7">
        <f t="shared" si="10"/>
        <v>2.019386107</v>
      </c>
      <c r="O51" s="7">
        <f t="shared" si="11"/>
        <v>400</v>
      </c>
      <c r="P51" s="7">
        <f t="shared" si="12"/>
        <v>2.692514809</v>
      </c>
      <c r="Q51" s="7">
        <f t="shared" si="13"/>
        <v>500</v>
      </c>
      <c r="R51" s="7">
        <f t="shared" si="14"/>
        <v>3.365643511</v>
      </c>
      <c r="S51" s="7">
        <f t="shared" si="15"/>
        <v>600</v>
      </c>
      <c r="T51" s="7">
        <f t="shared" si="16"/>
        <v>4.038772213</v>
      </c>
      <c r="U51" s="7">
        <f t="shared" si="17"/>
        <v>700</v>
      </c>
      <c r="V51" s="7">
        <f t="shared" si="18"/>
        <v>4.711900915</v>
      </c>
      <c r="W51" s="7">
        <f t="shared" si="19"/>
        <v>800</v>
      </c>
      <c r="X51" s="7">
        <f t="shared" si="20"/>
        <v>5.385029618</v>
      </c>
      <c r="Y51" s="7">
        <f t="shared" si="21"/>
        <v>900</v>
      </c>
      <c r="Z51" s="7">
        <f t="shared" si="22"/>
        <v>6.05815832</v>
      </c>
    </row>
    <row r="52">
      <c r="A52" s="30" t="str">
        <f>IFERROR(__xludf.DUMMYFUNCTION("""COMPUTED_VALUE"""),"2016 01")</f>
        <v>2016 01</v>
      </c>
      <c r="B52" s="30" t="str">
        <f>IFERROR(__xludf.DUMMYFUNCTION("""COMPUTED_VALUE"""),"143.5")</f>
        <v>143.5</v>
      </c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0.3484320557</v>
      </c>
      <c r="G52" s="7">
        <f t="shared" si="3"/>
        <v>100</v>
      </c>
      <c r="H52" s="7">
        <f t="shared" si="4"/>
        <v>0.6968641115</v>
      </c>
      <c r="I52" s="7">
        <f t="shared" si="5"/>
        <v>150</v>
      </c>
      <c r="J52" s="7">
        <f t="shared" si="6"/>
        <v>1.045296167</v>
      </c>
      <c r="K52" s="7">
        <f t="shared" si="7"/>
        <v>200</v>
      </c>
      <c r="L52" s="7">
        <f t="shared" si="8"/>
        <v>1.393728223</v>
      </c>
      <c r="M52" s="7">
        <f t="shared" si="9"/>
        <v>300</v>
      </c>
      <c r="N52" s="7">
        <f t="shared" si="10"/>
        <v>2.090592334</v>
      </c>
      <c r="O52" s="7">
        <f t="shared" si="11"/>
        <v>400</v>
      </c>
      <c r="P52" s="7">
        <f t="shared" si="12"/>
        <v>2.787456446</v>
      </c>
      <c r="Q52" s="7">
        <f t="shared" si="13"/>
        <v>500</v>
      </c>
      <c r="R52" s="7">
        <f t="shared" si="14"/>
        <v>3.484320557</v>
      </c>
      <c r="S52" s="7">
        <f t="shared" si="15"/>
        <v>600</v>
      </c>
      <c r="T52" s="7">
        <f t="shared" si="16"/>
        <v>4.181184669</v>
      </c>
      <c r="U52" s="7">
        <f t="shared" si="17"/>
        <v>700</v>
      </c>
      <c r="V52" s="7">
        <f t="shared" si="18"/>
        <v>4.87804878</v>
      </c>
      <c r="W52" s="7">
        <f t="shared" si="19"/>
        <v>800</v>
      </c>
      <c r="X52" s="7">
        <f t="shared" si="20"/>
        <v>5.574912892</v>
      </c>
      <c r="Y52" s="7">
        <f t="shared" si="21"/>
        <v>900</v>
      </c>
      <c r="Z52" s="7">
        <f t="shared" si="22"/>
        <v>6.271777003</v>
      </c>
    </row>
    <row r="53">
      <c r="A53" s="30" t="str">
        <f>IFERROR(__xludf.DUMMYFUNCTION("""COMPUTED_VALUE"""),"2016 02")</f>
        <v>2016 02</v>
      </c>
      <c r="B53" s="30" t="str">
        <f>IFERROR(__xludf.DUMMYFUNCTION("""COMPUTED_VALUE"""),"138.62")</f>
        <v>138.62</v>
      </c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0.3606983119</v>
      </c>
      <c r="G53" s="7">
        <f t="shared" si="3"/>
        <v>100</v>
      </c>
      <c r="H53" s="7">
        <f t="shared" si="4"/>
        <v>0.7213966239</v>
      </c>
      <c r="I53" s="7">
        <f t="shared" si="5"/>
        <v>150</v>
      </c>
      <c r="J53" s="7">
        <f t="shared" si="6"/>
        <v>1.082094936</v>
      </c>
      <c r="K53" s="7">
        <f t="shared" si="7"/>
        <v>200</v>
      </c>
      <c r="L53" s="7">
        <f t="shared" si="8"/>
        <v>1.442793248</v>
      </c>
      <c r="M53" s="7">
        <f t="shared" si="9"/>
        <v>300</v>
      </c>
      <c r="N53" s="7">
        <f t="shared" si="10"/>
        <v>2.164189872</v>
      </c>
      <c r="O53" s="7">
        <f t="shared" si="11"/>
        <v>400</v>
      </c>
      <c r="P53" s="7">
        <f t="shared" si="12"/>
        <v>2.885586495</v>
      </c>
      <c r="Q53" s="7">
        <f t="shared" si="13"/>
        <v>500</v>
      </c>
      <c r="R53" s="7">
        <f t="shared" si="14"/>
        <v>3.606983119</v>
      </c>
      <c r="S53" s="7">
        <f t="shared" si="15"/>
        <v>600</v>
      </c>
      <c r="T53" s="7">
        <f t="shared" si="16"/>
        <v>4.328379743</v>
      </c>
      <c r="U53" s="7">
        <f t="shared" si="17"/>
        <v>700</v>
      </c>
      <c r="V53" s="7">
        <f t="shared" si="18"/>
        <v>5.049776367</v>
      </c>
      <c r="W53" s="7">
        <f t="shared" si="19"/>
        <v>800</v>
      </c>
      <c r="X53" s="7">
        <f t="shared" si="20"/>
        <v>5.771172991</v>
      </c>
      <c r="Y53" s="7">
        <f t="shared" si="21"/>
        <v>900</v>
      </c>
      <c r="Z53" s="7">
        <f t="shared" si="22"/>
        <v>6.492569615</v>
      </c>
    </row>
    <row r="54">
      <c r="A54" s="30" t="str">
        <f>IFERROR(__xludf.DUMMYFUNCTION("""COMPUTED_VALUE"""),"2016 03")</f>
        <v>2016 03</v>
      </c>
      <c r="B54" s="30" t="str">
        <f>IFERROR(__xludf.DUMMYFUNCTION("""COMPUTED_VALUE"""),"137.81")</f>
        <v>137.81</v>
      </c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0.3628183731</v>
      </c>
      <c r="G54" s="7">
        <f t="shared" si="3"/>
        <v>100</v>
      </c>
      <c r="H54" s="7">
        <f t="shared" si="4"/>
        <v>0.7256367462</v>
      </c>
      <c r="I54" s="7">
        <f t="shared" si="5"/>
        <v>150</v>
      </c>
      <c r="J54" s="7">
        <f t="shared" si="6"/>
        <v>1.088455119</v>
      </c>
      <c r="K54" s="7">
        <f t="shared" si="7"/>
        <v>200</v>
      </c>
      <c r="L54" s="7">
        <f t="shared" si="8"/>
        <v>1.451273492</v>
      </c>
      <c r="M54" s="7">
        <f t="shared" si="9"/>
        <v>300</v>
      </c>
      <c r="N54" s="7">
        <f t="shared" si="10"/>
        <v>2.176910239</v>
      </c>
      <c r="O54" s="7">
        <f t="shared" si="11"/>
        <v>400</v>
      </c>
      <c r="P54" s="7">
        <f t="shared" si="12"/>
        <v>2.902546985</v>
      </c>
      <c r="Q54" s="7">
        <f t="shared" si="13"/>
        <v>500</v>
      </c>
      <c r="R54" s="7">
        <f t="shared" si="14"/>
        <v>3.628183731</v>
      </c>
      <c r="S54" s="7">
        <f t="shared" si="15"/>
        <v>600</v>
      </c>
      <c r="T54" s="7">
        <f t="shared" si="16"/>
        <v>4.353820477</v>
      </c>
      <c r="U54" s="7">
        <f t="shared" si="17"/>
        <v>700</v>
      </c>
      <c r="V54" s="7">
        <f t="shared" si="18"/>
        <v>5.079457224</v>
      </c>
      <c r="W54" s="7">
        <f t="shared" si="19"/>
        <v>800</v>
      </c>
      <c r="X54" s="7">
        <f t="shared" si="20"/>
        <v>5.80509397</v>
      </c>
      <c r="Y54" s="7">
        <f t="shared" si="21"/>
        <v>900</v>
      </c>
      <c r="Z54" s="7">
        <f t="shared" si="22"/>
        <v>6.530730716</v>
      </c>
    </row>
    <row r="55">
      <c r="A55" s="30" t="str">
        <f>IFERROR(__xludf.DUMMYFUNCTION("""COMPUTED_VALUE"""),"2016 04")</f>
        <v>2016 04</v>
      </c>
      <c r="B55" s="30" t="str">
        <f>IFERROR(__xludf.DUMMYFUNCTION("""COMPUTED_VALUE"""),"136.75")</f>
        <v>136.75</v>
      </c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0.365630713</v>
      </c>
      <c r="G55" s="7">
        <f t="shared" si="3"/>
        <v>100</v>
      </c>
      <c r="H55" s="7">
        <f t="shared" si="4"/>
        <v>0.731261426</v>
      </c>
      <c r="I55" s="7">
        <f t="shared" si="5"/>
        <v>150</v>
      </c>
      <c r="J55" s="7">
        <f t="shared" si="6"/>
        <v>1.096892139</v>
      </c>
      <c r="K55" s="7">
        <f t="shared" si="7"/>
        <v>200</v>
      </c>
      <c r="L55" s="7">
        <f t="shared" si="8"/>
        <v>1.462522852</v>
      </c>
      <c r="M55" s="7">
        <f t="shared" si="9"/>
        <v>300</v>
      </c>
      <c r="N55" s="7">
        <f t="shared" si="10"/>
        <v>2.193784278</v>
      </c>
      <c r="O55" s="7">
        <f t="shared" si="11"/>
        <v>400</v>
      </c>
      <c r="P55" s="7">
        <f t="shared" si="12"/>
        <v>2.925045704</v>
      </c>
      <c r="Q55" s="7">
        <f t="shared" si="13"/>
        <v>500</v>
      </c>
      <c r="R55" s="7">
        <f t="shared" si="14"/>
        <v>3.65630713</v>
      </c>
      <c r="S55" s="7">
        <f t="shared" si="15"/>
        <v>600</v>
      </c>
      <c r="T55" s="7">
        <f t="shared" si="16"/>
        <v>4.387568556</v>
      </c>
      <c r="U55" s="7">
        <f t="shared" si="17"/>
        <v>700</v>
      </c>
      <c r="V55" s="7">
        <f t="shared" si="18"/>
        <v>5.118829982</v>
      </c>
      <c r="W55" s="7">
        <f t="shared" si="19"/>
        <v>800</v>
      </c>
      <c r="X55" s="7">
        <f t="shared" si="20"/>
        <v>5.850091408</v>
      </c>
      <c r="Y55" s="7">
        <f t="shared" si="21"/>
        <v>900</v>
      </c>
      <c r="Z55" s="7">
        <f t="shared" si="22"/>
        <v>6.581352834</v>
      </c>
    </row>
    <row r="56">
      <c r="A56" s="30" t="str">
        <f>IFERROR(__xludf.DUMMYFUNCTION("""COMPUTED_VALUE"""),"2016 05")</f>
        <v>2016 05</v>
      </c>
      <c r="B56" s="30" t="str">
        <f>IFERROR(__xludf.DUMMYFUNCTION("""COMPUTED_VALUE"""),"138.9")</f>
        <v>138.9</v>
      </c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0.3599712023</v>
      </c>
      <c r="G56" s="7">
        <f t="shared" si="3"/>
        <v>100</v>
      </c>
      <c r="H56" s="7">
        <f t="shared" si="4"/>
        <v>0.7199424046</v>
      </c>
      <c r="I56" s="7">
        <f t="shared" si="5"/>
        <v>150</v>
      </c>
      <c r="J56" s="7">
        <f t="shared" si="6"/>
        <v>1.079913607</v>
      </c>
      <c r="K56" s="7">
        <f t="shared" si="7"/>
        <v>200</v>
      </c>
      <c r="L56" s="7">
        <f t="shared" si="8"/>
        <v>1.439884809</v>
      </c>
      <c r="M56" s="7">
        <f t="shared" si="9"/>
        <v>300</v>
      </c>
      <c r="N56" s="7">
        <f t="shared" si="10"/>
        <v>2.159827214</v>
      </c>
      <c r="O56" s="7">
        <f t="shared" si="11"/>
        <v>400</v>
      </c>
      <c r="P56" s="7">
        <f t="shared" si="12"/>
        <v>2.879769618</v>
      </c>
      <c r="Q56" s="7">
        <f t="shared" si="13"/>
        <v>500</v>
      </c>
      <c r="R56" s="7">
        <f t="shared" si="14"/>
        <v>3.599712023</v>
      </c>
      <c r="S56" s="7">
        <f t="shared" si="15"/>
        <v>600</v>
      </c>
      <c r="T56" s="7">
        <f t="shared" si="16"/>
        <v>4.319654428</v>
      </c>
      <c r="U56" s="7">
        <f t="shared" si="17"/>
        <v>700</v>
      </c>
      <c r="V56" s="7">
        <f t="shared" si="18"/>
        <v>5.039596832</v>
      </c>
      <c r="W56" s="7">
        <f t="shared" si="19"/>
        <v>800</v>
      </c>
      <c r="X56" s="7">
        <f t="shared" si="20"/>
        <v>5.759539237</v>
      </c>
      <c r="Y56" s="7">
        <f t="shared" si="21"/>
        <v>900</v>
      </c>
      <c r="Z56" s="7">
        <f t="shared" si="22"/>
        <v>6.479481641</v>
      </c>
    </row>
    <row r="57">
      <c r="A57" s="30" t="str">
        <f>IFERROR(__xludf.DUMMYFUNCTION("""COMPUTED_VALUE"""),"2016 06")</f>
        <v>2016 06</v>
      </c>
      <c r="B57" s="30" t="str">
        <f>IFERROR(__xludf.DUMMYFUNCTION("""COMPUTED_VALUE"""),"147.5")</f>
        <v>147.5</v>
      </c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0.3389830508</v>
      </c>
      <c r="G57" s="7">
        <f t="shared" si="3"/>
        <v>100</v>
      </c>
      <c r="H57" s="7">
        <f t="shared" si="4"/>
        <v>0.6779661017</v>
      </c>
      <c r="I57" s="7">
        <f t="shared" si="5"/>
        <v>150</v>
      </c>
      <c r="J57" s="7">
        <f t="shared" si="6"/>
        <v>1.016949153</v>
      </c>
      <c r="K57" s="7">
        <f t="shared" si="7"/>
        <v>200</v>
      </c>
      <c r="L57" s="7">
        <f t="shared" si="8"/>
        <v>1.355932203</v>
      </c>
      <c r="M57" s="7">
        <f t="shared" si="9"/>
        <v>300</v>
      </c>
      <c r="N57" s="7">
        <f t="shared" si="10"/>
        <v>2.033898305</v>
      </c>
      <c r="O57" s="7">
        <f t="shared" si="11"/>
        <v>400</v>
      </c>
      <c r="P57" s="7">
        <f t="shared" si="12"/>
        <v>2.711864407</v>
      </c>
      <c r="Q57" s="7">
        <f t="shared" si="13"/>
        <v>500</v>
      </c>
      <c r="R57" s="7">
        <f t="shared" si="14"/>
        <v>3.389830508</v>
      </c>
      <c r="S57" s="7">
        <f t="shared" si="15"/>
        <v>600</v>
      </c>
      <c r="T57" s="7">
        <f t="shared" si="16"/>
        <v>4.06779661</v>
      </c>
      <c r="U57" s="7">
        <f t="shared" si="17"/>
        <v>700</v>
      </c>
      <c r="V57" s="7">
        <f t="shared" si="18"/>
        <v>4.745762712</v>
      </c>
      <c r="W57" s="7">
        <f t="shared" si="19"/>
        <v>800</v>
      </c>
      <c r="X57" s="7">
        <f t="shared" si="20"/>
        <v>5.423728814</v>
      </c>
      <c r="Y57" s="7">
        <f t="shared" si="21"/>
        <v>900</v>
      </c>
      <c r="Z57" s="7">
        <f t="shared" si="22"/>
        <v>6.101694915</v>
      </c>
    </row>
    <row r="58">
      <c r="A58" s="30" t="str">
        <f>IFERROR(__xludf.DUMMYFUNCTION("""COMPUTED_VALUE"""),"2016 07")</f>
        <v>2016 07</v>
      </c>
      <c r="B58" s="30" t="str">
        <f>IFERROR(__xludf.DUMMYFUNCTION("""COMPUTED_VALUE"""),"143.49")</f>
        <v>143.49</v>
      </c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0.3484563384</v>
      </c>
      <c r="G58" s="7">
        <f t="shared" si="3"/>
        <v>100</v>
      </c>
      <c r="H58" s="7">
        <f t="shared" si="4"/>
        <v>0.6969126768</v>
      </c>
      <c r="I58" s="7">
        <f t="shared" si="5"/>
        <v>150</v>
      </c>
      <c r="J58" s="7">
        <f t="shared" si="6"/>
        <v>1.045369015</v>
      </c>
      <c r="K58" s="7">
        <f t="shared" si="7"/>
        <v>200</v>
      </c>
      <c r="L58" s="7">
        <f t="shared" si="8"/>
        <v>1.393825354</v>
      </c>
      <c r="M58" s="7">
        <f t="shared" si="9"/>
        <v>300</v>
      </c>
      <c r="N58" s="7">
        <f t="shared" si="10"/>
        <v>2.090738031</v>
      </c>
      <c r="O58" s="7">
        <f t="shared" si="11"/>
        <v>400</v>
      </c>
      <c r="P58" s="7">
        <f t="shared" si="12"/>
        <v>2.787650707</v>
      </c>
      <c r="Q58" s="7">
        <f t="shared" si="13"/>
        <v>500</v>
      </c>
      <c r="R58" s="7">
        <f t="shared" si="14"/>
        <v>3.484563384</v>
      </c>
      <c r="S58" s="7">
        <f t="shared" si="15"/>
        <v>600</v>
      </c>
      <c r="T58" s="7">
        <f t="shared" si="16"/>
        <v>4.181476061</v>
      </c>
      <c r="U58" s="7">
        <f t="shared" si="17"/>
        <v>700</v>
      </c>
      <c r="V58" s="7">
        <f t="shared" si="18"/>
        <v>4.878388738</v>
      </c>
      <c r="W58" s="7">
        <f t="shared" si="19"/>
        <v>800</v>
      </c>
      <c r="X58" s="7">
        <f t="shared" si="20"/>
        <v>5.575301415</v>
      </c>
      <c r="Y58" s="7">
        <f t="shared" si="21"/>
        <v>900</v>
      </c>
      <c r="Z58" s="7">
        <f t="shared" si="22"/>
        <v>6.272214092</v>
      </c>
    </row>
    <row r="59">
      <c r="A59" s="30" t="str">
        <f>IFERROR(__xludf.DUMMYFUNCTION("""COMPUTED_VALUE"""),"2016 08")</f>
        <v>2016 08</v>
      </c>
      <c r="B59" s="30" t="str">
        <f>IFERROR(__xludf.DUMMYFUNCTION("""COMPUTED_VALUE"""),"147.07")</f>
        <v>147.07</v>
      </c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0.339974162</v>
      </c>
      <c r="G59" s="7">
        <f t="shared" si="3"/>
        <v>100</v>
      </c>
      <c r="H59" s="7">
        <f t="shared" si="4"/>
        <v>0.6799483239</v>
      </c>
      <c r="I59" s="7">
        <f t="shared" si="5"/>
        <v>150</v>
      </c>
      <c r="J59" s="7">
        <f t="shared" si="6"/>
        <v>1.019922486</v>
      </c>
      <c r="K59" s="7">
        <f t="shared" si="7"/>
        <v>200</v>
      </c>
      <c r="L59" s="7">
        <f t="shared" si="8"/>
        <v>1.359896648</v>
      </c>
      <c r="M59" s="7">
        <f t="shared" si="9"/>
        <v>300</v>
      </c>
      <c r="N59" s="7">
        <f t="shared" si="10"/>
        <v>2.039844972</v>
      </c>
      <c r="O59" s="7">
        <f t="shared" si="11"/>
        <v>400</v>
      </c>
      <c r="P59" s="7">
        <f t="shared" si="12"/>
        <v>2.719793296</v>
      </c>
      <c r="Q59" s="7">
        <f t="shared" si="13"/>
        <v>500</v>
      </c>
      <c r="R59" s="7">
        <f t="shared" si="14"/>
        <v>3.39974162</v>
      </c>
      <c r="S59" s="7">
        <f t="shared" si="15"/>
        <v>600</v>
      </c>
      <c r="T59" s="7">
        <f t="shared" si="16"/>
        <v>4.079689944</v>
      </c>
      <c r="U59" s="7">
        <f t="shared" si="17"/>
        <v>700</v>
      </c>
      <c r="V59" s="7">
        <f t="shared" si="18"/>
        <v>4.759638267</v>
      </c>
      <c r="W59" s="7">
        <f t="shared" si="19"/>
        <v>800</v>
      </c>
      <c r="X59" s="7">
        <f t="shared" si="20"/>
        <v>5.439586591</v>
      </c>
      <c r="Y59" s="7">
        <f t="shared" si="21"/>
        <v>900</v>
      </c>
      <c r="Z59" s="7">
        <f t="shared" si="22"/>
        <v>6.119534915</v>
      </c>
    </row>
    <row r="60">
      <c r="A60" s="30" t="str">
        <f>IFERROR(__xludf.DUMMYFUNCTION("""COMPUTED_VALUE"""),"2016 09")</f>
        <v>2016 09</v>
      </c>
      <c r="B60" s="30" t="str">
        <f>IFERROR(__xludf.DUMMYFUNCTION("""COMPUTED_VALUE"""),"148.45")</f>
        <v>148.45</v>
      </c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0.336813742</v>
      </c>
      <c r="G60" s="7">
        <f t="shared" si="3"/>
        <v>100</v>
      </c>
      <c r="H60" s="7">
        <f t="shared" si="4"/>
        <v>0.673627484</v>
      </c>
      <c r="I60" s="7">
        <f t="shared" si="5"/>
        <v>150</v>
      </c>
      <c r="J60" s="7">
        <f t="shared" si="6"/>
        <v>1.010441226</v>
      </c>
      <c r="K60" s="7">
        <f t="shared" si="7"/>
        <v>200</v>
      </c>
      <c r="L60" s="7">
        <f t="shared" si="8"/>
        <v>1.347254968</v>
      </c>
      <c r="M60" s="7">
        <f t="shared" si="9"/>
        <v>300</v>
      </c>
      <c r="N60" s="7">
        <f t="shared" si="10"/>
        <v>2.020882452</v>
      </c>
      <c r="O60" s="7">
        <f t="shared" si="11"/>
        <v>400</v>
      </c>
      <c r="P60" s="7">
        <f t="shared" si="12"/>
        <v>2.694509936</v>
      </c>
      <c r="Q60" s="7">
        <f t="shared" si="13"/>
        <v>500</v>
      </c>
      <c r="R60" s="7">
        <f t="shared" si="14"/>
        <v>3.36813742</v>
      </c>
      <c r="S60" s="7">
        <f t="shared" si="15"/>
        <v>600</v>
      </c>
      <c r="T60" s="7">
        <f t="shared" si="16"/>
        <v>4.041764904</v>
      </c>
      <c r="U60" s="7">
        <f t="shared" si="17"/>
        <v>700</v>
      </c>
      <c r="V60" s="7">
        <f t="shared" si="18"/>
        <v>4.715392388</v>
      </c>
      <c r="W60" s="7">
        <f t="shared" si="19"/>
        <v>800</v>
      </c>
      <c r="X60" s="7">
        <f t="shared" si="20"/>
        <v>5.389019872</v>
      </c>
      <c r="Y60" s="7">
        <f t="shared" si="21"/>
        <v>900</v>
      </c>
      <c r="Z60" s="7">
        <f t="shared" si="22"/>
        <v>6.062647356</v>
      </c>
    </row>
    <row r="61">
      <c r="A61" s="30" t="str">
        <f>IFERROR(__xludf.DUMMYFUNCTION("""COMPUTED_VALUE"""),"2016 10")</f>
        <v>2016 10</v>
      </c>
      <c r="B61" s="30" t="str">
        <f>IFERROR(__xludf.DUMMYFUNCTION("""COMPUTED_VALUE"""),"145.5")</f>
        <v>145.5</v>
      </c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0.3436426117</v>
      </c>
      <c r="G61" s="7">
        <f t="shared" si="3"/>
        <v>100</v>
      </c>
      <c r="H61" s="7">
        <f t="shared" si="4"/>
        <v>0.6872852234</v>
      </c>
      <c r="I61" s="7">
        <f t="shared" si="5"/>
        <v>150</v>
      </c>
      <c r="J61" s="7">
        <f t="shared" si="6"/>
        <v>1.030927835</v>
      </c>
      <c r="K61" s="7">
        <f t="shared" si="7"/>
        <v>200</v>
      </c>
      <c r="L61" s="7">
        <f t="shared" si="8"/>
        <v>1.374570447</v>
      </c>
      <c r="M61" s="7">
        <f t="shared" si="9"/>
        <v>300</v>
      </c>
      <c r="N61" s="7">
        <f t="shared" si="10"/>
        <v>2.06185567</v>
      </c>
      <c r="O61" s="7">
        <f t="shared" si="11"/>
        <v>400</v>
      </c>
      <c r="P61" s="7">
        <f t="shared" si="12"/>
        <v>2.749140893</v>
      </c>
      <c r="Q61" s="7">
        <f t="shared" si="13"/>
        <v>500</v>
      </c>
      <c r="R61" s="7">
        <f t="shared" si="14"/>
        <v>3.436426117</v>
      </c>
      <c r="S61" s="7">
        <f t="shared" si="15"/>
        <v>600</v>
      </c>
      <c r="T61" s="7">
        <f t="shared" si="16"/>
        <v>4.12371134</v>
      </c>
      <c r="U61" s="7">
        <f t="shared" si="17"/>
        <v>700</v>
      </c>
      <c r="V61" s="7">
        <f t="shared" si="18"/>
        <v>4.810996564</v>
      </c>
      <c r="W61" s="7">
        <f t="shared" si="19"/>
        <v>800</v>
      </c>
      <c r="X61" s="7">
        <f t="shared" si="20"/>
        <v>5.498281787</v>
      </c>
      <c r="Y61" s="7">
        <f t="shared" si="21"/>
        <v>900</v>
      </c>
      <c r="Z61" s="7">
        <f t="shared" si="22"/>
        <v>6.18556701</v>
      </c>
    </row>
    <row r="62">
      <c r="A62" s="30" t="str">
        <f>IFERROR(__xludf.DUMMYFUNCTION("""COMPUTED_VALUE"""),"2016 11")</f>
        <v>2016 11</v>
      </c>
      <c r="B62" s="30" t="str">
        <f>IFERROR(__xludf.DUMMYFUNCTION("""COMPUTED_VALUE"""),"142.68")</f>
        <v>142.68</v>
      </c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0.3504345388</v>
      </c>
      <c r="G62" s="7">
        <f t="shared" si="3"/>
        <v>100</v>
      </c>
      <c r="H62" s="7">
        <f t="shared" si="4"/>
        <v>0.7008690777</v>
      </c>
      <c r="I62" s="7">
        <f t="shared" si="5"/>
        <v>150</v>
      </c>
      <c r="J62" s="7">
        <f t="shared" si="6"/>
        <v>1.051303616</v>
      </c>
      <c r="K62" s="7">
        <f t="shared" si="7"/>
        <v>200</v>
      </c>
      <c r="L62" s="7">
        <f t="shared" si="8"/>
        <v>1.401738155</v>
      </c>
      <c r="M62" s="7">
        <f t="shared" si="9"/>
        <v>300</v>
      </c>
      <c r="N62" s="7">
        <f t="shared" si="10"/>
        <v>2.102607233</v>
      </c>
      <c r="O62" s="7">
        <f t="shared" si="11"/>
        <v>400</v>
      </c>
      <c r="P62" s="7">
        <f t="shared" si="12"/>
        <v>2.803476311</v>
      </c>
      <c r="Q62" s="7">
        <f t="shared" si="13"/>
        <v>500</v>
      </c>
      <c r="R62" s="7">
        <f t="shared" si="14"/>
        <v>3.504345388</v>
      </c>
      <c r="S62" s="7">
        <f t="shared" si="15"/>
        <v>600</v>
      </c>
      <c r="T62" s="7">
        <f t="shared" si="16"/>
        <v>4.205214466</v>
      </c>
      <c r="U62" s="7">
        <f t="shared" si="17"/>
        <v>700</v>
      </c>
      <c r="V62" s="7">
        <f t="shared" si="18"/>
        <v>4.906083544</v>
      </c>
      <c r="W62" s="7">
        <f t="shared" si="19"/>
        <v>800</v>
      </c>
      <c r="X62" s="7">
        <f t="shared" si="20"/>
        <v>5.606952621</v>
      </c>
      <c r="Y62" s="7">
        <f t="shared" si="21"/>
        <v>900</v>
      </c>
      <c r="Z62" s="7">
        <f t="shared" si="22"/>
        <v>6.307821699</v>
      </c>
    </row>
    <row r="63">
      <c r="A63" s="30" t="str">
        <f>IFERROR(__xludf.DUMMYFUNCTION("""COMPUTED_VALUE"""),"2016 12")</f>
        <v>2016 12</v>
      </c>
      <c r="B63" s="30" t="str">
        <f>IFERROR(__xludf.DUMMYFUNCTION("""COMPUTED_VALUE"""),"153.72")</f>
        <v>153.72</v>
      </c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0.3252667187</v>
      </c>
      <c r="G63" s="7">
        <f t="shared" si="3"/>
        <v>100</v>
      </c>
      <c r="H63" s="7">
        <f t="shared" si="4"/>
        <v>0.6505334374</v>
      </c>
      <c r="I63" s="7">
        <f t="shared" si="5"/>
        <v>150</v>
      </c>
      <c r="J63" s="7">
        <f t="shared" si="6"/>
        <v>0.9758001561</v>
      </c>
      <c r="K63" s="7">
        <f t="shared" si="7"/>
        <v>200</v>
      </c>
      <c r="L63" s="7">
        <f t="shared" si="8"/>
        <v>1.301066875</v>
      </c>
      <c r="M63" s="7">
        <f t="shared" si="9"/>
        <v>300</v>
      </c>
      <c r="N63" s="7">
        <f t="shared" si="10"/>
        <v>1.951600312</v>
      </c>
      <c r="O63" s="7">
        <f t="shared" si="11"/>
        <v>400</v>
      </c>
      <c r="P63" s="7">
        <f t="shared" si="12"/>
        <v>2.60213375</v>
      </c>
      <c r="Q63" s="7">
        <f t="shared" si="13"/>
        <v>500</v>
      </c>
      <c r="R63" s="7">
        <f t="shared" si="14"/>
        <v>3.252667187</v>
      </c>
      <c r="S63" s="7">
        <f t="shared" si="15"/>
        <v>600</v>
      </c>
      <c r="T63" s="7">
        <f t="shared" si="16"/>
        <v>3.903200625</v>
      </c>
      <c r="U63" s="7">
        <f t="shared" si="17"/>
        <v>700</v>
      </c>
      <c r="V63" s="7">
        <f t="shared" si="18"/>
        <v>4.553734062</v>
      </c>
      <c r="W63" s="7">
        <f t="shared" si="19"/>
        <v>800</v>
      </c>
      <c r="X63" s="7">
        <f t="shared" si="20"/>
        <v>5.204267499</v>
      </c>
      <c r="Y63" s="7">
        <f t="shared" si="21"/>
        <v>900</v>
      </c>
      <c r="Z63" s="7">
        <f t="shared" si="22"/>
        <v>5.854800937</v>
      </c>
    </row>
    <row r="64">
      <c r="A64" s="30" t="str">
        <f>IFERROR(__xludf.DUMMYFUNCTION("""COMPUTED_VALUE"""),"2017 01")</f>
        <v>2017 01</v>
      </c>
      <c r="B64" s="30" t="str">
        <f>IFERROR(__xludf.DUMMYFUNCTION("""COMPUTED_VALUE"""),"160.17")</f>
        <v>160.17</v>
      </c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0.3121683212</v>
      </c>
      <c r="G64" s="7">
        <f t="shared" si="3"/>
        <v>100</v>
      </c>
      <c r="H64" s="7">
        <f t="shared" si="4"/>
        <v>0.6243366423</v>
      </c>
      <c r="I64" s="7">
        <f t="shared" si="5"/>
        <v>150</v>
      </c>
      <c r="J64" s="7">
        <f t="shared" si="6"/>
        <v>0.9365049635</v>
      </c>
      <c r="K64" s="7">
        <f t="shared" si="7"/>
        <v>200</v>
      </c>
      <c r="L64" s="7">
        <f t="shared" si="8"/>
        <v>1.248673285</v>
      </c>
      <c r="M64" s="7">
        <f t="shared" si="9"/>
        <v>300</v>
      </c>
      <c r="N64" s="7">
        <f t="shared" si="10"/>
        <v>1.873009927</v>
      </c>
      <c r="O64" s="7">
        <f t="shared" si="11"/>
        <v>400</v>
      </c>
      <c r="P64" s="7">
        <f t="shared" si="12"/>
        <v>2.497346569</v>
      </c>
      <c r="Q64" s="7">
        <f t="shared" si="13"/>
        <v>500</v>
      </c>
      <c r="R64" s="7">
        <f t="shared" si="14"/>
        <v>3.121683212</v>
      </c>
      <c r="S64" s="7">
        <f t="shared" si="15"/>
        <v>600</v>
      </c>
      <c r="T64" s="7">
        <f t="shared" si="16"/>
        <v>3.746019854</v>
      </c>
      <c r="U64" s="7">
        <f t="shared" si="17"/>
        <v>700</v>
      </c>
      <c r="V64" s="7">
        <f t="shared" si="18"/>
        <v>4.370356496</v>
      </c>
      <c r="W64" s="7">
        <f t="shared" si="19"/>
        <v>800</v>
      </c>
      <c r="X64" s="7">
        <f t="shared" si="20"/>
        <v>4.994693139</v>
      </c>
      <c r="Y64" s="7">
        <f t="shared" si="21"/>
        <v>900</v>
      </c>
      <c r="Z64" s="7">
        <f t="shared" si="22"/>
        <v>5.619029781</v>
      </c>
    </row>
    <row r="65">
      <c r="A65" s="30" t="str">
        <f>IFERROR(__xludf.DUMMYFUNCTION("""COMPUTED_VALUE"""),"2017 02")</f>
        <v>2017 02</v>
      </c>
      <c r="B65" s="30" t="str">
        <f>IFERROR(__xludf.DUMMYFUNCTION("""COMPUTED_VALUE"""),"155.48")</f>
        <v>155.48</v>
      </c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0.3215847697</v>
      </c>
      <c r="G65" s="7">
        <f t="shared" si="3"/>
        <v>100</v>
      </c>
      <c r="H65" s="7">
        <f t="shared" si="4"/>
        <v>0.6431695395</v>
      </c>
      <c r="I65" s="7">
        <f t="shared" si="5"/>
        <v>150</v>
      </c>
      <c r="J65" s="7">
        <f t="shared" si="6"/>
        <v>0.9647543092</v>
      </c>
      <c r="K65" s="7">
        <f t="shared" si="7"/>
        <v>200</v>
      </c>
      <c r="L65" s="7">
        <f t="shared" si="8"/>
        <v>1.286339079</v>
      </c>
      <c r="M65" s="7">
        <f t="shared" si="9"/>
        <v>300</v>
      </c>
      <c r="N65" s="7">
        <f t="shared" si="10"/>
        <v>1.929508618</v>
      </c>
      <c r="O65" s="7">
        <f t="shared" si="11"/>
        <v>400</v>
      </c>
      <c r="P65" s="7">
        <f t="shared" si="12"/>
        <v>2.572678158</v>
      </c>
      <c r="Q65" s="7">
        <f t="shared" si="13"/>
        <v>500</v>
      </c>
      <c r="R65" s="7">
        <f t="shared" si="14"/>
        <v>3.215847697</v>
      </c>
      <c r="S65" s="7">
        <f t="shared" si="15"/>
        <v>600</v>
      </c>
      <c r="T65" s="7">
        <f t="shared" si="16"/>
        <v>3.859017237</v>
      </c>
      <c r="U65" s="7">
        <f t="shared" si="17"/>
        <v>700</v>
      </c>
      <c r="V65" s="7">
        <f t="shared" si="18"/>
        <v>4.502186776</v>
      </c>
      <c r="W65" s="7">
        <f t="shared" si="19"/>
        <v>800</v>
      </c>
      <c r="X65" s="7">
        <f t="shared" si="20"/>
        <v>5.145356316</v>
      </c>
      <c r="Y65" s="7">
        <f t="shared" si="21"/>
        <v>900</v>
      </c>
      <c r="Z65" s="7">
        <f t="shared" si="22"/>
        <v>5.788525855</v>
      </c>
    </row>
    <row r="66">
      <c r="A66" s="30" t="str">
        <f>IFERROR(__xludf.DUMMYFUNCTION("""COMPUTED_VALUE"""),"2017 03")</f>
        <v>2017 03</v>
      </c>
      <c r="B66" s="30" t="str">
        <f>IFERROR(__xludf.DUMMYFUNCTION("""COMPUTED_VALUE"""),"159.39")</f>
        <v>159.39</v>
      </c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0.3136959659</v>
      </c>
      <c r="G66" s="7">
        <f t="shared" si="3"/>
        <v>100</v>
      </c>
      <c r="H66" s="7">
        <f t="shared" si="4"/>
        <v>0.6273919317</v>
      </c>
      <c r="I66" s="7">
        <f t="shared" si="5"/>
        <v>150</v>
      </c>
      <c r="J66" s="7">
        <f t="shared" si="6"/>
        <v>0.9410878976</v>
      </c>
      <c r="K66" s="7">
        <f t="shared" si="7"/>
        <v>200</v>
      </c>
      <c r="L66" s="7">
        <f t="shared" si="8"/>
        <v>1.254783863</v>
      </c>
      <c r="M66" s="7">
        <f t="shared" si="9"/>
        <v>300</v>
      </c>
      <c r="N66" s="7">
        <f t="shared" si="10"/>
        <v>1.882175795</v>
      </c>
      <c r="O66" s="7">
        <f t="shared" si="11"/>
        <v>400</v>
      </c>
      <c r="P66" s="7">
        <f t="shared" si="12"/>
        <v>2.509567727</v>
      </c>
      <c r="Q66" s="7">
        <f t="shared" si="13"/>
        <v>500</v>
      </c>
      <c r="R66" s="7">
        <f t="shared" si="14"/>
        <v>3.136959659</v>
      </c>
      <c r="S66" s="7">
        <f t="shared" si="15"/>
        <v>600</v>
      </c>
      <c r="T66" s="7">
        <f t="shared" si="16"/>
        <v>3.76435159</v>
      </c>
      <c r="U66" s="7">
        <f t="shared" si="17"/>
        <v>700</v>
      </c>
      <c r="V66" s="7">
        <f t="shared" si="18"/>
        <v>4.391743522</v>
      </c>
      <c r="W66" s="7">
        <f t="shared" si="19"/>
        <v>800</v>
      </c>
      <c r="X66" s="7">
        <f t="shared" si="20"/>
        <v>5.019135454</v>
      </c>
      <c r="Y66" s="7">
        <f t="shared" si="21"/>
        <v>900</v>
      </c>
      <c r="Z66" s="7">
        <f t="shared" si="22"/>
        <v>5.646527386</v>
      </c>
    </row>
    <row r="67">
      <c r="A67" s="30" t="str">
        <f>IFERROR(__xludf.DUMMYFUNCTION("""COMPUTED_VALUE"""),"2017 04")</f>
        <v>2017 04</v>
      </c>
      <c r="B67" s="30" t="str">
        <f>IFERROR(__xludf.DUMMYFUNCTION("""COMPUTED_VALUE"""),"159.94")</f>
        <v>159.94</v>
      </c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0.3126172315</v>
      </c>
      <c r="G67" s="7">
        <f t="shared" si="3"/>
        <v>100</v>
      </c>
      <c r="H67" s="7">
        <f t="shared" si="4"/>
        <v>0.6252344629</v>
      </c>
      <c r="I67" s="7">
        <f t="shared" si="5"/>
        <v>150</v>
      </c>
      <c r="J67" s="7">
        <f t="shared" si="6"/>
        <v>0.9378516944</v>
      </c>
      <c r="K67" s="7">
        <f t="shared" si="7"/>
        <v>200</v>
      </c>
      <c r="L67" s="7">
        <f t="shared" si="8"/>
        <v>1.250468926</v>
      </c>
      <c r="M67" s="7">
        <f t="shared" si="9"/>
        <v>300</v>
      </c>
      <c r="N67" s="7">
        <f t="shared" si="10"/>
        <v>1.875703389</v>
      </c>
      <c r="O67" s="7">
        <f t="shared" si="11"/>
        <v>400</v>
      </c>
      <c r="P67" s="7">
        <f t="shared" si="12"/>
        <v>2.500937852</v>
      </c>
      <c r="Q67" s="7">
        <f t="shared" si="13"/>
        <v>500</v>
      </c>
      <c r="R67" s="7">
        <f t="shared" si="14"/>
        <v>3.126172315</v>
      </c>
      <c r="S67" s="7">
        <f t="shared" si="15"/>
        <v>600</v>
      </c>
      <c r="T67" s="7">
        <f t="shared" si="16"/>
        <v>3.751406778</v>
      </c>
      <c r="U67" s="7">
        <f t="shared" si="17"/>
        <v>700</v>
      </c>
      <c r="V67" s="7">
        <f t="shared" si="18"/>
        <v>4.37664124</v>
      </c>
      <c r="W67" s="7">
        <f t="shared" si="19"/>
        <v>800</v>
      </c>
      <c r="X67" s="7">
        <f t="shared" si="20"/>
        <v>5.001875703</v>
      </c>
      <c r="Y67" s="7">
        <f t="shared" si="21"/>
        <v>900</v>
      </c>
      <c r="Z67" s="7">
        <f t="shared" si="22"/>
        <v>5.627110166</v>
      </c>
    </row>
    <row r="68">
      <c r="A68" s="30" t="str">
        <f>IFERROR(__xludf.DUMMYFUNCTION("""COMPUTED_VALUE"""),"2017 05")</f>
        <v>2017 05</v>
      </c>
      <c r="B68" s="30" t="str">
        <f>IFERROR(__xludf.DUMMYFUNCTION("""COMPUTED_VALUE"""),"163.88")</f>
        <v>163.88</v>
      </c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0.3051012936</v>
      </c>
      <c r="G68" s="7">
        <f t="shared" si="3"/>
        <v>100</v>
      </c>
      <c r="H68" s="7">
        <f t="shared" si="4"/>
        <v>0.6102025873</v>
      </c>
      <c r="I68" s="7">
        <f t="shared" si="5"/>
        <v>150</v>
      </c>
      <c r="J68" s="7">
        <f t="shared" si="6"/>
        <v>0.9153038809</v>
      </c>
      <c r="K68" s="7">
        <f t="shared" si="7"/>
        <v>200</v>
      </c>
      <c r="L68" s="7">
        <f t="shared" si="8"/>
        <v>1.220405175</v>
      </c>
      <c r="M68" s="7">
        <f t="shared" si="9"/>
        <v>300</v>
      </c>
      <c r="N68" s="7">
        <f t="shared" si="10"/>
        <v>1.830607762</v>
      </c>
      <c r="O68" s="7">
        <f t="shared" si="11"/>
        <v>400</v>
      </c>
      <c r="P68" s="7">
        <f t="shared" si="12"/>
        <v>2.440810349</v>
      </c>
      <c r="Q68" s="7">
        <f t="shared" si="13"/>
        <v>500</v>
      </c>
      <c r="R68" s="7">
        <f t="shared" si="14"/>
        <v>3.051012936</v>
      </c>
      <c r="S68" s="7">
        <f t="shared" si="15"/>
        <v>600</v>
      </c>
      <c r="T68" s="7">
        <f t="shared" si="16"/>
        <v>3.661215524</v>
      </c>
      <c r="U68" s="7">
        <f t="shared" si="17"/>
        <v>700</v>
      </c>
      <c r="V68" s="7">
        <f t="shared" si="18"/>
        <v>4.271418111</v>
      </c>
      <c r="W68" s="7">
        <f t="shared" si="19"/>
        <v>800</v>
      </c>
      <c r="X68" s="7">
        <f t="shared" si="20"/>
        <v>4.881620698</v>
      </c>
      <c r="Y68" s="7">
        <f t="shared" si="21"/>
        <v>900</v>
      </c>
      <c r="Z68" s="7">
        <f t="shared" si="22"/>
        <v>5.491823285</v>
      </c>
    </row>
    <row r="69">
      <c r="A69" s="30" t="str">
        <f>IFERROR(__xludf.DUMMYFUNCTION("""COMPUTED_VALUE"""),"2017 06")</f>
        <v>2017 06</v>
      </c>
      <c r="B69" s="30" t="str">
        <f>IFERROR(__xludf.DUMMYFUNCTION("""COMPUTED_VALUE"""),"167.65")</f>
        <v>167.65</v>
      </c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0.2982403817</v>
      </c>
      <c r="G69" s="7">
        <f t="shared" si="3"/>
        <v>100</v>
      </c>
      <c r="H69" s="7">
        <f t="shared" si="4"/>
        <v>0.5964807635</v>
      </c>
      <c r="I69" s="7">
        <f t="shared" si="5"/>
        <v>150</v>
      </c>
      <c r="J69" s="7">
        <f t="shared" si="6"/>
        <v>0.8947211452</v>
      </c>
      <c r="K69" s="7">
        <f t="shared" si="7"/>
        <v>200</v>
      </c>
      <c r="L69" s="7">
        <f t="shared" si="8"/>
        <v>1.192961527</v>
      </c>
      <c r="M69" s="7">
        <f t="shared" si="9"/>
        <v>300</v>
      </c>
      <c r="N69" s="7">
        <f t="shared" si="10"/>
        <v>1.78944229</v>
      </c>
      <c r="O69" s="7">
        <f t="shared" si="11"/>
        <v>400</v>
      </c>
      <c r="P69" s="7">
        <f t="shared" si="12"/>
        <v>2.385923054</v>
      </c>
      <c r="Q69" s="7">
        <f t="shared" si="13"/>
        <v>500</v>
      </c>
      <c r="R69" s="7">
        <f t="shared" si="14"/>
        <v>2.982403817</v>
      </c>
      <c r="S69" s="7">
        <f t="shared" si="15"/>
        <v>600</v>
      </c>
      <c r="T69" s="7">
        <f t="shared" si="16"/>
        <v>3.578884581</v>
      </c>
      <c r="U69" s="7">
        <f t="shared" si="17"/>
        <v>700</v>
      </c>
      <c r="V69" s="7">
        <f t="shared" si="18"/>
        <v>4.175365344</v>
      </c>
      <c r="W69" s="7">
        <f t="shared" si="19"/>
        <v>800</v>
      </c>
      <c r="X69" s="7">
        <f t="shared" si="20"/>
        <v>4.771846108</v>
      </c>
      <c r="Y69" s="7">
        <f t="shared" si="21"/>
        <v>900</v>
      </c>
      <c r="Z69" s="7">
        <f t="shared" si="22"/>
        <v>5.368326871</v>
      </c>
    </row>
    <row r="70">
      <c r="A70" s="30" t="str">
        <f>IFERROR(__xludf.DUMMYFUNCTION("""COMPUTED_VALUE"""),"2017 07")</f>
        <v>2017 07</v>
      </c>
      <c r="B70" s="30" t="str">
        <f>IFERROR(__xludf.DUMMYFUNCTION("""COMPUTED_VALUE"""),"162.68")</f>
        <v>162.68</v>
      </c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0.3073518564</v>
      </c>
      <c r="G70" s="7">
        <f t="shared" si="3"/>
        <v>100</v>
      </c>
      <c r="H70" s="7">
        <f t="shared" si="4"/>
        <v>0.6147037128</v>
      </c>
      <c r="I70" s="7">
        <f t="shared" si="5"/>
        <v>150</v>
      </c>
      <c r="J70" s="7">
        <f t="shared" si="6"/>
        <v>0.9220555692</v>
      </c>
      <c r="K70" s="7">
        <f t="shared" si="7"/>
        <v>200</v>
      </c>
      <c r="L70" s="7">
        <f t="shared" si="8"/>
        <v>1.229407426</v>
      </c>
      <c r="M70" s="7">
        <f t="shared" si="9"/>
        <v>300</v>
      </c>
      <c r="N70" s="7">
        <f t="shared" si="10"/>
        <v>1.844111138</v>
      </c>
      <c r="O70" s="7">
        <f t="shared" si="11"/>
        <v>400</v>
      </c>
      <c r="P70" s="7">
        <f t="shared" si="12"/>
        <v>2.458814851</v>
      </c>
      <c r="Q70" s="7">
        <f t="shared" si="13"/>
        <v>500</v>
      </c>
      <c r="R70" s="7">
        <f t="shared" si="14"/>
        <v>3.073518564</v>
      </c>
      <c r="S70" s="7">
        <f t="shared" si="15"/>
        <v>600</v>
      </c>
      <c r="T70" s="7">
        <f t="shared" si="16"/>
        <v>3.688222277</v>
      </c>
      <c r="U70" s="7">
        <f t="shared" si="17"/>
        <v>700</v>
      </c>
      <c r="V70" s="7">
        <f t="shared" si="18"/>
        <v>4.30292599</v>
      </c>
      <c r="W70" s="7">
        <f t="shared" si="19"/>
        <v>800</v>
      </c>
      <c r="X70" s="7">
        <f t="shared" si="20"/>
        <v>4.917629702</v>
      </c>
      <c r="Y70" s="7">
        <f t="shared" si="21"/>
        <v>900</v>
      </c>
      <c r="Z70" s="7">
        <f t="shared" si="22"/>
        <v>5.532333415</v>
      </c>
    </row>
    <row r="71">
      <c r="A71" s="30" t="str">
        <f>IFERROR(__xludf.DUMMYFUNCTION("""COMPUTED_VALUE"""),"2017 08")</f>
        <v>2017 08</v>
      </c>
      <c r="B71" s="30" t="str">
        <f>IFERROR(__xludf.DUMMYFUNCTION("""COMPUTED_VALUE"""),"158.4")</f>
        <v>158.4</v>
      </c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0.3156565657</v>
      </c>
      <c r="G71" s="7">
        <f t="shared" si="3"/>
        <v>100</v>
      </c>
      <c r="H71" s="7">
        <f t="shared" si="4"/>
        <v>0.6313131313</v>
      </c>
      <c r="I71" s="7">
        <f t="shared" si="5"/>
        <v>150</v>
      </c>
      <c r="J71" s="7">
        <f t="shared" si="6"/>
        <v>0.946969697</v>
      </c>
      <c r="K71" s="7">
        <f t="shared" si="7"/>
        <v>200</v>
      </c>
      <c r="L71" s="7">
        <f t="shared" si="8"/>
        <v>1.262626263</v>
      </c>
      <c r="M71" s="7">
        <f t="shared" si="9"/>
        <v>300</v>
      </c>
      <c r="N71" s="7">
        <f t="shared" si="10"/>
        <v>1.893939394</v>
      </c>
      <c r="O71" s="7">
        <f t="shared" si="11"/>
        <v>400</v>
      </c>
      <c r="P71" s="7">
        <f t="shared" si="12"/>
        <v>2.525252525</v>
      </c>
      <c r="Q71" s="7">
        <f t="shared" si="13"/>
        <v>500</v>
      </c>
      <c r="R71" s="7">
        <f t="shared" si="14"/>
        <v>3.156565657</v>
      </c>
      <c r="S71" s="7">
        <f t="shared" si="15"/>
        <v>600</v>
      </c>
      <c r="T71" s="7">
        <f t="shared" si="16"/>
        <v>3.787878788</v>
      </c>
      <c r="U71" s="7">
        <f t="shared" si="17"/>
        <v>700</v>
      </c>
      <c r="V71" s="7">
        <f t="shared" si="18"/>
        <v>4.419191919</v>
      </c>
      <c r="W71" s="7">
        <f t="shared" si="19"/>
        <v>800</v>
      </c>
      <c r="X71" s="7">
        <f t="shared" si="20"/>
        <v>5.050505051</v>
      </c>
      <c r="Y71" s="7">
        <f t="shared" si="21"/>
        <v>900</v>
      </c>
      <c r="Z71" s="7">
        <f t="shared" si="22"/>
        <v>5.681818182</v>
      </c>
    </row>
    <row r="72">
      <c r="A72" s="30" t="str">
        <f>IFERROR(__xludf.DUMMYFUNCTION("""COMPUTED_VALUE"""),"2017 09")</f>
        <v>2017 09</v>
      </c>
      <c r="B72" s="30" t="str">
        <f>IFERROR(__xludf.DUMMYFUNCTION("""COMPUTED_VALUE"""),"160.04")</f>
        <v>160.04</v>
      </c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0.3124218945</v>
      </c>
      <c r="G72" s="7">
        <f t="shared" si="3"/>
        <v>100</v>
      </c>
      <c r="H72" s="7">
        <f t="shared" si="4"/>
        <v>0.6248437891</v>
      </c>
      <c r="I72" s="7">
        <f t="shared" si="5"/>
        <v>150</v>
      </c>
      <c r="J72" s="7">
        <f t="shared" si="6"/>
        <v>0.9372656836</v>
      </c>
      <c r="K72" s="7">
        <f t="shared" si="7"/>
        <v>200</v>
      </c>
      <c r="L72" s="7">
        <f t="shared" si="8"/>
        <v>1.249687578</v>
      </c>
      <c r="M72" s="7">
        <f t="shared" si="9"/>
        <v>300</v>
      </c>
      <c r="N72" s="7">
        <f t="shared" si="10"/>
        <v>1.874531367</v>
      </c>
      <c r="O72" s="7">
        <f t="shared" si="11"/>
        <v>400</v>
      </c>
      <c r="P72" s="7">
        <f t="shared" si="12"/>
        <v>2.499375156</v>
      </c>
      <c r="Q72" s="7">
        <f t="shared" si="13"/>
        <v>500</v>
      </c>
      <c r="R72" s="7">
        <f t="shared" si="14"/>
        <v>3.124218945</v>
      </c>
      <c r="S72" s="7">
        <f t="shared" si="15"/>
        <v>600</v>
      </c>
      <c r="T72" s="7">
        <f t="shared" si="16"/>
        <v>3.749062734</v>
      </c>
      <c r="U72" s="7">
        <f t="shared" si="17"/>
        <v>700</v>
      </c>
      <c r="V72" s="7">
        <f t="shared" si="18"/>
        <v>4.373906523</v>
      </c>
      <c r="W72" s="7">
        <f t="shared" si="19"/>
        <v>800</v>
      </c>
      <c r="X72" s="7">
        <f t="shared" si="20"/>
        <v>4.998750312</v>
      </c>
      <c r="Y72" s="7">
        <f t="shared" si="21"/>
        <v>900</v>
      </c>
      <c r="Z72" s="7">
        <f t="shared" si="22"/>
        <v>5.623594101</v>
      </c>
    </row>
    <row r="73">
      <c r="A73" s="30" t="str">
        <f>IFERROR(__xludf.DUMMYFUNCTION("""COMPUTED_VALUE"""),"2017 10")</f>
        <v>2017 10</v>
      </c>
      <c r="B73" s="30" t="str">
        <f>IFERROR(__xludf.DUMMYFUNCTION("""COMPUTED_VALUE"""),"165.72")</f>
        <v>165.72</v>
      </c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0.301713734</v>
      </c>
      <c r="G73" s="7">
        <f t="shared" si="3"/>
        <v>100</v>
      </c>
      <c r="H73" s="7">
        <f t="shared" si="4"/>
        <v>0.603427468</v>
      </c>
      <c r="I73" s="7">
        <f t="shared" si="5"/>
        <v>150</v>
      </c>
      <c r="J73" s="7">
        <f t="shared" si="6"/>
        <v>0.905141202</v>
      </c>
      <c r="K73" s="7">
        <f t="shared" si="7"/>
        <v>200</v>
      </c>
      <c r="L73" s="7">
        <f t="shared" si="8"/>
        <v>1.206854936</v>
      </c>
      <c r="M73" s="7">
        <f t="shared" si="9"/>
        <v>300</v>
      </c>
      <c r="N73" s="7">
        <f t="shared" si="10"/>
        <v>1.810282404</v>
      </c>
      <c r="O73" s="7">
        <f t="shared" si="11"/>
        <v>400</v>
      </c>
      <c r="P73" s="7">
        <f t="shared" si="12"/>
        <v>2.413709872</v>
      </c>
      <c r="Q73" s="7">
        <f t="shared" si="13"/>
        <v>500</v>
      </c>
      <c r="R73" s="7">
        <f t="shared" si="14"/>
        <v>3.01713734</v>
      </c>
      <c r="S73" s="7">
        <f t="shared" si="15"/>
        <v>600</v>
      </c>
      <c r="T73" s="7">
        <f t="shared" si="16"/>
        <v>3.620564808</v>
      </c>
      <c r="U73" s="7">
        <f t="shared" si="17"/>
        <v>700</v>
      </c>
      <c r="V73" s="7">
        <f t="shared" si="18"/>
        <v>4.223992276</v>
      </c>
      <c r="W73" s="7">
        <f t="shared" si="19"/>
        <v>800</v>
      </c>
      <c r="X73" s="7">
        <f t="shared" si="20"/>
        <v>4.827419744</v>
      </c>
      <c r="Y73" s="7">
        <f t="shared" si="21"/>
        <v>900</v>
      </c>
      <c r="Z73" s="7">
        <f t="shared" si="22"/>
        <v>5.430847212</v>
      </c>
    </row>
    <row r="74">
      <c r="A74" s="30" t="str">
        <f>IFERROR(__xludf.DUMMYFUNCTION("""COMPUTED_VALUE"""),"2017 11")</f>
        <v>2017 11</v>
      </c>
      <c r="B74" s="30" t="str">
        <f>IFERROR(__xludf.DUMMYFUNCTION("""COMPUTED_VALUE"""),"172.96")</f>
        <v>172.96</v>
      </c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0.2890841813</v>
      </c>
      <c r="G74" s="7">
        <f t="shared" si="3"/>
        <v>100</v>
      </c>
      <c r="H74" s="7">
        <f t="shared" si="4"/>
        <v>0.5781683626</v>
      </c>
      <c r="I74" s="7">
        <f t="shared" si="5"/>
        <v>150</v>
      </c>
      <c r="J74" s="7">
        <f t="shared" si="6"/>
        <v>0.8672525439</v>
      </c>
      <c r="K74" s="7">
        <f t="shared" si="7"/>
        <v>200</v>
      </c>
      <c r="L74" s="7">
        <f t="shared" si="8"/>
        <v>1.156336725</v>
      </c>
      <c r="M74" s="7">
        <f t="shared" si="9"/>
        <v>300</v>
      </c>
      <c r="N74" s="7">
        <f t="shared" si="10"/>
        <v>1.734505088</v>
      </c>
      <c r="O74" s="7">
        <f t="shared" si="11"/>
        <v>400</v>
      </c>
      <c r="P74" s="7">
        <f t="shared" si="12"/>
        <v>2.312673451</v>
      </c>
      <c r="Q74" s="7">
        <f t="shared" si="13"/>
        <v>500</v>
      </c>
      <c r="R74" s="7">
        <f t="shared" si="14"/>
        <v>2.890841813</v>
      </c>
      <c r="S74" s="7">
        <f t="shared" si="15"/>
        <v>600</v>
      </c>
      <c r="T74" s="7">
        <f t="shared" si="16"/>
        <v>3.469010176</v>
      </c>
      <c r="U74" s="7">
        <f t="shared" si="17"/>
        <v>700</v>
      </c>
      <c r="V74" s="7">
        <f t="shared" si="18"/>
        <v>4.047178538</v>
      </c>
      <c r="W74" s="7">
        <f t="shared" si="19"/>
        <v>800</v>
      </c>
      <c r="X74" s="7">
        <f t="shared" si="20"/>
        <v>4.625346901</v>
      </c>
      <c r="Y74" s="7">
        <f t="shared" si="21"/>
        <v>900</v>
      </c>
      <c r="Z74" s="7">
        <f t="shared" si="22"/>
        <v>5.203515264</v>
      </c>
    </row>
    <row r="75">
      <c r="A75" s="30" t="str">
        <f>IFERROR(__xludf.DUMMYFUNCTION("""COMPUTED_VALUE"""),"2017 12")</f>
        <v>2017 12</v>
      </c>
      <c r="B75" s="30" t="str">
        <f>IFERROR(__xludf.DUMMYFUNCTION("""COMPUTED_VALUE"""),"179.92")</f>
        <v>179.92</v>
      </c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0.2779012895</v>
      </c>
      <c r="G75" s="7">
        <f t="shared" si="3"/>
        <v>100</v>
      </c>
      <c r="H75" s="7">
        <f t="shared" si="4"/>
        <v>0.5558025789</v>
      </c>
      <c r="I75" s="7">
        <f t="shared" si="5"/>
        <v>150</v>
      </c>
      <c r="J75" s="7">
        <f t="shared" si="6"/>
        <v>0.8337038684</v>
      </c>
      <c r="K75" s="7">
        <f t="shared" si="7"/>
        <v>200</v>
      </c>
      <c r="L75" s="7">
        <f t="shared" si="8"/>
        <v>1.111605158</v>
      </c>
      <c r="M75" s="7">
        <f t="shared" si="9"/>
        <v>300</v>
      </c>
      <c r="N75" s="7">
        <f t="shared" si="10"/>
        <v>1.667407737</v>
      </c>
      <c r="O75" s="7">
        <f t="shared" si="11"/>
        <v>400</v>
      </c>
      <c r="P75" s="7">
        <f t="shared" si="12"/>
        <v>2.223210316</v>
      </c>
      <c r="Q75" s="7">
        <f t="shared" si="13"/>
        <v>500</v>
      </c>
      <c r="R75" s="7">
        <f t="shared" si="14"/>
        <v>2.779012895</v>
      </c>
      <c r="S75" s="7">
        <f t="shared" si="15"/>
        <v>600</v>
      </c>
      <c r="T75" s="7">
        <f t="shared" si="16"/>
        <v>3.334815474</v>
      </c>
      <c r="U75" s="7">
        <f t="shared" si="17"/>
        <v>700</v>
      </c>
      <c r="V75" s="7">
        <f t="shared" si="18"/>
        <v>3.890618052</v>
      </c>
      <c r="W75" s="7">
        <f t="shared" si="19"/>
        <v>800</v>
      </c>
      <c r="X75" s="7">
        <f t="shared" si="20"/>
        <v>4.446420631</v>
      </c>
      <c r="Y75" s="7">
        <f t="shared" si="21"/>
        <v>900</v>
      </c>
      <c r="Z75" s="7">
        <f t="shared" si="22"/>
        <v>5.00222321</v>
      </c>
    </row>
    <row r="76">
      <c r="A76" s="30" t="str">
        <f>IFERROR(__xludf.DUMMYFUNCTION("""COMPUTED_VALUE"""),"2018 01")</f>
        <v>2018 01</v>
      </c>
      <c r="B76" s="30" t="str">
        <f>IFERROR(__xludf.DUMMYFUNCTION("""COMPUTED_VALUE"""),"175.45")</f>
        <v>175.45</v>
      </c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0.2849814762</v>
      </c>
      <c r="G76" s="7">
        <f t="shared" si="3"/>
        <v>100</v>
      </c>
      <c r="H76" s="7">
        <f t="shared" si="4"/>
        <v>0.5699629524</v>
      </c>
      <c r="I76" s="7">
        <f t="shared" si="5"/>
        <v>150</v>
      </c>
      <c r="J76" s="7">
        <f t="shared" si="6"/>
        <v>0.8549444286</v>
      </c>
      <c r="K76" s="7">
        <f t="shared" si="7"/>
        <v>200</v>
      </c>
      <c r="L76" s="7">
        <f t="shared" si="8"/>
        <v>1.139925905</v>
      </c>
      <c r="M76" s="7">
        <f t="shared" si="9"/>
        <v>300</v>
      </c>
      <c r="N76" s="7">
        <f t="shared" si="10"/>
        <v>1.709888857</v>
      </c>
      <c r="O76" s="7">
        <f t="shared" si="11"/>
        <v>400</v>
      </c>
      <c r="P76" s="7">
        <f t="shared" si="12"/>
        <v>2.27985181</v>
      </c>
      <c r="Q76" s="7">
        <f t="shared" si="13"/>
        <v>500</v>
      </c>
      <c r="R76" s="7">
        <f t="shared" si="14"/>
        <v>2.849814762</v>
      </c>
      <c r="S76" s="7">
        <f t="shared" si="15"/>
        <v>600</v>
      </c>
      <c r="T76" s="7">
        <f t="shared" si="16"/>
        <v>3.419777714</v>
      </c>
      <c r="U76" s="7">
        <f t="shared" si="17"/>
        <v>700</v>
      </c>
      <c r="V76" s="7">
        <f t="shared" si="18"/>
        <v>3.989740667</v>
      </c>
      <c r="W76" s="7">
        <f t="shared" si="19"/>
        <v>800</v>
      </c>
      <c r="X76" s="7">
        <f t="shared" si="20"/>
        <v>4.559703619</v>
      </c>
      <c r="Y76" s="7">
        <f t="shared" si="21"/>
        <v>900</v>
      </c>
      <c r="Z76" s="7">
        <f t="shared" si="22"/>
        <v>5.129666572</v>
      </c>
    </row>
    <row r="77">
      <c r="A77" s="30" t="str">
        <f>IFERROR(__xludf.DUMMYFUNCTION("""COMPUTED_VALUE"""),"2018 02")</f>
        <v>2018 02</v>
      </c>
      <c r="B77" s="30" t="str">
        <f>IFERROR(__xludf.DUMMYFUNCTION("""COMPUTED_VALUE"""),"180.42")</f>
        <v>180.42</v>
      </c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0.2771311385</v>
      </c>
      <c r="G77" s="7">
        <f t="shared" si="3"/>
        <v>100</v>
      </c>
      <c r="H77" s="7">
        <f t="shared" si="4"/>
        <v>0.5542622769</v>
      </c>
      <c r="I77" s="7">
        <f t="shared" si="5"/>
        <v>150</v>
      </c>
      <c r="J77" s="7">
        <f t="shared" si="6"/>
        <v>0.8313934154</v>
      </c>
      <c r="K77" s="7">
        <f t="shared" si="7"/>
        <v>200</v>
      </c>
      <c r="L77" s="7">
        <f t="shared" si="8"/>
        <v>1.108524554</v>
      </c>
      <c r="M77" s="7">
        <f t="shared" si="9"/>
        <v>300</v>
      </c>
      <c r="N77" s="7">
        <f t="shared" si="10"/>
        <v>1.662786831</v>
      </c>
      <c r="O77" s="7">
        <f t="shared" si="11"/>
        <v>400</v>
      </c>
      <c r="P77" s="7">
        <f t="shared" si="12"/>
        <v>2.217049108</v>
      </c>
      <c r="Q77" s="7">
        <f t="shared" si="13"/>
        <v>500</v>
      </c>
      <c r="R77" s="7">
        <f t="shared" si="14"/>
        <v>2.771311385</v>
      </c>
      <c r="S77" s="7">
        <f t="shared" si="15"/>
        <v>600</v>
      </c>
      <c r="T77" s="7">
        <f t="shared" si="16"/>
        <v>3.325573661</v>
      </c>
      <c r="U77" s="7">
        <f t="shared" si="17"/>
        <v>700</v>
      </c>
      <c r="V77" s="7">
        <f t="shared" si="18"/>
        <v>3.879835938</v>
      </c>
      <c r="W77" s="7">
        <f t="shared" si="19"/>
        <v>800</v>
      </c>
      <c r="X77" s="7">
        <f t="shared" si="20"/>
        <v>4.434098215</v>
      </c>
      <c r="Y77" s="7">
        <f t="shared" si="21"/>
        <v>900</v>
      </c>
      <c r="Z77" s="7">
        <f t="shared" si="22"/>
        <v>4.988360492</v>
      </c>
    </row>
    <row r="78">
      <c r="A78" s="30" t="str">
        <f>IFERROR(__xludf.DUMMYFUNCTION("""COMPUTED_VALUE"""),"2018 03")</f>
        <v>2018 03</v>
      </c>
      <c r="B78" s="30" t="str">
        <f>IFERROR(__xludf.DUMMYFUNCTION("""COMPUTED_VALUE"""),"179.5")</f>
        <v>179.5</v>
      </c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0.278551532</v>
      </c>
      <c r="G78" s="7">
        <f t="shared" si="3"/>
        <v>100</v>
      </c>
      <c r="H78" s="7">
        <f t="shared" si="4"/>
        <v>0.5571030641</v>
      </c>
      <c r="I78" s="7">
        <f t="shared" si="5"/>
        <v>150</v>
      </c>
      <c r="J78" s="7">
        <f t="shared" si="6"/>
        <v>0.8356545961</v>
      </c>
      <c r="K78" s="7">
        <f t="shared" si="7"/>
        <v>200</v>
      </c>
      <c r="L78" s="7">
        <f t="shared" si="8"/>
        <v>1.114206128</v>
      </c>
      <c r="M78" s="7">
        <f t="shared" si="9"/>
        <v>300</v>
      </c>
      <c r="N78" s="7">
        <f t="shared" si="10"/>
        <v>1.671309192</v>
      </c>
      <c r="O78" s="7">
        <f t="shared" si="11"/>
        <v>400</v>
      </c>
      <c r="P78" s="7">
        <f t="shared" si="12"/>
        <v>2.228412256</v>
      </c>
      <c r="Q78" s="7">
        <f t="shared" si="13"/>
        <v>500</v>
      </c>
      <c r="R78" s="7">
        <f t="shared" si="14"/>
        <v>2.78551532</v>
      </c>
      <c r="S78" s="7">
        <f t="shared" si="15"/>
        <v>600</v>
      </c>
      <c r="T78" s="7">
        <f t="shared" si="16"/>
        <v>3.342618384</v>
      </c>
      <c r="U78" s="7">
        <f t="shared" si="17"/>
        <v>700</v>
      </c>
      <c r="V78" s="7">
        <f t="shared" si="18"/>
        <v>3.899721448</v>
      </c>
      <c r="W78" s="7">
        <f t="shared" si="19"/>
        <v>800</v>
      </c>
      <c r="X78" s="7">
        <f t="shared" si="20"/>
        <v>4.456824513</v>
      </c>
      <c r="Y78" s="7">
        <f t="shared" si="21"/>
        <v>900</v>
      </c>
      <c r="Z78" s="7">
        <f t="shared" si="22"/>
        <v>5.013927577</v>
      </c>
    </row>
    <row r="79">
      <c r="A79" s="30" t="str">
        <f>IFERROR(__xludf.DUMMYFUNCTION("""COMPUTED_VALUE"""),"2018 04")</f>
        <v>2018 04</v>
      </c>
      <c r="B79" s="30" t="str">
        <f>IFERROR(__xludf.DUMMYFUNCTION("""COMPUTED_VALUE"""),"172.53")</f>
        <v>172.53</v>
      </c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0.2898046717</v>
      </c>
      <c r="G79" s="7">
        <f t="shared" si="3"/>
        <v>100</v>
      </c>
      <c r="H79" s="7">
        <f t="shared" si="4"/>
        <v>0.5796093433</v>
      </c>
      <c r="I79" s="7">
        <f t="shared" si="5"/>
        <v>150</v>
      </c>
      <c r="J79" s="7">
        <f t="shared" si="6"/>
        <v>0.869414015</v>
      </c>
      <c r="K79" s="7">
        <f t="shared" si="7"/>
        <v>200</v>
      </c>
      <c r="L79" s="7">
        <f t="shared" si="8"/>
        <v>1.159218687</v>
      </c>
      <c r="M79" s="7">
        <f t="shared" si="9"/>
        <v>300</v>
      </c>
      <c r="N79" s="7">
        <f t="shared" si="10"/>
        <v>1.73882803</v>
      </c>
      <c r="O79" s="7">
        <f t="shared" si="11"/>
        <v>400</v>
      </c>
      <c r="P79" s="7">
        <f t="shared" si="12"/>
        <v>2.318437373</v>
      </c>
      <c r="Q79" s="7">
        <f t="shared" si="13"/>
        <v>500</v>
      </c>
      <c r="R79" s="7">
        <f t="shared" si="14"/>
        <v>2.898046717</v>
      </c>
      <c r="S79" s="7">
        <f t="shared" si="15"/>
        <v>600</v>
      </c>
      <c r="T79" s="7">
        <f t="shared" si="16"/>
        <v>3.47765606</v>
      </c>
      <c r="U79" s="7">
        <f t="shared" si="17"/>
        <v>700</v>
      </c>
      <c r="V79" s="7">
        <f t="shared" si="18"/>
        <v>4.057265403</v>
      </c>
      <c r="W79" s="7">
        <f t="shared" si="19"/>
        <v>800</v>
      </c>
      <c r="X79" s="7">
        <f t="shared" si="20"/>
        <v>4.636874746</v>
      </c>
      <c r="Y79" s="7">
        <f t="shared" si="21"/>
        <v>900</v>
      </c>
      <c r="Z79" s="7">
        <f t="shared" si="22"/>
        <v>5.21648409</v>
      </c>
    </row>
    <row r="80">
      <c r="A80" s="30" t="str">
        <f>IFERROR(__xludf.DUMMYFUNCTION("""COMPUTED_VALUE"""),"2018 05")</f>
        <v>2018 05</v>
      </c>
      <c r="B80" s="30" t="str">
        <f>IFERROR(__xludf.DUMMYFUNCTION("""COMPUTED_VALUE"""),"181.08")</f>
        <v>181.08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0.2761210515</v>
      </c>
      <c r="G80" s="7">
        <f t="shared" si="3"/>
        <v>100</v>
      </c>
      <c r="H80" s="7">
        <f t="shared" si="4"/>
        <v>0.5522421029</v>
      </c>
      <c r="I80" s="7">
        <f t="shared" si="5"/>
        <v>150</v>
      </c>
      <c r="J80" s="7">
        <f t="shared" si="6"/>
        <v>0.8283631544</v>
      </c>
      <c r="K80" s="7">
        <f t="shared" si="7"/>
        <v>200</v>
      </c>
      <c r="L80" s="7">
        <f t="shared" si="8"/>
        <v>1.104484206</v>
      </c>
      <c r="M80" s="7">
        <f t="shared" si="9"/>
        <v>300</v>
      </c>
      <c r="N80" s="7">
        <f t="shared" si="10"/>
        <v>1.656726309</v>
      </c>
      <c r="O80" s="7">
        <f t="shared" si="11"/>
        <v>400</v>
      </c>
      <c r="P80" s="7">
        <f t="shared" si="12"/>
        <v>2.208968412</v>
      </c>
      <c r="Q80" s="7">
        <f t="shared" si="13"/>
        <v>500</v>
      </c>
      <c r="R80" s="7">
        <f t="shared" si="14"/>
        <v>2.761210515</v>
      </c>
      <c r="S80" s="7">
        <f t="shared" si="15"/>
        <v>600</v>
      </c>
      <c r="T80" s="7">
        <f t="shared" si="16"/>
        <v>3.313452618</v>
      </c>
      <c r="U80" s="7">
        <f t="shared" si="17"/>
        <v>700</v>
      </c>
      <c r="V80" s="7">
        <f t="shared" si="18"/>
        <v>3.865694721</v>
      </c>
      <c r="W80" s="7">
        <f t="shared" si="19"/>
        <v>800</v>
      </c>
      <c r="X80" s="7">
        <f t="shared" si="20"/>
        <v>4.417936824</v>
      </c>
      <c r="Y80" s="7">
        <f t="shared" si="21"/>
        <v>900</v>
      </c>
      <c r="Z80" s="7">
        <f t="shared" si="22"/>
        <v>4.970178926</v>
      </c>
    </row>
    <row r="81">
      <c r="A81" s="30" t="str">
        <f>IFERROR(__xludf.DUMMYFUNCTION("""COMPUTED_VALUE"""),"2018 06")</f>
        <v>2018 06</v>
      </c>
      <c r="B81" s="30" t="str">
        <f>IFERROR(__xludf.DUMMYFUNCTION("""COMPUTED_VALUE"""),"186.04")</f>
        <v>186.04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0.2687594066</v>
      </c>
      <c r="G81" s="7">
        <f t="shared" si="3"/>
        <v>100</v>
      </c>
      <c r="H81" s="7">
        <f t="shared" si="4"/>
        <v>0.5375188132</v>
      </c>
      <c r="I81" s="7">
        <f t="shared" si="5"/>
        <v>150</v>
      </c>
      <c r="J81" s="7">
        <f t="shared" si="6"/>
        <v>0.8062782197</v>
      </c>
      <c r="K81" s="7">
        <f t="shared" si="7"/>
        <v>200</v>
      </c>
      <c r="L81" s="7">
        <f t="shared" si="8"/>
        <v>1.075037626</v>
      </c>
      <c r="M81" s="7">
        <f t="shared" si="9"/>
        <v>300</v>
      </c>
      <c r="N81" s="7">
        <f t="shared" si="10"/>
        <v>1.612556439</v>
      </c>
      <c r="O81" s="7">
        <f t="shared" si="11"/>
        <v>400</v>
      </c>
      <c r="P81" s="7">
        <f t="shared" si="12"/>
        <v>2.150075253</v>
      </c>
      <c r="Q81" s="7">
        <f t="shared" si="13"/>
        <v>500</v>
      </c>
      <c r="R81" s="7">
        <f t="shared" si="14"/>
        <v>2.687594066</v>
      </c>
      <c r="S81" s="7">
        <f t="shared" si="15"/>
        <v>600</v>
      </c>
      <c r="T81" s="7">
        <f t="shared" si="16"/>
        <v>3.225112879</v>
      </c>
      <c r="U81" s="7">
        <f t="shared" si="17"/>
        <v>700</v>
      </c>
      <c r="V81" s="7">
        <f t="shared" si="18"/>
        <v>3.762631692</v>
      </c>
      <c r="W81" s="7">
        <f t="shared" si="19"/>
        <v>800</v>
      </c>
      <c r="X81" s="7">
        <f t="shared" si="20"/>
        <v>4.300150505</v>
      </c>
      <c r="Y81" s="7">
        <f t="shared" si="21"/>
        <v>900</v>
      </c>
      <c r="Z81" s="7">
        <f t="shared" si="22"/>
        <v>4.837669318</v>
      </c>
    </row>
    <row r="82">
      <c r="A82" s="30" t="str">
        <f>IFERROR(__xludf.DUMMYFUNCTION("""COMPUTED_VALUE"""),"2018 07")</f>
        <v>2018 07</v>
      </c>
      <c r="B82" s="30" t="str">
        <f>IFERROR(__xludf.DUMMYFUNCTION("""COMPUTED_VALUE"""),"189.45")</f>
        <v>189.45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0.2639218791</v>
      </c>
      <c r="G82" s="7">
        <f t="shared" si="3"/>
        <v>100</v>
      </c>
      <c r="H82" s="7">
        <f t="shared" si="4"/>
        <v>0.5278437582</v>
      </c>
      <c r="I82" s="7">
        <f t="shared" si="5"/>
        <v>150</v>
      </c>
      <c r="J82" s="7">
        <f t="shared" si="6"/>
        <v>0.7917656374</v>
      </c>
      <c r="K82" s="7">
        <f t="shared" si="7"/>
        <v>200</v>
      </c>
      <c r="L82" s="7">
        <f t="shared" si="8"/>
        <v>1.055687516</v>
      </c>
      <c r="M82" s="7">
        <f t="shared" si="9"/>
        <v>300</v>
      </c>
      <c r="N82" s="7">
        <f t="shared" si="10"/>
        <v>1.583531275</v>
      </c>
      <c r="O82" s="7">
        <f t="shared" si="11"/>
        <v>400</v>
      </c>
      <c r="P82" s="7">
        <f t="shared" si="12"/>
        <v>2.111375033</v>
      </c>
      <c r="Q82" s="7">
        <f t="shared" si="13"/>
        <v>500</v>
      </c>
      <c r="R82" s="7">
        <f t="shared" si="14"/>
        <v>2.639218791</v>
      </c>
      <c r="S82" s="7">
        <f t="shared" si="15"/>
        <v>600</v>
      </c>
      <c r="T82" s="7">
        <f t="shared" si="16"/>
        <v>3.167062549</v>
      </c>
      <c r="U82" s="7">
        <f t="shared" si="17"/>
        <v>700</v>
      </c>
      <c r="V82" s="7">
        <f t="shared" si="18"/>
        <v>3.694906308</v>
      </c>
      <c r="W82" s="7">
        <f t="shared" si="19"/>
        <v>800</v>
      </c>
      <c r="X82" s="7">
        <f t="shared" si="20"/>
        <v>4.222750066</v>
      </c>
      <c r="Y82" s="7">
        <f t="shared" si="21"/>
        <v>900</v>
      </c>
      <c r="Z82" s="7">
        <f t="shared" si="22"/>
        <v>4.750593824</v>
      </c>
    </row>
    <row r="83">
      <c r="A83" s="30" t="str">
        <f>IFERROR(__xludf.DUMMYFUNCTION("""COMPUTED_VALUE"""),"2018 08")</f>
        <v>2018 08</v>
      </c>
      <c r="B83" s="30" t="str">
        <f>IFERROR(__xludf.DUMMYFUNCTION("""COMPUTED_VALUE"""),"195.87")</f>
        <v>195.87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0.2552713534</v>
      </c>
      <c r="G83" s="7">
        <f t="shared" si="3"/>
        <v>100</v>
      </c>
      <c r="H83" s="7">
        <f t="shared" si="4"/>
        <v>0.5105427069</v>
      </c>
      <c r="I83" s="7">
        <f t="shared" si="5"/>
        <v>150</v>
      </c>
      <c r="J83" s="7">
        <f t="shared" si="6"/>
        <v>0.7658140603</v>
      </c>
      <c r="K83" s="7">
        <f t="shared" si="7"/>
        <v>200</v>
      </c>
      <c r="L83" s="7">
        <f t="shared" si="8"/>
        <v>1.021085414</v>
      </c>
      <c r="M83" s="7">
        <f t="shared" si="9"/>
        <v>300</v>
      </c>
      <c r="N83" s="7">
        <f t="shared" si="10"/>
        <v>1.531628121</v>
      </c>
      <c r="O83" s="7">
        <f t="shared" si="11"/>
        <v>400</v>
      </c>
      <c r="P83" s="7">
        <f t="shared" si="12"/>
        <v>2.042170828</v>
      </c>
      <c r="Q83" s="7">
        <f t="shared" si="13"/>
        <v>500</v>
      </c>
      <c r="R83" s="7">
        <f t="shared" si="14"/>
        <v>2.552713534</v>
      </c>
      <c r="S83" s="7">
        <f t="shared" si="15"/>
        <v>600</v>
      </c>
      <c r="T83" s="7">
        <f t="shared" si="16"/>
        <v>3.063256241</v>
      </c>
      <c r="U83" s="7">
        <f t="shared" si="17"/>
        <v>700</v>
      </c>
      <c r="V83" s="7">
        <f t="shared" si="18"/>
        <v>3.573798948</v>
      </c>
      <c r="W83" s="7">
        <f t="shared" si="19"/>
        <v>800</v>
      </c>
      <c r="X83" s="7">
        <f t="shared" si="20"/>
        <v>4.084341655</v>
      </c>
      <c r="Y83" s="7">
        <f t="shared" si="21"/>
        <v>900</v>
      </c>
      <c r="Z83" s="7">
        <f t="shared" si="22"/>
        <v>4.594884362</v>
      </c>
    </row>
    <row r="84">
      <c r="A84" s="30" t="str">
        <f>IFERROR(__xludf.DUMMYFUNCTION("""COMPUTED_VALUE"""),"2018 09")</f>
        <v>2018 09</v>
      </c>
      <c r="B84" s="30" t="str">
        <f>IFERROR(__xludf.DUMMYFUNCTION("""COMPUTED_VALUE"""),"208.74")</f>
        <v>208.74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0.2395324327</v>
      </c>
      <c r="G84" s="7">
        <f t="shared" si="3"/>
        <v>100</v>
      </c>
      <c r="H84" s="7">
        <f t="shared" si="4"/>
        <v>0.4790648654</v>
      </c>
      <c r="I84" s="7">
        <f t="shared" si="5"/>
        <v>150</v>
      </c>
      <c r="J84" s="7">
        <f t="shared" si="6"/>
        <v>0.7185972981</v>
      </c>
      <c r="K84" s="7">
        <f t="shared" si="7"/>
        <v>200</v>
      </c>
      <c r="L84" s="7">
        <f t="shared" si="8"/>
        <v>0.9581297308</v>
      </c>
      <c r="M84" s="7">
        <f t="shared" si="9"/>
        <v>300</v>
      </c>
      <c r="N84" s="7">
        <f t="shared" si="10"/>
        <v>1.437194596</v>
      </c>
      <c r="O84" s="7">
        <f t="shared" si="11"/>
        <v>400</v>
      </c>
      <c r="P84" s="7">
        <f t="shared" si="12"/>
        <v>1.916259462</v>
      </c>
      <c r="Q84" s="7">
        <f t="shared" si="13"/>
        <v>500</v>
      </c>
      <c r="R84" s="7">
        <f t="shared" si="14"/>
        <v>2.395324327</v>
      </c>
      <c r="S84" s="7">
        <f t="shared" si="15"/>
        <v>600</v>
      </c>
      <c r="T84" s="7">
        <f t="shared" si="16"/>
        <v>2.874389192</v>
      </c>
      <c r="U84" s="7">
        <f t="shared" si="17"/>
        <v>700</v>
      </c>
      <c r="V84" s="7">
        <f t="shared" si="18"/>
        <v>3.353454058</v>
      </c>
      <c r="W84" s="7">
        <f t="shared" si="19"/>
        <v>800</v>
      </c>
      <c r="X84" s="7">
        <f t="shared" si="20"/>
        <v>3.832518923</v>
      </c>
      <c r="Y84" s="7">
        <f t="shared" si="21"/>
        <v>900</v>
      </c>
      <c r="Z84" s="7">
        <f t="shared" si="22"/>
        <v>4.311583788</v>
      </c>
    </row>
    <row r="85">
      <c r="A85" s="30" t="str">
        <f>IFERROR(__xludf.DUMMYFUNCTION("""COMPUTED_VALUE"""),"2018 10")</f>
        <v>2018 10</v>
      </c>
      <c r="B85" s="30" t="str">
        <f>IFERROR(__xludf.DUMMYFUNCTION("""COMPUTED_VALUE"""),"208.66")</f>
        <v>208.66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0.2396242691</v>
      </c>
      <c r="G85" s="7">
        <f t="shared" si="3"/>
        <v>100</v>
      </c>
      <c r="H85" s="7">
        <f t="shared" si="4"/>
        <v>0.4792485383</v>
      </c>
      <c r="I85" s="7">
        <f t="shared" si="5"/>
        <v>150</v>
      </c>
      <c r="J85" s="7">
        <f t="shared" si="6"/>
        <v>0.7188728074</v>
      </c>
      <c r="K85" s="7">
        <f t="shared" si="7"/>
        <v>200</v>
      </c>
      <c r="L85" s="7">
        <f t="shared" si="8"/>
        <v>0.9584970766</v>
      </c>
      <c r="M85" s="7">
        <f t="shared" si="9"/>
        <v>300</v>
      </c>
      <c r="N85" s="7">
        <f t="shared" si="10"/>
        <v>1.437745615</v>
      </c>
      <c r="O85" s="7">
        <f t="shared" si="11"/>
        <v>400</v>
      </c>
      <c r="P85" s="7">
        <f t="shared" si="12"/>
        <v>1.916994153</v>
      </c>
      <c r="Q85" s="7">
        <f t="shared" si="13"/>
        <v>500</v>
      </c>
      <c r="R85" s="7">
        <f t="shared" si="14"/>
        <v>2.396242691</v>
      </c>
      <c r="S85" s="7">
        <f t="shared" si="15"/>
        <v>600</v>
      </c>
      <c r="T85" s="7">
        <f t="shared" si="16"/>
        <v>2.87549123</v>
      </c>
      <c r="U85" s="7">
        <f t="shared" si="17"/>
        <v>700</v>
      </c>
      <c r="V85" s="7">
        <f t="shared" si="18"/>
        <v>3.354739768</v>
      </c>
      <c r="W85" s="7">
        <f t="shared" si="19"/>
        <v>800</v>
      </c>
      <c r="X85" s="7">
        <f t="shared" si="20"/>
        <v>3.833988306</v>
      </c>
      <c r="Y85" s="7">
        <f t="shared" si="21"/>
        <v>900</v>
      </c>
      <c r="Z85" s="7">
        <f t="shared" si="22"/>
        <v>4.313236845</v>
      </c>
    </row>
    <row r="86">
      <c r="A86" s="30" t="str">
        <f>IFERROR(__xludf.DUMMYFUNCTION("""COMPUTED_VALUE"""),"2018 11")</f>
        <v>2018 11</v>
      </c>
      <c r="B86" s="30" t="str">
        <f>IFERROR(__xludf.DUMMYFUNCTION("""COMPUTED_VALUE"""),"194.88")</f>
        <v>194.88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0.2565681445</v>
      </c>
      <c r="G86" s="7">
        <f t="shared" si="3"/>
        <v>100</v>
      </c>
      <c r="H86" s="7">
        <f t="shared" si="4"/>
        <v>0.513136289</v>
      </c>
      <c r="I86" s="7">
        <f t="shared" si="5"/>
        <v>150</v>
      </c>
      <c r="J86" s="7">
        <f t="shared" si="6"/>
        <v>0.7697044335</v>
      </c>
      <c r="K86" s="7">
        <f t="shared" si="7"/>
        <v>200</v>
      </c>
      <c r="L86" s="7">
        <f t="shared" si="8"/>
        <v>1.026272578</v>
      </c>
      <c r="M86" s="7">
        <f t="shared" si="9"/>
        <v>300</v>
      </c>
      <c r="N86" s="7">
        <f t="shared" si="10"/>
        <v>1.539408867</v>
      </c>
      <c r="O86" s="7">
        <f t="shared" si="11"/>
        <v>400</v>
      </c>
      <c r="P86" s="7">
        <f t="shared" si="12"/>
        <v>2.052545156</v>
      </c>
      <c r="Q86" s="7">
        <f t="shared" si="13"/>
        <v>500</v>
      </c>
      <c r="R86" s="7">
        <f t="shared" si="14"/>
        <v>2.565681445</v>
      </c>
      <c r="S86" s="7">
        <f t="shared" si="15"/>
        <v>600</v>
      </c>
      <c r="T86" s="7">
        <f t="shared" si="16"/>
        <v>3.078817734</v>
      </c>
      <c r="U86" s="7">
        <f t="shared" si="17"/>
        <v>700</v>
      </c>
      <c r="V86" s="7">
        <f t="shared" si="18"/>
        <v>3.591954023</v>
      </c>
      <c r="W86" s="7">
        <f t="shared" si="19"/>
        <v>800</v>
      </c>
      <c r="X86" s="7">
        <f t="shared" si="20"/>
        <v>4.105090312</v>
      </c>
      <c r="Y86" s="7">
        <f t="shared" si="21"/>
        <v>900</v>
      </c>
      <c r="Z86" s="7">
        <f t="shared" si="22"/>
        <v>4.618226601</v>
      </c>
    </row>
    <row r="87">
      <c r="A87" s="30" t="str">
        <f>IFERROR(__xludf.DUMMYFUNCTION("""COMPUTED_VALUE"""),"2018 12")</f>
        <v>2018 12</v>
      </c>
      <c r="B87" s="30" t="str">
        <f>IFERROR(__xludf.DUMMYFUNCTION("""COMPUTED_VALUE"""),"195.1")</f>
        <v>195.1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0.2562788314</v>
      </c>
      <c r="G87" s="7">
        <f t="shared" si="3"/>
        <v>100</v>
      </c>
      <c r="H87" s="7">
        <f t="shared" si="4"/>
        <v>0.5125576627</v>
      </c>
      <c r="I87" s="7">
        <f t="shared" si="5"/>
        <v>150</v>
      </c>
      <c r="J87" s="7">
        <f t="shared" si="6"/>
        <v>0.7688364941</v>
      </c>
      <c r="K87" s="7">
        <f t="shared" si="7"/>
        <v>200</v>
      </c>
      <c r="L87" s="7">
        <f t="shared" si="8"/>
        <v>1.025115325</v>
      </c>
      <c r="M87" s="7">
        <f t="shared" si="9"/>
        <v>300</v>
      </c>
      <c r="N87" s="7">
        <f t="shared" si="10"/>
        <v>1.537672988</v>
      </c>
      <c r="O87" s="7">
        <f t="shared" si="11"/>
        <v>400</v>
      </c>
      <c r="P87" s="7">
        <f t="shared" si="12"/>
        <v>2.050230651</v>
      </c>
      <c r="Q87" s="7">
        <f t="shared" si="13"/>
        <v>500</v>
      </c>
      <c r="R87" s="7">
        <f t="shared" si="14"/>
        <v>2.562788314</v>
      </c>
      <c r="S87" s="7">
        <f t="shared" si="15"/>
        <v>600</v>
      </c>
      <c r="T87" s="7">
        <f t="shared" si="16"/>
        <v>3.075345976</v>
      </c>
      <c r="U87" s="7">
        <f t="shared" si="17"/>
        <v>700</v>
      </c>
      <c r="V87" s="7">
        <f t="shared" si="18"/>
        <v>3.587903639</v>
      </c>
      <c r="W87" s="7">
        <f t="shared" si="19"/>
        <v>800</v>
      </c>
      <c r="X87" s="7">
        <f t="shared" si="20"/>
        <v>4.100461302</v>
      </c>
      <c r="Y87" s="7">
        <f t="shared" si="21"/>
        <v>900</v>
      </c>
      <c r="Z87" s="7">
        <f t="shared" si="22"/>
        <v>4.613018965</v>
      </c>
    </row>
    <row r="88">
      <c r="A88" s="30" t="str">
        <f>IFERROR(__xludf.DUMMYFUNCTION("""COMPUTED_VALUE"""),"2019 01")</f>
        <v>2019 01</v>
      </c>
      <c r="B88" s="30" t="str">
        <f>IFERROR(__xludf.DUMMYFUNCTION("""COMPUTED_VALUE"""),"180.2")</f>
        <v>180.2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0.2774694784</v>
      </c>
      <c r="G88" s="7">
        <f t="shared" si="3"/>
        <v>100</v>
      </c>
      <c r="H88" s="7">
        <f t="shared" si="4"/>
        <v>0.5549389567</v>
      </c>
      <c r="I88" s="7">
        <f t="shared" si="5"/>
        <v>150</v>
      </c>
      <c r="J88" s="7">
        <f t="shared" si="6"/>
        <v>0.8324084351</v>
      </c>
      <c r="K88" s="7">
        <f t="shared" si="7"/>
        <v>200</v>
      </c>
      <c r="L88" s="7">
        <f t="shared" si="8"/>
        <v>1.109877913</v>
      </c>
      <c r="M88" s="7">
        <f t="shared" si="9"/>
        <v>300</v>
      </c>
      <c r="N88" s="7">
        <f t="shared" si="10"/>
        <v>1.66481687</v>
      </c>
      <c r="O88" s="7">
        <f t="shared" si="11"/>
        <v>400</v>
      </c>
      <c r="P88" s="7">
        <f t="shared" si="12"/>
        <v>2.219755827</v>
      </c>
      <c r="Q88" s="7">
        <f t="shared" si="13"/>
        <v>500</v>
      </c>
      <c r="R88" s="7">
        <f t="shared" si="14"/>
        <v>2.774694784</v>
      </c>
      <c r="S88" s="7">
        <f t="shared" si="15"/>
        <v>600</v>
      </c>
      <c r="T88" s="7">
        <f t="shared" si="16"/>
        <v>3.32963374</v>
      </c>
      <c r="U88" s="7">
        <f t="shared" si="17"/>
        <v>700</v>
      </c>
      <c r="V88" s="7">
        <f t="shared" si="18"/>
        <v>3.884572697</v>
      </c>
      <c r="W88" s="7">
        <f t="shared" si="19"/>
        <v>800</v>
      </c>
      <c r="X88" s="7">
        <f t="shared" si="20"/>
        <v>4.439511654</v>
      </c>
      <c r="Y88" s="7">
        <f t="shared" si="21"/>
        <v>900</v>
      </c>
      <c r="Z88" s="7">
        <f t="shared" si="22"/>
        <v>4.99445061</v>
      </c>
    </row>
    <row r="89">
      <c r="A89" s="30" t="str">
        <f>IFERROR(__xludf.DUMMYFUNCTION("""COMPUTED_VALUE"""),"2019 02")</f>
        <v>2019 02</v>
      </c>
      <c r="B89" s="30" t="str">
        <f>IFERROR(__xludf.DUMMYFUNCTION("""COMPUTED_VALUE"""),"191.42")</f>
        <v>191.42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0.2612057256</v>
      </c>
      <c r="G89" s="7">
        <f t="shared" si="3"/>
        <v>100</v>
      </c>
      <c r="H89" s="7">
        <f t="shared" si="4"/>
        <v>0.5224114513</v>
      </c>
      <c r="I89" s="7">
        <f t="shared" si="5"/>
        <v>150</v>
      </c>
      <c r="J89" s="7">
        <f t="shared" si="6"/>
        <v>0.7836171769</v>
      </c>
      <c r="K89" s="7">
        <f t="shared" si="7"/>
        <v>200</v>
      </c>
      <c r="L89" s="7">
        <f t="shared" si="8"/>
        <v>1.044822903</v>
      </c>
      <c r="M89" s="7">
        <f t="shared" si="9"/>
        <v>300</v>
      </c>
      <c r="N89" s="7">
        <f t="shared" si="10"/>
        <v>1.567234354</v>
      </c>
      <c r="O89" s="7">
        <f t="shared" si="11"/>
        <v>400</v>
      </c>
      <c r="P89" s="7">
        <f t="shared" si="12"/>
        <v>2.089645805</v>
      </c>
      <c r="Q89" s="7">
        <f t="shared" si="13"/>
        <v>500</v>
      </c>
      <c r="R89" s="7">
        <f t="shared" si="14"/>
        <v>2.612057256</v>
      </c>
      <c r="S89" s="7">
        <f t="shared" si="15"/>
        <v>600</v>
      </c>
      <c r="T89" s="7">
        <f t="shared" si="16"/>
        <v>3.134468708</v>
      </c>
      <c r="U89" s="7">
        <f t="shared" si="17"/>
        <v>700</v>
      </c>
      <c r="V89" s="7">
        <f t="shared" si="18"/>
        <v>3.656880159</v>
      </c>
      <c r="W89" s="7">
        <f t="shared" si="19"/>
        <v>800</v>
      </c>
      <c r="X89" s="7">
        <f t="shared" si="20"/>
        <v>4.17929161</v>
      </c>
      <c r="Y89" s="7">
        <f t="shared" si="21"/>
        <v>900</v>
      </c>
      <c r="Z89" s="7">
        <f t="shared" si="22"/>
        <v>4.701703061</v>
      </c>
    </row>
    <row r="90">
      <c r="A90" s="30" t="str">
        <f>IFERROR(__xludf.DUMMYFUNCTION("""COMPUTED_VALUE"""),"2019 03")</f>
        <v>2019 03</v>
      </c>
      <c r="B90" s="30" t="str">
        <f>IFERROR(__xludf.DUMMYFUNCTION("""COMPUTED_VALUE"""),"202.92")</f>
        <v>202.92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0.2464025232</v>
      </c>
      <c r="G90" s="7">
        <f t="shared" si="3"/>
        <v>100</v>
      </c>
      <c r="H90" s="7">
        <f t="shared" si="4"/>
        <v>0.4928050463</v>
      </c>
      <c r="I90" s="7">
        <f t="shared" si="5"/>
        <v>150</v>
      </c>
      <c r="J90" s="7">
        <f t="shared" si="6"/>
        <v>0.7392075695</v>
      </c>
      <c r="K90" s="7">
        <f t="shared" si="7"/>
        <v>200</v>
      </c>
      <c r="L90" s="7">
        <f t="shared" si="8"/>
        <v>0.9856100926</v>
      </c>
      <c r="M90" s="7">
        <f t="shared" si="9"/>
        <v>300</v>
      </c>
      <c r="N90" s="7">
        <f t="shared" si="10"/>
        <v>1.478415139</v>
      </c>
      <c r="O90" s="7">
        <f t="shared" si="11"/>
        <v>400</v>
      </c>
      <c r="P90" s="7">
        <f t="shared" si="12"/>
        <v>1.971220185</v>
      </c>
      <c r="Q90" s="7">
        <f t="shared" si="13"/>
        <v>500</v>
      </c>
      <c r="R90" s="7">
        <f t="shared" si="14"/>
        <v>2.464025232</v>
      </c>
      <c r="S90" s="7">
        <f t="shared" si="15"/>
        <v>600</v>
      </c>
      <c r="T90" s="7">
        <f t="shared" si="16"/>
        <v>2.956830278</v>
      </c>
      <c r="U90" s="7">
        <f t="shared" si="17"/>
        <v>700</v>
      </c>
      <c r="V90" s="7">
        <f t="shared" si="18"/>
        <v>3.449635324</v>
      </c>
      <c r="W90" s="7">
        <f t="shared" si="19"/>
        <v>800</v>
      </c>
      <c r="X90" s="7">
        <f t="shared" si="20"/>
        <v>3.942440371</v>
      </c>
      <c r="Y90" s="7">
        <f t="shared" si="21"/>
        <v>900</v>
      </c>
      <c r="Z90" s="7">
        <f t="shared" si="22"/>
        <v>4.435245417</v>
      </c>
    </row>
    <row r="91">
      <c r="A91" s="30" t="str">
        <f>IFERROR(__xludf.DUMMYFUNCTION("""COMPUTED_VALUE"""),"2019 04")</f>
        <v>2019 04</v>
      </c>
      <c r="B91" s="30" t="str">
        <f>IFERROR(__xludf.DUMMYFUNCTION("""COMPUTED_VALUE"""),"204.54")</f>
        <v>204.54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0.2444509631</v>
      </c>
      <c r="G91" s="7">
        <f t="shared" si="3"/>
        <v>100</v>
      </c>
      <c r="H91" s="7">
        <f t="shared" si="4"/>
        <v>0.4889019263</v>
      </c>
      <c r="I91" s="7">
        <f t="shared" si="5"/>
        <v>150</v>
      </c>
      <c r="J91" s="7">
        <f t="shared" si="6"/>
        <v>0.7333528894</v>
      </c>
      <c r="K91" s="7">
        <f t="shared" si="7"/>
        <v>200</v>
      </c>
      <c r="L91" s="7">
        <f t="shared" si="8"/>
        <v>0.9778038525</v>
      </c>
      <c r="M91" s="7">
        <f t="shared" si="9"/>
        <v>300</v>
      </c>
      <c r="N91" s="7">
        <f t="shared" si="10"/>
        <v>1.466705779</v>
      </c>
      <c r="O91" s="7">
        <f t="shared" si="11"/>
        <v>400</v>
      </c>
      <c r="P91" s="7">
        <f t="shared" si="12"/>
        <v>1.955607705</v>
      </c>
      <c r="Q91" s="7">
        <f t="shared" si="13"/>
        <v>500</v>
      </c>
      <c r="R91" s="7">
        <f t="shared" si="14"/>
        <v>2.444509631</v>
      </c>
      <c r="S91" s="7">
        <f t="shared" si="15"/>
        <v>600</v>
      </c>
      <c r="T91" s="7">
        <f t="shared" si="16"/>
        <v>2.933411558</v>
      </c>
      <c r="U91" s="7">
        <f t="shared" si="17"/>
        <v>700</v>
      </c>
      <c r="V91" s="7">
        <f t="shared" si="18"/>
        <v>3.422313484</v>
      </c>
      <c r="W91" s="7">
        <f t="shared" si="19"/>
        <v>800</v>
      </c>
      <c r="X91" s="7">
        <f t="shared" si="20"/>
        <v>3.91121541</v>
      </c>
      <c r="Y91" s="7">
        <f t="shared" si="21"/>
        <v>900</v>
      </c>
      <c r="Z91" s="7">
        <f t="shared" si="22"/>
        <v>4.400117336</v>
      </c>
    </row>
    <row r="92">
      <c r="A92" s="30" t="str">
        <f>IFERROR(__xludf.DUMMYFUNCTION("""COMPUTED_VALUE"""),"2019 05")</f>
        <v>2019 05</v>
      </c>
      <c r="B92" s="30" t="str">
        <f>IFERROR(__xludf.DUMMYFUNCTION("""COMPUTED_VALUE"""),"214.26")</f>
        <v>214.26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0.2333613367</v>
      </c>
      <c r="G92" s="7">
        <f t="shared" si="3"/>
        <v>100</v>
      </c>
      <c r="H92" s="7">
        <f t="shared" si="4"/>
        <v>0.4667226734</v>
      </c>
      <c r="I92" s="7">
        <f t="shared" si="5"/>
        <v>150</v>
      </c>
      <c r="J92" s="7">
        <f t="shared" si="6"/>
        <v>0.7000840101</v>
      </c>
      <c r="K92" s="7">
        <f t="shared" si="7"/>
        <v>200</v>
      </c>
      <c r="L92" s="7">
        <f t="shared" si="8"/>
        <v>0.9334453468</v>
      </c>
      <c r="M92" s="7">
        <f t="shared" si="9"/>
        <v>300</v>
      </c>
      <c r="N92" s="7">
        <f t="shared" si="10"/>
        <v>1.40016802</v>
      </c>
      <c r="O92" s="7">
        <f t="shared" si="11"/>
        <v>400</v>
      </c>
      <c r="P92" s="7">
        <f t="shared" si="12"/>
        <v>1.866890694</v>
      </c>
      <c r="Q92" s="7">
        <f t="shared" si="13"/>
        <v>500</v>
      </c>
      <c r="R92" s="7">
        <f t="shared" si="14"/>
        <v>2.333613367</v>
      </c>
      <c r="S92" s="7">
        <f t="shared" si="15"/>
        <v>600</v>
      </c>
      <c r="T92" s="7">
        <f t="shared" si="16"/>
        <v>2.80033604</v>
      </c>
      <c r="U92" s="7">
        <f t="shared" si="17"/>
        <v>700</v>
      </c>
      <c r="V92" s="7">
        <f t="shared" si="18"/>
        <v>3.267058714</v>
      </c>
      <c r="W92" s="7">
        <f t="shared" si="19"/>
        <v>800</v>
      </c>
      <c r="X92" s="7">
        <f t="shared" si="20"/>
        <v>3.733781387</v>
      </c>
      <c r="Y92" s="7">
        <f t="shared" si="21"/>
        <v>900</v>
      </c>
      <c r="Z92" s="7">
        <f t="shared" si="22"/>
        <v>4.20050406</v>
      </c>
    </row>
    <row r="93">
      <c r="A93" s="30" t="str">
        <f>IFERROR(__xludf.DUMMYFUNCTION("""COMPUTED_VALUE"""),"2019 06")</f>
        <v>2019 06</v>
      </c>
      <c r="B93" s="30" t="str">
        <f>IFERROR(__xludf.DUMMYFUNCTION("""COMPUTED_VALUE"""),"201.73")</f>
        <v>201.73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0.2478560452</v>
      </c>
      <c r="G93" s="7">
        <f t="shared" si="3"/>
        <v>100</v>
      </c>
      <c r="H93" s="7">
        <f t="shared" si="4"/>
        <v>0.4957120904</v>
      </c>
      <c r="I93" s="7">
        <f t="shared" si="5"/>
        <v>150</v>
      </c>
      <c r="J93" s="7">
        <f t="shared" si="6"/>
        <v>0.7435681356</v>
      </c>
      <c r="K93" s="7">
        <f t="shared" si="7"/>
        <v>200</v>
      </c>
      <c r="L93" s="7">
        <f t="shared" si="8"/>
        <v>0.9914241808</v>
      </c>
      <c r="M93" s="7">
        <f t="shared" si="9"/>
        <v>300</v>
      </c>
      <c r="N93" s="7">
        <f t="shared" si="10"/>
        <v>1.487136271</v>
      </c>
      <c r="O93" s="7">
        <f t="shared" si="11"/>
        <v>400</v>
      </c>
      <c r="P93" s="7">
        <f t="shared" si="12"/>
        <v>1.982848362</v>
      </c>
      <c r="Q93" s="7">
        <f t="shared" si="13"/>
        <v>500</v>
      </c>
      <c r="R93" s="7">
        <f t="shared" si="14"/>
        <v>2.478560452</v>
      </c>
      <c r="S93" s="7">
        <f t="shared" si="15"/>
        <v>600</v>
      </c>
      <c r="T93" s="7">
        <f t="shared" si="16"/>
        <v>2.974272543</v>
      </c>
      <c r="U93" s="7">
        <f t="shared" si="17"/>
        <v>700</v>
      </c>
      <c r="V93" s="7">
        <f t="shared" si="18"/>
        <v>3.469984633</v>
      </c>
      <c r="W93" s="7">
        <f t="shared" si="19"/>
        <v>800</v>
      </c>
      <c r="X93" s="7">
        <f t="shared" si="20"/>
        <v>3.965696723</v>
      </c>
      <c r="Y93" s="7">
        <f t="shared" si="21"/>
        <v>900</v>
      </c>
      <c r="Z93" s="7">
        <f t="shared" si="22"/>
        <v>4.461408814</v>
      </c>
    </row>
    <row r="94">
      <c r="A94" s="30" t="str">
        <f>IFERROR(__xludf.DUMMYFUNCTION("""COMPUTED_VALUE"""),"2019 07")</f>
        <v>2019 07</v>
      </c>
      <c r="B94" s="30" t="str">
        <f>IFERROR(__xludf.DUMMYFUNCTION("""COMPUTED_VALUE"""),"216.7")</f>
        <v>216.7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0.2307337333</v>
      </c>
      <c r="G94" s="7">
        <f t="shared" si="3"/>
        <v>100</v>
      </c>
      <c r="H94" s="7">
        <f t="shared" si="4"/>
        <v>0.4614674665</v>
      </c>
      <c r="I94" s="7">
        <f t="shared" si="5"/>
        <v>150</v>
      </c>
      <c r="J94" s="7">
        <f t="shared" si="6"/>
        <v>0.6922011998</v>
      </c>
      <c r="K94" s="7">
        <f t="shared" si="7"/>
        <v>200</v>
      </c>
      <c r="L94" s="7">
        <f t="shared" si="8"/>
        <v>0.9229349331</v>
      </c>
      <c r="M94" s="7">
        <f t="shared" si="9"/>
        <v>300</v>
      </c>
      <c r="N94" s="7">
        <f t="shared" si="10"/>
        <v>1.3844024</v>
      </c>
      <c r="O94" s="7">
        <f t="shared" si="11"/>
        <v>400</v>
      </c>
      <c r="P94" s="7">
        <f t="shared" si="12"/>
        <v>1.845869866</v>
      </c>
      <c r="Q94" s="7">
        <f t="shared" si="13"/>
        <v>500</v>
      </c>
      <c r="R94" s="7">
        <f t="shared" si="14"/>
        <v>2.307337333</v>
      </c>
      <c r="S94" s="7">
        <f t="shared" si="15"/>
        <v>600</v>
      </c>
      <c r="T94" s="7">
        <f t="shared" si="16"/>
        <v>2.768804799</v>
      </c>
      <c r="U94" s="7">
        <f t="shared" si="17"/>
        <v>700</v>
      </c>
      <c r="V94" s="7">
        <f t="shared" si="18"/>
        <v>3.230272266</v>
      </c>
      <c r="W94" s="7">
        <f t="shared" si="19"/>
        <v>800</v>
      </c>
      <c r="X94" s="7">
        <f t="shared" si="20"/>
        <v>3.691739732</v>
      </c>
      <c r="Y94" s="7">
        <f t="shared" si="21"/>
        <v>900</v>
      </c>
      <c r="Z94" s="7">
        <f t="shared" si="22"/>
        <v>4.153207199</v>
      </c>
    </row>
    <row r="95">
      <c r="A95" s="30" t="str">
        <f>IFERROR(__xludf.DUMMYFUNCTION("""COMPUTED_VALUE"""),"2019 08")</f>
        <v>2019 08</v>
      </c>
      <c r="B95" s="30" t="str">
        <f>IFERROR(__xludf.DUMMYFUNCTION("""COMPUTED_VALUE"""),"222.13")</f>
        <v>222.13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0.2250934138</v>
      </c>
      <c r="G95" s="7">
        <f t="shared" si="3"/>
        <v>100</v>
      </c>
      <c r="H95" s="7">
        <f t="shared" si="4"/>
        <v>0.4501868275</v>
      </c>
      <c r="I95" s="7">
        <f t="shared" si="5"/>
        <v>150</v>
      </c>
      <c r="J95" s="7">
        <f t="shared" si="6"/>
        <v>0.6752802413</v>
      </c>
      <c r="K95" s="7">
        <f t="shared" si="7"/>
        <v>200</v>
      </c>
      <c r="L95" s="7">
        <f t="shared" si="8"/>
        <v>0.9003736551</v>
      </c>
      <c r="M95" s="7">
        <f t="shared" si="9"/>
        <v>300</v>
      </c>
      <c r="N95" s="7">
        <f t="shared" si="10"/>
        <v>1.350560483</v>
      </c>
      <c r="O95" s="7">
        <f t="shared" si="11"/>
        <v>400</v>
      </c>
      <c r="P95" s="7">
        <f t="shared" si="12"/>
        <v>1.80074731</v>
      </c>
      <c r="Q95" s="7">
        <f t="shared" si="13"/>
        <v>500</v>
      </c>
      <c r="R95" s="7">
        <f t="shared" si="14"/>
        <v>2.250934138</v>
      </c>
      <c r="S95" s="7">
        <f t="shared" si="15"/>
        <v>600</v>
      </c>
      <c r="T95" s="7">
        <f t="shared" si="16"/>
        <v>2.701120965</v>
      </c>
      <c r="U95" s="7">
        <f t="shared" si="17"/>
        <v>700</v>
      </c>
      <c r="V95" s="7">
        <f t="shared" si="18"/>
        <v>3.151307793</v>
      </c>
      <c r="W95" s="7">
        <f t="shared" si="19"/>
        <v>800</v>
      </c>
      <c r="X95" s="7">
        <f t="shared" si="20"/>
        <v>3.60149462</v>
      </c>
      <c r="Y95" s="7">
        <f t="shared" si="21"/>
        <v>900</v>
      </c>
      <c r="Z95" s="7">
        <f t="shared" si="22"/>
        <v>4.051681448</v>
      </c>
    </row>
    <row r="96">
      <c r="A96" s="30" t="str">
        <f>IFERROR(__xludf.DUMMYFUNCTION("""COMPUTED_VALUE"""),"2019 09")</f>
        <v>2019 09</v>
      </c>
      <c r="B96" s="30" t="str">
        <f>IFERROR(__xludf.DUMMYFUNCTION("""COMPUTED_VALUE"""),"220.69")</f>
        <v>220.69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0.226562146</v>
      </c>
      <c r="G96" s="7">
        <f t="shared" si="3"/>
        <v>100</v>
      </c>
      <c r="H96" s="7">
        <f t="shared" si="4"/>
        <v>0.453124292</v>
      </c>
      <c r="I96" s="7">
        <f t="shared" si="5"/>
        <v>150</v>
      </c>
      <c r="J96" s="7">
        <f t="shared" si="6"/>
        <v>0.679686438</v>
      </c>
      <c r="K96" s="7">
        <f t="shared" si="7"/>
        <v>200</v>
      </c>
      <c r="L96" s="7">
        <f t="shared" si="8"/>
        <v>0.906248584</v>
      </c>
      <c r="M96" s="7">
        <f t="shared" si="9"/>
        <v>300</v>
      </c>
      <c r="N96" s="7">
        <f t="shared" si="10"/>
        <v>1.359372876</v>
      </c>
      <c r="O96" s="7">
        <f t="shared" si="11"/>
        <v>400</v>
      </c>
      <c r="P96" s="7">
        <f t="shared" si="12"/>
        <v>1.812497168</v>
      </c>
      <c r="Q96" s="7">
        <f t="shared" si="13"/>
        <v>500</v>
      </c>
      <c r="R96" s="7">
        <f t="shared" si="14"/>
        <v>2.26562146</v>
      </c>
      <c r="S96" s="7">
        <f t="shared" si="15"/>
        <v>600</v>
      </c>
      <c r="T96" s="7">
        <f t="shared" si="16"/>
        <v>2.718745752</v>
      </c>
      <c r="U96" s="7">
        <f t="shared" si="17"/>
        <v>700</v>
      </c>
      <c r="V96" s="7">
        <f t="shared" si="18"/>
        <v>3.171870044</v>
      </c>
      <c r="W96" s="7">
        <f t="shared" si="19"/>
        <v>800</v>
      </c>
      <c r="X96" s="7">
        <f t="shared" si="20"/>
        <v>3.624994336</v>
      </c>
      <c r="Y96" s="7">
        <f t="shared" si="21"/>
        <v>900</v>
      </c>
      <c r="Z96" s="7">
        <f t="shared" si="22"/>
        <v>4.078118628</v>
      </c>
    </row>
    <row r="97">
      <c r="A97" s="30" t="str">
        <f>IFERROR(__xludf.DUMMYFUNCTION("""COMPUTED_VALUE"""),"2019 10")</f>
        <v>2019 10</v>
      </c>
      <c r="B97" s="30" t="str">
        <f>IFERROR(__xludf.DUMMYFUNCTION("""COMPUTED_VALUE"""),"226.02")</f>
        <v>226.02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0.2212193611</v>
      </c>
      <c r="G97" s="7">
        <f t="shared" si="3"/>
        <v>100</v>
      </c>
      <c r="H97" s="7">
        <f t="shared" si="4"/>
        <v>0.4424387222</v>
      </c>
      <c r="I97" s="7">
        <f t="shared" si="5"/>
        <v>150</v>
      </c>
      <c r="J97" s="7">
        <f t="shared" si="6"/>
        <v>0.6636580834</v>
      </c>
      <c r="K97" s="7">
        <f t="shared" si="7"/>
        <v>200</v>
      </c>
      <c r="L97" s="7">
        <f t="shared" si="8"/>
        <v>0.8848774445</v>
      </c>
      <c r="M97" s="7">
        <f t="shared" si="9"/>
        <v>300</v>
      </c>
      <c r="N97" s="7">
        <f t="shared" si="10"/>
        <v>1.327316167</v>
      </c>
      <c r="O97" s="7">
        <f t="shared" si="11"/>
        <v>400</v>
      </c>
      <c r="P97" s="7">
        <f t="shared" si="12"/>
        <v>1.769754889</v>
      </c>
      <c r="Q97" s="7">
        <f t="shared" si="13"/>
        <v>500</v>
      </c>
      <c r="R97" s="7">
        <f t="shared" si="14"/>
        <v>2.212193611</v>
      </c>
      <c r="S97" s="7">
        <f t="shared" si="15"/>
        <v>600</v>
      </c>
      <c r="T97" s="7">
        <f t="shared" si="16"/>
        <v>2.654632333</v>
      </c>
      <c r="U97" s="7">
        <f t="shared" si="17"/>
        <v>700</v>
      </c>
      <c r="V97" s="7">
        <f t="shared" si="18"/>
        <v>3.097071056</v>
      </c>
      <c r="W97" s="7">
        <f t="shared" si="19"/>
        <v>800</v>
      </c>
      <c r="X97" s="7">
        <f t="shared" si="20"/>
        <v>3.539509778</v>
      </c>
      <c r="Y97" s="7">
        <f t="shared" si="21"/>
        <v>900</v>
      </c>
      <c r="Z97" s="7">
        <f t="shared" si="22"/>
        <v>3.9819485</v>
      </c>
    </row>
    <row r="98">
      <c r="A98" s="30" t="str">
        <f>IFERROR(__xludf.DUMMYFUNCTION("""COMPUTED_VALUE"""),"2019 11")</f>
        <v>2019 11</v>
      </c>
      <c r="B98" s="30" t="str">
        <f>IFERROR(__xludf.DUMMYFUNCTION("""COMPUTED_VALUE"""),"224")</f>
        <v>224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0.2232142857</v>
      </c>
      <c r="G98" s="7">
        <f t="shared" si="3"/>
        <v>100</v>
      </c>
      <c r="H98" s="7">
        <f t="shared" si="4"/>
        <v>0.4464285714</v>
      </c>
      <c r="I98" s="7">
        <f t="shared" si="5"/>
        <v>150</v>
      </c>
      <c r="J98" s="7">
        <f t="shared" si="6"/>
        <v>0.6696428571</v>
      </c>
      <c r="K98" s="7">
        <f t="shared" si="7"/>
        <v>200</v>
      </c>
      <c r="L98" s="7">
        <f t="shared" si="8"/>
        <v>0.8928571429</v>
      </c>
      <c r="M98" s="7">
        <f t="shared" si="9"/>
        <v>300</v>
      </c>
      <c r="N98" s="7">
        <f t="shared" si="10"/>
        <v>1.339285714</v>
      </c>
      <c r="O98" s="7">
        <f t="shared" si="11"/>
        <v>400</v>
      </c>
      <c r="P98" s="7">
        <f t="shared" si="12"/>
        <v>1.785714286</v>
      </c>
      <c r="Q98" s="7">
        <f t="shared" si="13"/>
        <v>500</v>
      </c>
      <c r="R98" s="7">
        <f t="shared" si="14"/>
        <v>2.232142857</v>
      </c>
      <c r="S98" s="7">
        <f t="shared" si="15"/>
        <v>600</v>
      </c>
      <c r="T98" s="7">
        <f t="shared" si="16"/>
        <v>2.678571429</v>
      </c>
      <c r="U98" s="7">
        <f t="shared" si="17"/>
        <v>700</v>
      </c>
      <c r="V98" s="7">
        <f t="shared" si="18"/>
        <v>3.125</v>
      </c>
      <c r="W98" s="7">
        <f t="shared" si="19"/>
        <v>800</v>
      </c>
      <c r="X98" s="7">
        <f t="shared" si="20"/>
        <v>3.571428571</v>
      </c>
      <c r="Y98" s="7">
        <f t="shared" si="21"/>
        <v>900</v>
      </c>
      <c r="Z98" s="7">
        <f t="shared" si="22"/>
        <v>4.017857143</v>
      </c>
    </row>
    <row r="99">
      <c r="A99" s="30" t="str">
        <f>IFERROR(__xludf.DUMMYFUNCTION("""COMPUTED_VALUE"""),"2019 12")</f>
        <v>2019 12</v>
      </c>
      <c r="B99" s="30" t="str">
        <f>IFERROR(__xludf.DUMMYFUNCTION("""COMPUTED_VALUE"""),"237.18")</f>
        <v>237.18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0.210810355</v>
      </c>
      <c r="G99" s="7">
        <f t="shared" si="3"/>
        <v>100</v>
      </c>
      <c r="H99" s="7">
        <f t="shared" si="4"/>
        <v>0.42162071</v>
      </c>
      <c r="I99" s="7">
        <f t="shared" si="5"/>
        <v>150</v>
      </c>
      <c r="J99" s="7">
        <f t="shared" si="6"/>
        <v>0.632431065</v>
      </c>
      <c r="K99" s="7">
        <f t="shared" si="7"/>
        <v>200</v>
      </c>
      <c r="L99" s="7">
        <f t="shared" si="8"/>
        <v>0.84324142</v>
      </c>
      <c r="M99" s="7">
        <f t="shared" si="9"/>
        <v>300</v>
      </c>
      <c r="N99" s="7">
        <f t="shared" si="10"/>
        <v>1.26486213</v>
      </c>
      <c r="O99" s="7">
        <f t="shared" si="11"/>
        <v>400</v>
      </c>
      <c r="P99" s="7">
        <f t="shared" si="12"/>
        <v>1.68648284</v>
      </c>
      <c r="Q99" s="7">
        <f t="shared" si="13"/>
        <v>500</v>
      </c>
      <c r="R99" s="7">
        <f t="shared" si="14"/>
        <v>2.10810355</v>
      </c>
      <c r="S99" s="7">
        <f t="shared" si="15"/>
        <v>600</v>
      </c>
      <c r="T99" s="7">
        <f t="shared" si="16"/>
        <v>2.52972426</v>
      </c>
      <c r="U99" s="7">
        <f t="shared" si="17"/>
        <v>700</v>
      </c>
      <c r="V99" s="7">
        <f t="shared" si="18"/>
        <v>2.95134497</v>
      </c>
      <c r="W99" s="7">
        <f t="shared" si="19"/>
        <v>800</v>
      </c>
      <c r="X99" s="7">
        <f t="shared" si="20"/>
        <v>3.37296568</v>
      </c>
      <c r="Y99" s="7">
        <f t="shared" si="21"/>
        <v>900</v>
      </c>
      <c r="Z99" s="7">
        <f t="shared" si="22"/>
        <v>3.79458639</v>
      </c>
    </row>
    <row r="100">
      <c r="A100" s="30" t="str">
        <f>IFERROR(__xludf.DUMMYFUNCTION("""COMPUTED_VALUE"""),"2020 01")</f>
        <v>2020 01</v>
      </c>
      <c r="B100" s="30" t="str">
        <f>IFERROR(__xludf.DUMMYFUNCTION("""COMPUTED_VALUE"""),"235.34")</f>
        <v>235.34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0.2124585706</v>
      </c>
      <c r="G100" s="7">
        <f t="shared" si="3"/>
        <v>100</v>
      </c>
      <c r="H100" s="7">
        <f t="shared" si="4"/>
        <v>0.4249171412</v>
      </c>
      <c r="I100" s="7">
        <f t="shared" si="5"/>
        <v>150</v>
      </c>
      <c r="J100" s="7">
        <f t="shared" si="6"/>
        <v>0.6373757117</v>
      </c>
      <c r="K100" s="7">
        <f t="shared" si="7"/>
        <v>200</v>
      </c>
      <c r="L100" s="7">
        <f t="shared" si="8"/>
        <v>0.8498342823</v>
      </c>
      <c r="M100" s="7">
        <f t="shared" si="9"/>
        <v>300</v>
      </c>
      <c r="N100" s="7">
        <f t="shared" si="10"/>
        <v>1.274751423</v>
      </c>
      <c r="O100" s="7">
        <f t="shared" si="11"/>
        <v>400</v>
      </c>
      <c r="P100" s="7">
        <f t="shared" si="12"/>
        <v>1.699668565</v>
      </c>
      <c r="Q100" s="7">
        <f t="shared" si="13"/>
        <v>500</v>
      </c>
      <c r="R100" s="7">
        <f t="shared" si="14"/>
        <v>2.124585706</v>
      </c>
      <c r="S100" s="7">
        <f t="shared" si="15"/>
        <v>600</v>
      </c>
      <c r="T100" s="7">
        <f t="shared" si="16"/>
        <v>2.549502847</v>
      </c>
      <c r="U100" s="7">
        <f t="shared" si="17"/>
        <v>700</v>
      </c>
      <c r="V100" s="7">
        <f t="shared" si="18"/>
        <v>2.974419988</v>
      </c>
      <c r="W100" s="7">
        <f t="shared" si="19"/>
        <v>800</v>
      </c>
      <c r="X100" s="7">
        <f t="shared" si="20"/>
        <v>3.399337129</v>
      </c>
      <c r="Y100" s="7">
        <f t="shared" si="21"/>
        <v>900</v>
      </c>
      <c r="Z100" s="7">
        <f t="shared" si="22"/>
        <v>3.82425427</v>
      </c>
    </row>
    <row r="101">
      <c r="A101" s="30" t="str">
        <f>IFERROR(__xludf.DUMMYFUNCTION("""COMPUTED_VALUE"""),"2020 02")</f>
        <v>2020 02</v>
      </c>
      <c r="B101" s="30" t="str">
        <f>IFERROR(__xludf.DUMMYFUNCTION("""COMPUTED_VALUE"""),"246.01")</f>
        <v>246.01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0.2032437706</v>
      </c>
      <c r="G101" s="7">
        <f t="shared" si="3"/>
        <v>100</v>
      </c>
      <c r="H101" s="7">
        <f t="shared" si="4"/>
        <v>0.4064875412</v>
      </c>
      <c r="I101" s="7">
        <f t="shared" si="5"/>
        <v>150</v>
      </c>
      <c r="J101" s="7">
        <f t="shared" si="6"/>
        <v>0.6097313117</v>
      </c>
      <c r="K101" s="7">
        <f t="shared" si="7"/>
        <v>200</v>
      </c>
      <c r="L101" s="7">
        <f t="shared" si="8"/>
        <v>0.8129750823</v>
      </c>
      <c r="M101" s="7">
        <f t="shared" si="9"/>
        <v>300</v>
      </c>
      <c r="N101" s="7">
        <f t="shared" si="10"/>
        <v>1.219462623</v>
      </c>
      <c r="O101" s="7">
        <f t="shared" si="11"/>
        <v>400</v>
      </c>
      <c r="P101" s="7">
        <f t="shared" si="12"/>
        <v>1.625950165</v>
      </c>
      <c r="Q101" s="7">
        <f t="shared" si="13"/>
        <v>500</v>
      </c>
      <c r="R101" s="7">
        <f t="shared" si="14"/>
        <v>2.032437706</v>
      </c>
      <c r="S101" s="7">
        <f t="shared" si="15"/>
        <v>600</v>
      </c>
      <c r="T101" s="7">
        <f t="shared" si="16"/>
        <v>2.438925247</v>
      </c>
      <c r="U101" s="7">
        <f t="shared" si="17"/>
        <v>700</v>
      </c>
      <c r="V101" s="7">
        <f t="shared" si="18"/>
        <v>2.845412788</v>
      </c>
      <c r="W101" s="7">
        <f t="shared" si="19"/>
        <v>800</v>
      </c>
      <c r="X101" s="7">
        <f t="shared" si="20"/>
        <v>3.251900329</v>
      </c>
      <c r="Y101" s="7">
        <f t="shared" si="21"/>
        <v>900</v>
      </c>
      <c r="Z101" s="7">
        <f t="shared" si="22"/>
        <v>3.65838787</v>
      </c>
    </row>
    <row r="102">
      <c r="A102" s="30" t="str">
        <f>IFERROR(__xludf.DUMMYFUNCTION("""COMPUTED_VALUE"""),"2020 03")</f>
        <v>2020 03</v>
      </c>
      <c r="B102" s="30" t="str">
        <f>IFERROR(__xludf.DUMMYFUNCTION("""COMPUTED_VALUE"""),"231.49")</f>
        <v>231.49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0.2159920515</v>
      </c>
      <c r="G102" s="7">
        <f t="shared" si="3"/>
        <v>100</v>
      </c>
      <c r="H102" s="7">
        <f t="shared" si="4"/>
        <v>0.431984103</v>
      </c>
      <c r="I102" s="7">
        <f t="shared" si="5"/>
        <v>150</v>
      </c>
      <c r="J102" s="7">
        <f t="shared" si="6"/>
        <v>0.6479761545</v>
      </c>
      <c r="K102" s="7">
        <f t="shared" si="7"/>
        <v>200</v>
      </c>
      <c r="L102" s="7">
        <f t="shared" si="8"/>
        <v>0.863968206</v>
      </c>
      <c r="M102" s="7">
        <f t="shared" si="9"/>
        <v>300</v>
      </c>
      <c r="N102" s="7">
        <f t="shared" si="10"/>
        <v>1.295952309</v>
      </c>
      <c r="O102" s="7">
        <f t="shared" si="11"/>
        <v>400</v>
      </c>
      <c r="P102" s="7">
        <f t="shared" si="12"/>
        <v>1.727936412</v>
      </c>
      <c r="Q102" s="7">
        <f t="shared" si="13"/>
        <v>500</v>
      </c>
      <c r="R102" s="7">
        <f t="shared" si="14"/>
        <v>2.159920515</v>
      </c>
      <c r="S102" s="7">
        <f t="shared" si="15"/>
        <v>600</v>
      </c>
      <c r="T102" s="7">
        <f t="shared" si="16"/>
        <v>2.591904618</v>
      </c>
      <c r="U102" s="7">
        <f t="shared" si="17"/>
        <v>700</v>
      </c>
      <c r="V102" s="7">
        <f t="shared" si="18"/>
        <v>3.023888721</v>
      </c>
      <c r="W102" s="7">
        <f t="shared" si="19"/>
        <v>800</v>
      </c>
      <c r="X102" s="7">
        <f t="shared" si="20"/>
        <v>3.455872824</v>
      </c>
      <c r="Y102" s="7">
        <f t="shared" si="21"/>
        <v>900</v>
      </c>
      <c r="Z102" s="7">
        <f t="shared" si="22"/>
        <v>3.887856927</v>
      </c>
    </row>
    <row r="103">
      <c r="A103" s="30" t="str">
        <f>IFERROR(__xludf.DUMMYFUNCTION("""COMPUTED_VALUE"""),"2020 04")</f>
        <v>2020 04</v>
      </c>
      <c r="B103" s="30" t="str">
        <f>IFERROR(__xludf.DUMMYFUNCTION("""COMPUTED_VALUE"""),"206.22")</f>
        <v>206.22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0.2424595093</v>
      </c>
      <c r="G103" s="7">
        <f t="shared" si="3"/>
        <v>100</v>
      </c>
      <c r="H103" s="7">
        <f t="shared" si="4"/>
        <v>0.4849190185</v>
      </c>
      <c r="I103" s="7">
        <f t="shared" si="5"/>
        <v>150</v>
      </c>
      <c r="J103" s="7">
        <f t="shared" si="6"/>
        <v>0.7273785278</v>
      </c>
      <c r="K103" s="7">
        <f t="shared" si="7"/>
        <v>200</v>
      </c>
      <c r="L103" s="7">
        <f t="shared" si="8"/>
        <v>0.969838037</v>
      </c>
      <c r="M103" s="7">
        <f t="shared" si="9"/>
        <v>300</v>
      </c>
      <c r="N103" s="7">
        <f t="shared" si="10"/>
        <v>1.454757056</v>
      </c>
      <c r="O103" s="7">
        <f t="shared" si="11"/>
        <v>400</v>
      </c>
      <c r="P103" s="7">
        <f t="shared" si="12"/>
        <v>1.939676074</v>
      </c>
      <c r="Q103" s="7">
        <f t="shared" si="13"/>
        <v>500</v>
      </c>
      <c r="R103" s="7">
        <f t="shared" si="14"/>
        <v>2.424595093</v>
      </c>
      <c r="S103" s="7">
        <f t="shared" si="15"/>
        <v>600</v>
      </c>
      <c r="T103" s="7">
        <f t="shared" si="16"/>
        <v>2.909514111</v>
      </c>
      <c r="U103" s="7">
        <f t="shared" si="17"/>
        <v>700</v>
      </c>
      <c r="V103" s="7">
        <f t="shared" si="18"/>
        <v>3.39443313</v>
      </c>
      <c r="W103" s="7">
        <f t="shared" si="19"/>
        <v>800</v>
      </c>
      <c r="X103" s="7">
        <f t="shared" si="20"/>
        <v>3.879352148</v>
      </c>
      <c r="Y103" s="7">
        <f t="shared" si="21"/>
        <v>900</v>
      </c>
      <c r="Z103" s="7">
        <f t="shared" si="22"/>
        <v>4.364271167</v>
      </c>
    </row>
    <row r="104">
      <c r="A104" s="30" t="str">
        <f>IFERROR(__xludf.DUMMYFUNCTION("""COMPUTED_VALUE"""),"2020 05")</f>
        <v>2020 05</v>
      </c>
      <c r="B104" s="30" t="str">
        <f>IFERROR(__xludf.DUMMYFUNCTION("""COMPUTED_VALUE"""),"222.58")</f>
        <v>222.58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0.2246383323</v>
      </c>
      <c r="G104" s="7">
        <f t="shared" si="3"/>
        <v>100</v>
      </c>
      <c r="H104" s="7">
        <f t="shared" si="4"/>
        <v>0.4492766646</v>
      </c>
      <c r="I104" s="7">
        <f t="shared" si="5"/>
        <v>150</v>
      </c>
      <c r="J104" s="7">
        <f t="shared" si="6"/>
        <v>0.6739149969</v>
      </c>
      <c r="K104" s="7">
        <f t="shared" si="7"/>
        <v>200</v>
      </c>
      <c r="L104" s="7">
        <f t="shared" si="8"/>
        <v>0.8985533291</v>
      </c>
      <c r="M104" s="7">
        <f t="shared" si="9"/>
        <v>300</v>
      </c>
      <c r="N104" s="7">
        <f t="shared" si="10"/>
        <v>1.347829994</v>
      </c>
      <c r="O104" s="7">
        <f t="shared" si="11"/>
        <v>400</v>
      </c>
      <c r="P104" s="7">
        <f t="shared" si="12"/>
        <v>1.797106658</v>
      </c>
      <c r="Q104" s="7">
        <f t="shared" si="13"/>
        <v>500</v>
      </c>
      <c r="R104" s="7">
        <f t="shared" si="14"/>
        <v>2.246383323</v>
      </c>
      <c r="S104" s="7">
        <f t="shared" si="15"/>
        <v>600</v>
      </c>
      <c r="T104" s="7">
        <f t="shared" si="16"/>
        <v>2.695659987</v>
      </c>
      <c r="U104" s="7">
        <f t="shared" si="17"/>
        <v>700</v>
      </c>
      <c r="V104" s="7">
        <f t="shared" si="18"/>
        <v>3.144936652</v>
      </c>
      <c r="W104" s="7">
        <f t="shared" si="19"/>
        <v>800</v>
      </c>
      <c r="X104" s="7">
        <f t="shared" si="20"/>
        <v>3.594213317</v>
      </c>
      <c r="Y104" s="7">
        <f t="shared" si="21"/>
        <v>900</v>
      </c>
      <c r="Z104" s="7">
        <f t="shared" si="22"/>
        <v>4.043489981</v>
      </c>
    </row>
    <row r="105">
      <c r="A105" s="30" t="str">
        <f>IFERROR(__xludf.DUMMYFUNCTION("""COMPUTED_VALUE"""),"2020 06")</f>
        <v>2020 06</v>
      </c>
      <c r="B105" s="30" t="str">
        <f>IFERROR(__xludf.DUMMYFUNCTION("""COMPUTED_VALUE"""),"228.24")</f>
        <v>228.24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0.2190676481</v>
      </c>
      <c r="G105" s="7">
        <f t="shared" si="3"/>
        <v>100</v>
      </c>
      <c r="H105" s="7">
        <f t="shared" si="4"/>
        <v>0.4381352962</v>
      </c>
      <c r="I105" s="7">
        <f t="shared" si="5"/>
        <v>150</v>
      </c>
      <c r="J105" s="7">
        <f t="shared" si="6"/>
        <v>0.6572029443</v>
      </c>
      <c r="K105" s="7">
        <f t="shared" si="7"/>
        <v>200</v>
      </c>
      <c r="L105" s="7">
        <f t="shared" si="8"/>
        <v>0.8762705924</v>
      </c>
      <c r="M105" s="7">
        <f t="shared" si="9"/>
        <v>300</v>
      </c>
      <c r="N105" s="7">
        <f t="shared" si="10"/>
        <v>1.314405889</v>
      </c>
      <c r="O105" s="7">
        <f t="shared" si="11"/>
        <v>400</v>
      </c>
      <c r="P105" s="7">
        <f t="shared" si="12"/>
        <v>1.752541185</v>
      </c>
      <c r="Q105" s="7">
        <f t="shared" si="13"/>
        <v>500</v>
      </c>
      <c r="R105" s="7">
        <f t="shared" si="14"/>
        <v>2.190676481</v>
      </c>
      <c r="S105" s="7">
        <f t="shared" si="15"/>
        <v>600</v>
      </c>
      <c r="T105" s="7">
        <f t="shared" si="16"/>
        <v>2.628811777</v>
      </c>
      <c r="U105" s="7">
        <f t="shared" si="17"/>
        <v>700</v>
      </c>
      <c r="V105" s="7">
        <f t="shared" si="18"/>
        <v>3.066947073</v>
      </c>
      <c r="W105" s="7">
        <f t="shared" si="19"/>
        <v>800</v>
      </c>
      <c r="X105" s="7">
        <f t="shared" si="20"/>
        <v>3.505082369</v>
      </c>
      <c r="Y105" s="7">
        <f t="shared" si="21"/>
        <v>900</v>
      </c>
      <c r="Z105" s="7">
        <f t="shared" si="22"/>
        <v>3.943217666</v>
      </c>
    </row>
    <row r="106">
      <c r="A106" s="30" t="str">
        <f>IFERROR(__xludf.DUMMYFUNCTION("""COMPUTED_VALUE"""),"2020 07")</f>
        <v>2020 07</v>
      </c>
      <c r="B106" s="30" t="str">
        <f>IFERROR(__xludf.DUMMYFUNCTION("""COMPUTED_VALUE"""),"226.05")</f>
        <v>226.05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0.2211900022</v>
      </c>
      <c r="G106" s="7">
        <f t="shared" si="3"/>
        <v>100</v>
      </c>
      <c r="H106" s="7">
        <f t="shared" si="4"/>
        <v>0.4423800044</v>
      </c>
      <c r="I106" s="7">
        <f t="shared" si="5"/>
        <v>150</v>
      </c>
      <c r="J106" s="7">
        <f t="shared" si="6"/>
        <v>0.6635700066</v>
      </c>
      <c r="K106" s="7">
        <f t="shared" si="7"/>
        <v>200</v>
      </c>
      <c r="L106" s="7">
        <f t="shared" si="8"/>
        <v>0.8847600088</v>
      </c>
      <c r="M106" s="7">
        <f t="shared" si="9"/>
        <v>300</v>
      </c>
      <c r="N106" s="7">
        <f t="shared" si="10"/>
        <v>1.327140013</v>
      </c>
      <c r="O106" s="7">
        <f t="shared" si="11"/>
        <v>400</v>
      </c>
      <c r="P106" s="7">
        <f t="shared" si="12"/>
        <v>1.769520018</v>
      </c>
      <c r="Q106" s="7">
        <f t="shared" si="13"/>
        <v>500</v>
      </c>
      <c r="R106" s="7">
        <f t="shared" si="14"/>
        <v>2.211900022</v>
      </c>
      <c r="S106" s="7">
        <f t="shared" si="15"/>
        <v>600</v>
      </c>
      <c r="T106" s="7">
        <f t="shared" si="16"/>
        <v>2.654280027</v>
      </c>
      <c r="U106" s="7">
        <f t="shared" si="17"/>
        <v>700</v>
      </c>
      <c r="V106" s="7">
        <f t="shared" si="18"/>
        <v>3.096660031</v>
      </c>
      <c r="W106" s="7">
        <f t="shared" si="19"/>
        <v>800</v>
      </c>
      <c r="X106" s="7">
        <f t="shared" si="20"/>
        <v>3.539040035</v>
      </c>
      <c r="Y106" s="7">
        <f t="shared" si="21"/>
        <v>900</v>
      </c>
      <c r="Z106" s="7">
        <f t="shared" si="22"/>
        <v>3.98142004</v>
      </c>
    </row>
    <row r="107">
      <c r="A107" s="30" t="str">
        <f>IFERROR(__xludf.DUMMYFUNCTION("""COMPUTED_VALUE"""),"2020 08")</f>
        <v>2020 08</v>
      </c>
      <c r="B107" s="30" t="str">
        <f>IFERROR(__xludf.DUMMYFUNCTION("""COMPUTED_VALUE"""),"231.64")</f>
        <v>231.64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0.2158521844</v>
      </c>
      <c r="G107" s="7">
        <f t="shared" si="3"/>
        <v>100</v>
      </c>
      <c r="H107" s="7">
        <f t="shared" si="4"/>
        <v>0.4317043688</v>
      </c>
      <c r="I107" s="7">
        <f t="shared" si="5"/>
        <v>150</v>
      </c>
      <c r="J107" s="7">
        <f t="shared" si="6"/>
        <v>0.6475565533</v>
      </c>
      <c r="K107" s="7">
        <f t="shared" si="7"/>
        <v>200</v>
      </c>
      <c r="L107" s="7">
        <f t="shared" si="8"/>
        <v>0.8634087377</v>
      </c>
      <c r="M107" s="7">
        <f t="shared" si="9"/>
        <v>300</v>
      </c>
      <c r="N107" s="7">
        <f t="shared" si="10"/>
        <v>1.295113107</v>
      </c>
      <c r="O107" s="7">
        <f t="shared" si="11"/>
        <v>400</v>
      </c>
      <c r="P107" s="7">
        <f t="shared" si="12"/>
        <v>1.726817475</v>
      </c>
      <c r="Q107" s="7">
        <f t="shared" si="13"/>
        <v>500</v>
      </c>
      <c r="R107" s="7">
        <f t="shared" si="14"/>
        <v>2.158521844</v>
      </c>
      <c r="S107" s="7">
        <f t="shared" si="15"/>
        <v>600</v>
      </c>
      <c r="T107" s="7">
        <f t="shared" si="16"/>
        <v>2.590226213</v>
      </c>
      <c r="U107" s="7">
        <f t="shared" si="17"/>
        <v>700</v>
      </c>
      <c r="V107" s="7">
        <f t="shared" si="18"/>
        <v>3.021930582</v>
      </c>
      <c r="W107" s="7">
        <f t="shared" si="19"/>
        <v>800</v>
      </c>
      <c r="X107" s="7">
        <f t="shared" si="20"/>
        <v>3.453634951</v>
      </c>
      <c r="Y107" s="7">
        <f t="shared" si="21"/>
        <v>900</v>
      </c>
      <c r="Z107" s="7">
        <f t="shared" si="22"/>
        <v>3.88533932</v>
      </c>
    </row>
    <row r="108">
      <c r="A108" s="30" t="str">
        <f>IFERROR(__xludf.DUMMYFUNCTION("""COMPUTED_VALUE"""),"2020 09")</f>
        <v>2020 09</v>
      </c>
      <c r="B108" s="30" t="str">
        <f>IFERROR(__xludf.DUMMYFUNCTION("""COMPUTED_VALUE"""),"240.01")</f>
        <v>240.01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0.2083246531</v>
      </c>
      <c r="G108" s="7">
        <f t="shared" si="3"/>
        <v>100</v>
      </c>
      <c r="H108" s="7">
        <f t="shared" si="4"/>
        <v>0.4166493063</v>
      </c>
      <c r="I108" s="7">
        <f t="shared" si="5"/>
        <v>150</v>
      </c>
      <c r="J108" s="7">
        <f t="shared" si="6"/>
        <v>0.6249739594</v>
      </c>
      <c r="K108" s="7">
        <f t="shared" si="7"/>
        <v>200</v>
      </c>
      <c r="L108" s="7">
        <f t="shared" si="8"/>
        <v>0.8332986126</v>
      </c>
      <c r="M108" s="7">
        <f t="shared" si="9"/>
        <v>300</v>
      </c>
      <c r="N108" s="7">
        <f t="shared" si="10"/>
        <v>1.249947919</v>
      </c>
      <c r="O108" s="7">
        <f t="shared" si="11"/>
        <v>400</v>
      </c>
      <c r="P108" s="7">
        <f t="shared" si="12"/>
        <v>1.666597225</v>
      </c>
      <c r="Q108" s="7">
        <f t="shared" si="13"/>
        <v>500</v>
      </c>
      <c r="R108" s="7">
        <f t="shared" si="14"/>
        <v>2.083246531</v>
      </c>
      <c r="S108" s="7">
        <f t="shared" si="15"/>
        <v>600</v>
      </c>
      <c r="T108" s="7">
        <f t="shared" si="16"/>
        <v>2.499895838</v>
      </c>
      <c r="U108" s="7">
        <f t="shared" si="17"/>
        <v>700</v>
      </c>
      <c r="V108" s="7">
        <f t="shared" si="18"/>
        <v>2.916545144</v>
      </c>
      <c r="W108" s="7">
        <f t="shared" si="19"/>
        <v>800</v>
      </c>
      <c r="X108" s="7">
        <f t="shared" si="20"/>
        <v>3.33319445</v>
      </c>
      <c r="Y108" s="7">
        <f t="shared" si="21"/>
        <v>900</v>
      </c>
      <c r="Z108" s="7">
        <f t="shared" si="22"/>
        <v>3.749843757</v>
      </c>
    </row>
    <row r="109">
      <c r="A109" s="30" t="str">
        <f>IFERROR(__xludf.DUMMYFUNCTION("""COMPUTED_VALUE"""),"2020 10")</f>
        <v>2020 10</v>
      </c>
      <c r="B109" s="30" t="str">
        <f>IFERROR(__xludf.DUMMYFUNCTION("""COMPUTED_VALUE"""),"238.48")</f>
        <v>238.48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0.2096611875</v>
      </c>
      <c r="G109" s="7">
        <f t="shared" si="3"/>
        <v>100</v>
      </c>
      <c r="H109" s="7">
        <f t="shared" si="4"/>
        <v>0.419322375</v>
      </c>
      <c r="I109" s="7">
        <f t="shared" si="5"/>
        <v>150</v>
      </c>
      <c r="J109" s="7">
        <f t="shared" si="6"/>
        <v>0.6289835626</v>
      </c>
      <c r="K109" s="7">
        <f t="shared" si="7"/>
        <v>200</v>
      </c>
      <c r="L109" s="7">
        <f t="shared" si="8"/>
        <v>0.8386447501</v>
      </c>
      <c r="M109" s="7">
        <f t="shared" si="9"/>
        <v>300</v>
      </c>
      <c r="N109" s="7">
        <f t="shared" si="10"/>
        <v>1.257967125</v>
      </c>
      <c r="O109" s="7">
        <f t="shared" si="11"/>
        <v>400</v>
      </c>
      <c r="P109" s="7">
        <f t="shared" si="12"/>
        <v>1.6772895</v>
      </c>
      <c r="Q109" s="7">
        <f t="shared" si="13"/>
        <v>500</v>
      </c>
      <c r="R109" s="7">
        <f t="shared" si="14"/>
        <v>2.096611875</v>
      </c>
      <c r="S109" s="7">
        <f t="shared" si="15"/>
        <v>600</v>
      </c>
      <c r="T109" s="7">
        <f t="shared" si="16"/>
        <v>2.51593425</v>
      </c>
      <c r="U109" s="7">
        <f t="shared" si="17"/>
        <v>700</v>
      </c>
      <c r="V109" s="7">
        <f t="shared" si="18"/>
        <v>2.935256625</v>
      </c>
      <c r="W109" s="7">
        <f t="shared" si="19"/>
        <v>800</v>
      </c>
      <c r="X109" s="7">
        <f t="shared" si="20"/>
        <v>3.354579</v>
      </c>
      <c r="Y109" s="7">
        <f t="shared" si="21"/>
        <v>900</v>
      </c>
      <c r="Z109" s="7">
        <f t="shared" si="22"/>
        <v>3.773901375</v>
      </c>
    </row>
    <row r="110">
      <c r="A110" s="30" t="str">
        <f>IFERROR(__xludf.DUMMYFUNCTION("""COMPUTED_VALUE"""),"2020 11")</f>
        <v>2020 11</v>
      </c>
      <c r="B110" s="30" t="str">
        <f>IFERROR(__xludf.DUMMYFUNCTION("""COMPUTED_VALUE"""),"238.61")</f>
        <v>238.61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0.2095469595</v>
      </c>
      <c r="G110" s="7">
        <f t="shared" si="3"/>
        <v>100</v>
      </c>
      <c r="H110" s="7">
        <f t="shared" si="4"/>
        <v>0.4190939189</v>
      </c>
      <c r="I110" s="7">
        <f t="shared" si="5"/>
        <v>150</v>
      </c>
      <c r="J110" s="7">
        <f t="shared" si="6"/>
        <v>0.6286408784</v>
      </c>
      <c r="K110" s="7">
        <f t="shared" si="7"/>
        <v>200</v>
      </c>
      <c r="L110" s="7">
        <f t="shared" si="8"/>
        <v>0.8381878379</v>
      </c>
      <c r="M110" s="7">
        <f t="shared" si="9"/>
        <v>300</v>
      </c>
      <c r="N110" s="7">
        <f t="shared" si="10"/>
        <v>1.257281757</v>
      </c>
      <c r="O110" s="7">
        <f t="shared" si="11"/>
        <v>400</v>
      </c>
      <c r="P110" s="7">
        <f t="shared" si="12"/>
        <v>1.676375676</v>
      </c>
      <c r="Q110" s="7">
        <f t="shared" si="13"/>
        <v>500</v>
      </c>
      <c r="R110" s="7">
        <f t="shared" si="14"/>
        <v>2.095469595</v>
      </c>
      <c r="S110" s="7">
        <f t="shared" si="15"/>
        <v>600</v>
      </c>
      <c r="T110" s="7">
        <f t="shared" si="16"/>
        <v>2.514563514</v>
      </c>
      <c r="U110" s="7">
        <f t="shared" si="17"/>
        <v>700</v>
      </c>
      <c r="V110" s="7">
        <f t="shared" si="18"/>
        <v>2.933657433</v>
      </c>
      <c r="W110" s="7">
        <f t="shared" si="19"/>
        <v>800</v>
      </c>
      <c r="X110" s="7">
        <f t="shared" si="20"/>
        <v>3.352751352</v>
      </c>
      <c r="Y110" s="7">
        <f t="shared" si="21"/>
        <v>900</v>
      </c>
      <c r="Z110" s="7">
        <f t="shared" si="22"/>
        <v>3.771845271</v>
      </c>
    </row>
    <row r="111">
      <c r="A111" s="30" t="str">
        <f>IFERROR(__xludf.DUMMYFUNCTION("""COMPUTED_VALUE"""),"2020 12")</f>
        <v>2020 12</v>
      </c>
      <c r="B111" s="30" t="str">
        <f>IFERROR(__xludf.DUMMYFUNCTION("""COMPUTED_VALUE"""),"256.31")</f>
        <v>256.31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0.1950762748</v>
      </c>
      <c r="G111" s="7">
        <f t="shared" si="3"/>
        <v>100</v>
      </c>
      <c r="H111" s="7">
        <f t="shared" si="4"/>
        <v>0.3901525496</v>
      </c>
      <c r="I111" s="7">
        <f t="shared" si="5"/>
        <v>150</v>
      </c>
      <c r="J111" s="7">
        <f t="shared" si="6"/>
        <v>0.5852288245</v>
      </c>
      <c r="K111" s="7">
        <f t="shared" si="7"/>
        <v>200</v>
      </c>
      <c r="L111" s="7">
        <f t="shared" si="8"/>
        <v>0.7803050993</v>
      </c>
      <c r="M111" s="7">
        <f t="shared" si="9"/>
        <v>300</v>
      </c>
      <c r="N111" s="7">
        <f t="shared" si="10"/>
        <v>1.170457649</v>
      </c>
      <c r="O111" s="7">
        <f t="shared" si="11"/>
        <v>400</v>
      </c>
      <c r="P111" s="7">
        <f t="shared" si="12"/>
        <v>1.560610199</v>
      </c>
      <c r="Q111" s="7">
        <f t="shared" si="13"/>
        <v>500</v>
      </c>
      <c r="R111" s="7">
        <f t="shared" si="14"/>
        <v>1.950762748</v>
      </c>
      <c r="S111" s="7">
        <f t="shared" si="15"/>
        <v>600</v>
      </c>
      <c r="T111" s="7">
        <f t="shared" si="16"/>
        <v>2.340915298</v>
      </c>
      <c r="U111" s="7">
        <f t="shared" si="17"/>
        <v>700</v>
      </c>
      <c r="V111" s="7">
        <f t="shared" si="18"/>
        <v>2.731067848</v>
      </c>
      <c r="W111" s="7">
        <f t="shared" si="19"/>
        <v>800</v>
      </c>
      <c r="X111" s="7">
        <f t="shared" si="20"/>
        <v>3.121220397</v>
      </c>
      <c r="Y111" s="7">
        <f t="shared" si="21"/>
        <v>900</v>
      </c>
      <c r="Z111" s="7">
        <f t="shared" si="22"/>
        <v>3.511372947</v>
      </c>
    </row>
    <row r="112">
      <c r="A112" s="30" t="str">
        <f>IFERROR(__xludf.DUMMYFUNCTION("""COMPUTED_VALUE"""),"2021 01")</f>
        <v>2021 01</v>
      </c>
      <c r="B112" s="30" t="str">
        <f>IFERROR(__xludf.DUMMYFUNCTION("""COMPUTED_VALUE"""),"252.81")</f>
        <v>252.81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0.1977769867</v>
      </c>
      <c r="G112" s="7">
        <f t="shared" si="3"/>
        <v>100</v>
      </c>
      <c r="H112" s="7">
        <f t="shared" si="4"/>
        <v>0.3955539733</v>
      </c>
      <c r="I112" s="7">
        <f t="shared" si="5"/>
        <v>150</v>
      </c>
      <c r="J112" s="7">
        <f t="shared" si="6"/>
        <v>0.59333096</v>
      </c>
      <c r="K112" s="7">
        <f t="shared" si="7"/>
        <v>200</v>
      </c>
      <c r="L112" s="7">
        <f t="shared" si="8"/>
        <v>0.7911079467</v>
      </c>
      <c r="M112" s="7">
        <f t="shared" si="9"/>
        <v>300</v>
      </c>
      <c r="N112" s="7">
        <f t="shared" si="10"/>
        <v>1.18666192</v>
      </c>
      <c r="O112" s="7">
        <f t="shared" si="11"/>
        <v>400</v>
      </c>
      <c r="P112" s="7">
        <f t="shared" si="12"/>
        <v>1.582215893</v>
      </c>
      <c r="Q112" s="7">
        <f t="shared" si="13"/>
        <v>500</v>
      </c>
      <c r="R112" s="7">
        <f t="shared" si="14"/>
        <v>1.977769867</v>
      </c>
      <c r="S112" s="7">
        <f t="shared" si="15"/>
        <v>600</v>
      </c>
      <c r="T112" s="7">
        <f t="shared" si="16"/>
        <v>2.37332384</v>
      </c>
      <c r="U112" s="7">
        <f t="shared" si="17"/>
        <v>700</v>
      </c>
      <c r="V112" s="7">
        <f t="shared" si="18"/>
        <v>2.768877813</v>
      </c>
      <c r="W112" s="7">
        <f t="shared" si="19"/>
        <v>800</v>
      </c>
      <c r="X112" s="7">
        <f t="shared" si="20"/>
        <v>3.164431787</v>
      </c>
      <c r="Y112" s="7">
        <f t="shared" si="21"/>
        <v>900</v>
      </c>
      <c r="Z112" s="7">
        <f t="shared" si="22"/>
        <v>3.55998576</v>
      </c>
    </row>
    <row r="113">
      <c r="A113" s="30" t="str">
        <f>IFERROR(__xludf.DUMMYFUNCTION("""COMPUTED_VALUE"""),"2021 02")</f>
        <v>2021 02</v>
      </c>
      <c r="B113" s="30" t="str">
        <f>IFERROR(__xludf.DUMMYFUNCTION("""COMPUTED_VALUE"""),"254.48")</f>
        <v>254.48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0.1964790946</v>
      </c>
      <c r="G113" s="7">
        <f t="shared" si="3"/>
        <v>100</v>
      </c>
      <c r="H113" s="7">
        <f t="shared" si="4"/>
        <v>0.3929581892</v>
      </c>
      <c r="I113" s="7">
        <f t="shared" si="5"/>
        <v>150</v>
      </c>
      <c r="J113" s="7">
        <f t="shared" si="6"/>
        <v>0.5894372839</v>
      </c>
      <c r="K113" s="7">
        <f t="shared" si="7"/>
        <v>200</v>
      </c>
      <c r="L113" s="7">
        <f t="shared" si="8"/>
        <v>0.7859163785</v>
      </c>
      <c r="M113" s="7">
        <f t="shared" si="9"/>
        <v>300</v>
      </c>
      <c r="N113" s="7">
        <f t="shared" si="10"/>
        <v>1.178874568</v>
      </c>
      <c r="O113" s="7">
        <f t="shared" si="11"/>
        <v>400</v>
      </c>
      <c r="P113" s="7">
        <f t="shared" si="12"/>
        <v>1.571832757</v>
      </c>
      <c r="Q113" s="7">
        <f t="shared" si="13"/>
        <v>500</v>
      </c>
      <c r="R113" s="7">
        <f t="shared" si="14"/>
        <v>1.964790946</v>
      </c>
      <c r="S113" s="7">
        <f t="shared" si="15"/>
        <v>600</v>
      </c>
      <c r="T113" s="7">
        <f t="shared" si="16"/>
        <v>2.357749135</v>
      </c>
      <c r="U113" s="7">
        <f t="shared" si="17"/>
        <v>700</v>
      </c>
      <c r="V113" s="7">
        <f t="shared" si="18"/>
        <v>2.750707325</v>
      </c>
      <c r="W113" s="7">
        <f t="shared" si="19"/>
        <v>800</v>
      </c>
      <c r="X113" s="7">
        <f t="shared" si="20"/>
        <v>3.143665514</v>
      </c>
      <c r="Y113" s="7">
        <f t="shared" si="21"/>
        <v>900</v>
      </c>
      <c r="Z113" s="7">
        <f t="shared" si="22"/>
        <v>3.536623703</v>
      </c>
    </row>
    <row r="114">
      <c r="A114" s="30" t="str">
        <f>IFERROR(__xludf.DUMMYFUNCTION("""COMPUTED_VALUE"""),"2021 03")</f>
        <v>2021 03</v>
      </c>
      <c r="B114" s="30" t="str">
        <f>IFERROR(__xludf.DUMMYFUNCTION("""COMPUTED_VALUE"""),"260.82")</f>
        <v>260.82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0.1917030903</v>
      </c>
      <c r="G114" s="7">
        <f t="shared" si="3"/>
        <v>100</v>
      </c>
      <c r="H114" s="7">
        <f t="shared" si="4"/>
        <v>0.3834061805</v>
      </c>
      <c r="I114" s="7">
        <f t="shared" si="5"/>
        <v>150</v>
      </c>
      <c r="J114" s="7">
        <f t="shared" si="6"/>
        <v>0.5751092708</v>
      </c>
      <c r="K114" s="7">
        <f t="shared" si="7"/>
        <v>200</v>
      </c>
      <c r="L114" s="7">
        <f t="shared" si="8"/>
        <v>0.766812361</v>
      </c>
      <c r="M114" s="7">
        <f t="shared" si="9"/>
        <v>300</v>
      </c>
      <c r="N114" s="7">
        <f t="shared" si="10"/>
        <v>1.150218542</v>
      </c>
      <c r="O114" s="7">
        <f t="shared" si="11"/>
        <v>400</v>
      </c>
      <c r="P114" s="7">
        <f t="shared" si="12"/>
        <v>1.533624722</v>
      </c>
      <c r="Q114" s="7">
        <f t="shared" si="13"/>
        <v>500</v>
      </c>
      <c r="R114" s="7">
        <f t="shared" si="14"/>
        <v>1.917030903</v>
      </c>
      <c r="S114" s="7">
        <f t="shared" si="15"/>
        <v>600</v>
      </c>
      <c r="T114" s="7">
        <f t="shared" si="16"/>
        <v>2.300437083</v>
      </c>
      <c r="U114" s="7">
        <f t="shared" si="17"/>
        <v>700</v>
      </c>
      <c r="V114" s="7">
        <f t="shared" si="18"/>
        <v>2.683843264</v>
      </c>
      <c r="W114" s="7">
        <f t="shared" si="19"/>
        <v>800</v>
      </c>
      <c r="X114" s="7">
        <f t="shared" si="20"/>
        <v>3.067249444</v>
      </c>
      <c r="Y114" s="7">
        <f t="shared" si="21"/>
        <v>900</v>
      </c>
      <c r="Z114" s="7">
        <f t="shared" si="22"/>
        <v>3.450655625</v>
      </c>
    </row>
    <row r="115">
      <c r="A115" s="30" t="str">
        <f>IFERROR(__xludf.DUMMYFUNCTION("""COMPUTED_VALUE"""),"2021 04")</f>
        <v>2021 04</v>
      </c>
      <c r="B115" s="30" t="str">
        <f>IFERROR(__xludf.DUMMYFUNCTION("""COMPUTED_VALUE"""),"274.01")</f>
        <v>274.01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0.1824750921</v>
      </c>
      <c r="G115" s="7">
        <f t="shared" si="3"/>
        <v>100</v>
      </c>
      <c r="H115" s="7">
        <f t="shared" si="4"/>
        <v>0.3649501843</v>
      </c>
      <c r="I115" s="7">
        <f t="shared" si="5"/>
        <v>150</v>
      </c>
      <c r="J115" s="7">
        <f t="shared" si="6"/>
        <v>0.5474252764</v>
      </c>
      <c r="K115" s="7">
        <f t="shared" si="7"/>
        <v>200</v>
      </c>
      <c r="L115" s="7">
        <f t="shared" si="8"/>
        <v>0.7299003686</v>
      </c>
      <c r="M115" s="7">
        <f t="shared" si="9"/>
        <v>300</v>
      </c>
      <c r="N115" s="7">
        <f t="shared" si="10"/>
        <v>1.094850553</v>
      </c>
      <c r="O115" s="7">
        <f t="shared" si="11"/>
        <v>400</v>
      </c>
      <c r="P115" s="7">
        <f t="shared" si="12"/>
        <v>1.459800737</v>
      </c>
      <c r="Q115" s="7">
        <f t="shared" si="13"/>
        <v>500</v>
      </c>
      <c r="R115" s="7">
        <f t="shared" si="14"/>
        <v>1.824750921</v>
      </c>
      <c r="S115" s="7">
        <f t="shared" si="15"/>
        <v>600</v>
      </c>
      <c r="T115" s="7">
        <f t="shared" si="16"/>
        <v>2.189701106</v>
      </c>
      <c r="U115" s="7">
        <f t="shared" si="17"/>
        <v>700</v>
      </c>
      <c r="V115" s="7">
        <f t="shared" si="18"/>
        <v>2.55465129</v>
      </c>
      <c r="W115" s="7">
        <f t="shared" si="19"/>
        <v>800</v>
      </c>
      <c r="X115" s="7">
        <f t="shared" si="20"/>
        <v>2.919601474</v>
      </c>
      <c r="Y115" s="7">
        <f t="shared" si="21"/>
        <v>900</v>
      </c>
      <c r="Z115" s="7">
        <f t="shared" si="22"/>
        <v>3.284551659</v>
      </c>
    </row>
    <row r="116">
      <c r="A116" s="30" t="str">
        <f>IFERROR(__xludf.DUMMYFUNCTION("""COMPUTED_VALUE"""),"2021 05")</f>
        <v>2021 05</v>
      </c>
      <c r="B116" s="30" t="str">
        <f>IFERROR(__xludf.DUMMYFUNCTION("""COMPUTED_VALUE"""),"282.21")</f>
        <v>282.21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0.1771730272</v>
      </c>
      <c r="G116" s="7">
        <f t="shared" si="3"/>
        <v>100</v>
      </c>
      <c r="H116" s="7">
        <f t="shared" si="4"/>
        <v>0.3543460544</v>
      </c>
      <c r="I116" s="7">
        <f t="shared" si="5"/>
        <v>150</v>
      </c>
      <c r="J116" s="7">
        <f t="shared" si="6"/>
        <v>0.5315190815</v>
      </c>
      <c r="K116" s="7">
        <f t="shared" si="7"/>
        <v>200</v>
      </c>
      <c r="L116" s="7">
        <f t="shared" si="8"/>
        <v>0.7086921087</v>
      </c>
      <c r="M116" s="7">
        <f t="shared" si="9"/>
        <v>300</v>
      </c>
      <c r="N116" s="7">
        <f t="shared" si="10"/>
        <v>1.063038163</v>
      </c>
      <c r="O116" s="7">
        <f t="shared" si="11"/>
        <v>400</v>
      </c>
      <c r="P116" s="7">
        <f t="shared" si="12"/>
        <v>1.417384217</v>
      </c>
      <c r="Q116" s="7">
        <f t="shared" si="13"/>
        <v>500</v>
      </c>
      <c r="R116" s="7">
        <f t="shared" si="14"/>
        <v>1.771730272</v>
      </c>
      <c r="S116" s="7">
        <f t="shared" si="15"/>
        <v>600</v>
      </c>
      <c r="T116" s="7">
        <f t="shared" si="16"/>
        <v>2.126076326</v>
      </c>
      <c r="U116" s="7">
        <f t="shared" si="17"/>
        <v>700</v>
      </c>
      <c r="V116" s="7">
        <f t="shared" si="18"/>
        <v>2.48042238</v>
      </c>
      <c r="W116" s="7">
        <f t="shared" si="19"/>
        <v>800</v>
      </c>
      <c r="X116" s="7">
        <f t="shared" si="20"/>
        <v>2.834768435</v>
      </c>
      <c r="Y116" s="7">
        <f t="shared" si="21"/>
        <v>900</v>
      </c>
      <c r="Z116" s="7">
        <f t="shared" si="22"/>
        <v>3.189114489</v>
      </c>
    </row>
    <row r="117">
      <c r="A117" s="30" t="str">
        <f>IFERROR(__xludf.DUMMYFUNCTION("""COMPUTED_VALUE"""),"2021 06")</f>
        <v>2021 06</v>
      </c>
      <c r="B117" s="30" t="str">
        <f>IFERROR(__xludf.DUMMYFUNCTION("""COMPUTED_VALUE"""),"282.09")</f>
        <v>282.09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0.1772483959</v>
      </c>
      <c r="G117" s="7">
        <f t="shared" si="3"/>
        <v>100</v>
      </c>
      <c r="H117" s="7">
        <f t="shared" si="4"/>
        <v>0.3544967918</v>
      </c>
      <c r="I117" s="7">
        <f t="shared" si="5"/>
        <v>150</v>
      </c>
      <c r="J117" s="7">
        <f t="shared" si="6"/>
        <v>0.5317451877</v>
      </c>
      <c r="K117" s="7">
        <f t="shared" si="7"/>
        <v>200</v>
      </c>
      <c r="L117" s="7">
        <f t="shared" si="8"/>
        <v>0.7089935836</v>
      </c>
      <c r="M117" s="7">
        <f t="shared" si="9"/>
        <v>300</v>
      </c>
      <c r="N117" s="7">
        <f t="shared" si="10"/>
        <v>1.063490375</v>
      </c>
      <c r="O117" s="7">
        <f t="shared" si="11"/>
        <v>400</v>
      </c>
      <c r="P117" s="7">
        <f t="shared" si="12"/>
        <v>1.417987167</v>
      </c>
      <c r="Q117" s="7">
        <f t="shared" si="13"/>
        <v>500</v>
      </c>
      <c r="R117" s="7">
        <f t="shared" si="14"/>
        <v>1.772483959</v>
      </c>
      <c r="S117" s="7">
        <f t="shared" si="15"/>
        <v>600</v>
      </c>
      <c r="T117" s="7">
        <f t="shared" si="16"/>
        <v>2.126980751</v>
      </c>
      <c r="U117" s="7">
        <f t="shared" si="17"/>
        <v>700</v>
      </c>
      <c r="V117" s="7">
        <f t="shared" si="18"/>
        <v>2.481477543</v>
      </c>
      <c r="W117" s="7">
        <f t="shared" si="19"/>
        <v>800</v>
      </c>
      <c r="X117" s="7">
        <f t="shared" si="20"/>
        <v>2.835974334</v>
      </c>
      <c r="Y117" s="7">
        <f t="shared" si="21"/>
        <v>900</v>
      </c>
      <c r="Z117" s="7">
        <f t="shared" si="22"/>
        <v>3.190471126</v>
      </c>
    </row>
    <row r="118">
      <c r="A118" s="30" t="str">
        <f>IFERROR(__xludf.DUMMYFUNCTION("""COMPUTED_VALUE"""),"2021 07")</f>
        <v>2021 07</v>
      </c>
      <c r="B118" s="30" t="str">
        <f>IFERROR(__xludf.DUMMYFUNCTION("""COMPUTED_VALUE"""),"298.64")</f>
        <v>298.64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0.167425663</v>
      </c>
      <c r="G118" s="7">
        <f t="shared" si="3"/>
        <v>100</v>
      </c>
      <c r="H118" s="7">
        <f t="shared" si="4"/>
        <v>0.334851326</v>
      </c>
      <c r="I118" s="7">
        <f t="shared" si="5"/>
        <v>150</v>
      </c>
      <c r="J118" s="7">
        <f t="shared" si="6"/>
        <v>0.502276989</v>
      </c>
      <c r="K118" s="7">
        <f t="shared" si="7"/>
        <v>200</v>
      </c>
      <c r="L118" s="7">
        <f t="shared" si="8"/>
        <v>0.669702652</v>
      </c>
      <c r="M118" s="7">
        <f t="shared" si="9"/>
        <v>300</v>
      </c>
      <c r="N118" s="7">
        <f t="shared" si="10"/>
        <v>1.004553978</v>
      </c>
      <c r="O118" s="7">
        <f t="shared" si="11"/>
        <v>400</v>
      </c>
      <c r="P118" s="7">
        <f t="shared" si="12"/>
        <v>1.339405304</v>
      </c>
      <c r="Q118" s="7">
        <f t="shared" si="13"/>
        <v>500</v>
      </c>
      <c r="R118" s="7">
        <f t="shared" si="14"/>
        <v>1.67425663</v>
      </c>
      <c r="S118" s="7">
        <f t="shared" si="15"/>
        <v>600</v>
      </c>
      <c r="T118" s="7">
        <f t="shared" si="16"/>
        <v>2.009107956</v>
      </c>
      <c r="U118" s="7">
        <f t="shared" si="17"/>
        <v>700</v>
      </c>
      <c r="V118" s="7">
        <f t="shared" si="18"/>
        <v>2.343959282</v>
      </c>
      <c r="W118" s="7">
        <f t="shared" si="19"/>
        <v>800</v>
      </c>
      <c r="X118" s="7">
        <f t="shared" si="20"/>
        <v>2.678810608</v>
      </c>
      <c r="Y118" s="7">
        <f t="shared" si="21"/>
        <v>900</v>
      </c>
      <c r="Z118" s="7">
        <f t="shared" si="22"/>
        <v>3.013661934</v>
      </c>
    </row>
    <row r="119">
      <c r="A119" s="30" t="str">
        <f>IFERROR(__xludf.DUMMYFUNCTION("""COMPUTED_VALUE"""),"2021 08")</f>
        <v>2021 08</v>
      </c>
      <c r="B119" s="30" t="str">
        <f>IFERROR(__xludf.DUMMYFUNCTION("""COMPUTED_VALUE"""),"310.48")</f>
        <v>310.48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0.1610409688</v>
      </c>
      <c r="G119" s="7">
        <f t="shared" si="3"/>
        <v>100</v>
      </c>
      <c r="H119" s="7">
        <f t="shared" si="4"/>
        <v>0.3220819376</v>
      </c>
      <c r="I119" s="7">
        <f t="shared" si="5"/>
        <v>150</v>
      </c>
      <c r="J119" s="7">
        <f t="shared" si="6"/>
        <v>0.4831229065</v>
      </c>
      <c r="K119" s="7">
        <f t="shared" si="7"/>
        <v>200</v>
      </c>
      <c r="L119" s="7">
        <f t="shared" si="8"/>
        <v>0.6441638753</v>
      </c>
      <c r="M119" s="7">
        <f t="shared" si="9"/>
        <v>300</v>
      </c>
      <c r="N119" s="7">
        <f t="shared" si="10"/>
        <v>0.9662458129</v>
      </c>
      <c r="O119" s="7">
        <f t="shared" si="11"/>
        <v>400</v>
      </c>
      <c r="P119" s="7">
        <f t="shared" si="12"/>
        <v>1.288327751</v>
      </c>
      <c r="Q119" s="7">
        <f t="shared" si="13"/>
        <v>500</v>
      </c>
      <c r="R119" s="7">
        <f t="shared" si="14"/>
        <v>1.610409688</v>
      </c>
      <c r="S119" s="7">
        <f t="shared" si="15"/>
        <v>600</v>
      </c>
      <c r="T119" s="7">
        <f t="shared" si="16"/>
        <v>1.932491626</v>
      </c>
      <c r="U119" s="7">
        <f t="shared" si="17"/>
        <v>700</v>
      </c>
      <c r="V119" s="7">
        <f t="shared" si="18"/>
        <v>2.254573564</v>
      </c>
      <c r="W119" s="7">
        <f t="shared" si="19"/>
        <v>800</v>
      </c>
      <c r="X119" s="7">
        <f t="shared" si="20"/>
        <v>2.576655501</v>
      </c>
      <c r="Y119" s="7">
        <f t="shared" si="21"/>
        <v>900</v>
      </c>
      <c r="Z119" s="7">
        <f t="shared" si="22"/>
        <v>2.898737439</v>
      </c>
    </row>
    <row r="120">
      <c r="A120" s="30" t="str">
        <f>IFERROR(__xludf.DUMMYFUNCTION("""COMPUTED_VALUE"""),"2021 09")</f>
        <v>2021 09</v>
      </c>
      <c r="B120" s="30" t="str">
        <f>IFERROR(__xludf.DUMMYFUNCTION("""COMPUTED_VALUE"""),"319.3")</f>
        <v>319.3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0.1565925462</v>
      </c>
      <c r="G120" s="7">
        <f t="shared" si="3"/>
        <v>100</v>
      </c>
      <c r="H120" s="7">
        <f t="shared" si="4"/>
        <v>0.3131850924</v>
      </c>
      <c r="I120" s="7">
        <f t="shared" si="5"/>
        <v>150</v>
      </c>
      <c r="J120" s="7">
        <f t="shared" si="6"/>
        <v>0.4697776386</v>
      </c>
      <c r="K120" s="7">
        <f t="shared" si="7"/>
        <v>200</v>
      </c>
      <c r="L120" s="7">
        <f t="shared" si="8"/>
        <v>0.6263701848</v>
      </c>
      <c r="M120" s="7">
        <f t="shared" si="9"/>
        <v>300</v>
      </c>
      <c r="N120" s="7">
        <f t="shared" si="10"/>
        <v>0.9395552772</v>
      </c>
      <c r="O120" s="7">
        <f t="shared" si="11"/>
        <v>400</v>
      </c>
      <c r="P120" s="7">
        <f t="shared" si="12"/>
        <v>1.25274037</v>
      </c>
      <c r="Q120" s="7">
        <f t="shared" si="13"/>
        <v>500</v>
      </c>
      <c r="R120" s="7">
        <f t="shared" si="14"/>
        <v>1.565925462</v>
      </c>
      <c r="S120" s="7">
        <f t="shared" si="15"/>
        <v>600</v>
      </c>
      <c r="T120" s="7">
        <f t="shared" si="16"/>
        <v>1.879110554</v>
      </c>
      <c r="U120" s="7">
        <f t="shared" si="17"/>
        <v>700</v>
      </c>
      <c r="V120" s="7">
        <f t="shared" si="18"/>
        <v>2.192295647</v>
      </c>
      <c r="W120" s="7">
        <f t="shared" si="19"/>
        <v>800</v>
      </c>
      <c r="X120" s="7">
        <f t="shared" si="20"/>
        <v>2.505480739</v>
      </c>
      <c r="Y120" s="7">
        <f t="shared" si="21"/>
        <v>900</v>
      </c>
      <c r="Z120" s="7">
        <f t="shared" si="22"/>
        <v>2.818665832</v>
      </c>
    </row>
    <row r="121">
      <c r="A121" s="30" t="str">
        <f>IFERROR(__xludf.DUMMYFUNCTION("""COMPUTED_VALUE"""),"2021 10")</f>
        <v>2021 10</v>
      </c>
      <c r="B121" s="30" t="str">
        <f>IFERROR(__xludf.DUMMYFUNCTION("""COMPUTED_VALUE"""),"306.83")</f>
        <v>306.83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0.1629566861</v>
      </c>
      <c r="G121" s="7">
        <f t="shared" si="3"/>
        <v>100</v>
      </c>
      <c r="H121" s="7">
        <f t="shared" si="4"/>
        <v>0.3259133722</v>
      </c>
      <c r="I121" s="7">
        <f t="shared" si="5"/>
        <v>150</v>
      </c>
      <c r="J121" s="7">
        <f t="shared" si="6"/>
        <v>0.4888700583</v>
      </c>
      <c r="K121" s="7">
        <f t="shared" si="7"/>
        <v>200</v>
      </c>
      <c r="L121" s="7">
        <f t="shared" si="8"/>
        <v>0.6518267445</v>
      </c>
      <c r="M121" s="7">
        <f t="shared" si="9"/>
        <v>300</v>
      </c>
      <c r="N121" s="7">
        <f t="shared" si="10"/>
        <v>0.9777401167</v>
      </c>
      <c r="O121" s="7">
        <f t="shared" si="11"/>
        <v>400</v>
      </c>
      <c r="P121" s="7">
        <f t="shared" si="12"/>
        <v>1.303653489</v>
      </c>
      <c r="Q121" s="7">
        <f t="shared" si="13"/>
        <v>500</v>
      </c>
      <c r="R121" s="7">
        <f t="shared" si="14"/>
        <v>1.629566861</v>
      </c>
      <c r="S121" s="7">
        <f t="shared" si="15"/>
        <v>600</v>
      </c>
      <c r="T121" s="7">
        <f t="shared" si="16"/>
        <v>1.955480233</v>
      </c>
      <c r="U121" s="7">
        <f t="shared" si="17"/>
        <v>700</v>
      </c>
      <c r="V121" s="7">
        <f t="shared" si="18"/>
        <v>2.281393606</v>
      </c>
      <c r="W121" s="7">
        <f t="shared" si="19"/>
        <v>800</v>
      </c>
      <c r="X121" s="7">
        <f t="shared" si="20"/>
        <v>2.607306978</v>
      </c>
      <c r="Y121" s="7">
        <f t="shared" si="21"/>
        <v>900</v>
      </c>
      <c r="Z121" s="7">
        <f t="shared" si="22"/>
        <v>2.93322035</v>
      </c>
    </row>
    <row r="122">
      <c r="A122" s="30" t="str">
        <f>IFERROR(__xludf.DUMMYFUNCTION("""COMPUTED_VALUE"""),"2021 11")</f>
        <v>2021 11</v>
      </c>
      <c r="B122" s="30" t="str">
        <f>IFERROR(__xludf.DUMMYFUNCTION("""COMPUTED_VALUE"""),"316.41")</f>
        <v>316.41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0.1580228185</v>
      </c>
      <c r="G122" s="7">
        <f t="shared" si="3"/>
        <v>100</v>
      </c>
      <c r="H122" s="7">
        <f t="shared" si="4"/>
        <v>0.316045637</v>
      </c>
      <c r="I122" s="7">
        <f t="shared" si="5"/>
        <v>150</v>
      </c>
      <c r="J122" s="7">
        <f t="shared" si="6"/>
        <v>0.4740684555</v>
      </c>
      <c r="K122" s="7">
        <f t="shared" si="7"/>
        <v>200</v>
      </c>
      <c r="L122" s="7">
        <f t="shared" si="8"/>
        <v>0.632091274</v>
      </c>
      <c r="M122" s="7">
        <f t="shared" si="9"/>
        <v>300</v>
      </c>
      <c r="N122" s="7">
        <f t="shared" si="10"/>
        <v>0.948136911</v>
      </c>
      <c r="O122" s="7">
        <f t="shared" si="11"/>
        <v>400</v>
      </c>
      <c r="P122" s="7">
        <f t="shared" si="12"/>
        <v>1.264182548</v>
      </c>
      <c r="Q122" s="7">
        <f t="shared" si="13"/>
        <v>500</v>
      </c>
      <c r="R122" s="7">
        <f t="shared" si="14"/>
        <v>1.580228185</v>
      </c>
      <c r="S122" s="7">
        <f t="shared" si="15"/>
        <v>600</v>
      </c>
      <c r="T122" s="7">
        <f t="shared" si="16"/>
        <v>1.896273822</v>
      </c>
      <c r="U122" s="7">
        <f t="shared" si="17"/>
        <v>700</v>
      </c>
      <c r="V122" s="7">
        <f t="shared" si="18"/>
        <v>2.212319459</v>
      </c>
      <c r="W122" s="7">
        <f t="shared" si="19"/>
        <v>800</v>
      </c>
      <c r="X122" s="7">
        <f t="shared" si="20"/>
        <v>2.528365096</v>
      </c>
      <c r="Y122" s="7">
        <f t="shared" si="21"/>
        <v>900</v>
      </c>
      <c r="Z122" s="7">
        <f t="shared" si="22"/>
        <v>2.844410733</v>
      </c>
    </row>
    <row r="123">
      <c r="A123" s="30" t="str">
        <f>IFERROR(__xludf.DUMMYFUNCTION("""COMPUTED_VALUE"""),"2021 12")</f>
        <v>2021 12</v>
      </c>
      <c r="B123" s="30" t="str">
        <f>IFERROR(__xludf.DUMMYFUNCTION("""COMPUTED_VALUE"""),"328.97")</f>
        <v>328.97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0.1519895431</v>
      </c>
      <c r="G123" s="7">
        <f t="shared" si="3"/>
        <v>100</v>
      </c>
      <c r="H123" s="7">
        <f t="shared" si="4"/>
        <v>0.3039790862</v>
      </c>
      <c r="I123" s="7">
        <f t="shared" si="5"/>
        <v>150</v>
      </c>
      <c r="J123" s="7">
        <f t="shared" si="6"/>
        <v>0.4559686294</v>
      </c>
      <c r="K123" s="7">
        <f t="shared" si="7"/>
        <v>200</v>
      </c>
      <c r="L123" s="7">
        <f t="shared" si="8"/>
        <v>0.6079581725</v>
      </c>
      <c r="M123" s="7">
        <f t="shared" si="9"/>
        <v>300</v>
      </c>
      <c r="N123" s="7">
        <f t="shared" si="10"/>
        <v>0.9119372587</v>
      </c>
      <c r="O123" s="7">
        <f t="shared" si="11"/>
        <v>400</v>
      </c>
      <c r="P123" s="7">
        <f t="shared" si="12"/>
        <v>1.215916345</v>
      </c>
      <c r="Q123" s="7">
        <f t="shared" si="13"/>
        <v>500</v>
      </c>
      <c r="R123" s="7">
        <f t="shared" si="14"/>
        <v>1.519895431</v>
      </c>
      <c r="S123" s="7">
        <f t="shared" si="15"/>
        <v>600</v>
      </c>
      <c r="T123" s="7">
        <f t="shared" si="16"/>
        <v>1.823874517</v>
      </c>
      <c r="U123" s="7">
        <f t="shared" si="17"/>
        <v>700</v>
      </c>
      <c r="V123" s="7">
        <f t="shared" si="18"/>
        <v>2.127853604</v>
      </c>
      <c r="W123" s="7">
        <f t="shared" si="19"/>
        <v>800</v>
      </c>
      <c r="X123" s="7">
        <f t="shared" si="20"/>
        <v>2.43183269</v>
      </c>
      <c r="Y123" s="7">
        <f t="shared" si="21"/>
        <v>900</v>
      </c>
      <c r="Z123" s="7">
        <f t="shared" si="22"/>
        <v>2.735811776</v>
      </c>
    </row>
    <row r="124">
      <c r="A124" s="30" t="str">
        <f>IFERROR(__xludf.DUMMYFUNCTION("""COMPUTED_VALUE"""),"2022 01")</f>
        <v>2022 01</v>
      </c>
      <c r="B124" s="30" t="str">
        <f>IFERROR(__xludf.DUMMYFUNCTION("""COMPUTED_VALUE"""),"337.57")</f>
        <v>337.57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0.1481174275</v>
      </c>
      <c r="G124" s="7">
        <f t="shared" si="3"/>
        <v>100</v>
      </c>
      <c r="H124" s="7">
        <f t="shared" si="4"/>
        <v>0.296234855</v>
      </c>
      <c r="I124" s="7">
        <f t="shared" si="5"/>
        <v>150</v>
      </c>
      <c r="J124" s="7">
        <f t="shared" si="6"/>
        <v>0.4443522825</v>
      </c>
      <c r="K124" s="7">
        <f t="shared" si="7"/>
        <v>200</v>
      </c>
      <c r="L124" s="7">
        <f t="shared" si="8"/>
        <v>0.59246971</v>
      </c>
      <c r="M124" s="7">
        <f t="shared" si="9"/>
        <v>300</v>
      </c>
      <c r="N124" s="7">
        <f t="shared" si="10"/>
        <v>0.888704565</v>
      </c>
      <c r="O124" s="7">
        <f t="shared" si="11"/>
        <v>400</v>
      </c>
      <c r="P124" s="7">
        <f t="shared" si="12"/>
        <v>1.18493942</v>
      </c>
      <c r="Q124" s="7">
        <f t="shared" si="13"/>
        <v>500</v>
      </c>
      <c r="R124" s="7">
        <f t="shared" si="14"/>
        <v>1.481174275</v>
      </c>
      <c r="S124" s="7">
        <f t="shared" si="15"/>
        <v>600</v>
      </c>
      <c r="T124" s="7">
        <f t="shared" si="16"/>
        <v>1.77740913</v>
      </c>
      <c r="U124" s="7">
        <f t="shared" si="17"/>
        <v>700</v>
      </c>
      <c r="V124" s="7">
        <f t="shared" si="18"/>
        <v>2.073643985</v>
      </c>
      <c r="W124" s="7">
        <f t="shared" si="19"/>
        <v>800</v>
      </c>
      <c r="X124" s="7">
        <f t="shared" si="20"/>
        <v>2.36987884</v>
      </c>
      <c r="Y124" s="7">
        <f t="shared" si="21"/>
        <v>900</v>
      </c>
      <c r="Z124" s="7">
        <f t="shared" si="22"/>
        <v>2.666113695</v>
      </c>
    </row>
    <row r="125">
      <c r="A125" s="30" t="str">
        <f>IFERROR(__xludf.DUMMYFUNCTION("""COMPUTED_VALUE"""),"2022 02")</f>
        <v>2022 02</v>
      </c>
      <c r="B125" s="30" t="str">
        <f>IFERROR(__xludf.DUMMYFUNCTION("""COMPUTED_VALUE"""),"320.58")</f>
        <v>320.58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0.1559673093</v>
      </c>
      <c r="G125" s="7">
        <f t="shared" si="3"/>
        <v>100</v>
      </c>
      <c r="H125" s="7">
        <f t="shared" si="4"/>
        <v>0.3119346185</v>
      </c>
      <c r="I125" s="7">
        <f t="shared" si="5"/>
        <v>150</v>
      </c>
      <c r="J125" s="7">
        <f t="shared" si="6"/>
        <v>0.4679019278</v>
      </c>
      <c r="K125" s="7">
        <f t="shared" si="7"/>
        <v>200</v>
      </c>
      <c r="L125" s="7">
        <f t="shared" si="8"/>
        <v>0.623869237</v>
      </c>
      <c r="M125" s="7">
        <f t="shared" si="9"/>
        <v>300</v>
      </c>
      <c r="N125" s="7">
        <f t="shared" si="10"/>
        <v>0.9358038555</v>
      </c>
      <c r="O125" s="7">
        <f t="shared" si="11"/>
        <v>400</v>
      </c>
      <c r="P125" s="7">
        <f t="shared" si="12"/>
        <v>1.247738474</v>
      </c>
      <c r="Q125" s="7">
        <f t="shared" si="13"/>
        <v>500</v>
      </c>
      <c r="R125" s="7">
        <f t="shared" si="14"/>
        <v>1.559673093</v>
      </c>
      <c r="S125" s="7">
        <f t="shared" si="15"/>
        <v>600</v>
      </c>
      <c r="T125" s="7">
        <f t="shared" si="16"/>
        <v>1.871607711</v>
      </c>
      <c r="U125" s="7">
        <f t="shared" si="17"/>
        <v>700</v>
      </c>
      <c r="V125" s="7">
        <f t="shared" si="18"/>
        <v>2.18354233</v>
      </c>
      <c r="W125" s="7">
        <f t="shared" si="19"/>
        <v>800</v>
      </c>
      <c r="X125" s="7">
        <f t="shared" si="20"/>
        <v>2.495476948</v>
      </c>
      <c r="Y125" s="7">
        <f t="shared" si="21"/>
        <v>900</v>
      </c>
      <c r="Z125" s="7">
        <f t="shared" si="22"/>
        <v>2.807411567</v>
      </c>
    </row>
    <row r="126">
      <c r="A126" s="30" t="str">
        <f>IFERROR(__xludf.DUMMYFUNCTION("""COMPUTED_VALUE"""),"2022 03")</f>
        <v>2022 03</v>
      </c>
      <c r="B126" s="30" t="str">
        <f>IFERROR(__xludf.DUMMYFUNCTION("""COMPUTED_VALUE"""),"304.78")</f>
        <v>304.78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0.1640527594</v>
      </c>
      <c r="G126" s="7">
        <f t="shared" si="3"/>
        <v>100</v>
      </c>
      <c r="H126" s="7">
        <f t="shared" si="4"/>
        <v>0.3281055187</v>
      </c>
      <c r="I126" s="7">
        <f t="shared" si="5"/>
        <v>150</v>
      </c>
      <c r="J126" s="7">
        <f t="shared" si="6"/>
        <v>0.4921582781</v>
      </c>
      <c r="K126" s="7">
        <f t="shared" si="7"/>
        <v>200</v>
      </c>
      <c r="L126" s="7">
        <f t="shared" si="8"/>
        <v>0.6562110375</v>
      </c>
      <c r="M126" s="7">
        <f t="shared" si="9"/>
        <v>300</v>
      </c>
      <c r="N126" s="7">
        <f t="shared" si="10"/>
        <v>0.9843165562</v>
      </c>
      <c r="O126" s="7">
        <f t="shared" si="11"/>
        <v>400</v>
      </c>
      <c r="P126" s="7">
        <f t="shared" si="12"/>
        <v>1.312422075</v>
      </c>
      <c r="Q126" s="7">
        <f t="shared" si="13"/>
        <v>500</v>
      </c>
      <c r="R126" s="7">
        <f t="shared" si="14"/>
        <v>1.640527594</v>
      </c>
      <c r="S126" s="7">
        <f t="shared" si="15"/>
        <v>600</v>
      </c>
      <c r="T126" s="7">
        <f t="shared" si="16"/>
        <v>1.968633112</v>
      </c>
      <c r="U126" s="7">
        <f t="shared" si="17"/>
        <v>700</v>
      </c>
      <c r="V126" s="7">
        <f t="shared" si="18"/>
        <v>2.296738631</v>
      </c>
      <c r="W126" s="7">
        <f t="shared" si="19"/>
        <v>800</v>
      </c>
      <c r="X126" s="7">
        <f t="shared" si="20"/>
        <v>2.62484415</v>
      </c>
      <c r="Y126" s="7">
        <f t="shared" si="21"/>
        <v>900</v>
      </c>
      <c r="Z126" s="7">
        <f t="shared" si="22"/>
        <v>2.952949669</v>
      </c>
    </row>
    <row r="127">
      <c r="A127" s="30" t="str">
        <f>IFERROR(__xludf.DUMMYFUNCTION("""COMPUTED_VALUE"""),"2022 04")</f>
        <v>2022 04</v>
      </c>
      <c r="B127" s="30" t="str">
        <f>IFERROR(__xludf.DUMMYFUNCTION("""COMPUTED_VALUE"""),"305.61")</f>
        <v>305.61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0.1636072118</v>
      </c>
      <c r="G127" s="7">
        <f t="shared" si="3"/>
        <v>100</v>
      </c>
      <c r="H127" s="7">
        <f t="shared" si="4"/>
        <v>0.3272144236</v>
      </c>
      <c r="I127" s="7">
        <f t="shared" si="5"/>
        <v>150</v>
      </c>
      <c r="J127" s="7">
        <f t="shared" si="6"/>
        <v>0.4908216354</v>
      </c>
      <c r="K127" s="7">
        <f t="shared" si="7"/>
        <v>200</v>
      </c>
      <c r="L127" s="7">
        <f t="shared" si="8"/>
        <v>0.6544288472</v>
      </c>
      <c r="M127" s="7">
        <f t="shared" si="9"/>
        <v>300</v>
      </c>
      <c r="N127" s="7">
        <f t="shared" si="10"/>
        <v>0.9816432708</v>
      </c>
      <c r="O127" s="7">
        <f t="shared" si="11"/>
        <v>400</v>
      </c>
      <c r="P127" s="7">
        <f t="shared" si="12"/>
        <v>1.308857694</v>
      </c>
      <c r="Q127" s="7">
        <f t="shared" si="13"/>
        <v>500</v>
      </c>
      <c r="R127" s="7">
        <f t="shared" si="14"/>
        <v>1.636072118</v>
      </c>
      <c r="S127" s="7">
        <f t="shared" si="15"/>
        <v>600</v>
      </c>
      <c r="T127" s="7">
        <f t="shared" si="16"/>
        <v>1.963286542</v>
      </c>
      <c r="U127" s="7">
        <f t="shared" si="17"/>
        <v>700</v>
      </c>
      <c r="V127" s="7">
        <f t="shared" si="18"/>
        <v>2.290500965</v>
      </c>
      <c r="W127" s="7">
        <f t="shared" si="19"/>
        <v>800</v>
      </c>
      <c r="X127" s="7">
        <f t="shared" si="20"/>
        <v>2.617715389</v>
      </c>
      <c r="Y127" s="7">
        <f t="shared" si="21"/>
        <v>900</v>
      </c>
      <c r="Z127" s="7">
        <f t="shared" si="22"/>
        <v>2.944929813</v>
      </c>
    </row>
    <row r="128">
      <c r="A128" s="30" t="str">
        <f>IFERROR(__xludf.DUMMYFUNCTION("""COMPUTED_VALUE"""),"2022 05")</f>
        <v>2022 05</v>
      </c>
      <c r="B128" s="30" t="str">
        <f>IFERROR(__xludf.DUMMYFUNCTION("""COMPUTED_VALUE"""),"295")</f>
        <v>295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0.1694915254</v>
      </c>
      <c r="G128" s="7">
        <f t="shared" si="3"/>
        <v>100</v>
      </c>
      <c r="H128" s="7">
        <f t="shared" si="4"/>
        <v>0.3389830508</v>
      </c>
      <c r="I128" s="7">
        <f t="shared" si="5"/>
        <v>150</v>
      </c>
      <c r="J128" s="7">
        <f t="shared" si="6"/>
        <v>0.5084745763</v>
      </c>
      <c r="K128" s="7">
        <f t="shared" si="7"/>
        <v>200</v>
      </c>
      <c r="L128" s="7">
        <f t="shared" si="8"/>
        <v>0.6779661017</v>
      </c>
      <c r="M128" s="7">
        <f t="shared" si="9"/>
        <v>300</v>
      </c>
      <c r="N128" s="7">
        <f t="shared" si="10"/>
        <v>1.016949153</v>
      </c>
      <c r="O128" s="7">
        <f t="shared" si="11"/>
        <v>400</v>
      </c>
      <c r="P128" s="7">
        <f t="shared" si="12"/>
        <v>1.355932203</v>
      </c>
      <c r="Q128" s="7">
        <f t="shared" si="13"/>
        <v>500</v>
      </c>
      <c r="R128" s="7">
        <f t="shared" si="14"/>
        <v>1.694915254</v>
      </c>
      <c r="S128" s="7">
        <f t="shared" si="15"/>
        <v>600</v>
      </c>
      <c r="T128" s="7">
        <f t="shared" si="16"/>
        <v>2.033898305</v>
      </c>
      <c r="U128" s="7">
        <f t="shared" si="17"/>
        <v>700</v>
      </c>
      <c r="V128" s="7">
        <f t="shared" si="18"/>
        <v>2.372881356</v>
      </c>
      <c r="W128" s="7">
        <f t="shared" si="19"/>
        <v>800</v>
      </c>
      <c r="X128" s="7">
        <f t="shared" si="20"/>
        <v>2.711864407</v>
      </c>
      <c r="Y128" s="7">
        <f t="shared" si="21"/>
        <v>900</v>
      </c>
      <c r="Z128" s="7">
        <f t="shared" si="22"/>
        <v>3.050847458</v>
      </c>
    </row>
    <row r="129">
      <c r="A129" s="30" t="str">
        <f>IFERROR(__xludf.DUMMYFUNCTION("""COMPUTED_VALUE"""),"2022 06")</f>
        <v>2022 06</v>
      </c>
      <c r="B129" s="30" t="str">
        <f>IFERROR(__xludf.DUMMYFUNCTION("""COMPUTED_VALUE"""),"288.45")</f>
        <v>288.45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0.1733402669</v>
      </c>
      <c r="G129" s="7">
        <f t="shared" si="3"/>
        <v>100</v>
      </c>
      <c r="H129" s="7">
        <f t="shared" si="4"/>
        <v>0.3466805339</v>
      </c>
      <c r="I129" s="7">
        <f t="shared" si="5"/>
        <v>150</v>
      </c>
      <c r="J129" s="7">
        <f t="shared" si="6"/>
        <v>0.5200208008</v>
      </c>
      <c r="K129" s="7">
        <f t="shared" si="7"/>
        <v>200</v>
      </c>
      <c r="L129" s="7">
        <f t="shared" si="8"/>
        <v>0.6933610678</v>
      </c>
      <c r="M129" s="7">
        <f t="shared" si="9"/>
        <v>300</v>
      </c>
      <c r="N129" s="7">
        <f t="shared" si="10"/>
        <v>1.040041602</v>
      </c>
      <c r="O129" s="7">
        <f t="shared" si="11"/>
        <v>400</v>
      </c>
      <c r="P129" s="7">
        <f t="shared" si="12"/>
        <v>1.386722136</v>
      </c>
      <c r="Q129" s="7">
        <f t="shared" si="13"/>
        <v>500</v>
      </c>
      <c r="R129" s="7">
        <f t="shared" si="14"/>
        <v>1.733402669</v>
      </c>
      <c r="S129" s="7">
        <f t="shared" si="15"/>
        <v>600</v>
      </c>
      <c r="T129" s="7">
        <f t="shared" si="16"/>
        <v>2.080083203</v>
      </c>
      <c r="U129" s="7">
        <f t="shared" si="17"/>
        <v>700</v>
      </c>
      <c r="V129" s="7">
        <f t="shared" si="18"/>
        <v>2.426763737</v>
      </c>
      <c r="W129" s="7">
        <f t="shared" si="19"/>
        <v>800</v>
      </c>
      <c r="X129" s="7">
        <f t="shared" si="20"/>
        <v>2.773444271</v>
      </c>
      <c r="Y129" s="7">
        <f t="shared" si="21"/>
        <v>900</v>
      </c>
      <c r="Z129" s="7">
        <f t="shared" si="22"/>
        <v>3.120124805</v>
      </c>
    </row>
    <row r="130">
      <c r="A130" s="30" t="str">
        <f>IFERROR(__xludf.DUMMYFUNCTION("""COMPUTED_VALUE"""),"2022 07")</f>
        <v>2022 07</v>
      </c>
      <c r="B130" s="30" t="str">
        <f>IFERROR(__xludf.DUMMYFUNCTION("""COMPUTED_VALUE"""),"273.47")</f>
        <v>273.47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0.1828354116</v>
      </c>
      <c r="G130" s="7">
        <f t="shared" si="3"/>
        <v>100</v>
      </c>
      <c r="H130" s="7">
        <f t="shared" si="4"/>
        <v>0.3656708231</v>
      </c>
      <c r="I130" s="7">
        <f t="shared" si="5"/>
        <v>150</v>
      </c>
      <c r="J130" s="7">
        <f t="shared" si="6"/>
        <v>0.5485062347</v>
      </c>
      <c r="K130" s="7">
        <f t="shared" si="7"/>
        <v>200</v>
      </c>
      <c r="L130" s="7">
        <f t="shared" si="8"/>
        <v>0.7313416463</v>
      </c>
      <c r="M130" s="7">
        <f t="shared" si="9"/>
        <v>300</v>
      </c>
      <c r="N130" s="7">
        <f t="shared" si="10"/>
        <v>1.097012469</v>
      </c>
      <c r="O130" s="7">
        <f t="shared" si="11"/>
        <v>400</v>
      </c>
      <c r="P130" s="7">
        <f t="shared" si="12"/>
        <v>1.462683293</v>
      </c>
      <c r="Q130" s="7">
        <f t="shared" si="13"/>
        <v>500</v>
      </c>
      <c r="R130" s="7">
        <f t="shared" si="14"/>
        <v>1.828354116</v>
      </c>
      <c r="S130" s="7">
        <f t="shared" si="15"/>
        <v>600</v>
      </c>
      <c r="T130" s="7">
        <f t="shared" si="16"/>
        <v>2.194024939</v>
      </c>
      <c r="U130" s="7">
        <f t="shared" si="17"/>
        <v>700</v>
      </c>
      <c r="V130" s="7">
        <f t="shared" si="18"/>
        <v>2.559695762</v>
      </c>
      <c r="W130" s="7">
        <f t="shared" si="19"/>
        <v>800</v>
      </c>
      <c r="X130" s="7">
        <f t="shared" si="20"/>
        <v>2.925366585</v>
      </c>
      <c r="Y130" s="7">
        <f t="shared" si="21"/>
        <v>900</v>
      </c>
      <c r="Z130" s="7">
        <f t="shared" si="22"/>
        <v>3.291037408</v>
      </c>
    </row>
    <row r="131">
      <c r="A131" s="30" t="str">
        <f>IFERROR(__xludf.DUMMYFUNCTION("""COMPUTED_VALUE"""),"2022 08")</f>
        <v>2022 08</v>
      </c>
      <c r="B131" s="30" t="str">
        <f>IFERROR(__xludf.DUMMYFUNCTION("""COMPUTED_VALUE"""),"293.94")</f>
        <v>293.94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0.1701027421</v>
      </c>
      <c r="G131" s="7">
        <f t="shared" si="3"/>
        <v>100</v>
      </c>
      <c r="H131" s="7">
        <f t="shared" si="4"/>
        <v>0.3402054841</v>
      </c>
      <c r="I131" s="7">
        <f t="shared" si="5"/>
        <v>150</v>
      </c>
      <c r="J131" s="7">
        <f t="shared" si="6"/>
        <v>0.5103082262</v>
      </c>
      <c r="K131" s="7">
        <f t="shared" si="7"/>
        <v>200</v>
      </c>
      <c r="L131" s="7">
        <f t="shared" si="8"/>
        <v>0.6804109682</v>
      </c>
      <c r="M131" s="7">
        <f t="shared" si="9"/>
        <v>300</v>
      </c>
      <c r="N131" s="7">
        <f t="shared" si="10"/>
        <v>1.020616452</v>
      </c>
      <c r="O131" s="7">
        <f t="shared" si="11"/>
        <v>400</v>
      </c>
      <c r="P131" s="7">
        <f t="shared" si="12"/>
        <v>1.360821936</v>
      </c>
      <c r="Q131" s="7">
        <f t="shared" si="13"/>
        <v>500</v>
      </c>
      <c r="R131" s="7">
        <f t="shared" si="14"/>
        <v>1.701027421</v>
      </c>
      <c r="S131" s="7">
        <f t="shared" si="15"/>
        <v>600</v>
      </c>
      <c r="T131" s="7">
        <f t="shared" si="16"/>
        <v>2.041232905</v>
      </c>
      <c r="U131" s="7">
        <f t="shared" si="17"/>
        <v>700</v>
      </c>
      <c r="V131" s="7">
        <f t="shared" si="18"/>
        <v>2.381438389</v>
      </c>
      <c r="W131" s="7">
        <f t="shared" si="19"/>
        <v>800</v>
      </c>
      <c r="X131" s="7">
        <f t="shared" si="20"/>
        <v>2.721643873</v>
      </c>
      <c r="Y131" s="7">
        <f t="shared" si="21"/>
        <v>900</v>
      </c>
      <c r="Z131" s="7">
        <f t="shared" si="22"/>
        <v>3.061849357</v>
      </c>
    </row>
    <row r="132">
      <c r="A132" s="30" t="str">
        <f>IFERROR(__xludf.DUMMYFUNCTION("""COMPUTED_VALUE"""),"2022 09")</f>
        <v>2022 09</v>
      </c>
      <c r="B132" s="30" t="str">
        <f>IFERROR(__xludf.DUMMYFUNCTION("""COMPUTED_VALUE"""),"288.7")</f>
        <v>288.7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0.1731901628</v>
      </c>
      <c r="G132" s="7">
        <f t="shared" si="3"/>
        <v>100</v>
      </c>
      <c r="H132" s="7">
        <f t="shared" si="4"/>
        <v>0.3463803256</v>
      </c>
      <c r="I132" s="7">
        <f t="shared" si="5"/>
        <v>150</v>
      </c>
      <c r="J132" s="7">
        <f t="shared" si="6"/>
        <v>0.5195704884</v>
      </c>
      <c r="K132" s="7">
        <f t="shared" si="7"/>
        <v>200</v>
      </c>
      <c r="L132" s="7">
        <f t="shared" si="8"/>
        <v>0.6927606512</v>
      </c>
      <c r="M132" s="7">
        <f t="shared" si="9"/>
        <v>300</v>
      </c>
      <c r="N132" s="7">
        <f t="shared" si="10"/>
        <v>1.039140977</v>
      </c>
      <c r="O132" s="7">
        <f t="shared" si="11"/>
        <v>400</v>
      </c>
      <c r="P132" s="7">
        <f t="shared" si="12"/>
        <v>1.385521302</v>
      </c>
      <c r="Q132" s="7">
        <f t="shared" si="13"/>
        <v>500</v>
      </c>
      <c r="R132" s="7">
        <f t="shared" si="14"/>
        <v>1.731901628</v>
      </c>
      <c r="S132" s="7">
        <f t="shared" si="15"/>
        <v>600</v>
      </c>
      <c r="T132" s="7">
        <f t="shared" si="16"/>
        <v>2.078281954</v>
      </c>
      <c r="U132" s="7">
        <f t="shared" si="17"/>
        <v>700</v>
      </c>
      <c r="V132" s="7">
        <f t="shared" si="18"/>
        <v>2.424662279</v>
      </c>
      <c r="W132" s="7">
        <f t="shared" si="19"/>
        <v>800</v>
      </c>
      <c r="X132" s="7">
        <f t="shared" si="20"/>
        <v>2.771042605</v>
      </c>
      <c r="Y132" s="7">
        <f t="shared" si="21"/>
        <v>900</v>
      </c>
      <c r="Z132" s="7">
        <f t="shared" si="22"/>
        <v>3.11742293</v>
      </c>
    </row>
    <row r="133">
      <c r="A133" s="30" t="str">
        <f>IFERROR(__xludf.DUMMYFUNCTION("""COMPUTED_VALUE"""),"2022 10")</f>
        <v>2022 10</v>
      </c>
      <c r="B133" s="30" t="str">
        <f>IFERROR(__xludf.DUMMYFUNCTION("""COMPUTED_VALUE"""),"278.75")</f>
        <v>278.75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0.1793721973</v>
      </c>
      <c r="G133" s="7">
        <f t="shared" si="3"/>
        <v>100</v>
      </c>
      <c r="H133" s="7">
        <f t="shared" si="4"/>
        <v>0.3587443946</v>
      </c>
      <c r="I133" s="7">
        <f t="shared" si="5"/>
        <v>150</v>
      </c>
      <c r="J133" s="7">
        <f t="shared" si="6"/>
        <v>0.5381165919</v>
      </c>
      <c r="K133" s="7">
        <f t="shared" si="7"/>
        <v>200</v>
      </c>
      <c r="L133" s="7">
        <f t="shared" si="8"/>
        <v>0.7174887892</v>
      </c>
      <c r="M133" s="7">
        <f t="shared" si="9"/>
        <v>300</v>
      </c>
      <c r="N133" s="7">
        <f t="shared" si="10"/>
        <v>1.076233184</v>
      </c>
      <c r="O133" s="7">
        <f t="shared" si="11"/>
        <v>400</v>
      </c>
      <c r="P133" s="7">
        <f t="shared" si="12"/>
        <v>1.434977578</v>
      </c>
      <c r="Q133" s="7">
        <f t="shared" si="13"/>
        <v>500</v>
      </c>
      <c r="R133" s="7">
        <f t="shared" si="14"/>
        <v>1.793721973</v>
      </c>
      <c r="S133" s="7">
        <f t="shared" si="15"/>
        <v>600</v>
      </c>
      <c r="T133" s="7">
        <f t="shared" si="16"/>
        <v>2.152466368</v>
      </c>
      <c r="U133" s="7">
        <f t="shared" si="17"/>
        <v>700</v>
      </c>
      <c r="V133" s="7">
        <f t="shared" si="18"/>
        <v>2.511210762</v>
      </c>
      <c r="W133" s="7">
        <f t="shared" si="19"/>
        <v>800</v>
      </c>
      <c r="X133" s="7">
        <f t="shared" si="20"/>
        <v>2.869955157</v>
      </c>
      <c r="Y133" s="7">
        <f t="shared" si="21"/>
        <v>900</v>
      </c>
      <c r="Z133" s="7">
        <f t="shared" si="22"/>
        <v>3.228699552</v>
      </c>
    </row>
    <row r="134">
      <c r="A134" s="30" t="str">
        <f>IFERROR(__xludf.DUMMYFUNCTION("""COMPUTED_VALUE"""),"2022 11")</f>
        <v>2022 11</v>
      </c>
      <c r="B134" s="30" t="str">
        <f>IFERROR(__xludf.DUMMYFUNCTION("""COMPUTED_VALUE"""),"303.05")</f>
        <v>303.05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0.1649892757</v>
      </c>
      <c r="G134" s="7">
        <f t="shared" si="3"/>
        <v>100</v>
      </c>
      <c r="H134" s="7">
        <f t="shared" si="4"/>
        <v>0.3299785514</v>
      </c>
      <c r="I134" s="7">
        <f t="shared" si="5"/>
        <v>150</v>
      </c>
      <c r="J134" s="7">
        <f t="shared" si="6"/>
        <v>0.4949678271</v>
      </c>
      <c r="K134" s="7">
        <f t="shared" si="7"/>
        <v>200</v>
      </c>
      <c r="L134" s="7">
        <f t="shared" si="8"/>
        <v>0.6599571028</v>
      </c>
      <c r="M134" s="7">
        <f t="shared" si="9"/>
        <v>300</v>
      </c>
      <c r="N134" s="7">
        <f t="shared" si="10"/>
        <v>0.9899356542</v>
      </c>
      <c r="O134" s="7">
        <f t="shared" si="11"/>
        <v>400</v>
      </c>
      <c r="P134" s="7">
        <f t="shared" si="12"/>
        <v>1.319914206</v>
      </c>
      <c r="Q134" s="7">
        <f t="shared" si="13"/>
        <v>500</v>
      </c>
      <c r="R134" s="7">
        <f t="shared" si="14"/>
        <v>1.649892757</v>
      </c>
      <c r="S134" s="7">
        <f t="shared" si="15"/>
        <v>600</v>
      </c>
      <c r="T134" s="7">
        <f t="shared" si="16"/>
        <v>1.979871308</v>
      </c>
      <c r="U134" s="7">
        <f t="shared" si="17"/>
        <v>700</v>
      </c>
      <c r="V134" s="7">
        <f t="shared" si="18"/>
        <v>2.30984986</v>
      </c>
      <c r="W134" s="7">
        <f t="shared" si="19"/>
        <v>800</v>
      </c>
      <c r="X134" s="7">
        <f t="shared" si="20"/>
        <v>2.639828411</v>
      </c>
      <c r="Y134" s="7">
        <f t="shared" si="21"/>
        <v>900</v>
      </c>
      <c r="Z134" s="7">
        <f t="shared" si="22"/>
        <v>2.969806963</v>
      </c>
    </row>
    <row r="135">
      <c r="A135" s="30" t="str">
        <f>IFERROR(__xludf.DUMMYFUNCTION("""COMPUTED_VALUE"""),"2022 12")</f>
        <v>2022 12</v>
      </c>
      <c r="B135" s="30" t="str">
        <f>IFERROR(__xludf.DUMMYFUNCTION("""COMPUTED_VALUE"""),"300.27")</f>
        <v>300.27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0.1665168015</v>
      </c>
      <c r="G135" s="7">
        <f t="shared" si="3"/>
        <v>100</v>
      </c>
      <c r="H135" s="7">
        <f t="shared" si="4"/>
        <v>0.3330336031</v>
      </c>
      <c r="I135" s="7">
        <f t="shared" si="5"/>
        <v>150</v>
      </c>
      <c r="J135" s="7">
        <f t="shared" si="6"/>
        <v>0.4995504046</v>
      </c>
      <c r="K135" s="7">
        <f t="shared" si="7"/>
        <v>200</v>
      </c>
      <c r="L135" s="7">
        <f t="shared" si="8"/>
        <v>0.6660672062</v>
      </c>
      <c r="M135" s="7">
        <f t="shared" si="9"/>
        <v>300</v>
      </c>
      <c r="N135" s="7">
        <f t="shared" si="10"/>
        <v>0.9991008093</v>
      </c>
      <c r="O135" s="7">
        <f t="shared" si="11"/>
        <v>400</v>
      </c>
      <c r="P135" s="7">
        <f t="shared" si="12"/>
        <v>1.332134412</v>
      </c>
      <c r="Q135" s="7">
        <f t="shared" si="13"/>
        <v>500</v>
      </c>
      <c r="R135" s="7">
        <f t="shared" si="14"/>
        <v>1.665168015</v>
      </c>
      <c r="S135" s="7">
        <f t="shared" si="15"/>
        <v>600</v>
      </c>
      <c r="T135" s="7">
        <f t="shared" si="16"/>
        <v>1.998201619</v>
      </c>
      <c r="U135" s="7">
        <f t="shared" si="17"/>
        <v>700</v>
      </c>
      <c r="V135" s="7">
        <f t="shared" si="18"/>
        <v>2.331235222</v>
      </c>
      <c r="W135" s="7">
        <f t="shared" si="19"/>
        <v>800</v>
      </c>
      <c r="X135" s="7">
        <f t="shared" si="20"/>
        <v>2.664268825</v>
      </c>
      <c r="Y135" s="7">
        <f t="shared" si="21"/>
        <v>900</v>
      </c>
      <c r="Z135" s="7">
        <f t="shared" si="22"/>
        <v>2.997302428</v>
      </c>
    </row>
    <row r="136">
      <c r="A136" s="30" t="str">
        <f>IFERROR(__xludf.DUMMYFUNCTION("""COMPUTED_VALUE"""),"2023 01")</f>
        <v>2023 01</v>
      </c>
      <c r="B136" s="30" t="str">
        <f>IFERROR(__xludf.DUMMYFUNCTION("""COMPUTED_VALUE"""),"280.43")</f>
        <v>280.43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0.1782976144</v>
      </c>
      <c r="G136" s="7">
        <f t="shared" si="3"/>
        <v>100</v>
      </c>
      <c r="H136" s="7">
        <f t="shared" si="4"/>
        <v>0.3565952288</v>
      </c>
      <c r="I136" s="7">
        <f t="shared" si="5"/>
        <v>150</v>
      </c>
      <c r="J136" s="7">
        <f t="shared" si="6"/>
        <v>0.5348928431</v>
      </c>
      <c r="K136" s="7">
        <f t="shared" si="7"/>
        <v>200</v>
      </c>
      <c r="L136" s="7">
        <f t="shared" si="8"/>
        <v>0.7131904575</v>
      </c>
      <c r="M136" s="7">
        <f t="shared" si="9"/>
        <v>300</v>
      </c>
      <c r="N136" s="7">
        <f t="shared" si="10"/>
        <v>1.069785686</v>
      </c>
      <c r="O136" s="7">
        <f t="shared" si="11"/>
        <v>400</v>
      </c>
      <c r="P136" s="7">
        <f t="shared" si="12"/>
        <v>1.426380915</v>
      </c>
      <c r="Q136" s="7">
        <f t="shared" si="13"/>
        <v>500</v>
      </c>
      <c r="R136" s="7">
        <f t="shared" si="14"/>
        <v>1.782976144</v>
      </c>
      <c r="S136" s="7">
        <f t="shared" si="15"/>
        <v>600</v>
      </c>
      <c r="T136" s="7">
        <f t="shared" si="16"/>
        <v>2.139571373</v>
      </c>
      <c r="U136" s="7">
        <f t="shared" si="17"/>
        <v>700</v>
      </c>
      <c r="V136" s="7">
        <f t="shared" si="18"/>
        <v>2.496166601</v>
      </c>
      <c r="W136" s="7">
        <f t="shared" si="19"/>
        <v>800</v>
      </c>
      <c r="X136" s="7">
        <f t="shared" si="20"/>
        <v>2.85276183</v>
      </c>
      <c r="Y136" s="7">
        <f t="shared" si="21"/>
        <v>900</v>
      </c>
      <c r="Z136" s="7">
        <f t="shared" si="22"/>
        <v>3.209357059</v>
      </c>
    </row>
    <row r="137">
      <c r="A137" s="30" t="str">
        <f>IFERROR(__xludf.DUMMYFUNCTION("""COMPUTED_VALUE"""),"2023 02")</f>
        <v>2023 02</v>
      </c>
      <c r="B137" s="30" t="str">
        <f>IFERROR(__xludf.DUMMYFUNCTION("""COMPUTED_VALUE"""),"288.64")</f>
        <v>288.64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0.1732261641</v>
      </c>
      <c r="G137" s="7">
        <f t="shared" si="3"/>
        <v>100</v>
      </c>
      <c r="H137" s="7">
        <f t="shared" si="4"/>
        <v>0.3464523282</v>
      </c>
      <c r="I137" s="7">
        <f t="shared" si="5"/>
        <v>150</v>
      </c>
      <c r="J137" s="7">
        <f t="shared" si="6"/>
        <v>0.5196784922</v>
      </c>
      <c r="K137" s="7">
        <f t="shared" si="7"/>
        <v>200</v>
      </c>
      <c r="L137" s="7">
        <f t="shared" si="8"/>
        <v>0.6929046563</v>
      </c>
      <c r="M137" s="7">
        <f t="shared" si="9"/>
        <v>300</v>
      </c>
      <c r="N137" s="7">
        <f t="shared" si="10"/>
        <v>1.039356984</v>
      </c>
      <c r="O137" s="7">
        <f t="shared" si="11"/>
        <v>400</v>
      </c>
      <c r="P137" s="7">
        <f t="shared" si="12"/>
        <v>1.385809313</v>
      </c>
      <c r="Q137" s="7">
        <f t="shared" si="13"/>
        <v>500</v>
      </c>
      <c r="R137" s="7">
        <f t="shared" si="14"/>
        <v>1.732261641</v>
      </c>
      <c r="S137" s="7">
        <f t="shared" si="15"/>
        <v>600</v>
      </c>
      <c r="T137" s="7">
        <f t="shared" si="16"/>
        <v>2.078713969</v>
      </c>
      <c r="U137" s="7">
        <f t="shared" si="17"/>
        <v>700</v>
      </c>
      <c r="V137" s="7">
        <f t="shared" si="18"/>
        <v>2.425166297</v>
      </c>
      <c r="W137" s="7">
        <f t="shared" si="19"/>
        <v>800</v>
      </c>
      <c r="X137" s="7">
        <f t="shared" si="20"/>
        <v>2.771618625</v>
      </c>
      <c r="Y137" s="7">
        <f t="shared" si="21"/>
        <v>900</v>
      </c>
      <c r="Z137" s="7">
        <f t="shared" si="22"/>
        <v>3.118070953</v>
      </c>
    </row>
    <row r="138">
      <c r="A138" s="30" t="str">
        <f>IFERROR(__xludf.DUMMYFUNCTION("""COMPUTED_VALUE"""),"2023 03")</f>
        <v>2023 03</v>
      </c>
      <c r="B138" s="30" t="str">
        <f>IFERROR(__xludf.DUMMYFUNCTION("""COMPUTED_VALUE"""),"295.9")</f>
        <v>295.9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0.1689760054</v>
      </c>
      <c r="G138" s="7">
        <f t="shared" si="3"/>
        <v>100</v>
      </c>
      <c r="H138" s="7">
        <f t="shared" si="4"/>
        <v>0.3379520108</v>
      </c>
      <c r="I138" s="7">
        <f t="shared" si="5"/>
        <v>150</v>
      </c>
      <c r="J138" s="7">
        <f t="shared" si="6"/>
        <v>0.5069280162</v>
      </c>
      <c r="K138" s="7">
        <f t="shared" si="7"/>
        <v>200</v>
      </c>
      <c r="L138" s="7">
        <f t="shared" si="8"/>
        <v>0.6759040216</v>
      </c>
      <c r="M138" s="7">
        <f t="shared" si="9"/>
        <v>300</v>
      </c>
      <c r="N138" s="7">
        <f t="shared" si="10"/>
        <v>1.013856032</v>
      </c>
      <c r="O138" s="7">
        <f t="shared" si="11"/>
        <v>400</v>
      </c>
      <c r="P138" s="7">
        <f t="shared" si="12"/>
        <v>1.351808043</v>
      </c>
      <c r="Q138" s="7">
        <f t="shared" si="13"/>
        <v>500</v>
      </c>
      <c r="R138" s="7">
        <f t="shared" si="14"/>
        <v>1.689760054</v>
      </c>
      <c r="S138" s="7">
        <f t="shared" si="15"/>
        <v>600</v>
      </c>
      <c r="T138" s="7">
        <f t="shared" si="16"/>
        <v>2.027712065</v>
      </c>
      <c r="U138" s="7">
        <f t="shared" si="17"/>
        <v>700</v>
      </c>
      <c r="V138" s="7">
        <f t="shared" si="18"/>
        <v>2.365664076</v>
      </c>
      <c r="W138" s="7">
        <f t="shared" si="19"/>
        <v>800</v>
      </c>
      <c r="X138" s="7">
        <f t="shared" si="20"/>
        <v>2.703616087</v>
      </c>
      <c r="Y138" s="7">
        <f t="shared" si="21"/>
        <v>900</v>
      </c>
      <c r="Z138" s="7">
        <f t="shared" si="22"/>
        <v>3.041568097</v>
      </c>
    </row>
    <row r="139">
      <c r="A139" s="30" t="str">
        <f>IFERROR(__xludf.DUMMYFUNCTION("""COMPUTED_VALUE"""),"2023 04")</f>
        <v>2023 04</v>
      </c>
      <c r="B139" s="30" t="str">
        <f>IFERROR(__xludf.DUMMYFUNCTION("""COMPUTED_VALUE"""),"305.34")</f>
        <v>305.34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0.1637518831</v>
      </c>
      <c r="G139" s="7">
        <f t="shared" si="3"/>
        <v>100</v>
      </c>
      <c r="H139" s="7">
        <f t="shared" si="4"/>
        <v>0.3275037663</v>
      </c>
      <c r="I139" s="7">
        <f t="shared" si="5"/>
        <v>150</v>
      </c>
      <c r="J139" s="7">
        <f t="shared" si="6"/>
        <v>0.4912556494</v>
      </c>
      <c r="K139" s="7">
        <f t="shared" si="7"/>
        <v>200</v>
      </c>
      <c r="L139" s="7">
        <f t="shared" si="8"/>
        <v>0.6550075326</v>
      </c>
      <c r="M139" s="7">
        <f t="shared" si="9"/>
        <v>300</v>
      </c>
      <c r="N139" s="7">
        <f t="shared" si="10"/>
        <v>0.9825112989</v>
      </c>
      <c r="O139" s="7">
        <f t="shared" si="11"/>
        <v>400</v>
      </c>
      <c r="P139" s="7">
        <f t="shared" si="12"/>
        <v>1.310015065</v>
      </c>
      <c r="Q139" s="7">
        <f t="shared" si="13"/>
        <v>500</v>
      </c>
      <c r="R139" s="7">
        <f t="shared" si="14"/>
        <v>1.637518831</v>
      </c>
      <c r="S139" s="7">
        <f t="shared" si="15"/>
        <v>600</v>
      </c>
      <c r="T139" s="7">
        <f t="shared" si="16"/>
        <v>1.965022598</v>
      </c>
      <c r="U139" s="7">
        <f t="shared" si="17"/>
        <v>700</v>
      </c>
      <c r="V139" s="7">
        <f t="shared" si="18"/>
        <v>2.292526364</v>
      </c>
      <c r="W139" s="7">
        <f t="shared" si="19"/>
        <v>800</v>
      </c>
      <c r="X139" s="7">
        <f t="shared" si="20"/>
        <v>2.62003013</v>
      </c>
      <c r="Y139" s="7">
        <f t="shared" si="21"/>
        <v>900</v>
      </c>
      <c r="Z139" s="7">
        <f t="shared" si="22"/>
        <v>2.947533897</v>
      </c>
    </row>
    <row r="140">
      <c r="A140" s="30" t="str">
        <f>IFERROR(__xludf.DUMMYFUNCTION("""COMPUTED_VALUE"""),"2023 05")</f>
        <v>2023 05</v>
      </c>
      <c r="B140" s="30" t="str">
        <f>IFERROR(__xludf.DUMMYFUNCTION("""COMPUTED_VALUE"""),"310.96")</f>
        <v>310.96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0.1607923849</v>
      </c>
      <c r="G140" s="7">
        <f t="shared" si="3"/>
        <v>100</v>
      </c>
      <c r="H140" s="7">
        <f t="shared" si="4"/>
        <v>0.3215847697</v>
      </c>
      <c r="I140" s="7">
        <f t="shared" si="5"/>
        <v>150</v>
      </c>
      <c r="J140" s="7">
        <f t="shared" si="6"/>
        <v>0.4823771546</v>
      </c>
      <c r="K140" s="7">
        <f t="shared" si="7"/>
        <v>200</v>
      </c>
      <c r="L140" s="7">
        <f t="shared" si="8"/>
        <v>0.6431695395</v>
      </c>
      <c r="M140" s="7">
        <f t="shared" si="9"/>
        <v>300</v>
      </c>
      <c r="N140" s="7">
        <f t="shared" si="10"/>
        <v>0.9647543092</v>
      </c>
      <c r="O140" s="7">
        <f t="shared" si="11"/>
        <v>400</v>
      </c>
      <c r="P140" s="7">
        <f t="shared" si="12"/>
        <v>1.286339079</v>
      </c>
      <c r="Q140" s="7">
        <f t="shared" si="13"/>
        <v>500</v>
      </c>
      <c r="R140" s="7">
        <f t="shared" si="14"/>
        <v>1.607923849</v>
      </c>
      <c r="S140" s="7">
        <f t="shared" si="15"/>
        <v>600</v>
      </c>
      <c r="T140" s="7">
        <f t="shared" si="16"/>
        <v>1.929508618</v>
      </c>
      <c r="U140" s="7">
        <f t="shared" si="17"/>
        <v>700</v>
      </c>
      <c r="V140" s="7">
        <f t="shared" si="18"/>
        <v>2.251093388</v>
      </c>
      <c r="W140" s="7">
        <f t="shared" si="19"/>
        <v>800</v>
      </c>
      <c r="X140" s="7">
        <f t="shared" si="20"/>
        <v>2.572678158</v>
      </c>
      <c r="Y140" s="7">
        <f t="shared" si="21"/>
        <v>900</v>
      </c>
      <c r="Z140" s="7">
        <f t="shared" si="22"/>
        <v>2.894262928</v>
      </c>
    </row>
    <row r="141">
      <c r="A141" s="30" t="str">
        <f>IFERROR(__xludf.DUMMYFUNCTION("""COMPUTED_VALUE"""),"2023 06")</f>
        <v>2023 06</v>
      </c>
      <c r="B141" s="30" t="str">
        <f>IFERROR(__xludf.DUMMYFUNCTION("""COMPUTED_VALUE"""),"318.51")</f>
        <v>318.51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0.1569809425</v>
      </c>
      <c r="G141" s="7">
        <f t="shared" si="3"/>
        <v>100</v>
      </c>
      <c r="H141" s="7">
        <f t="shared" si="4"/>
        <v>0.313961885</v>
      </c>
      <c r="I141" s="7">
        <f t="shared" si="5"/>
        <v>150</v>
      </c>
      <c r="J141" s="7">
        <f t="shared" si="6"/>
        <v>0.4709428275</v>
      </c>
      <c r="K141" s="7">
        <f t="shared" si="7"/>
        <v>200</v>
      </c>
      <c r="L141" s="7">
        <f t="shared" si="8"/>
        <v>0.6279237701</v>
      </c>
      <c r="M141" s="7">
        <f t="shared" si="9"/>
        <v>300</v>
      </c>
      <c r="N141" s="7">
        <f t="shared" si="10"/>
        <v>0.9418856551</v>
      </c>
      <c r="O141" s="7">
        <f t="shared" si="11"/>
        <v>400</v>
      </c>
      <c r="P141" s="7">
        <f t="shared" si="12"/>
        <v>1.25584754</v>
      </c>
      <c r="Q141" s="7">
        <f t="shared" si="13"/>
        <v>500</v>
      </c>
      <c r="R141" s="7">
        <f t="shared" si="14"/>
        <v>1.569809425</v>
      </c>
      <c r="S141" s="7">
        <f t="shared" si="15"/>
        <v>600</v>
      </c>
      <c r="T141" s="7">
        <f t="shared" si="16"/>
        <v>1.88377131</v>
      </c>
      <c r="U141" s="7">
        <f t="shared" si="17"/>
        <v>700</v>
      </c>
      <c r="V141" s="7">
        <f t="shared" si="18"/>
        <v>2.197733195</v>
      </c>
      <c r="W141" s="7">
        <f t="shared" si="19"/>
        <v>800</v>
      </c>
      <c r="X141" s="7">
        <f t="shared" si="20"/>
        <v>2.51169508</v>
      </c>
      <c r="Y141" s="7">
        <f t="shared" si="21"/>
        <v>900</v>
      </c>
      <c r="Z141" s="7">
        <f t="shared" si="22"/>
        <v>2.825656965</v>
      </c>
    </row>
    <row r="142">
      <c r="A142" s="30" t="str">
        <f>IFERROR(__xludf.DUMMYFUNCTION("""COMPUTED_VALUE"""),"2023 07")</f>
        <v>2023 07</v>
      </c>
      <c r="B142" s="30" t="str">
        <f>IFERROR(__xludf.DUMMYFUNCTION("""COMPUTED_VALUE"""),"330.72")</f>
        <v>330.72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0.1511852927</v>
      </c>
      <c r="G142" s="7">
        <f t="shared" si="3"/>
        <v>100</v>
      </c>
      <c r="H142" s="7">
        <f t="shared" si="4"/>
        <v>0.3023705854</v>
      </c>
      <c r="I142" s="7">
        <f t="shared" si="5"/>
        <v>150</v>
      </c>
      <c r="J142" s="7">
        <f t="shared" si="6"/>
        <v>0.4535558781</v>
      </c>
      <c r="K142" s="7">
        <f t="shared" si="7"/>
        <v>200</v>
      </c>
      <c r="L142" s="7">
        <f t="shared" si="8"/>
        <v>0.6047411708</v>
      </c>
      <c r="M142" s="7">
        <f t="shared" si="9"/>
        <v>300</v>
      </c>
      <c r="N142" s="7">
        <f t="shared" si="10"/>
        <v>0.9071117562</v>
      </c>
      <c r="O142" s="7">
        <f t="shared" si="11"/>
        <v>400</v>
      </c>
      <c r="P142" s="7">
        <f t="shared" si="12"/>
        <v>1.209482342</v>
      </c>
      <c r="Q142" s="7">
        <f t="shared" si="13"/>
        <v>500</v>
      </c>
      <c r="R142" s="7">
        <f t="shared" si="14"/>
        <v>1.511852927</v>
      </c>
      <c r="S142" s="7">
        <f t="shared" si="15"/>
        <v>600</v>
      </c>
      <c r="T142" s="7">
        <f t="shared" si="16"/>
        <v>1.814223512</v>
      </c>
      <c r="U142" s="7">
        <f t="shared" si="17"/>
        <v>700</v>
      </c>
      <c r="V142" s="7">
        <f t="shared" si="18"/>
        <v>2.116594098</v>
      </c>
      <c r="W142" s="7">
        <f t="shared" si="19"/>
        <v>800</v>
      </c>
      <c r="X142" s="7">
        <f t="shared" si="20"/>
        <v>2.418964683</v>
      </c>
      <c r="Y142" s="7">
        <f t="shared" si="21"/>
        <v>900</v>
      </c>
      <c r="Z142" s="7">
        <f t="shared" si="22"/>
        <v>2.721335269</v>
      </c>
    </row>
    <row r="143">
      <c r="A143" s="30" t="str">
        <f>IFERROR(__xludf.DUMMYFUNCTION("""COMPUTED_VALUE"""),"2023 08")</f>
        <v>2023 08</v>
      </c>
      <c r="B143" s="30" t="str">
        <f>IFERROR(__xludf.DUMMYFUNCTION("""COMPUTED_VALUE"""),"342.58")</f>
        <v>342.58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0.1459513106</v>
      </c>
      <c r="G143" s="7">
        <f t="shared" si="3"/>
        <v>100</v>
      </c>
      <c r="H143" s="7">
        <f t="shared" si="4"/>
        <v>0.2919026213</v>
      </c>
      <c r="I143" s="7">
        <f t="shared" si="5"/>
        <v>150</v>
      </c>
      <c r="J143" s="7">
        <f t="shared" si="6"/>
        <v>0.4378539319</v>
      </c>
      <c r="K143" s="7">
        <f t="shared" si="7"/>
        <v>200</v>
      </c>
      <c r="L143" s="7">
        <f t="shared" si="8"/>
        <v>0.5838052426</v>
      </c>
      <c r="M143" s="7">
        <f t="shared" si="9"/>
        <v>300</v>
      </c>
      <c r="N143" s="7">
        <f t="shared" si="10"/>
        <v>0.8757078639</v>
      </c>
      <c r="O143" s="7">
        <f t="shared" si="11"/>
        <v>400</v>
      </c>
      <c r="P143" s="7">
        <f t="shared" si="12"/>
        <v>1.167610485</v>
      </c>
      <c r="Q143" s="7">
        <f t="shared" si="13"/>
        <v>500</v>
      </c>
      <c r="R143" s="7">
        <f t="shared" si="14"/>
        <v>1.459513106</v>
      </c>
      <c r="S143" s="7">
        <f t="shared" si="15"/>
        <v>600</v>
      </c>
      <c r="T143" s="7">
        <f t="shared" si="16"/>
        <v>1.751415728</v>
      </c>
      <c r="U143" s="7">
        <f t="shared" si="17"/>
        <v>700</v>
      </c>
      <c r="V143" s="7">
        <f t="shared" si="18"/>
        <v>2.043318349</v>
      </c>
      <c r="W143" s="7">
        <f t="shared" si="19"/>
        <v>800</v>
      </c>
      <c r="X143" s="7">
        <f t="shared" si="20"/>
        <v>2.33522097</v>
      </c>
      <c r="Y143" s="7">
        <f t="shared" si="21"/>
        <v>900</v>
      </c>
      <c r="Z143" s="7">
        <f t="shared" si="22"/>
        <v>2.627123592</v>
      </c>
    </row>
    <row r="144">
      <c r="A144" s="30" t="str">
        <f>IFERROR(__xludf.DUMMYFUNCTION("""COMPUTED_VALUE"""),"2023 09")</f>
        <v>2023 09</v>
      </c>
      <c r="B144" s="30" t="str">
        <f>IFERROR(__xludf.DUMMYFUNCTION("""COMPUTED_VALUE"""),"346.85")</f>
        <v>346.85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0.1441545337</v>
      </c>
      <c r="G144" s="7">
        <f t="shared" si="3"/>
        <v>100</v>
      </c>
      <c r="H144" s="7">
        <f t="shared" si="4"/>
        <v>0.2883090673</v>
      </c>
      <c r="I144" s="7">
        <f t="shared" si="5"/>
        <v>150</v>
      </c>
      <c r="J144" s="7">
        <f t="shared" si="6"/>
        <v>0.432463601</v>
      </c>
      <c r="K144" s="7">
        <f t="shared" si="7"/>
        <v>200</v>
      </c>
      <c r="L144" s="7">
        <f t="shared" si="8"/>
        <v>0.5766181346</v>
      </c>
      <c r="M144" s="7">
        <f t="shared" si="9"/>
        <v>300</v>
      </c>
      <c r="N144" s="7">
        <f t="shared" si="10"/>
        <v>0.864927202</v>
      </c>
      <c r="O144" s="7">
        <f t="shared" si="11"/>
        <v>400</v>
      </c>
      <c r="P144" s="7">
        <f t="shared" si="12"/>
        <v>1.153236269</v>
      </c>
      <c r="Q144" s="7">
        <f t="shared" si="13"/>
        <v>500</v>
      </c>
      <c r="R144" s="7">
        <f t="shared" si="14"/>
        <v>1.441545337</v>
      </c>
      <c r="S144" s="7">
        <f t="shared" si="15"/>
        <v>600</v>
      </c>
      <c r="T144" s="7">
        <f t="shared" si="16"/>
        <v>1.729854404</v>
      </c>
      <c r="U144" s="7">
        <f t="shared" si="17"/>
        <v>700</v>
      </c>
      <c r="V144" s="7">
        <f t="shared" si="18"/>
        <v>2.018163471</v>
      </c>
      <c r="W144" s="7">
        <f t="shared" si="19"/>
        <v>800</v>
      </c>
      <c r="X144" s="7">
        <f t="shared" si="20"/>
        <v>2.306472539</v>
      </c>
      <c r="Y144" s="7">
        <f t="shared" si="21"/>
        <v>900</v>
      </c>
      <c r="Z144" s="7">
        <f t="shared" si="22"/>
        <v>2.594781606</v>
      </c>
    </row>
    <row r="145">
      <c r="A145" s="19" t="str">
        <f>IFERROR(__xludf.DUMMYFUNCTION("""COMPUTED_VALUE"""),"2023 10")</f>
        <v>2023 10</v>
      </c>
      <c r="B145" s="19" t="str">
        <f>IFERROR(__xludf.DUMMYFUNCTION("""COMPUTED_VALUE"""),"333.39")</f>
        <v>333.39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0.1499745043</v>
      </c>
      <c r="G145" s="7">
        <f t="shared" si="3"/>
        <v>100</v>
      </c>
      <c r="H145" s="7">
        <f t="shared" si="4"/>
        <v>0.2999490087</v>
      </c>
      <c r="I145" s="7">
        <f t="shared" si="5"/>
        <v>150</v>
      </c>
      <c r="J145" s="7">
        <f t="shared" si="6"/>
        <v>0.449923513</v>
      </c>
      <c r="K145" s="7">
        <f t="shared" si="7"/>
        <v>200</v>
      </c>
      <c r="L145" s="7">
        <f t="shared" si="8"/>
        <v>0.5998980173</v>
      </c>
      <c r="M145" s="7">
        <f t="shared" si="9"/>
        <v>300</v>
      </c>
      <c r="N145" s="7">
        <f t="shared" si="10"/>
        <v>0.899847026</v>
      </c>
      <c r="O145" s="7">
        <f t="shared" si="11"/>
        <v>400</v>
      </c>
      <c r="P145" s="7">
        <f t="shared" si="12"/>
        <v>1.199796035</v>
      </c>
      <c r="Q145" s="7">
        <f t="shared" si="13"/>
        <v>500</v>
      </c>
      <c r="R145" s="7">
        <f t="shared" si="14"/>
        <v>1.499745043</v>
      </c>
      <c r="S145" s="7">
        <f t="shared" si="15"/>
        <v>600</v>
      </c>
      <c r="T145" s="7">
        <f t="shared" si="16"/>
        <v>1.799694052</v>
      </c>
      <c r="U145" s="7">
        <f t="shared" si="17"/>
        <v>700</v>
      </c>
      <c r="V145" s="7">
        <f t="shared" si="18"/>
        <v>2.099643061</v>
      </c>
      <c r="W145" s="7">
        <f t="shared" si="19"/>
        <v>800</v>
      </c>
      <c r="X145" s="7">
        <f t="shared" si="20"/>
        <v>2.399592069</v>
      </c>
      <c r="Y145" s="7">
        <f t="shared" si="21"/>
        <v>900</v>
      </c>
      <c r="Z145" s="7">
        <f t="shared" si="22"/>
        <v>2.699541078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47.64131141</v>
      </c>
      <c r="G352" s="33"/>
      <c r="H352" s="34">
        <f>SUMIF(H3:H351,"&lt;&gt;#DIV/0!")</f>
        <v>95.28262283</v>
      </c>
      <c r="I352" s="33"/>
      <c r="J352" s="34">
        <f>SUMIF(J3:J351,"&lt;&gt;#DIV/0!")</f>
        <v>142.9239342</v>
      </c>
      <c r="K352" s="33"/>
      <c r="L352" s="34">
        <f>SUMIF(L3:L351,"&lt;&gt;#DIV/0!")</f>
        <v>190.5652457</v>
      </c>
      <c r="M352" s="33"/>
      <c r="N352" s="34">
        <f>SUMIF(N3:N351,"&lt;&gt;#DIV/0!")</f>
        <v>285.8478685</v>
      </c>
      <c r="O352" s="33"/>
      <c r="P352" s="34">
        <f>SUMIF(P3:P351,"&lt;&gt;#DIV/0!")</f>
        <v>381.1304913</v>
      </c>
      <c r="Q352" s="33"/>
      <c r="R352" s="34">
        <f>SUMIF(R3:R351,"&lt;&gt;#DIV/0!")</f>
        <v>476.4131141</v>
      </c>
      <c r="S352" s="33"/>
      <c r="T352" s="34">
        <f>SUMIF(T3:T351,"&lt;&gt;#DIV/0!")</f>
        <v>571.695737</v>
      </c>
      <c r="U352" s="33"/>
      <c r="V352" s="34">
        <f>SUMIF(V3:V351,"&lt;&gt;#DIV/0!")</f>
        <v>666.9783598</v>
      </c>
      <c r="W352" s="33"/>
      <c r="X352" s="34">
        <f>SUMIF(X3:X351,"&lt;&gt;#DIV/0!")</f>
        <v>762.2609826</v>
      </c>
      <c r="Y352" s="33"/>
      <c r="Z352" s="34">
        <f>SUMIF(Z3:Z351,"&lt;&gt;#DIV/0!")</f>
        <v>857.5436055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10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A4" s="29" t="str">
        <f>IFERROR(__xludf.DUMMYFUNCTION("ARRAYFORMULA(SORTN(TEXT(GOOGLEFINANCE(CONCAT(""ASX:"",A2), ""price"", DATE(2012,1,1), DATE(2030,12,1), ""daily""), 
 {""yyyy mm"", ""@""}), 9^9, 2, 1, 1))"),"2012 01")</f>
        <v>2012 01</v>
      </c>
      <c r="B4" s="30" t="str">
        <f>IFERROR(__xludf.DUMMYFUNCTION("""COMPUTED_VALUE"""),"52.45")</f>
        <v>52.45</v>
      </c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0.9532888465</v>
      </c>
      <c r="G4" s="7">
        <f t="shared" si="3"/>
        <v>100</v>
      </c>
      <c r="H4" s="7">
        <f t="shared" si="4"/>
        <v>1.906577693</v>
      </c>
      <c r="I4" s="7">
        <f t="shared" si="5"/>
        <v>150</v>
      </c>
      <c r="J4" s="7">
        <f t="shared" si="6"/>
        <v>2.85986654</v>
      </c>
      <c r="K4" s="7">
        <f t="shared" si="7"/>
        <v>200</v>
      </c>
      <c r="L4" s="7">
        <f t="shared" si="8"/>
        <v>3.813155386</v>
      </c>
      <c r="M4" s="7">
        <f t="shared" si="9"/>
        <v>300</v>
      </c>
      <c r="N4" s="7">
        <f t="shared" si="10"/>
        <v>5.719733079</v>
      </c>
      <c r="O4" s="7">
        <f t="shared" si="11"/>
        <v>400</v>
      </c>
      <c r="P4" s="7">
        <f t="shared" si="12"/>
        <v>7.626310772</v>
      </c>
      <c r="Q4" s="7">
        <f t="shared" si="13"/>
        <v>500</v>
      </c>
      <c r="R4" s="7">
        <f t="shared" si="14"/>
        <v>9.532888465</v>
      </c>
      <c r="S4" s="7">
        <f t="shared" si="15"/>
        <v>600</v>
      </c>
      <c r="T4" s="7">
        <f t="shared" si="16"/>
        <v>11.43946616</v>
      </c>
      <c r="U4" s="7">
        <f t="shared" si="17"/>
        <v>700</v>
      </c>
      <c r="V4" s="7">
        <f t="shared" si="18"/>
        <v>13.34604385</v>
      </c>
      <c r="W4" s="7">
        <f t="shared" si="19"/>
        <v>800</v>
      </c>
      <c r="X4" s="7">
        <f t="shared" si="20"/>
        <v>15.25262154</v>
      </c>
      <c r="Y4" s="7">
        <f t="shared" si="21"/>
        <v>900</v>
      </c>
      <c r="Z4" s="7">
        <f t="shared" si="22"/>
        <v>17.15919924</v>
      </c>
    </row>
    <row r="5">
      <c r="A5" s="30" t="str">
        <f>IFERROR(__xludf.DUMMYFUNCTION("""COMPUTED_VALUE"""),"2012 02")</f>
        <v>2012 02</v>
      </c>
      <c r="B5" s="30" t="str">
        <f>IFERROR(__xludf.DUMMYFUNCTION("""COMPUTED_VALUE"""),"54.02")</f>
        <v>54.02</v>
      </c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0.9255831174</v>
      </c>
      <c r="G5" s="7">
        <f t="shared" si="3"/>
        <v>100</v>
      </c>
      <c r="H5" s="7">
        <f t="shared" si="4"/>
        <v>1.851166235</v>
      </c>
      <c r="I5" s="7">
        <f t="shared" si="5"/>
        <v>150</v>
      </c>
      <c r="J5" s="7">
        <f t="shared" si="6"/>
        <v>2.776749352</v>
      </c>
      <c r="K5" s="7">
        <f t="shared" si="7"/>
        <v>200</v>
      </c>
      <c r="L5" s="7">
        <f t="shared" si="8"/>
        <v>3.702332469</v>
      </c>
      <c r="M5" s="7">
        <f t="shared" si="9"/>
        <v>300</v>
      </c>
      <c r="N5" s="7">
        <f t="shared" si="10"/>
        <v>5.553498704</v>
      </c>
      <c r="O5" s="7">
        <f t="shared" si="11"/>
        <v>400</v>
      </c>
      <c r="P5" s="7">
        <f t="shared" si="12"/>
        <v>7.404664939</v>
      </c>
      <c r="Q5" s="7">
        <f t="shared" si="13"/>
        <v>500</v>
      </c>
      <c r="R5" s="7">
        <f t="shared" si="14"/>
        <v>9.255831174</v>
      </c>
      <c r="S5" s="7">
        <f t="shared" si="15"/>
        <v>600</v>
      </c>
      <c r="T5" s="7">
        <f t="shared" si="16"/>
        <v>11.10699741</v>
      </c>
      <c r="U5" s="7">
        <f t="shared" si="17"/>
        <v>700</v>
      </c>
      <c r="V5" s="7">
        <f t="shared" si="18"/>
        <v>12.95816364</v>
      </c>
      <c r="W5" s="7">
        <f t="shared" si="19"/>
        <v>800</v>
      </c>
      <c r="X5" s="7">
        <f t="shared" si="20"/>
        <v>14.80932988</v>
      </c>
      <c r="Y5" s="7">
        <f t="shared" si="21"/>
        <v>900</v>
      </c>
      <c r="Z5" s="7">
        <f t="shared" si="22"/>
        <v>16.66049611</v>
      </c>
    </row>
    <row r="6">
      <c r="A6" s="30" t="str">
        <f>IFERROR(__xludf.DUMMYFUNCTION("""COMPUTED_VALUE"""),"2012 03")</f>
        <v>2012 03</v>
      </c>
      <c r="B6" s="30" t="str">
        <f>IFERROR(__xludf.DUMMYFUNCTION("""COMPUTED_VALUE"""),"55.19")</f>
        <v>55.19</v>
      </c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0.9059612249</v>
      </c>
      <c r="G6" s="7">
        <f t="shared" si="3"/>
        <v>100</v>
      </c>
      <c r="H6" s="7">
        <f t="shared" si="4"/>
        <v>1.81192245</v>
      </c>
      <c r="I6" s="7">
        <f t="shared" si="5"/>
        <v>150</v>
      </c>
      <c r="J6" s="7">
        <f t="shared" si="6"/>
        <v>2.717883675</v>
      </c>
      <c r="K6" s="7">
        <f t="shared" si="7"/>
        <v>200</v>
      </c>
      <c r="L6" s="7">
        <f t="shared" si="8"/>
        <v>3.623844899</v>
      </c>
      <c r="M6" s="7">
        <f t="shared" si="9"/>
        <v>300</v>
      </c>
      <c r="N6" s="7">
        <f t="shared" si="10"/>
        <v>5.435767349</v>
      </c>
      <c r="O6" s="7">
        <f t="shared" si="11"/>
        <v>400</v>
      </c>
      <c r="P6" s="7">
        <f t="shared" si="12"/>
        <v>7.247689799</v>
      </c>
      <c r="Q6" s="7">
        <f t="shared" si="13"/>
        <v>500</v>
      </c>
      <c r="R6" s="7">
        <f t="shared" si="14"/>
        <v>9.059612249</v>
      </c>
      <c r="S6" s="7">
        <f t="shared" si="15"/>
        <v>600</v>
      </c>
      <c r="T6" s="7">
        <f t="shared" si="16"/>
        <v>10.8715347</v>
      </c>
      <c r="U6" s="7">
        <f t="shared" si="17"/>
        <v>700</v>
      </c>
      <c r="V6" s="7">
        <f t="shared" si="18"/>
        <v>12.68345715</v>
      </c>
      <c r="W6" s="7">
        <f t="shared" si="19"/>
        <v>800</v>
      </c>
      <c r="X6" s="7">
        <f t="shared" si="20"/>
        <v>14.4953796</v>
      </c>
      <c r="Y6" s="7">
        <f t="shared" si="21"/>
        <v>900</v>
      </c>
      <c r="Z6" s="7">
        <f t="shared" si="22"/>
        <v>16.30730205</v>
      </c>
    </row>
    <row r="7">
      <c r="A7" s="30" t="str">
        <f>IFERROR(__xludf.DUMMYFUNCTION("""COMPUTED_VALUE"""),"2012 04")</f>
        <v>2012 04</v>
      </c>
      <c r="B7" s="30" t="str">
        <f>IFERROR(__xludf.DUMMYFUNCTION("""COMPUTED_VALUE"""),"55.83")</f>
        <v>55.83</v>
      </c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0.8955758553</v>
      </c>
      <c r="G7" s="7">
        <f t="shared" si="3"/>
        <v>100</v>
      </c>
      <c r="H7" s="7">
        <f t="shared" si="4"/>
        <v>1.791151711</v>
      </c>
      <c r="I7" s="7">
        <f t="shared" si="5"/>
        <v>150</v>
      </c>
      <c r="J7" s="7">
        <f t="shared" si="6"/>
        <v>2.686727566</v>
      </c>
      <c r="K7" s="7">
        <f t="shared" si="7"/>
        <v>200</v>
      </c>
      <c r="L7" s="7">
        <f t="shared" si="8"/>
        <v>3.582303421</v>
      </c>
      <c r="M7" s="7">
        <f t="shared" si="9"/>
        <v>300</v>
      </c>
      <c r="N7" s="7">
        <f t="shared" si="10"/>
        <v>5.373455132</v>
      </c>
      <c r="O7" s="7">
        <f t="shared" si="11"/>
        <v>400</v>
      </c>
      <c r="P7" s="7">
        <f t="shared" si="12"/>
        <v>7.164606842</v>
      </c>
      <c r="Q7" s="7">
        <f t="shared" si="13"/>
        <v>500</v>
      </c>
      <c r="R7" s="7">
        <f t="shared" si="14"/>
        <v>8.955758553</v>
      </c>
      <c r="S7" s="7">
        <f t="shared" si="15"/>
        <v>600</v>
      </c>
      <c r="T7" s="7">
        <f t="shared" si="16"/>
        <v>10.74691026</v>
      </c>
      <c r="U7" s="7">
        <f t="shared" si="17"/>
        <v>700</v>
      </c>
      <c r="V7" s="7">
        <f t="shared" si="18"/>
        <v>12.53806197</v>
      </c>
      <c r="W7" s="7">
        <f t="shared" si="19"/>
        <v>800</v>
      </c>
      <c r="X7" s="7">
        <f t="shared" si="20"/>
        <v>14.32921368</v>
      </c>
      <c r="Y7" s="7">
        <f t="shared" si="21"/>
        <v>900</v>
      </c>
      <c r="Z7" s="7">
        <f t="shared" si="22"/>
        <v>16.12036539</v>
      </c>
    </row>
    <row r="8">
      <c r="A8" s="30" t="str">
        <f>IFERROR(__xludf.DUMMYFUNCTION("""COMPUTED_VALUE"""),"2012 05")</f>
        <v>2012 05</v>
      </c>
      <c r="B8" s="30" t="str">
        <f>IFERROR(__xludf.DUMMYFUNCTION("""COMPUTED_VALUE"""),"57.03")</f>
        <v>57.03</v>
      </c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0.8767315448</v>
      </c>
      <c r="G8" s="7">
        <f t="shared" si="3"/>
        <v>100</v>
      </c>
      <c r="H8" s="7">
        <f t="shared" si="4"/>
        <v>1.75346309</v>
      </c>
      <c r="I8" s="7">
        <f t="shared" si="5"/>
        <v>150</v>
      </c>
      <c r="J8" s="7">
        <f t="shared" si="6"/>
        <v>2.630194634</v>
      </c>
      <c r="K8" s="7">
        <f t="shared" si="7"/>
        <v>200</v>
      </c>
      <c r="L8" s="7">
        <f t="shared" si="8"/>
        <v>3.506926179</v>
      </c>
      <c r="M8" s="7">
        <f t="shared" si="9"/>
        <v>300</v>
      </c>
      <c r="N8" s="7">
        <f t="shared" si="10"/>
        <v>5.260389269</v>
      </c>
      <c r="O8" s="7">
        <f t="shared" si="11"/>
        <v>400</v>
      </c>
      <c r="P8" s="7">
        <f t="shared" si="12"/>
        <v>7.013852358</v>
      </c>
      <c r="Q8" s="7">
        <f t="shared" si="13"/>
        <v>500</v>
      </c>
      <c r="R8" s="7">
        <f t="shared" si="14"/>
        <v>8.767315448</v>
      </c>
      <c r="S8" s="7">
        <f t="shared" si="15"/>
        <v>600</v>
      </c>
      <c r="T8" s="7">
        <f t="shared" si="16"/>
        <v>10.52077854</v>
      </c>
      <c r="U8" s="7">
        <f t="shared" si="17"/>
        <v>700</v>
      </c>
      <c r="V8" s="7">
        <f t="shared" si="18"/>
        <v>12.27424163</v>
      </c>
      <c r="W8" s="7">
        <f t="shared" si="19"/>
        <v>800</v>
      </c>
      <c r="X8" s="7">
        <f t="shared" si="20"/>
        <v>14.02770472</v>
      </c>
      <c r="Y8" s="7">
        <f t="shared" si="21"/>
        <v>900</v>
      </c>
      <c r="Z8" s="7">
        <f t="shared" si="22"/>
        <v>15.78116781</v>
      </c>
    </row>
    <row r="9">
      <c r="A9" s="30" t="str">
        <f>IFERROR(__xludf.DUMMYFUNCTION("""COMPUTED_VALUE"""),"2012 06")</f>
        <v>2012 06</v>
      </c>
      <c r="B9" s="30" t="str">
        <f>IFERROR(__xludf.DUMMYFUNCTION("""COMPUTED_VALUE"""),"52.56")</f>
        <v>52.56</v>
      </c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0.9512937595</v>
      </c>
      <c r="G9" s="7">
        <f t="shared" si="3"/>
        <v>100</v>
      </c>
      <c r="H9" s="7">
        <f t="shared" si="4"/>
        <v>1.902587519</v>
      </c>
      <c r="I9" s="7">
        <f t="shared" si="5"/>
        <v>150</v>
      </c>
      <c r="J9" s="7">
        <f t="shared" si="6"/>
        <v>2.853881279</v>
      </c>
      <c r="K9" s="7">
        <f t="shared" si="7"/>
        <v>200</v>
      </c>
      <c r="L9" s="7">
        <f t="shared" si="8"/>
        <v>3.805175038</v>
      </c>
      <c r="M9" s="7">
        <f t="shared" si="9"/>
        <v>300</v>
      </c>
      <c r="N9" s="7">
        <f t="shared" si="10"/>
        <v>5.707762557</v>
      </c>
      <c r="O9" s="7">
        <f t="shared" si="11"/>
        <v>400</v>
      </c>
      <c r="P9" s="7">
        <f t="shared" si="12"/>
        <v>7.610350076</v>
      </c>
      <c r="Q9" s="7">
        <f t="shared" si="13"/>
        <v>500</v>
      </c>
      <c r="R9" s="7">
        <f t="shared" si="14"/>
        <v>9.512937595</v>
      </c>
      <c r="S9" s="7">
        <f t="shared" si="15"/>
        <v>600</v>
      </c>
      <c r="T9" s="7">
        <f t="shared" si="16"/>
        <v>11.41552511</v>
      </c>
      <c r="U9" s="7">
        <f t="shared" si="17"/>
        <v>700</v>
      </c>
      <c r="V9" s="7">
        <f t="shared" si="18"/>
        <v>13.31811263</v>
      </c>
      <c r="W9" s="7">
        <f t="shared" si="19"/>
        <v>800</v>
      </c>
      <c r="X9" s="7">
        <f t="shared" si="20"/>
        <v>15.22070015</v>
      </c>
      <c r="Y9" s="7">
        <f t="shared" si="21"/>
        <v>900</v>
      </c>
      <c r="Z9" s="7">
        <f t="shared" si="22"/>
        <v>17.12328767</v>
      </c>
    </row>
    <row r="10">
      <c r="A10" s="30" t="str">
        <f>IFERROR(__xludf.DUMMYFUNCTION("""COMPUTED_VALUE"""),"2012 07")</f>
        <v>2012 07</v>
      </c>
      <c r="B10" s="30" t="str">
        <f>IFERROR(__xludf.DUMMYFUNCTION("""COMPUTED_VALUE"""),"53.11")</f>
        <v>53.11</v>
      </c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0.9414422896</v>
      </c>
      <c r="G10" s="7">
        <f t="shared" si="3"/>
        <v>100</v>
      </c>
      <c r="H10" s="7">
        <f t="shared" si="4"/>
        <v>1.882884579</v>
      </c>
      <c r="I10" s="7">
        <f t="shared" si="5"/>
        <v>150</v>
      </c>
      <c r="J10" s="7">
        <f t="shared" si="6"/>
        <v>2.824326869</v>
      </c>
      <c r="K10" s="7">
        <f t="shared" si="7"/>
        <v>200</v>
      </c>
      <c r="L10" s="7">
        <f t="shared" si="8"/>
        <v>3.765769158</v>
      </c>
      <c r="M10" s="7">
        <f t="shared" si="9"/>
        <v>300</v>
      </c>
      <c r="N10" s="7">
        <f t="shared" si="10"/>
        <v>5.648653738</v>
      </c>
      <c r="O10" s="7">
        <f t="shared" si="11"/>
        <v>400</v>
      </c>
      <c r="P10" s="7">
        <f t="shared" si="12"/>
        <v>7.531538317</v>
      </c>
      <c r="Q10" s="7">
        <f t="shared" si="13"/>
        <v>500</v>
      </c>
      <c r="R10" s="7">
        <f t="shared" si="14"/>
        <v>9.414422896</v>
      </c>
      <c r="S10" s="7">
        <f t="shared" si="15"/>
        <v>600</v>
      </c>
      <c r="T10" s="7">
        <f t="shared" si="16"/>
        <v>11.29730748</v>
      </c>
      <c r="U10" s="7">
        <f t="shared" si="17"/>
        <v>700</v>
      </c>
      <c r="V10" s="7">
        <f t="shared" si="18"/>
        <v>13.18019205</v>
      </c>
      <c r="W10" s="7">
        <f t="shared" si="19"/>
        <v>800</v>
      </c>
      <c r="X10" s="7">
        <f t="shared" si="20"/>
        <v>15.06307663</v>
      </c>
      <c r="Y10" s="7">
        <f t="shared" si="21"/>
        <v>900</v>
      </c>
      <c r="Z10" s="7">
        <f t="shared" si="22"/>
        <v>16.94596121</v>
      </c>
    </row>
    <row r="11">
      <c r="A11" s="30" t="str">
        <f>IFERROR(__xludf.DUMMYFUNCTION("""COMPUTED_VALUE"""),"2012 08")</f>
        <v>2012 08</v>
      </c>
      <c r="B11" s="30" t="str">
        <f>IFERROR(__xludf.DUMMYFUNCTION("""COMPUTED_VALUE"""),"54.75")</f>
        <v>54.75</v>
      </c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0.9132420091</v>
      </c>
      <c r="G11" s="7">
        <f t="shared" si="3"/>
        <v>100</v>
      </c>
      <c r="H11" s="7">
        <f t="shared" si="4"/>
        <v>1.826484018</v>
      </c>
      <c r="I11" s="7">
        <f t="shared" si="5"/>
        <v>150</v>
      </c>
      <c r="J11" s="7">
        <f t="shared" si="6"/>
        <v>2.739726027</v>
      </c>
      <c r="K11" s="7">
        <f t="shared" si="7"/>
        <v>200</v>
      </c>
      <c r="L11" s="7">
        <f t="shared" si="8"/>
        <v>3.652968037</v>
      </c>
      <c r="M11" s="7">
        <f t="shared" si="9"/>
        <v>300</v>
      </c>
      <c r="N11" s="7">
        <f t="shared" si="10"/>
        <v>5.479452055</v>
      </c>
      <c r="O11" s="7">
        <f t="shared" si="11"/>
        <v>400</v>
      </c>
      <c r="P11" s="7">
        <f t="shared" si="12"/>
        <v>7.305936073</v>
      </c>
      <c r="Q11" s="7">
        <f t="shared" si="13"/>
        <v>500</v>
      </c>
      <c r="R11" s="7">
        <f t="shared" si="14"/>
        <v>9.132420091</v>
      </c>
      <c r="S11" s="7">
        <f t="shared" si="15"/>
        <v>600</v>
      </c>
      <c r="T11" s="7">
        <f t="shared" si="16"/>
        <v>10.95890411</v>
      </c>
      <c r="U11" s="7">
        <f t="shared" si="17"/>
        <v>700</v>
      </c>
      <c r="V11" s="7">
        <f t="shared" si="18"/>
        <v>12.78538813</v>
      </c>
      <c r="W11" s="7">
        <f t="shared" si="19"/>
        <v>800</v>
      </c>
      <c r="X11" s="7">
        <f t="shared" si="20"/>
        <v>14.61187215</v>
      </c>
      <c r="Y11" s="7">
        <f t="shared" si="21"/>
        <v>900</v>
      </c>
      <c r="Z11" s="7">
        <f t="shared" si="22"/>
        <v>16.43835616</v>
      </c>
    </row>
    <row r="12">
      <c r="A12" s="30" t="str">
        <f>IFERROR(__xludf.DUMMYFUNCTION("""COMPUTED_VALUE"""),"2012 09")</f>
        <v>2012 09</v>
      </c>
      <c r="B12" s="30" t="str">
        <f>IFERROR(__xludf.DUMMYFUNCTION("""COMPUTED_VALUE"""),"56.25")</f>
        <v>56.25</v>
      </c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0.8888888889</v>
      </c>
      <c r="G12" s="7">
        <f t="shared" si="3"/>
        <v>100</v>
      </c>
      <c r="H12" s="7">
        <f t="shared" si="4"/>
        <v>1.777777778</v>
      </c>
      <c r="I12" s="7">
        <f t="shared" si="5"/>
        <v>150</v>
      </c>
      <c r="J12" s="7">
        <f t="shared" si="6"/>
        <v>2.666666667</v>
      </c>
      <c r="K12" s="7">
        <f t="shared" si="7"/>
        <v>200</v>
      </c>
      <c r="L12" s="7">
        <f t="shared" si="8"/>
        <v>3.555555556</v>
      </c>
      <c r="M12" s="7">
        <f t="shared" si="9"/>
        <v>300</v>
      </c>
      <c r="N12" s="7">
        <f t="shared" si="10"/>
        <v>5.333333333</v>
      </c>
      <c r="O12" s="7">
        <f t="shared" si="11"/>
        <v>400</v>
      </c>
      <c r="P12" s="7">
        <f t="shared" si="12"/>
        <v>7.111111111</v>
      </c>
      <c r="Q12" s="7">
        <f t="shared" si="13"/>
        <v>500</v>
      </c>
      <c r="R12" s="7">
        <f t="shared" si="14"/>
        <v>8.888888889</v>
      </c>
      <c r="S12" s="7">
        <f t="shared" si="15"/>
        <v>600</v>
      </c>
      <c r="T12" s="7">
        <f t="shared" si="16"/>
        <v>10.66666667</v>
      </c>
      <c r="U12" s="7">
        <f t="shared" si="17"/>
        <v>700</v>
      </c>
      <c r="V12" s="7">
        <f t="shared" si="18"/>
        <v>12.44444444</v>
      </c>
      <c r="W12" s="7">
        <f t="shared" si="19"/>
        <v>800</v>
      </c>
      <c r="X12" s="7">
        <f t="shared" si="20"/>
        <v>14.22222222</v>
      </c>
      <c r="Y12" s="7">
        <f t="shared" si="21"/>
        <v>900</v>
      </c>
      <c r="Z12" s="7">
        <f t="shared" si="22"/>
        <v>16</v>
      </c>
    </row>
    <row r="13">
      <c r="A13" s="30" t="str">
        <f>IFERROR(__xludf.DUMMYFUNCTION("""COMPUTED_VALUE"""),"2012 10")</f>
        <v>2012 10</v>
      </c>
      <c r="B13" s="30" t="str">
        <f>IFERROR(__xludf.DUMMYFUNCTION("""COMPUTED_VALUE"""),"57.19")</f>
        <v>57.19</v>
      </c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0.8742787201</v>
      </c>
      <c r="G13" s="7">
        <f t="shared" si="3"/>
        <v>100</v>
      </c>
      <c r="H13" s="7">
        <f t="shared" si="4"/>
        <v>1.74855744</v>
      </c>
      <c r="I13" s="7">
        <f t="shared" si="5"/>
        <v>150</v>
      </c>
      <c r="J13" s="7">
        <f t="shared" si="6"/>
        <v>2.62283616</v>
      </c>
      <c r="K13" s="7">
        <f t="shared" si="7"/>
        <v>200</v>
      </c>
      <c r="L13" s="7">
        <f t="shared" si="8"/>
        <v>3.49711488</v>
      </c>
      <c r="M13" s="7">
        <f t="shared" si="9"/>
        <v>300</v>
      </c>
      <c r="N13" s="7">
        <f t="shared" si="10"/>
        <v>5.24567232</v>
      </c>
      <c r="O13" s="7">
        <f t="shared" si="11"/>
        <v>400</v>
      </c>
      <c r="P13" s="7">
        <f t="shared" si="12"/>
        <v>6.99422976</v>
      </c>
      <c r="Q13" s="7">
        <f t="shared" si="13"/>
        <v>500</v>
      </c>
      <c r="R13" s="7">
        <f t="shared" si="14"/>
        <v>8.742787201</v>
      </c>
      <c r="S13" s="7">
        <f t="shared" si="15"/>
        <v>600</v>
      </c>
      <c r="T13" s="7">
        <f t="shared" si="16"/>
        <v>10.49134464</v>
      </c>
      <c r="U13" s="7">
        <f t="shared" si="17"/>
        <v>700</v>
      </c>
      <c r="V13" s="7">
        <f t="shared" si="18"/>
        <v>12.23990208</v>
      </c>
      <c r="W13" s="7">
        <f t="shared" si="19"/>
        <v>800</v>
      </c>
      <c r="X13" s="7">
        <f t="shared" si="20"/>
        <v>13.98845952</v>
      </c>
      <c r="Y13" s="7">
        <f t="shared" si="21"/>
        <v>900</v>
      </c>
      <c r="Z13" s="7">
        <f t="shared" si="22"/>
        <v>15.73701696</v>
      </c>
    </row>
    <row r="14">
      <c r="A14" s="30" t="str">
        <f>IFERROR(__xludf.DUMMYFUNCTION("""COMPUTED_VALUE"""),"2012 11")</f>
        <v>2012 11</v>
      </c>
      <c r="B14" s="30" t="str">
        <f>IFERROR(__xludf.DUMMYFUNCTION("""COMPUTED_VALUE"""),"57.25")</f>
        <v>57.25</v>
      </c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0.8733624454</v>
      </c>
      <c r="G14" s="7">
        <f t="shared" si="3"/>
        <v>100</v>
      </c>
      <c r="H14" s="7">
        <f t="shared" si="4"/>
        <v>1.746724891</v>
      </c>
      <c r="I14" s="7">
        <f t="shared" si="5"/>
        <v>150</v>
      </c>
      <c r="J14" s="7">
        <f t="shared" si="6"/>
        <v>2.620087336</v>
      </c>
      <c r="K14" s="7">
        <f t="shared" si="7"/>
        <v>200</v>
      </c>
      <c r="L14" s="7">
        <f t="shared" si="8"/>
        <v>3.493449782</v>
      </c>
      <c r="M14" s="7">
        <f t="shared" si="9"/>
        <v>300</v>
      </c>
      <c r="N14" s="7">
        <f t="shared" si="10"/>
        <v>5.240174672</v>
      </c>
      <c r="O14" s="7">
        <f t="shared" si="11"/>
        <v>400</v>
      </c>
      <c r="P14" s="7">
        <f t="shared" si="12"/>
        <v>6.986899563</v>
      </c>
      <c r="Q14" s="7">
        <f t="shared" si="13"/>
        <v>500</v>
      </c>
      <c r="R14" s="7">
        <f t="shared" si="14"/>
        <v>8.733624454</v>
      </c>
      <c r="S14" s="7">
        <f t="shared" si="15"/>
        <v>600</v>
      </c>
      <c r="T14" s="7">
        <f t="shared" si="16"/>
        <v>10.48034934</v>
      </c>
      <c r="U14" s="7">
        <f t="shared" si="17"/>
        <v>700</v>
      </c>
      <c r="V14" s="7">
        <f t="shared" si="18"/>
        <v>12.22707424</v>
      </c>
      <c r="W14" s="7">
        <f t="shared" si="19"/>
        <v>800</v>
      </c>
      <c r="X14" s="7">
        <f t="shared" si="20"/>
        <v>13.97379913</v>
      </c>
      <c r="Y14" s="7">
        <f t="shared" si="21"/>
        <v>900</v>
      </c>
      <c r="Z14" s="7">
        <f t="shared" si="22"/>
        <v>15.72052402</v>
      </c>
    </row>
    <row r="15">
      <c r="A15" s="30" t="str">
        <f>IFERROR(__xludf.DUMMYFUNCTION("""COMPUTED_VALUE"""),"2012 12")</f>
        <v>2012 12</v>
      </c>
      <c r="B15" s="30" t="str">
        <f>IFERROR(__xludf.DUMMYFUNCTION("""COMPUTED_VALUE"""),"58.4")</f>
        <v>58.4</v>
      </c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0.8561643836</v>
      </c>
      <c r="G15" s="7">
        <f t="shared" si="3"/>
        <v>100</v>
      </c>
      <c r="H15" s="7">
        <f t="shared" si="4"/>
        <v>1.712328767</v>
      </c>
      <c r="I15" s="7">
        <f t="shared" si="5"/>
        <v>150</v>
      </c>
      <c r="J15" s="7">
        <f t="shared" si="6"/>
        <v>2.568493151</v>
      </c>
      <c r="K15" s="7">
        <f t="shared" si="7"/>
        <v>200</v>
      </c>
      <c r="L15" s="7">
        <f t="shared" si="8"/>
        <v>3.424657534</v>
      </c>
      <c r="M15" s="7">
        <f t="shared" si="9"/>
        <v>300</v>
      </c>
      <c r="N15" s="7">
        <f t="shared" si="10"/>
        <v>5.136986301</v>
      </c>
      <c r="O15" s="7">
        <f t="shared" si="11"/>
        <v>400</v>
      </c>
      <c r="P15" s="7">
        <f t="shared" si="12"/>
        <v>6.849315068</v>
      </c>
      <c r="Q15" s="7">
        <f t="shared" si="13"/>
        <v>500</v>
      </c>
      <c r="R15" s="7">
        <f t="shared" si="14"/>
        <v>8.561643836</v>
      </c>
      <c r="S15" s="7">
        <f t="shared" si="15"/>
        <v>600</v>
      </c>
      <c r="T15" s="7">
        <f t="shared" si="16"/>
        <v>10.2739726</v>
      </c>
      <c r="U15" s="7">
        <f t="shared" si="17"/>
        <v>700</v>
      </c>
      <c r="V15" s="7">
        <f t="shared" si="18"/>
        <v>11.98630137</v>
      </c>
      <c r="W15" s="7">
        <f t="shared" si="19"/>
        <v>800</v>
      </c>
      <c r="X15" s="7">
        <f t="shared" si="20"/>
        <v>13.69863014</v>
      </c>
      <c r="Y15" s="7">
        <f t="shared" si="21"/>
        <v>900</v>
      </c>
      <c r="Z15" s="7">
        <f t="shared" si="22"/>
        <v>15.4109589</v>
      </c>
    </row>
    <row r="16">
      <c r="A16" s="30" t="str">
        <f>IFERROR(__xludf.DUMMYFUNCTION("""COMPUTED_VALUE"""),"2013 01")</f>
        <v>2013 01</v>
      </c>
      <c r="B16" s="30" t="str">
        <f>IFERROR(__xludf.DUMMYFUNCTION("""COMPUTED_VALUE"""),"59.93")</f>
        <v>59.93</v>
      </c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0.8343066911</v>
      </c>
      <c r="G16" s="7">
        <f t="shared" si="3"/>
        <v>100</v>
      </c>
      <c r="H16" s="7">
        <f t="shared" si="4"/>
        <v>1.668613382</v>
      </c>
      <c r="I16" s="7">
        <f t="shared" si="5"/>
        <v>150</v>
      </c>
      <c r="J16" s="7">
        <f t="shared" si="6"/>
        <v>2.502920073</v>
      </c>
      <c r="K16" s="7">
        <f t="shared" si="7"/>
        <v>200</v>
      </c>
      <c r="L16" s="7">
        <f t="shared" si="8"/>
        <v>3.337226765</v>
      </c>
      <c r="M16" s="7">
        <f t="shared" si="9"/>
        <v>300</v>
      </c>
      <c r="N16" s="7">
        <f t="shared" si="10"/>
        <v>5.005840147</v>
      </c>
      <c r="O16" s="7">
        <f t="shared" si="11"/>
        <v>400</v>
      </c>
      <c r="P16" s="7">
        <f t="shared" si="12"/>
        <v>6.674453529</v>
      </c>
      <c r="Q16" s="7">
        <f t="shared" si="13"/>
        <v>500</v>
      </c>
      <c r="R16" s="7">
        <f t="shared" si="14"/>
        <v>8.343066911</v>
      </c>
      <c r="S16" s="7">
        <f t="shared" si="15"/>
        <v>600</v>
      </c>
      <c r="T16" s="7">
        <f t="shared" si="16"/>
        <v>10.01168029</v>
      </c>
      <c r="U16" s="7">
        <f t="shared" si="17"/>
        <v>700</v>
      </c>
      <c r="V16" s="7">
        <f t="shared" si="18"/>
        <v>11.68029368</v>
      </c>
      <c r="W16" s="7">
        <f t="shared" si="19"/>
        <v>800</v>
      </c>
      <c r="X16" s="7">
        <f t="shared" si="20"/>
        <v>13.34890706</v>
      </c>
      <c r="Y16" s="7">
        <f t="shared" si="21"/>
        <v>900</v>
      </c>
      <c r="Z16" s="7">
        <f t="shared" si="22"/>
        <v>15.01752044</v>
      </c>
    </row>
    <row r="17">
      <c r="A17" s="30" t="str">
        <f>IFERROR(__xludf.DUMMYFUNCTION("""COMPUTED_VALUE"""),"2013 02")</f>
        <v>2013 02</v>
      </c>
      <c r="B17" s="30" t="str">
        <f>IFERROR(__xludf.DUMMYFUNCTION("""COMPUTED_VALUE"""),"62.63")</f>
        <v>62.63</v>
      </c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0.7983394539</v>
      </c>
      <c r="G17" s="7">
        <f t="shared" si="3"/>
        <v>100</v>
      </c>
      <c r="H17" s="7">
        <f t="shared" si="4"/>
        <v>1.596678908</v>
      </c>
      <c r="I17" s="7">
        <f t="shared" si="5"/>
        <v>150</v>
      </c>
      <c r="J17" s="7">
        <f t="shared" si="6"/>
        <v>2.395018362</v>
      </c>
      <c r="K17" s="7">
        <f t="shared" si="7"/>
        <v>200</v>
      </c>
      <c r="L17" s="7">
        <f t="shared" si="8"/>
        <v>3.193357816</v>
      </c>
      <c r="M17" s="7">
        <f t="shared" si="9"/>
        <v>300</v>
      </c>
      <c r="N17" s="7">
        <f t="shared" si="10"/>
        <v>4.790036724</v>
      </c>
      <c r="O17" s="7">
        <f t="shared" si="11"/>
        <v>400</v>
      </c>
      <c r="P17" s="7">
        <f t="shared" si="12"/>
        <v>6.386715631</v>
      </c>
      <c r="Q17" s="7">
        <f t="shared" si="13"/>
        <v>500</v>
      </c>
      <c r="R17" s="7">
        <f t="shared" si="14"/>
        <v>7.983394539</v>
      </c>
      <c r="S17" s="7">
        <f t="shared" si="15"/>
        <v>600</v>
      </c>
      <c r="T17" s="7">
        <f t="shared" si="16"/>
        <v>9.580073447</v>
      </c>
      <c r="U17" s="7">
        <f t="shared" si="17"/>
        <v>700</v>
      </c>
      <c r="V17" s="7">
        <f t="shared" si="18"/>
        <v>11.17675236</v>
      </c>
      <c r="W17" s="7">
        <f t="shared" si="19"/>
        <v>800</v>
      </c>
      <c r="X17" s="7">
        <f t="shared" si="20"/>
        <v>12.77343126</v>
      </c>
      <c r="Y17" s="7">
        <f t="shared" si="21"/>
        <v>900</v>
      </c>
      <c r="Z17" s="7">
        <f t="shared" si="22"/>
        <v>14.37011017</v>
      </c>
    </row>
    <row r="18">
      <c r="A18" s="30" t="str">
        <f>IFERROR(__xludf.DUMMYFUNCTION("""COMPUTED_VALUE"""),"2013 03")</f>
        <v>2013 03</v>
      </c>
      <c r="B18" s="30" t="str">
        <f>IFERROR(__xludf.DUMMYFUNCTION("""COMPUTED_VALUE"""),"65.02")</f>
        <v>65.02</v>
      </c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0.7689941556</v>
      </c>
      <c r="G18" s="7">
        <f t="shared" si="3"/>
        <v>100</v>
      </c>
      <c r="H18" s="7">
        <f t="shared" si="4"/>
        <v>1.537988311</v>
      </c>
      <c r="I18" s="7">
        <f t="shared" si="5"/>
        <v>150</v>
      </c>
      <c r="J18" s="7">
        <f t="shared" si="6"/>
        <v>2.306982467</v>
      </c>
      <c r="K18" s="7">
        <f t="shared" si="7"/>
        <v>200</v>
      </c>
      <c r="L18" s="7">
        <f t="shared" si="8"/>
        <v>3.075976623</v>
      </c>
      <c r="M18" s="7">
        <f t="shared" si="9"/>
        <v>300</v>
      </c>
      <c r="N18" s="7">
        <f t="shared" si="10"/>
        <v>4.613964934</v>
      </c>
      <c r="O18" s="7">
        <f t="shared" si="11"/>
        <v>400</v>
      </c>
      <c r="P18" s="7">
        <f t="shared" si="12"/>
        <v>6.151953245</v>
      </c>
      <c r="Q18" s="7">
        <f t="shared" si="13"/>
        <v>500</v>
      </c>
      <c r="R18" s="7">
        <f t="shared" si="14"/>
        <v>7.689941556</v>
      </c>
      <c r="S18" s="7">
        <f t="shared" si="15"/>
        <v>600</v>
      </c>
      <c r="T18" s="7">
        <f t="shared" si="16"/>
        <v>9.227929868</v>
      </c>
      <c r="U18" s="7">
        <f t="shared" si="17"/>
        <v>700</v>
      </c>
      <c r="V18" s="7">
        <f t="shared" si="18"/>
        <v>10.76591818</v>
      </c>
      <c r="W18" s="7">
        <f t="shared" si="19"/>
        <v>800</v>
      </c>
      <c r="X18" s="7">
        <f t="shared" si="20"/>
        <v>12.30390649</v>
      </c>
      <c r="Y18" s="7">
        <f t="shared" si="21"/>
        <v>900</v>
      </c>
      <c r="Z18" s="7">
        <f t="shared" si="22"/>
        <v>13.8418948</v>
      </c>
    </row>
    <row r="19">
      <c r="A19" s="30" t="str">
        <f>IFERROR(__xludf.DUMMYFUNCTION("""COMPUTED_VALUE"""),"2013 04")</f>
        <v>2013 04</v>
      </c>
      <c r="B19" s="30" t="str">
        <f>IFERROR(__xludf.DUMMYFUNCTION("""COMPUTED_VALUE"""),"63.62")</f>
        <v>63.62</v>
      </c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0.7859163785</v>
      </c>
      <c r="G19" s="7">
        <f t="shared" si="3"/>
        <v>100</v>
      </c>
      <c r="H19" s="7">
        <f t="shared" si="4"/>
        <v>1.571832757</v>
      </c>
      <c r="I19" s="7">
        <f t="shared" si="5"/>
        <v>150</v>
      </c>
      <c r="J19" s="7">
        <f t="shared" si="6"/>
        <v>2.357749135</v>
      </c>
      <c r="K19" s="7">
        <f t="shared" si="7"/>
        <v>200</v>
      </c>
      <c r="L19" s="7">
        <f t="shared" si="8"/>
        <v>3.143665514</v>
      </c>
      <c r="M19" s="7">
        <f t="shared" si="9"/>
        <v>300</v>
      </c>
      <c r="N19" s="7">
        <f t="shared" si="10"/>
        <v>4.715498271</v>
      </c>
      <c r="O19" s="7">
        <f t="shared" si="11"/>
        <v>400</v>
      </c>
      <c r="P19" s="7">
        <f t="shared" si="12"/>
        <v>6.287331028</v>
      </c>
      <c r="Q19" s="7">
        <f t="shared" si="13"/>
        <v>500</v>
      </c>
      <c r="R19" s="7">
        <f t="shared" si="14"/>
        <v>7.859163785</v>
      </c>
      <c r="S19" s="7">
        <f t="shared" si="15"/>
        <v>600</v>
      </c>
      <c r="T19" s="7">
        <f t="shared" si="16"/>
        <v>9.430996542</v>
      </c>
      <c r="U19" s="7">
        <f t="shared" si="17"/>
        <v>700</v>
      </c>
      <c r="V19" s="7">
        <f t="shared" si="18"/>
        <v>11.0028293</v>
      </c>
      <c r="W19" s="7">
        <f t="shared" si="19"/>
        <v>800</v>
      </c>
      <c r="X19" s="7">
        <f t="shared" si="20"/>
        <v>12.57466206</v>
      </c>
      <c r="Y19" s="7">
        <f t="shared" si="21"/>
        <v>900</v>
      </c>
      <c r="Z19" s="7">
        <f t="shared" si="22"/>
        <v>14.14649481</v>
      </c>
    </row>
    <row r="20">
      <c r="A20" s="30" t="str">
        <f>IFERROR(__xludf.DUMMYFUNCTION("""COMPUTED_VALUE"""),"2013 05")</f>
        <v>2013 05</v>
      </c>
      <c r="B20" s="30" t="str">
        <f>IFERROR(__xludf.DUMMYFUNCTION("""COMPUTED_VALUE"""),"65.78")</f>
        <v>65.78</v>
      </c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0.7601094558</v>
      </c>
      <c r="G20" s="7">
        <f t="shared" si="3"/>
        <v>100</v>
      </c>
      <c r="H20" s="7">
        <f t="shared" si="4"/>
        <v>1.520218912</v>
      </c>
      <c r="I20" s="7">
        <f t="shared" si="5"/>
        <v>150</v>
      </c>
      <c r="J20" s="7">
        <f t="shared" si="6"/>
        <v>2.280328367</v>
      </c>
      <c r="K20" s="7">
        <f t="shared" si="7"/>
        <v>200</v>
      </c>
      <c r="L20" s="7">
        <f t="shared" si="8"/>
        <v>3.040437823</v>
      </c>
      <c r="M20" s="7">
        <f t="shared" si="9"/>
        <v>300</v>
      </c>
      <c r="N20" s="7">
        <f t="shared" si="10"/>
        <v>4.560656735</v>
      </c>
      <c r="O20" s="7">
        <f t="shared" si="11"/>
        <v>400</v>
      </c>
      <c r="P20" s="7">
        <f t="shared" si="12"/>
        <v>6.080875646</v>
      </c>
      <c r="Q20" s="7">
        <f t="shared" si="13"/>
        <v>500</v>
      </c>
      <c r="R20" s="7">
        <f t="shared" si="14"/>
        <v>7.601094558</v>
      </c>
      <c r="S20" s="7">
        <f t="shared" si="15"/>
        <v>600</v>
      </c>
      <c r="T20" s="7">
        <f t="shared" si="16"/>
        <v>9.121313469</v>
      </c>
      <c r="U20" s="7">
        <f t="shared" si="17"/>
        <v>700</v>
      </c>
      <c r="V20" s="7">
        <f t="shared" si="18"/>
        <v>10.64153238</v>
      </c>
      <c r="W20" s="7">
        <f t="shared" si="19"/>
        <v>800</v>
      </c>
      <c r="X20" s="7">
        <f t="shared" si="20"/>
        <v>12.16175129</v>
      </c>
      <c r="Y20" s="7">
        <f t="shared" si="21"/>
        <v>900</v>
      </c>
      <c r="Z20" s="7">
        <f t="shared" si="22"/>
        <v>13.6819702</v>
      </c>
    </row>
    <row r="21">
      <c r="A21" s="30" t="str">
        <f>IFERROR(__xludf.DUMMYFUNCTION("""COMPUTED_VALUE"""),"2013 06")</f>
        <v>2013 06</v>
      </c>
      <c r="B21" s="30" t="str">
        <f>IFERROR(__xludf.DUMMYFUNCTION("""COMPUTED_VALUE"""),"62.75")</f>
        <v>62.75</v>
      </c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0.796812749</v>
      </c>
      <c r="G21" s="7">
        <f t="shared" si="3"/>
        <v>100</v>
      </c>
      <c r="H21" s="7">
        <f t="shared" si="4"/>
        <v>1.593625498</v>
      </c>
      <c r="I21" s="7">
        <f t="shared" si="5"/>
        <v>150</v>
      </c>
      <c r="J21" s="7">
        <f t="shared" si="6"/>
        <v>2.390438247</v>
      </c>
      <c r="K21" s="7">
        <f t="shared" si="7"/>
        <v>200</v>
      </c>
      <c r="L21" s="7">
        <f t="shared" si="8"/>
        <v>3.187250996</v>
      </c>
      <c r="M21" s="7">
        <f t="shared" si="9"/>
        <v>300</v>
      </c>
      <c r="N21" s="7">
        <f t="shared" si="10"/>
        <v>4.780876494</v>
      </c>
      <c r="O21" s="7">
        <f t="shared" si="11"/>
        <v>400</v>
      </c>
      <c r="P21" s="7">
        <f t="shared" si="12"/>
        <v>6.374501992</v>
      </c>
      <c r="Q21" s="7">
        <f t="shared" si="13"/>
        <v>500</v>
      </c>
      <c r="R21" s="7">
        <f t="shared" si="14"/>
        <v>7.96812749</v>
      </c>
      <c r="S21" s="7">
        <f t="shared" si="15"/>
        <v>600</v>
      </c>
      <c r="T21" s="7">
        <f t="shared" si="16"/>
        <v>9.561752988</v>
      </c>
      <c r="U21" s="7">
        <f t="shared" si="17"/>
        <v>700</v>
      </c>
      <c r="V21" s="7">
        <f t="shared" si="18"/>
        <v>11.15537849</v>
      </c>
      <c r="W21" s="7">
        <f t="shared" si="19"/>
        <v>800</v>
      </c>
      <c r="X21" s="7">
        <f t="shared" si="20"/>
        <v>12.74900398</v>
      </c>
      <c r="Y21" s="7">
        <f t="shared" si="21"/>
        <v>900</v>
      </c>
      <c r="Z21" s="7">
        <f t="shared" si="22"/>
        <v>14.34262948</v>
      </c>
    </row>
    <row r="22">
      <c r="A22" s="30" t="str">
        <f>IFERROR(__xludf.DUMMYFUNCTION("""COMPUTED_VALUE"""),"2013 07")</f>
        <v>2013 07</v>
      </c>
      <c r="B22" s="30" t="str">
        <f>IFERROR(__xludf.DUMMYFUNCTION("""COMPUTED_VALUE"""),"60.73")</f>
        <v>60.73</v>
      </c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0.8233163181</v>
      </c>
      <c r="G22" s="7">
        <f t="shared" si="3"/>
        <v>100</v>
      </c>
      <c r="H22" s="7">
        <f t="shared" si="4"/>
        <v>1.646632636</v>
      </c>
      <c r="I22" s="7">
        <f t="shared" si="5"/>
        <v>150</v>
      </c>
      <c r="J22" s="7">
        <f t="shared" si="6"/>
        <v>2.469948954</v>
      </c>
      <c r="K22" s="7">
        <f t="shared" si="7"/>
        <v>200</v>
      </c>
      <c r="L22" s="7">
        <f t="shared" si="8"/>
        <v>3.293265273</v>
      </c>
      <c r="M22" s="7">
        <f t="shared" si="9"/>
        <v>300</v>
      </c>
      <c r="N22" s="7">
        <f t="shared" si="10"/>
        <v>4.939897909</v>
      </c>
      <c r="O22" s="7">
        <f t="shared" si="11"/>
        <v>400</v>
      </c>
      <c r="P22" s="7">
        <f t="shared" si="12"/>
        <v>6.586530545</v>
      </c>
      <c r="Q22" s="7">
        <f t="shared" si="13"/>
        <v>500</v>
      </c>
      <c r="R22" s="7">
        <f t="shared" si="14"/>
        <v>8.233163181</v>
      </c>
      <c r="S22" s="7">
        <f t="shared" si="15"/>
        <v>600</v>
      </c>
      <c r="T22" s="7">
        <f t="shared" si="16"/>
        <v>9.879795818</v>
      </c>
      <c r="U22" s="7">
        <f t="shared" si="17"/>
        <v>700</v>
      </c>
      <c r="V22" s="7">
        <f t="shared" si="18"/>
        <v>11.52642845</v>
      </c>
      <c r="W22" s="7">
        <f t="shared" si="19"/>
        <v>800</v>
      </c>
      <c r="X22" s="7">
        <f t="shared" si="20"/>
        <v>13.17306109</v>
      </c>
      <c r="Y22" s="7">
        <f t="shared" si="21"/>
        <v>900</v>
      </c>
      <c r="Z22" s="7">
        <f t="shared" si="22"/>
        <v>14.81969373</v>
      </c>
    </row>
    <row r="23">
      <c r="A23" s="30" t="str">
        <f>IFERROR(__xludf.DUMMYFUNCTION("""COMPUTED_VALUE"""),"2013 08")</f>
        <v>2013 08</v>
      </c>
      <c r="B23" s="30" t="str">
        <f>IFERROR(__xludf.DUMMYFUNCTION("""COMPUTED_VALUE"""),"64.38")</f>
        <v>64.38</v>
      </c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0.7766387077</v>
      </c>
      <c r="G23" s="7">
        <f t="shared" si="3"/>
        <v>100</v>
      </c>
      <c r="H23" s="7">
        <f t="shared" si="4"/>
        <v>1.553277415</v>
      </c>
      <c r="I23" s="7">
        <f t="shared" si="5"/>
        <v>150</v>
      </c>
      <c r="J23" s="7">
        <f t="shared" si="6"/>
        <v>2.329916123</v>
      </c>
      <c r="K23" s="7">
        <f t="shared" si="7"/>
        <v>200</v>
      </c>
      <c r="L23" s="7">
        <f t="shared" si="8"/>
        <v>3.106554831</v>
      </c>
      <c r="M23" s="7">
        <f t="shared" si="9"/>
        <v>300</v>
      </c>
      <c r="N23" s="7">
        <f t="shared" si="10"/>
        <v>4.659832246</v>
      </c>
      <c r="O23" s="7">
        <f t="shared" si="11"/>
        <v>400</v>
      </c>
      <c r="P23" s="7">
        <f t="shared" si="12"/>
        <v>6.213109661</v>
      </c>
      <c r="Q23" s="7">
        <f t="shared" si="13"/>
        <v>500</v>
      </c>
      <c r="R23" s="7">
        <f t="shared" si="14"/>
        <v>7.766387077</v>
      </c>
      <c r="S23" s="7">
        <f t="shared" si="15"/>
        <v>600</v>
      </c>
      <c r="T23" s="7">
        <f t="shared" si="16"/>
        <v>9.319664492</v>
      </c>
      <c r="U23" s="7">
        <f t="shared" si="17"/>
        <v>700</v>
      </c>
      <c r="V23" s="7">
        <f t="shared" si="18"/>
        <v>10.87294191</v>
      </c>
      <c r="W23" s="7">
        <f t="shared" si="19"/>
        <v>800</v>
      </c>
      <c r="X23" s="7">
        <f t="shared" si="20"/>
        <v>12.42621932</v>
      </c>
      <c r="Y23" s="7">
        <f t="shared" si="21"/>
        <v>900</v>
      </c>
      <c r="Z23" s="7">
        <f t="shared" si="22"/>
        <v>13.97949674</v>
      </c>
    </row>
    <row r="24">
      <c r="A24" s="30" t="str">
        <f>IFERROR(__xludf.DUMMYFUNCTION("""COMPUTED_VALUE"""),"2013 09")</f>
        <v>2013 09</v>
      </c>
      <c r="B24" s="30" t="str">
        <f>IFERROR(__xludf.DUMMYFUNCTION("""COMPUTED_VALUE"""),"66.8")</f>
        <v>66.8</v>
      </c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0.748502994</v>
      </c>
      <c r="G24" s="7">
        <f t="shared" si="3"/>
        <v>100</v>
      </c>
      <c r="H24" s="7">
        <f t="shared" si="4"/>
        <v>1.497005988</v>
      </c>
      <c r="I24" s="7">
        <f t="shared" si="5"/>
        <v>150</v>
      </c>
      <c r="J24" s="7">
        <f t="shared" si="6"/>
        <v>2.245508982</v>
      </c>
      <c r="K24" s="7">
        <f t="shared" si="7"/>
        <v>200</v>
      </c>
      <c r="L24" s="7">
        <f t="shared" si="8"/>
        <v>2.994011976</v>
      </c>
      <c r="M24" s="7">
        <f t="shared" si="9"/>
        <v>300</v>
      </c>
      <c r="N24" s="7">
        <f t="shared" si="10"/>
        <v>4.491017964</v>
      </c>
      <c r="O24" s="7">
        <f t="shared" si="11"/>
        <v>400</v>
      </c>
      <c r="P24" s="7">
        <f t="shared" si="12"/>
        <v>5.988023952</v>
      </c>
      <c r="Q24" s="7">
        <f t="shared" si="13"/>
        <v>500</v>
      </c>
      <c r="R24" s="7">
        <f t="shared" si="14"/>
        <v>7.48502994</v>
      </c>
      <c r="S24" s="7">
        <f t="shared" si="15"/>
        <v>600</v>
      </c>
      <c r="T24" s="7">
        <f t="shared" si="16"/>
        <v>8.982035928</v>
      </c>
      <c r="U24" s="7">
        <f t="shared" si="17"/>
        <v>700</v>
      </c>
      <c r="V24" s="7">
        <f t="shared" si="18"/>
        <v>10.47904192</v>
      </c>
      <c r="W24" s="7">
        <f t="shared" si="19"/>
        <v>800</v>
      </c>
      <c r="X24" s="7">
        <f t="shared" si="20"/>
        <v>11.9760479</v>
      </c>
      <c r="Y24" s="7">
        <f t="shared" si="21"/>
        <v>900</v>
      </c>
      <c r="Z24" s="7">
        <f t="shared" si="22"/>
        <v>13.47305389</v>
      </c>
    </row>
    <row r="25">
      <c r="A25" s="30" t="str">
        <f>IFERROR(__xludf.DUMMYFUNCTION("""COMPUTED_VALUE"""),"2013 10")</f>
        <v>2013 10</v>
      </c>
      <c r="B25" s="30" t="str">
        <f>IFERROR(__xludf.DUMMYFUNCTION("""COMPUTED_VALUE"""),"66.39")</f>
        <v>66.39</v>
      </c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0.7531254707</v>
      </c>
      <c r="G25" s="7">
        <f t="shared" si="3"/>
        <v>100</v>
      </c>
      <c r="H25" s="7">
        <f t="shared" si="4"/>
        <v>1.506250941</v>
      </c>
      <c r="I25" s="7">
        <f t="shared" si="5"/>
        <v>150</v>
      </c>
      <c r="J25" s="7">
        <f t="shared" si="6"/>
        <v>2.259376412</v>
      </c>
      <c r="K25" s="7">
        <f t="shared" si="7"/>
        <v>200</v>
      </c>
      <c r="L25" s="7">
        <f t="shared" si="8"/>
        <v>3.012501883</v>
      </c>
      <c r="M25" s="7">
        <f t="shared" si="9"/>
        <v>300</v>
      </c>
      <c r="N25" s="7">
        <f t="shared" si="10"/>
        <v>4.518752824</v>
      </c>
      <c r="O25" s="7">
        <f t="shared" si="11"/>
        <v>400</v>
      </c>
      <c r="P25" s="7">
        <f t="shared" si="12"/>
        <v>6.025003766</v>
      </c>
      <c r="Q25" s="7">
        <f t="shared" si="13"/>
        <v>500</v>
      </c>
      <c r="R25" s="7">
        <f t="shared" si="14"/>
        <v>7.531254707</v>
      </c>
      <c r="S25" s="7">
        <f t="shared" si="15"/>
        <v>600</v>
      </c>
      <c r="T25" s="7">
        <f t="shared" si="16"/>
        <v>9.037505648</v>
      </c>
      <c r="U25" s="7">
        <f t="shared" si="17"/>
        <v>700</v>
      </c>
      <c r="V25" s="7">
        <f t="shared" si="18"/>
        <v>10.54375659</v>
      </c>
      <c r="W25" s="7">
        <f t="shared" si="19"/>
        <v>800</v>
      </c>
      <c r="X25" s="7">
        <f t="shared" si="20"/>
        <v>12.05000753</v>
      </c>
      <c r="Y25" s="7">
        <f t="shared" si="21"/>
        <v>900</v>
      </c>
      <c r="Z25" s="7">
        <f t="shared" si="22"/>
        <v>13.55625847</v>
      </c>
    </row>
    <row r="26">
      <c r="A26" s="30" t="str">
        <f>IFERROR(__xludf.DUMMYFUNCTION("""COMPUTED_VALUE"""),"2013 11")</f>
        <v>2013 11</v>
      </c>
      <c r="B26" s="30" t="str">
        <f>IFERROR(__xludf.DUMMYFUNCTION("""COMPUTED_VALUE"""),"68.88")</f>
        <v>68.88</v>
      </c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0.7259001161</v>
      </c>
      <c r="G26" s="7">
        <f t="shared" si="3"/>
        <v>100</v>
      </c>
      <c r="H26" s="7">
        <f t="shared" si="4"/>
        <v>1.451800232</v>
      </c>
      <c r="I26" s="7">
        <f t="shared" si="5"/>
        <v>150</v>
      </c>
      <c r="J26" s="7">
        <f t="shared" si="6"/>
        <v>2.177700348</v>
      </c>
      <c r="K26" s="7">
        <f t="shared" si="7"/>
        <v>200</v>
      </c>
      <c r="L26" s="7">
        <f t="shared" si="8"/>
        <v>2.903600465</v>
      </c>
      <c r="M26" s="7">
        <f t="shared" si="9"/>
        <v>300</v>
      </c>
      <c r="N26" s="7">
        <f t="shared" si="10"/>
        <v>4.355400697</v>
      </c>
      <c r="O26" s="7">
        <f t="shared" si="11"/>
        <v>400</v>
      </c>
      <c r="P26" s="7">
        <f t="shared" si="12"/>
        <v>5.807200929</v>
      </c>
      <c r="Q26" s="7">
        <f t="shared" si="13"/>
        <v>500</v>
      </c>
      <c r="R26" s="7">
        <f t="shared" si="14"/>
        <v>7.259001161</v>
      </c>
      <c r="S26" s="7">
        <f t="shared" si="15"/>
        <v>600</v>
      </c>
      <c r="T26" s="7">
        <f t="shared" si="16"/>
        <v>8.710801394</v>
      </c>
      <c r="U26" s="7">
        <f t="shared" si="17"/>
        <v>700</v>
      </c>
      <c r="V26" s="7">
        <f t="shared" si="18"/>
        <v>10.16260163</v>
      </c>
      <c r="W26" s="7">
        <f t="shared" si="19"/>
        <v>800</v>
      </c>
      <c r="X26" s="7">
        <f t="shared" si="20"/>
        <v>11.61440186</v>
      </c>
      <c r="Y26" s="7">
        <f t="shared" si="21"/>
        <v>900</v>
      </c>
      <c r="Z26" s="7">
        <f t="shared" si="22"/>
        <v>13.06620209</v>
      </c>
    </row>
    <row r="27">
      <c r="A27" s="30" t="str">
        <f>IFERROR(__xludf.DUMMYFUNCTION("""COMPUTED_VALUE"""),"2013 12")</f>
        <v>2013 12</v>
      </c>
      <c r="B27" s="30" t="str">
        <f>IFERROR(__xludf.DUMMYFUNCTION("""COMPUTED_VALUE"""),"67.5")</f>
        <v>67.5</v>
      </c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0.7407407407</v>
      </c>
      <c r="G27" s="7">
        <f t="shared" si="3"/>
        <v>100</v>
      </c>
      <c r="H27" s="7">
        <f t="shared" si="4"/>
        <v>1.481481481</v>
      </c>
      <c r="I27" s="7">
        <f t="shared" si="5"/>
        <v>150</v>
      </c>
      <c r="J27" s="7">
        <f t="shared" si="6"/>
        <v>2.222222222</v>
      </c>
      <c r="K27" s="7">
        <f t="shared" si="7"/>
        <v>200</v>
      </c>
      <c r="L27" s="7">
        <f t="shared" si="8"/>
        <v>2.962962963</v>
      </c>
      <c r="M27" s="7">
        <f t="shared" si="9"/>
        <v>300</v>
      </c>
      <c r="N27" s="7">
        <f t="shared" si="10"/>
        <v>4.444444444</v>
      </c>
      <c r="O27" s="7">
        <f t="shared" si="11"/>
        <v>400</v>
      </c>
      <c r="P27" s="7">
        <f t="shared" si="12"/>
        <v>5.925925926</v>
      </c>
      <c r="Q27" s="7">
        <f t="shared" si="13"/>
        <v>500</v>
      </c>
      <c r="R27" s="7">
        <f t="shared" si="14"/>
        <v>7.407407407</v>
      </c>
      <c r="S27" s="7">
        <f t="shared" si="15"/>
        <v>600</v>
      </c>
      <c r="T27" s="7">
        <f t="shared" si="16"/>
        <v>8.888888889</v>
      </c>
      <c r="U27" s="7">
        <f t="shared" si="17"/>
        <v>700</v>
      </c>
      <c r="V27" s="7">
        <f t="shared" si="18"/>
        <v>10.37037037</v>
      </c>
      <c r="W27" s="7">
        <f t="shared" si="19"/>
        <v>800</v>
      </c>
      <c r="X27" s="7">
        <f t="shared" si="20"/>
        <v>11.85185185</v>
      </c>
      <c r="Y27" s="7">
        <f t="shared" si="21"/>
        <v>900</v>
      </c>
      <c r="Z27" s="7">
        <f t="shared" si="22"/>
        <v>13.33333333</v>
      </c>
    </row>
    <row r="28">
      <c r="A28" s="30" t="str">
        <f>IFERROR(__xludf.DUMMYFUNCTION("""COMPUTED_VALUE"""),"2014 01")</f>
        <v>2014 01</v>
      </c>
      <c r="B28" s="30" t="str">
        <f>IFERROR(__xludf.DUMMYFUNCTION("""COMPUTED_VALUE"""),"67.81")</f>
        <v>67.81</v>
      </c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0.7373543725</v>
      </c>
      <c r="G28" s="7">
        <f t="shared" si="3"/>
        <v>100</v>
      </c>
      <c r="H28" s="7">
        <f t="shared" si="4"/>
        <v>1.474708745</v>
      </c>
      <c r="I28" s="7">
        <f t="shared" si="5"/>
        <v>150</v>
      </c>
      <c r="J28" s="7">
        <f t="shared" si="6"/>
        <v>2.212063118</v>
      </c>
      <c r="K28" s="7">
        <f t="shared" si="7"/>
        <v>200</v>
      </c>
      <c r="L28" s="7">
        <f t="shared" si="8"/>
        <v>2.94941749</v>
      </c>
      <c r="M28" s="7">
        <f t="shared" si="9"/>
        <v>300</v>
      </c>
      <c r="N28" s="7">
        <f t="shared" si="10"/>
        <v>4.424126235</v>
      </c>
      <c r="O28" s="7">
        <f t="shared" si="11"/>
        <v>400</v>
      </c>
      <c r="P28" s="7">
        <f t="shared" si="12"/>
        <v>5.89883498</v>
      </c>
      <c r="Q28" s="7">
        <f t="shared" si="13"/>
        <v>500</v>
      </c>
      <c r="R28" s="7">
        <f t="shared" si="14"/>
        <v>7.373543725</v>
      </c>
      <c r="S28" s="7">
        <f t="shared" si="15"/>
        <v>600</v>
      </c>
      <c r="T28" s="7">
        <f t="shared" si="16"/>
        <v>8.84825247</v>
      </c>
      <c r="U28" s="7">
        <f t="shared" si="17"/>
        <v>700</v>
      </c>
      <c r="V28" s="7">
        <f t="shared" si="18"/>
        <v>10.32296122</v>
      </c>
      <c r="W28" s="7">
        <f t="shared" si="19"/>
        <v>800</v>
      </c>
      <c r="X28" s="7">
        <f t="shared" si="20"/>
        <v>11.79766996</v>
      </c>
      <c r="Y28" s="7">
        <f t="shared" si="21"/>
        <v>900</v>
      </c>
      <c r="Z28" s="7">
        <f t="shared" si="22"/>
        <v>13.27237871</v>
      </c>
    </row>
    <row r="29">
      <c r="A29" s="30" t="str">
        <f>IFERROR(__xludf.DUMMYFUNCTION("""COMPUTED_VALUE"""),"2014 02")</f>
        <v>2014 02</v>
      </c>
      <c r="B29" s="30" t="str">
        <f>IFERROR(__xludf.DUMMYFUNCTION("""COMPUTED_VALUE"""),"64.64")</f>
        <v>64.64</v>
      </c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0.7735148515</v>
      </c>
      <c r="G29" s="7">
        <f t="shared" si="3"/>
        <v>100</v>
      </c>
      <c r="H29" s="7">
        <f t="shared" si="4"/>
        <v>1.547029703</v>
      </c>
      <c r="I29" s="7">
        <f t="shared" si="5"/>
        <v>150</v>
      </c>
      <c r="J29" s="7">
        <f t="shared" si="6"/>
        <v>2.320544554</v>
      </c>
      <c r="K29" s="7">
        <f t="shared" si="7"/>
        <v>200</v>
      </c>
      <c r="L29" s="7">
        <f t="shared" si="8"/>
        <v>3.094059406</v>
      </c>
      <c r="M29" s="7">
        <f t="shared" si="9"/>
        <v>300</v>
      </c>
      <c r="N29" s="7">
        <f t="shared" si="10"/>
        <v>4.641089109</v>
      </c>
      <c r="O29" s="7">
        <f t="shared" si="11"/>
        <v>400</v>
      </c>
      <c r="P29" s="7">
        <f t="shared" si="12"/>
        <v>6.188118812</v>
      </c>
      <c r="Q29" s="7">
        <f t="shared" si="13"/>
        <v>500</v>
      </c>
      <c r="R29" s="7">
        <f t="shared" si="14"/>
        <v>7.735148515</v>
      </c>
      <c r="S29" s="7">
        <f t="shared" si="15"/>
        <v>600</v>
      </c>
      <c r="T29" s="7">
        <f t="shared" si="16"/>
        <v>9.282178218</v>
      </c>
      <c r="U29" s="7">
        <f t="shared" si="17"/>
        <v>700</v>
      </c>
      <c r="V29" s="7">
        <f t="shared" si="18"/>
        <v>10.82920792</v>
      </c>
      <c r="W29" s="7">
        <f t="shared" si="19"/>
        <v>800</v>
      </c>
      <c r="X29" s="7">
        <f t="shared" si="20"/>
        <v>12.37623762</v>
      </c>
      <c r="Y29" s="7">
        <f t="shared" si="21"/>
        <v>900</v>
      </c>
      <c r="Z29" s="7">
        <f t="shared" si="22"/>
        <v>13.92326733</v>
      </c>
    </row>
    <row r="30">
      <c r="A30" s="30" t="str">
        <f>IFERROR(__xludf.DUMMYFUNCTION("""COMPUTED_VALUE"""),"2014 03")</f>
        <v>2014 03</v>
      </c>
      <c r="B30" s="30" t="str">
        <f>IFERROR(__xludf.DUMMYFUNCTION("""COMPUTED_VALUE"""),"68.66")</f>
        <v>68.66</v>
      </c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0.7282260414</v>
      </c>
      <c r="G30" s="7">
        <f t="shared" si="3"/>
        <v>100</v>
      </c>
      <c r="H30" s="7">
        <f t="shared" si="4"/>
        <v>1.456452083</v>
      </c>
      <c r="I30" s="7">
        <f t="shared" si="5"/>
        <v>150</v>
      </c>
      <c r="J30" s="7">
        <f t="shared" si="6"/>
        <v>2.184678124</v>
      </c>
      <c r="K30" s="7">
        <f t="shared" si="7"/>
        <v>200</v>
      </c>
      <c r="L30" s="7">
        <f t="shared" si="8"/>
        <v>2.912904165</v>
      </c>
      <c r="M30" s="7">
        <f t="shared" si="9"/>
        <v>300</v>
      </c>
      <c r="N30" s="7">
        <f t="shared" si="10"/>
        <v>4.369356248</v>
      </c>
      <c r="O30" s="7">
        <f t="shared" si="11"/>
        <v>400</v>
      </c>
      <c r="P30" s="7">
        <f t="shared" si="12"/>
        <v>5.825808331</v>
      </c>
      <c r="Q30" s="7">
        <f t="shared" si="13"/>
        <v>500</v>
      </c>
      <c r="R30" s="7">
        <f t="shared" si="14"/>
        <v>7.282260414</v>
      </c>
      <c r="S30" s="7">
        <f t="shared" si="15"/>
        <v>600</v>
      </c>
      <c r="T30" s="7">
        <f t="shared" si="16"/>
        <v>8.738712496</v>
      </c>
      <c r="U30" s="7">
        <f t="shared" si="17"/>
        <v>700</v>
      </c>
      <c r="V30" s="7">
        <f t="shared" si="18"/>
        <v>10.19516458</v>
      </c>
      <c r="W30" s="7">
        <f t="shared" si="19"/>
        <v>800</v>
      </c>
      <c r="X30" s="7">
        <f t="shared" si="20"/>
        <v>11.65161666</v>
      </c>
      <c r="Y30" s="7">
        <f t="shared" si="21"/>
        <v>900</v>
      </c>
      <c r="Z30" s="7">
        <f t="shared" si="22"/>
        <v>13.10806874</v>
      </c>
    </row>
    <row r="31">
      <c r="A31" s="30" t="str">
        <f>IFERROR(__xludf.DUMMYFUNCTION("""COMPUTED_VALUE"""),"2014 04")</f>
        <v>2014 04</v>
      </c>
      <c r="B31" s="30" t="str">
        <f>IFERROR(__xludf.DUMMYFUNCTION("""COMPUTED_VALUE"""),"68.59")</f>
        <v>68.59</v>
      </c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0.7289692375</v>
      </c>
      <c r="G31" s="7">
        <f t="shared" si="3"/>
        <v>100</v>
      </c>
      <c r="H31" s="7">
        <f t="shared" si="4"/>
        <v>1.457938475</v>
      </c>
      <c r="I31" s="7">
        <f t="shared" si="5"/>
        <v>150</v>
      </c>
      <c r="J31" s="7">
        <f t="shared" si="6"/>
        <v>2.186907712</v>
      </c>
      <c r="K31" s="7">
        <f t="shared" si="7"/>
        <v>200</v>
      </c>
      <c r="L31" s="7">
        <f t="shared" si="8"/>
        <v>2.91587695</v>
      </c>
      <c r="M31" s="7">
        <f t="shared" si="9"/>
        <v>300</v>
      </c>
      <c r="N31" s="7">
        <f t="shared" si="10"/>
        <v>4.373815425</v>
      </c>
      <c r="O31" s="7">
        <f t="shared" si="11"/>
        <v>400</v>
      </c>
      <c r="P31" s="7">
        <f t="shared" si="12"/>
        <v>5.8317539</v>
      </c>
      <c r="Q31" s="7">
        <f t="shared" si="13"/>
        <v>500</v>
      </c>
      <c r="R31" s="7">
        <f t="shared" si="14"/>
        <v>7.289692375</v>
      </c>
      <c r="S31" s="7">
        <f t="shared" si="15"/>
        <v>600</v>
      </c>
      <c r="T31" s="7">
        <f t="shared" si="16"/>
        <v>8.74763085</v>
      </c>
      <c r="U31" s="7">
        <f t="shared" si="17"/>
        <v>700</v>
      </c>
      <c r="V31" s="7">
        <f t="shared" si="18"/>
        <v>10.20556932</v>
      </c>
      <c r="W31" s="7">
        <f t="shared" si="19"/>
        <v>800</v>
      </c>
      <c r="X31" s="7">
        <f t="shared" si="20"/>
        <v>11.6635078</v>
      </c>
      <c r="Y31" s="7">
        <f t="shared" si="21"/>
        <v>900</v>
      </c>
      <c r="Z31" s="7">
        <f t="shared" si="22"/>
        <v>13.12144627</v>
      </c>
    </row>
    <row r="32">
      <c r="A32" s="30" t="str">
        <f>IFERROR(__xludf.DUMMYFUNCTION("""COMPUTED_VALUE"""),"2014 05")</f>
        <v>2014 05</v>
      </c>
      <c r="B32" s="30" t="str">
        <f>IFERROR(__xludf.DUMMYFUNCTION("""COMPUTED_VALUE"""),"69.13")</f>
        <v>69.13</v>
      </c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0.7232749892</v>
      </c>
      <c r="G32" s="7">
        <f t="shared" si="3"/>
        <v>100</v>
      </c>
      <c r="H32" s="7">
        <f t="shared" si="4"/>
        <v>1.446549978</v>
      </c>
      <c r="I32" s="7">
        <f t="shared" si="5"/>
        <v>150</v>
      </c>
      <c r="J32" s="7">
        <f t="shared" si="6"/>
        <v>2.169824967</v>
      </c>
      <c r="K32" s="7">
        <f t="shared" si="7"/>
        <v>200</v>
      </c>
      <c r="L32" s="7">
        <f t="shared" si="8"/>
        <v>2.893099957</v>
      </c>
      <c r="M32" s="7">
        <f t="shared" si="9"/>
        <v>300</v>
      </c>
      <c r="N32" s="7">
        <f t="shared" si="10"/>
        <v>4.339649935</v>
      </c>
      <c r="O32" s="7">
        <f t="shared" si="11"/>
        <v>400</v>
      </c>
      <c r="P32" s="7">
        <f t="shared" si="12"/>
        <v>5.786199913</v>
      </c>
      <c r="Q32" s="7">
        <f t="shared" si="13"/>
        <v>500</v>
      </c>
      <c r="R32" s="7">
        <f t="shared" si="14"/>
        <v>7.232749892</v>
      </c>
      <c r="S32" s="7">
        <f t="shared" si="15"/>
        <v>600</v>
      </c>
      <c r="T32" s="7">
        <f t="shared" si="16"/>
        <v>8.67929987</v>
      </c>
      <c r="U32" s="7">
        <f t="shared" si="17"/>
        <v>700</v>
      </c>
      <c r="V32" s="7">
        <f t="shared" si="18"/>
        <v>10.12584985</v>
      </c>
      <c r="W32" s="7">
        <f t="shared" si="19"/>
        <v>800</v>
      </c>
      <c r="X32" s="7">
        <f t="shared" si="20"/>
        <v>11.57239983</v>
      </c>
      <c r="Y32" s="7">
        <f t="shared" si="21"/>
        <v>900</v>
      </c>
      <c r="Z32" s="7">
        <f t="shared" si="22"/>
        <v>13.0189498</v>
      </c>
    </row>
    <row r="33">
      <c r="A33" s="30" t="str">
        <f>IFERROR(__xludf.DUMMYFUNCTION("""COMPUTED_VALUE"""),"2014 06")</f>
        <v>2014 06</v>
      </c>
      <c r="B33" s="30" t="str">
        <f>IFERROR(__xludf.DUMMYFUNCTION("""COMPUTED_VALUE"""),"70.52")</f>
        <v>70.52</v>
      </c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0.7090187181</v>
      </c>
      <c r="G33" s="7">
        <f t="shared" si="3"/>
        <v>100</v>
      </c>
      <c r="H33" s="7">
        <f t="shared" si="4"/>
        <v>1.418037436</v>
      </c>
      <c r="I33" s="7">
        <f t="shared" si="5"/>
        <v>150</v>
      </c>
      <c r="J33" s="7">
        <f t="shared" si="6"/>
        <v>2.127056154</v>
      </c>
      <c r="K33" s="7">
        <f t="shared" si="7"/>
        <v>200</v>
      </c>
      <c r="L33" s="7">
        <f t="shared" si="8"/>
        <v>2.836074872</v>
      </c>
      <c r="M33" s="7">
        <f t="shared" si="9"/>
        <v>300</v>
      </c>
      <c r="N33" s="7">
        <f t="shared" si="10"/>
        <v>4.254112309</v>
      </c>
      <c r="O33" s="7">
        <f t="shared" si="11"/>
        <v>400</v>
      </c>
      <c r="P33" s="7">
        <f t="shared" si="12"/>
        <v>5.672149745</v>
      </c>
      <c r="Q33" s="7">
        <f t="shared" si="13"/>
        <v>500</v>
      </c>
      <c r="R33" s="7">
        <f t="shared" si="14"/>
        <v>7.090187181</v>
      </c>
      <c r="S33" s="7">
        <f t="shared" si="15"/>
        <v>600</v>
      </c>
      <c r="T33" s="7">
        <f t="shared" si="16"/>
        <v>8.508224617</v>
      </c>
      <c r="U33" s="7">
        <f t="shared" si="17"/>
        <v>700</v>
      </c>
      <c r="V33" s="7">
        <f t="shared" si="18"/>
        <v>9.926262053</v>
      </c>
      <c r="W33" s="7">
        <f t="shared" si="19"/>
        <v>800</v>
      </c>
      <c r="X33" s="7">
        <f t="shared" si="20"/>
        <v>11.34429949</v>
      </c>
      <c r="Y33" s="7">
        <f t="shared" si="21"/>
        <v>900</v>
      </c>
      <c r="Z33" s="7">
        <f t="shared" si="22"/>
        <v>12.76233693</v>
      </c>
    </row>
    <row r="34">
      <c r="A34" s="30" t="str">
        <f>IFERROR(__xludf.DUMMYFUNCTION("""COMPUTED_VALUE"""),"2014 07")</f>
        <v>2014 07</v>
      </c>
      <c r="B34" s="30" t="str">
        <f>IFERROR(__xludf.DUMMYFUNCTION("""COMPUTED_VALUE"""),"68.3")</f>
        <v>68.3</v>
      </c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0.7320644217</v>
      </c>
      <c r="G34" s="7">
        <f t="shared" si="3"/>
        <v>100</v>
      </c>
      <c r="H34" s="7">
        <f t="shared" si="4"/>
        <v>1.464128843</v>
      </c>
      <c r="I34" s="7">
        <f t="shared" si="5"/>
        <v>150</v>
      </c>
      <c r="J34" s="7">
        <f t="shared" si="6"/>
        <v>2.196193265</v>
      </c>
      <c r="K34" s="7">
        <f t="shared" si="7"/>
        <v>200</v>
      </c>
      <c r="L34" s="7">
        <f t="shared" si="8"/>
        <v>2.928257687</v>
      </c>
      <c r="M34" s="7">
        <f t="shared" si="9"/>
        <v>300</v>
      </c>
      <c r="N34" s="7">
        <f t="shared" si="10"/>
        <v>4.39238653</v>
      </c>
      <c r="O34" s="7">
        <f t="shared" si="11"/>
        <v>400</v>
      </c>
      <c r="P34" s="7">
        <f t="shared" si="12"/>
        <v>5.856515373</v>
      </c>
      <c r="Q34" s="7">
        <f t="shared" si="13"/>
        <v>500</v>
      </c>
      <c r="R34" s="7">
        <f t="shared" si="14"/>
        <v>7.320644217</v>
      </c>
      <c r="S34" s="7">
        <f t="shared" si="15"/>
        <v>600</v>
      </c>
      <c r="T34" s="7">
        <f t="shared" si="16"/>
        <v>8.78477306</v>
      </c>
      <c r="U34" s="7">
        <f t="shared" si="17"/>
        <v>700</v>
      </c>
      <c r="V34" s="7">
        <f t="shared" si="18"/>
        <v>10.2489019</v>
      </c>
      <c r="W34" s="7">
        <f t="shared" si="19"/>
        <v>800</v>
      </c>
      <c r="X34" s="7">
        <f t="shared" si="20"/>
        <v>11.71303075</v>
      </c>
      <c r="Y34" s="7">
        <f t="shared" si="21"/>
        <v>900</v>
      </c>
      <c r="Z34" s="7">
        <f t="shared" si="22"/>
        <v>13.17715959</v>
      </c>
    </row>
    <row r="35">
      <c r="A35" s="30" t="str">
        <f>IFERROR(__xludf.DUMMYFUNCTION("""COMPUTED_VALUE"""),"2014 08")</f>
        <v>2014 08</v>
      </c>
      <c r="B35" s="30" t="str">
        <f>IFERROR(__xludf.DUMMYFUNCTION("""COMPUTED_VALUE"""),"70.57")</f>
        <v>70.57</v>
      </c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0.7085163667</v>
      </c>
      <c r="G35" s="7">
        <f t="shared" si="3"/>
        <v>100</v>
      </c>
      <c r="H35" s="7">
        <f t="shared" si="4"/>
        <v>1.417032733</v>
      </c>
      <c r="I35" s="7">
        <f t="shared" si="5"/>
        <v>150</v>
      </c>
      <c r="J35" s="7">
        <f t="shared" si="6"/>
        <v>2.1255491</v>
      </c>
      <c r="K35" s="7">
        <f t="shared" si="7"/>
        <v>200</v>
      </c>
      <c r="L35" s="7">
        <f t="shared" si="8"/>
        <v>2.834065467</v>
      </c>
      <c r="M35" s="7">
        <f t="shared" si="9"/>
        <v>300</v>
      </c>
      <c r="N35" s="7">
        <f t="shared" si="10"/>
        <v>4.2510982</v>
      </c>
      <c r="O35" s="7">
        <f t="shared" si="11"/>
        <v>400</v>
      </c>
      <c r="P35" s="7">
        <f t="shared" si="12"/>
        <v>5.668130934</v>
      </c>
      <c r="Q35" s="7">
        <f t="shared" si="13"/>
        <v>500</v>
      </c>
      <c r="R35" s="7">
        <f t="shared" si="14"/>
        <v>7.085163667</v>
      </c>
      <c r="S35" s="7">
        <f t="shared" si="15"/>
        <v>600</v>
      </c>
      <c r="T35" s="7">
        <f t="shared" si="16"/>
        <v>8.502196401</v>
      </c>
      <c r="U35" s="7">
        <f t="shared" si="17"/>
        <v>700</v>
      </c>
      <c r="V35" s="7">
        <f t="shared" si="18"/>
        <v>9.919229134</v>
      </c>
      <c r="W35" s="7">
        <f t="shared" si="19"/>
        <v>800</v>
      </c>
      <c r="X35" s="7">
        <f t="shared" si="20"/>
        <v>11.33626187</v>
      </c>
      <c r="Y35" s="7">
        <f t="shared" si="21"/>
        <v>900</v>
      </c>
      <c r="Z35" s="7">
        <f t="shared" si="22"/>
        <v>12.7532946</v>
      </c>
    </row>
    <row r="36">
      <c r="A36" s="30" t="str">
        <f>IFERROR(__xludf.DUMMYFUNCTION("""COMPUTED_VALUE"""),"2014 09")</f>
        <v>2014 09</v>
      </c>
      <c r="B36" s="30" t="str">
        <f>IFERROR(__xludf.DUMMYFUNCTION("""COMPUTED_VALUE"""),"72.1")</f>
        <v>72.1</v>
      </c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0.693481276</v>
      </c>
      <c r="G36" s="7">
        <f t="shared" si="3"/>
        <v>100</v>
      </c>
      <c r="H36" s="7">
        <f t="shared" si="4"/>
        <v>1.386962552</v>
      </c>
      <c r="I36" s="7">
        <f t="shared" si="5"/>
        <v>150</v>
      </c>
      <c r="J36" s="7">
        <f t="shared" si="6"/>
        <v>2.080443828</v>
      </c>
      <c r="K36" s="7">
        <f t="shared" si="7"/>
        <v>200</v>
      </c>
      <c r="L36" s="7">
        <f t="shared" si="8"/>
        <v>2.773925104</v>
      </c>
      <c r="M36" s="7">
        <f t="shared" si="9"/>
        <v>300</v>
      </c>
      <c r="N36" s="7">
        <f t="shared" si="10"/>
        <v>4.160887656</v>
      </c>
      <c r="O36" s="7">
        <f t="shared" si="11"/>
        <v>400</v>
      </c>
      <c r="P36" s="7">
        <f t="shared" si="12"/>
        <v>5.547850208</v>
      </c>
      <c r="Q36" s="7">
        <f t="shared" si="13"/>
        <v>500</v>
      </c>
      <c r="R36" s="7">
        <f t="shared" si="14"/>
        <v>6.93481276</v>
      </c>
      <c r="S36" s="7">
        <f t="shared" si="15"/>
        <v>600</v>
      </c>
      <c r="T36" s="7">
        <f t="shared" si="16"/>
        <v>8.321775312</v>
      </c>
      <c r="U36" s="7">
        <f t="shared" si="17"/>
        <v>700</v>
      </c>
      <c r="V36" s="7">
        <f t="shared" si="18"/>
        <v>9.708737864</v>
      </c>
      <c r="W36" s="7">
        <f t="shared" si="19"/>
        <v>800</v>
      </c>
      <c r="X36" s="7">
        <f t="shared" si="20"/>
        <v>11.09570042</v>
      </c>
      <c r="Y36" s="7">
        <f t="shared" si="21"/>
        <v>900</v>
      </c>
      <c r="Z36" s="7">
        <f t="shared" si="22"/>
        <v>12.48266297</v>
      </c>
    </row>
    <row r="37">
      <c r="A37" s="30" t="str">
        <f>IFERROR(__xludf.DUMMYFUNCTION("""COMPUTED_VALUE"""),"2014 10")</f>
        <v>2014 10</v>
      </c>
      <c r="B37" s="30" t="str">
        <f>IFERROR(__xludf.DUMMYFUNCTION("""COMPUTED_VALUE"""),"67.35")</f>
        <v>67.35</v>
      </c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0.7423904974</v>
      </c>
      <c r="G37" s="7">
        <f t="shared" si="3"/>
        <v>100</v>
      </c>
      <c r="H37" s="7">
        <f t="shared" si="4"/>
        <v>1.484780995</v>
      </c>
      <c r="I37" s="7">
        <f t="shared" si="5"/>
        <v>150</v>
      </c>
      <c r="J37" s="7">
        <f t="shared" si="6"/>
        <v>2.227171492</v>
      </c>
      <c r="K37" s="7">
        <f t="shared" si="7"/>
        <v>200</v>
      </c>
      <c r="L37" s="7">
        <f t="shared" si="8"/>
        <v>2.96956199</v>
      </c>
      <c r="M37" s="7">
        <f t="shared" si="9"/>
        <v>300</v>
      </c>
      <c r="N37" s="7">
        <f t="shared" si="10"/>
        <v>4.454342984</v>
      </c>
      <c r="O37" s="7">
        <f t="shared" si="11"/>
        <v>400</v>
      </c>
      <c r="P37" s="7">
        <f t="shared" si="12"/>
        <v>5.939123979</v>
      </c>
      <c r="Q37" s="7">
        <f t="shared" si="13"/>
        <v>500</v>
      </c>
      <c r="R37" s="7">
        <f t="shared" si="14"/>
        <v>7.423904974</v>
      </c>
      <c r="S37" s="7">
        <f t="shared" si="15"/>
        <v>600</v>
      </c>
      <c r="T37" s="7">
        <f t="shared" si="16"/>
        <v>8.908685969</v>
      </c>
      <c r="U37" s="7">
        <f t="shared" si="17"/>
        <v>700</v>
      </c>
      <c r="V37" s="7">
        <f t="shared" si="18"/>
        <v>10.39346696</v>
      </c>
      <c r="W37" s="7">
        <f t="shared" si="19"/>
        <v>800</v>
      </c>
      <c r="X37" s="7">
        <f t="shared" si="20"/>
        <v>11.87824796</v>
      </c>
      <c r="Y37" s="7">
        <f t="shared" si="21"/>
        <v>900</v>
      </c>
      <c r="Z37" s="7">
        <f t="shared" si="22"/>
        <v>13.36302895</v>
      </c>
    </row>
    <row r="38">
      <c r="A38" s="30" t="str">
        <f>IFERROR(__xludf.DUMMYFUNCTION("""COMPUTED_VALUE"""),"2014 11")</f>
        <v>2014 11</v>
      </c>
      <c r="B38" s="30" t="str">
        <f>IFERROR(__xludf.DUMMYFUNCTION("""COMPUTED_VALUE"""),"69.89")</f>
        <v>69.89</v>
      </c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0.7154099299</v>
      </c>
      <c r="G38" s="7">
        <f t="shared" si="3"/>
        <v>100</v>
      </c>
      <c r="H38" s="7">
        <f t="shared" si="4"/>
        <v>1.43081986</v>
      </c>
      <c r="I38" s="7">
        <f t="shared" si="5"/>
        <v>150</v>
      </c>
      <c r="J38" s="7">
        <f t="shared" si="6"/>
        <v>2.14622979</v>
      </c>
      <c r="K38" s="7">
        <f t="shared" si="7"/>
        <v>200</v>
      </c>
      <c r="L38" s="7">
        <f t="shared" si="8"/>
        <v>2.86163972</v>
      </c>
      <c r="M38" s="7">
        <f t="shared" si="9"/>
        <v>300</v>
      </c>
      <c r="N38" s="7">
        <f t="shared" si="10"/>
        <v>4.292459579</v>
      </c>
      <c r="O38" s="7">
        <f t="shared" si="11"/>
        <v>400</v>
      </c>
      <c r="P38" s="7">
        <f t="shared" si="12"/>
        <v>5.723279439</v>
      </c>
      <c r="Q38" s="7">
        <f t="shared" si="13"/>
        <v>500</v>
      </c>
      <c r="R38" s="7">
        <f t="shared" si="14"/>
        <v>7.154099299</v>
      </c>
      <c r="S38" s="7">
        <f t="shared" si="15"/>
        <v>600</v>
      </c>
      <c r="T38" s="7">
        <f t="shared" si="16"/>
        <v>8.584919159</v>
      </c>
      <c r="U38" s="7">
        <f t="shared" si="17"/>
        <v>700</v>
      </c>
      <c r="V38" s="7">
        <f t="shared" si="18"/>
        <v>10.01573902</v>
      </c>
      <c r="W38" s="7">
        <f t="shared" si="19"/>
        <v>800</v>
      </c>
      <c r="X38" s="7">
        <f t="shared" si="20"/>
        <v>11.44655888</v>
      </c>
      <c r="Y38" s="7">
        <f t="shared" si="21"/>
        <v>900</v>
      </c>
      <c r="Z38" s="7">
        <f t="shared" si="22"/>
        <v>12.87737874</v>
      </c>
    </row>
    <row r="39">
      <c r="A39" s="30" t="str">
        <f>IFERROR(__xludf.DUMMYFUNCTION("""COMPUTED_VALUE"""),"2014 12")</f>
        <v>2014 12</v>
      </c>
      <c r="B39" s="30" t="str">
        <f>IFERROR(__xludf.DUMMYFUNCTION("""COMPUTED_VALUE"""),"66.79")</f>
        <v>66.79</v>
      </c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0.7486150621</v>
      </c>
      <c r="G39" s="7">
        <f t="shared" si="3"/>
        <v>100</v>
      </c>
      <c r="H39" s="7">
        <f t="shared" si="4"/>
        <v>1.497230124</v>
      </c>
      <c r="I39" s="7">
        <f t="shared" si="5"/>
        <v>150</v>
      </c>
      <c r="J39" s="7">
        <f t="shared" si="6"/>
        <v>2.245845186</v>
      </c>
      <c r="K39" s="7">
        <f t="shared" si="7"/>
        <v>200</v>
      </c>
      <c r="L39" s="7">
        <f t="shared" si="8"/>
        <v>2.994460249</v>
      </c>
      <c r="M39" s="7">
        <f t="shared" si="9"/>
        <v>300</v>
      </c>
      <c r="N39" s="7">
        <f t="shared" si="10"/>
        <v>4.491690373</v>
      </c>
      <c r="O39" s="7">
        <f t="shared" si="11"/>
        <v>400</v>
      </c>
      <c r="P39" s="7">
        <f t="shared" si="12"/>
        <v>5.988920497</v>
      </c>
      <c r="Q39" s="7">
        <f t="shared" si="13"/>
        <v>500</v>
      </c>
      <c r="R39" s="7">
        <f t="shared" si="14"/>
        <v>7.486150621</v>
      </c>
      <c r="S39" s="7">
        <f t="shared" si="15"/>
        <v>600</v>
      </c>
      <c r="T39" s="7">
        <f t="shared" si="16"/>
        <v>8.983380746</v>
      </c>
      <c r="U39" s="7">
        <f t="shared" si="17"/>
        <v>700</v>
      </c>
      <c r="V39" s="7">
        <f t="shared" si="18"/>
        <v>10.48061087</v>
      </c>
      <c r="W39" s="7">
        <f t="shared" si="19"/>
        <v>800</v>
      </c>
      <c r="X39" s="7">
        <f t="shared" si="20"/>
        <v>11.97784099</v>
      </c>
      <c r="Y39" s="7">
        <f t="shared" si="21"/>
        <v>900</v>
      </c>
      <c r="Z39" s="7">
        <f t="shared" si="22"/>
        <v>13.47507112</v>
      </c>
    </row>
    <row r="40">
      <c r="A40" s="30" t="str">
        <f>IFERROR(__xludf.DUMMYFUNCTION("""COMPUTED_VALUE"""),"2015 01")</f>
        <v>2015 01</v>
      </c>
      <c r="B40" s="30" t="str">
        <f>IFERROR(__xludf.DUMMYFUNCTION("""COMPUTED_VALUE"""),"68.65")</f>
        <v>68.65</v>
      </c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0.7283321194</v>
      </c>
      <c r="G40" s="7">
        <f t="shared" si="3"/>
        <v>100</v>
      </c>
      <c r="H40" s="7">
        <f t="shared" si="4"/>
        <v>1.456664239</v>
      </c>
      <c r="I40" s="7">
        <f t="shared" si="5"/>
        <v>150</v>
      </c>
      <c r="J40" s="7">
        <f t="shared" si="6"/>
        <v>2.184996358</v>
      </c>
      <c r="K40" s="7">
        <f t="shared" si="7"/>
        <v>200</v>
      </c>
      <c r="L40" s="7">
        <f t="shared" si="8"/>
        <v>2.913328478</v>
      </c>
      <c r="M40" s="7">
        <f t="shared" si="9"/>
        <v>300</v>
      </c>
      <c r="N40" s="7">
        <f t="shared" si="10"/>
        <v>4.369992717</v>
      </c>
      <c r="O40" s="7">
        <f t="shared" si="11"/>
        <v>400</v>
      </c>
      <c r="P40" s="7">
        <f t="shared" si="12"/>
        <v>5.826656956</v>
      </c>
      <c r="Q40" s="7">
        <f t="shared" si="13"/>
        <v>500</v>
      </c>
      <c r="R40" s="7">
        <f t="shared" si="14"/>
        <v>7.283321194</v>
      </c>
      <c r="S40" s="7">
        <f t="shared" si="15"/>
        <v>600</v>
      </c>
      <c r="T40" s="7">
        <f t="shared" si="16"/>
        <v>8.739985433</v>
      </c>
      <c r="U40" s="7">
        <f t="shared" si="17"/>
        <v>700</v>
      </c>
      <c r="V40" s="7">
        <f t="shared" si="18"/>
        <v>10.19664967</v>
      </c>
      <c r="W40" s="7">
        <f t="shared" si="19"/>
        <v>800</v>
      </c>
      <c r="X40" s="7">
        <f t="shared" si="20"/>
        <v>11.65331391</v>
      </c>
      <c r="Y40" s="7">
        <f t="shared" si="21"/>
        <v>900</v>
      </c>
      <c r="Z40" s="7">
        <f t="shared" si="22"/>
        <v>13.10997815</v>
      </c>
    </row>
    <row r="41">
      <c r="A41" s="30" t="str">
        <f>IFERROR(__xludf.DUMMYFUNCTION("""COMPUTED_VALUE"""),"2015 02")</f>
        <v>2015 02</v>
      </c>
      <c r="B41" s="30" t="str">
        <f>IFERROR(__xludf.DUMMYFUNCTION("""COMPUTED_VALUE"""),"71.09")</f>
        <v>71.09</v>
      </c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0.7033338022</v>
      </c>
      <c r="G41" s="7">
        <f t="shared" si="3"/>
        <v>100</v>
      </c>
      <c r="H41" s="7">
        <f t="shared" si="4"/>
        <v>1.406667604</v>
      </c>
      <c r="I41" s="7">
        <f t="shared" si="5"/>
        <v>150</v>
      </c>
      <c r="J41" s="7">
        <f t="shared" si="6"/>
        <v>2.110001407</v>
      </c>
      <c r="K41" s="7">
        <f t="shared" si="7"/>
        <v>200</v>
      </c>
      <c r="L41" s="7">
        <f t="shared" si="8"/>
        <v>2.813335209</v>
      </c>
      <c r="M41" s="7">
        <f t="shared" si="9"/>
        <v>300</v>
      </c>
      <c r="N41" s="7">
        <f t="shared" si="10"/>
        <v>4.220002813</v>
      </c>
      <c r="O41" s="7">
        <f t="shared" si="11"/>
        <v>400</v>
      </c>
      <c r="P41" s="7">
        <f t="shared" si="12"/>
        <v>5.626670418</v>
      </c>
      <c r="Q41" s="7">
        <f t="shared" si="13"/>
        <v>500</v>
      </c>
      <c r="R41" s="7">
        <f t="shared" si="14"/>
        <v>7.033338022</v>
      </c>
      <c r="S41" s="7">
        <f t="shared" si="15"/>
        <v>600</v>
      </c>
      <c r="T41" s="7">
        <f t="shared" si="16"/>
        <v>8.440005627</v>
      </c>
      <c r="U41" s="7">
        <f t="shared" si="17"/>
        <v>700</v>
      </c>
      <c r="V41" s="7">
        <f t="shared" si="18"/>
        <v>9.846673231</v>
      </c>
      <c r="W41" s="7">
        <f t="shared" si="19"/>
        <v>800</v>
      </c>
      <c r="X41" s="7">
        <f t="shared" si="20"/>
        <v>11.25334084</v>
      </c>
      <c r="Y41" s="7">
        <f t="shared" si="21"/>
        <v>900</v>
      </c>
      <c r="Z41" s="7">
        <f t="shared" si="22"/>
        <v>12.66000844</v>
      </c>
    </row>
    <row r="42">
      <c r="A42" s="30" t="str">
        <f>IFERROR(__xludf.DUMMYFUNCTION("""COMPUTED_VALUE"""),"2015 03")</f>
        <v>2015 03</v>
      </c>
      <c r="B42" s="30" t="str">
        <f>IFERROR(__xludf.DUMMYFUNCTION("""COMPUTED_VALUE"""),"75.85")</f>
        <v>75.85</v>
      </c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0.6591957811</v>
      </c>
      <c r="G42" s="7">
        <f t="shared" si="3"/>
        <v>100</v>
      </c>
      <c r="H42" s="7">
        <f t="shared" si="4"/>
        <v>1.318391562</v>
      </c>
      <c r="I42" s="7">
        <f t="shared" si="5"/>
        <v>150</v>
      </c>
      <c r="J42" s="7">
        <f t="shared" si="6"/>
        <v>1.977587343</v>
      </c>
      <c r="K42" s="7">
        <f t="shared" si="7"/>
        <v>200</v>
      </c>
      <c r="L42" s="7">
        <f t="shared" si="8"/>
        <v>2.636783125</v>
      </c>
      <c r="M42" s="7">
        <f t="shared" si="9"/>
        <v>300</v>
      </c>
      <c r="N42" s="7">
        <f t="shared" si="10"/>
        <v>3.955174687</v>
      </c>
      <c r="O42" s="7">
        <f t="shared" si="11"/>
        <v>400</v>
      </c>
      <c r="P42" s="7">
        <f t="shared" si="12"/>
        <v>5.273566249</v>
      </c>
      <c r="Q42" s="7">
        <f t="shared" si="13"/>
        <v>500</v>
      </c>
      <c r="R42" s="7">
        <f t="shared" si="14"/>
        <v>6.591957811</v>
      </c>
      <c r="S42" s="7">
        <f t="shared" si="15"/>
        <v>600</v>
      </c>
      <c r="T42" s="7">
        <f t="shared" si="16"/>
        <v>7.910349374</v>
      </c>
      <c r="U42" s="7">
        <f t="shared" si="17"/>
        <v>700</v>
      </c>
      <c r="V42" s="7">
        <f t="shared" si="18"/>
        <v>9.228740936</v>
      </c>
      <c r="W42" s="7">
        <f t="shared" si="19"/>
        <v>800</v>
      </c>
      <c r="X42" s="7">
        <f t="shared" si="20"/>
        <v>10.5471325</v>
      </c>
      <c r="Y42" s="7">
        <f t="shared" si="21"/>
        <v>900</v>
      </c>
      <c r="Z42" s="7">
        <f t="shared" si="22"/>
        <v>11.86552406</v>
      </c>
    </row>
    <row r="43">
      <c r="A43" s="30" t="str">
        <f>IFERROR(__xludf.DUMMYFUNCTION("""COMPUTED_VALUE"""),"2015 04")</f>
        <v>2015 04</v>
      </c>
      <c r="B43" s="30" t="str">
        <f>IFERROR(__xludf.DUMMYFUNCTION("""COMPUTED_VALUE"""),"74.32")</f>
        <v>74.32</v>
      </c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0.6727664155</v>
      </c>
      <c r="G43" s="7">
        <f t="shared" si="3"/>
        <v>100</v>
      </c>
      <c r="H43" s="7">
        <f t="shared" si="4"/>
        <v>1.345532831</v>
      </c>
      <c r="I43" s="7">
        <f t="shared" si="5"/>
        <v>150</v>
      </c>
      <c r="J43" s="7">
        <f t="shared" si="6"/>
        <v>2.018299247</v>
      </c>
      <c r="K43" s="7">
        <f t="shared" si="7"/>
        <v>200</v>
      </c>
      <c r="L43" s="7">
        <f t="shared" si="8"/>
        <v>2.691065662</v>
      </c>
      <c r="M43" s="7">
        <f t="shared" si="9"/>
        <v>300</v>
      </c>
      <c r="N43" s="7">
        <f t="shared" si="10"/>
        <v>4.036598493</v>
      </c>
      <c r="O43" s="7">
        <f t="shared" si="11"/>
        <v>400</v>
      </c>
      <c r="P43" s="7">
        <f t="shared" si="12"/>
        <v>5.382131324</v>
      </c>
      <c r="Q43" s="7">
        <f t="shared" si="13"/>
        <v>500</v>
      </c>
      <c r="R43" s="7">
        <f t="shared" si="14"/>
        <v>6.727664155</v>
      </c>
      <c r="S43" s="7">
        <f t="shared" si="15"/>
        <v>600</v>
      </c>
      <c r="T43" s="7">
        <f t="shared" si="16"/>
        <v>8.073196986</v>
      </c>
      <c r="U43" s="7">
        <f t="shared" si="17"/>
        <v>700</v>
      </c>
      <c r="V43" s="7">
        <f t="shared" si="18"/>
        <v>9.418729817</v>
      </c>
      <c r="W43" s="7">
        <f t="shared" si="19"/>
        <v>800</v>
      </c>
      <c r="X43" s="7">
        <f t="shared" si="20"/>
        <v>10.76426265</v>
      </c>
      <c r="Y43" s="7">
        <f t="shared" si="21"/>
        <v>900</v>
      </c>
      <c r="Z43" s="7">
        <f t="shared" si="22"/>
        <v>12.10979548</v>
      </c>
    </row>
    <row r="44">
      <c r="A44" s="30" t="str">
        <f>IFERROR(__xludf.DUMMYFUNCTION("""COMPUTED_VALUE"""),"2015 05")</f>
        <v>2015 05</v>
      </c>
      <c r="B44" s="30" t="str">
        <f>IFERROR(__xludf.DUMMYFUNCTION("""COMPUTED_VALUE"""),"73.79")</f>
        <v>73.79</v>
      </c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0.6775985906</v>
      </c>
      <c r="G44" s="7">
        <f t="shared" si="3"/>
        <v>100</v>
      </c>
      <c r="H44" s="7">
        <f t="shared" si="4"/>
        <v>1.355197181</v>
      </c>
      <c r="I44" s="7">
        <f t="shared" si="5"/>
        <v>150</v>
      </c>
      <c r="J44" s="7">
        <f t="shared" si="6"/>
        <v>2.032795772</v>
      </c>
      <c r="K44" s="7">
        <f t="shared" si="7"/>
        <v>200</v>
      </c>
      <c r="L44" s="7">
        <f t="shared" si="8"/>
        <v>2.710394362</v>
      </c>
      <c r="M44" s="7">
        <f t="shared" si="9"/>
        <v>300</v>
      </c>
      <c r="N44" s="7">
        <f t="shared" si="10"/>
        <v>4.065591544</v>
      </c>
      <c r="O44" s="7">
        <f t="shared" si="11"/>
        <v>400</v>
      </c>
      <c r="P44" s="7">
        <f t="shared" si="12"/>
        <v>5.420788725</v>
      </c>
      <c r="Q44" s="7">
        <f t="shared" si="13"/>
        <v>500</v>
      </c>
      <c r="R44" s="7">
        <f t="shared" si="14"/>
        <v>6.775985906</v>
      </c>
      <c r="S44" s="7">
        <f t="shared" si="15"/>
        <v>600</v>
      </c>
      <c r="T44" s="7">
        <f t="shared" si="16"/>
        <v>8.131183087</v>
      </c>
      <c r="U44" s="7">
        <f t="shared" si="17"/>
        <v>700</v>
      </c>
      <c r="V44" s="7">
        <f t="shared" si="18"/>
        <v>9.486380268</v>
      </c>
      <c r="W44" s="7">
        <f t="shared" si="19"/>
        <v>800</v>
      </c>
      <c r="X44" s="7">
        <f t="shared" si="20"/>
        <v>10.84157745</v>
      </c>
      <c r="Y44" s="7">
        <f t="shared" si="21"/>
        <v>900</v>
      </c>
      <c r="Z44" s="7">
        <f t="shared" si="22"/>
        <v>12.19677463</v>
      </c>
    </row>
    <row r="45">
      <c r="A45" s="30" t="str">
        <f>IFERROR(__xludf.DUMMYFUNCTION("""COMPUTED_VALUE"""),"2015 06")</f>
        <v>2015 06</v>
      </c>
      <c r="B45" s="30" t="str">
        <f>IFERROR(__xludf.DUMMYFUNCTION("""COMPUTED_VALUE"""),"73.18")</f>
        <v>73.18</v>
      </c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0.6832467887</v>
      </c>
      <c r="G45" s="7">
        <f t="shared" si="3"/>
        <v>100</v>
      </c>
      <c r="H45" s="7">
        <f t="shared" si="4"/>
        <v>1.366493577</v>
      </c>
      <c r="I45" s="7">
        <f t="shared" si="5"/>
        <v>150</v>
      </c>
      <c r="J45" s="7">
        <f t="shared" si="6"/>
        <v>2.049740366</v>
      </c>
      <c r="K45" s="7">
        <f t="shared" si="7"/>
        <v>200</v>
      </c>
      <c r="L45" s="7">
        <f t="shared" si="8"/>
        <v>2.732987155</v>
      </c>
      <c r="M45" s="7">
        <f t="shared" si="9"/>
        <v>300</v>
      </c>
      <c r="N45" s="7">
        <f t="shared" si="10"/>
        <v>4.099480732</v>
      </c>
      <c r="O45" s="7">
        <f t="shared" si="11"/>
        <v>400</v>
      </c>
      <c r="P45" s="7">
        <f t="shared" si="12"/>
        <v>5.46597431</v>
      </c>
      <c r="Q45" s="7">
        <f t="shared" si="13"/>
        <v>500</v>
      </c>
      <c r="R45" s="7">
        <f t="shared" si="14"/>
        <v>6.832467887</v>
      </c>
      <c r="S45" s="7">
        <f t="shared" si="15"/>
        <v>600</v>
      </c>
      <c r="T45" s="7">
        <f t="shared" si="16"/>
        <v>8.198961465</v>
      </c>
      <c r="U45" s="7">
        <f t="shared" si="17"/>
        <v>700</v>
      </c>
      <c r="V45" s="7">
        <f t="shared" si="18"/>
        <v>9.565455042</v>
      </c>
      <c r="W45" s="7">
        <f t="shared" si="19"/>
        <v>800</v>
      </c>
      <c r="X45" s="7">
        <f t="shared" si="20"/>
        <v>10.93194862</v>
      </c>
      <c r="Y45" s="7">
        <f t="shared" si="21"/>
        <v>900</v>
      </c>
      <c r="Z45" s="7">
        <f t="shared" si="22"/>
        <v>12.2984422</v>
      </c>
    </row>
    <row r="46">
      <c r="A46" s="30" t="str">
        <f>IFERROR(__xludf.DUMMYFUNCTION("""COMPUTED_VALUE"""),"2015 07")</f>
        <v>2015 07</v>
      </c>
      <c r="B46" s="30" t="str">
        <f>IFERROR(__xludf.DUMMYFUNCTION("""COMPUTED_VALUE"""),"70.04")</f>
        <v>70.04</v>
      </c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0.7138777841</v>
      </c>
      <c r="G46" s="7">
        <f t="shared" si="3"/>
        <v>100</v>
      </c>
      <c r="H46" s="7">
        <f t="shared" si="4"/>
        <v>1.427755568</v>
      </c>
      <c r="I46" s="7">
        <f t="shared" si="5"/>
        <v>150</v>
      </c>
      <c r="J46" s="7">
        <f t="shared" si="6"/>
        <v>2.141633352</v>
      </c>
      <c r="K46" s="7">
        <f t="shared" si="7"/>
        <v>200</v>
      </c>
      <c r="L46" s="7">
        <f t="shared" si="8"/>
        <v>2.855511136</v>
      </c>
      <c r="M46" s="7">
        <f t="shared" si="9"/>
        <v>300</v>
      </c>
      <c r="N46" s="7">
        <f t="shared" si="10"/>
        <v>4.283266705</v>
      </c>
      <c r="O46" s="7">
        <f t="shared" si="11"/>
        <v>400</v>
      </c>
      <c r="P46" s="7">
        <f t="shared" si="12"/>
        <v>5.711022273</v>
      </c>
      <c r="Q46" s="7">
        <f t="shared" si="13"/>
        <v>500</v>
      </c>
      <c r="R46" s="7">
        <f t="shared" si="14"/>
        <v>7.138777841</v>
      </c>
      <c r="S46" s="7">
        <f t="shared" si="15"/>
        <v>600</v>
      </c>
      <c r="T46" s="7">
        <f t="shared" si="16"/>
        <v>8.566533409</v>
      </c>
      <c r="U46" s="7">
        <f t="shared" si="17"/>
        <v>700</v>
      </c>
      <c r="V46" s="7">
        <f t="shared" si="18"/>
        <v>9.994288978</v>
      </c>
      <c r="W46" s="7">
        <f t="shared" si="19"/>
        <v>800</v>
      </c>
      <c r="X46" s="7">
        <f t="shared" si="20"/>
        <v>11.42204455</v>
      </c>
      <c r="Y46" s="7">
        <f t="shared" si="21"/>
        <v>900</v>
      </c>
      <c r="Z46" s="7">
        <f t="shared" si="22"/>
        <v>12.84980011</v>
      </c>
    </row>
    <row r="47">
      <c r="A47" s="30" t="str">
        <f>IFERROR(__xludf.DUMMYFUNCTION("""COMPUTED_VALUE"""),"2015 08")</f>
        <v>2015 08</v>
      </c>
      <c r="B47" s="30" t="str">
        <f>IFERROR(__xludf.DUMMYFUNCTION("""COMPUTED_VALUE"""),"71.95")</f>
        <v>71.95</v>
      </c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0.6949270327</v>
      </c>
      <c r="G47" s="7">
        <f t="shared" si="3"/>
        <v>100</v>
      </c>
      <c r="H47" s="7">
        <f t="shared" si="4"/>
        <v>1.389854065</v>
      </c>
      <c r="I47" s="7">
        <f t="shared" si="5"/>
        <v>150</v>
      </c>
      <c r="J47" s="7">
        <f t="shared" si="6"/>
        <v>2.084781098</v>
      </c>
      <c r="K47" s="7">
        <f t="shared" si="7"/>
        <v>200</v>
      </c>
      <c r="L47" s="7">
        <f t="shared" si="8"/>
        <v>2.779708131</v>
      </c>
      <c r="M47" s="7">
        <f t="shared" si="9"/>
        <v>300</v>
      </c>
      <c r="N47" s="7">
        <f t="shared" si="10"/>
        <v>4.169562196</v>
      </c>
      <c r="O47" s="7">
        <f t="shared" si="11"/>
        <v>400</v>
      </c>
      <c r="P47" s="7">
        <f t="shared" si="12"/>
        <v>5.559416261</v>
      </c>
      <c r="Q47" s="7">
        <f t="shared" si="13"/>
        <v>500</v>
      </c>
      <c r="R47" s="7">
        <f t="shared" si="14"/>
        <v>6.949270327</v>
      </c>
      <c r="S47" s="7">
        <f t="shared" si="15"/>
        <v>600</v>
      </c>
      <c r="T47" s="7">
        <f t="shared" si="16"/>
        <v>8.339124392</v>
      </c>
      <c r="U47" s="7">
        <f t="shared" si="17"/>
        <v>700</v>
      </c>
      <c r="V47" s="7">
        <f t="shared" si="18"/>
        <v>9.728978457</v>
      </c>
      <c r="W47" s="7">
        <f t="shared" si="19"/>
        <v>800</v>
      </c>
      <c r="X47" s="7">
        <f t="shared" si="20"/>
        <v>11.11883252</v>
      </c>
      <c r="Y47" s="7">
        <f t="shared" si="21"/>
        <v>900</v>
      </c>
      <c r="Z47" s="7">
        <f t="shared" si="22"/>
        <v>12.50868659</v>
      </c>
    </row>
    <row r="48">
      <c r="A48" s="30" t="str">
        <f>IFERROR(__xludf.DUMMYFUNCTION("""COMPUTED_VALUE"""),"2015 09")</f>
        <v>2015 09</v>
      </c>
      <c r="B48" s="30" t="str">
        <f>IFERROR(__xludf.DUMMYFUNCTION("""COMPUTED_VALUE"""),"65.32")</f>
        <v>65.32</v>
      </c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0.7654623393</v>
      </c>
      <c r="G48" s="7">
        <f t="shared" si="3"/>
        <v>100</v>
      </c>
      <c r="H48" s="7">
        <f t="shared" si="4"/>
        <v>1.530924679</v>
      </c>
      <c r="I48" s="7">
        <f t="shared" si="5"/>
        <v>150</v>
      </c>
      <c r="J48" s="7">
        <f t="shared" si="6"/>
        <v>2.296387018</v>
      </c>
      <c r="K48" s="7">
        <f t="shared" si="7"/>
        <v>200</v>
      </c>
      <c r="L48" s="7">
        <f t="shared" si="8"/>
        <v>3.061849357</v>
      </c>
      <c r="M48" s="7">
        <f t="shared" si="9"/>
        <v>300</v>
      </c>
      <c r="N48" s="7">
        <f t="shared" si="10"/>
        <v>4.592774036</v>
      </c>
      <c r="O48" s="7">
        <f t="shared" si="11"/>
        <v>400</v>
      </c>
      <c r="P48" s="7">
        <f t="shared" si="12"/>
        <v>6.123698714</v>
      </c>
      <c r="Q48" s="7">
        <f t="shared" si="13"/>
        <v>500</v>
      </c>
      <c r="R48" s="7">
        <f t="shared" si="14"/>
        <v>7.654623393</v>
      </c>
      <c r="S48" s="7">
        <f t="shared" si="15"/>
        <v>600</v>
      </c>
      <c r="T48" s="7">
        <f t="shared" si="16"/>
        <v>9.185548071</v>
      </c>
      <c r="U48" s="7">
        <f t="shared" si="17"/>
        <v>700</v>
      </c>
      <c r="V48" s="7">
        <f t="shared" si="18"/>
        <v>10.71647275</v>
      </c>
      <c r="W48" s="7">
        <f t="shared" si="19"/>
        <v>800</v>
      </c>
      <c r="X48" s="7">
        <f t="shared" si="20"/>
        <v>12.24739743</v>
      </c>
      <c r="Y48" s="7">
        <f t="shared" si="21"/>
        <v>900</v>
      </c>
      <c r="Z48" s="7">
        <f t="shared" si="22"/>
        <v>13.77832211</v>
      </c>
    </row>
    <row r="49">
      <c r="A49" s="30" t="str">
        <f>IFERROR(__xludf.DUMMYFUNCTION("""COMPUTED_VALUE"""),"2015 10")</f>
        <v>2015 10</v>
      </c>
      <c r="B49" s="30" t="str">
        <f>IFERROR(__xludf.DUMMYFUNCTION("""COMPUTED_VALUE"""),"65.1")</f>
        <v>65.1</v>
      </c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0.7680491551</v>
      </c>
      <c r="G49" s="7">
        <f t="shared" si="3"/>
        <v>100</v>
      </c>
      <c r="H49" s="7">
        <f t="shared" si="4"/>
        <v>1.53609831</v>
      </c>
      <c r="I49" s="7">
        <f t="shared" si="5"/>
        <v>150</v>
      </c>
      <c r="J49" s="7">
        <f t="shared" si="6"/>
        <v>2.304147465</v>
      </c>
      <c r="K49" s="7">
        <f t="shared" si="7"/>
        <v>200</v>
      </c>
      <c r="L49" s="7">
        <f t="shared" si="8"/>
        <v>3.072196621</v>
      </c>
      <c r="M49" s="7">
        <f t="shared" si="9"/>
        <v>300</v>
      </c>
      <c r="N49" s="7">
        <f t="shared" si="10"/>
        <v>4.608294931</v>
      </c>
      <c r="O49" s="7">
        <f t="shared" si="11"/>
        <v>400</v>
      </c>
      <c r="P49" s="7">
        <f t="shared" si="12"/>
        <v>6.144393241</v>
      </c>
      <c r="Q49" s="7">
        <f t="shared" si="13"/>
        <v>500</v>
      </c>
      <c r="R49" s="7">
        <f t="shared" si="14"/>
        <v>7.680491551</v>
      </c>
      <c r="S49" s="7">
        <f t="shared" si="15"/>
        <v>600</v>
      </c>
      <c r="T49" s="7">
        <f t="shared" si="16"/>
        <v>9.216589862</v>
      </c>
      <c r="U49" s="7">
        <f t="shared" si="17"/>
        <v>700</v>
      </c>
      <c r="V49" s="7">
        <f t="shared" si="18"/>
        <v>10.75268817</v>
      </c>
      <c r="W49" s="7">
        <f t="shared" si="19"/>
        <v>800</v>
      </c>
      <c r="X49" s="7">
        <f t="shared" si="20"/>
        <v>12.28878648</v>
      </c>
      <c r="Y49" s="7">
        <f t="shared" si="21"/>
        <v>900</v>
      </c>
      <c r="Z49" s="7">
        <f t="shared" si="22"/>
        <v>13.82488479</v>
      </c>
    </row>
    <row r="50">
      <c r="A50" s="30" t="str">
        <f>IFERROR(__xludf.DUMMYFUNCTION("""COMPUTED_VALUE"""),"2015 11")</f>
        <v>2015 11</v>
      </c>
      <c r="B50" s="30" t="str">
        <f>IFERROR(__xludf.DUMMYFUNCTION("""COMPUTED_VALUE"""),"65.75")</f>
        <v>65.75</v>
      </c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0.7604562738</v>
      </c>
      <c r="G50" s="7">
        <f t="shared" si="3"/>
        <v>100</v>
      </c>
      <c r="H50" s="7">
        <f t="shared" si="4"/>
        <v>1.520912548</v>
      </c>
      <c r="I50" s="7">
        <f t="shared" si="5"/>
        <v>150</v>
      </c>
      <c r="J50" s="7">
        <f t="shared" si="6"/>
        <v>2.281368821</v>
      </c>
      <c r="K50" s="7">
        <f t="shared" si="7"/>
        <v>200</v>
      </c>
      <c r="L50" s="7">
        <f t="shared" si="8"/>
        <v>3.041825095</v>
      </c>
      <c r="M50" s="7">
        <f t="shared" si="9"/>
        <v>300</v>
      </c>
      <c r="N50" s="7">
        <f t="shared" si="10"/>
        <v>4.562737643</v>
      </c>
      <c r="O50" s="7">
        <f t="shared" si="11"/>
        <v>400</v>
      </c>
      <c r="P50" s="7">
        <f t="shared" si="12"/>
        <v>6.08365019</v>
      </c>
      <c r="Q50" s="7">
        <f t="shared" si="13"/>
        <v>500</v>
      </c>
      <c r="R50" s="7">
        <f t="shared" si="14"/>
        <v>7.604562738</v>
      </c>
      <c r="S50" s="7">
        <f t="shared" si="15"/>
        <v>600</v>
      </c>
      <c r="T50" s="7">
        <f t="shared" si="16"/>
        <v>9.125475285</v>
      </c>
      <c r="U50" s="7">
        <f t="shared" si="17"/>
        <v>700</v>
      </c>
      <c r="V50" s="7">
        <f t="shared" si="18"/>
        <v>10.64638783</v>
      </c>
      <c r="W50" s="7">
        <f t="shared" si="19"/>
        <v>800</v>
      </c>
      <c r="X50" s="7">
        <f t="shared" si="20"/>
        <v>12.16730038</v>
      </c>
      <c r="Y50" s="7">
        <f t="shared" si="21"/>
        <v>900</v>
      </c>
      <c r="Z50" s="7">
        <f t="shared" si="22"/>
        <v>13.68821293</v>
      </c>
    </row>
    <row r="51">
      <c r="A51" s="30" t="str">
        <f>IFERROR(__xludf.DUMMYFUNCTION("""COMPUTED_VALUE"""),"2015 12")</f>
        <v>2015 12</v>
      </c>
      <c r="B51" s="30" t="str">
        <f>IFERROR(__xludf.DUMMYFUNCTION("""COMPUTED_VALUE"""),"67.31")</f>
        <v>67.31</v>
      </c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0.7428316743</v>
      </c>
      <c r="G51" s="7">
        <f t="shared" si="3"/>
        <v>100</v>
      </c>
      <c r="H51" s="7">
        <f t="shared" si="4"/>
        <v>1.485663349</v>
      </c>
      <c r="I51" s="7">
        <f t="shared" si="5"/>
        <v>150</v>
      </c>
      <c r="J51" s="7">
        <f t="shared" si="6"/>
        <v>2.228495023</v>
      </c>
      <c r="K51" s="7">
        <f t="shared" si="7"/>
        <v>200</v>
      </c>
      <c r="L51" s="7">
        <f t="shared" si="8"/>
        <v>2.971326697</v>
      </c>
      <c r="M51" s="7">
        <f t="shared" si="9"/>
        <v>300</v>
      </c>
      <c r="N51" s="7">
        <f t="shared" si="10"/>
        <v>4.456990046</v>
      </c>
      <c r="O51" s="7">
        <f t="shared" si="11"/>
        <v>400</v>
      </c>
      <c r="P51" s="7">
        <f t="shared" si="12"/>
        <v>5.942653395</v>
      </c>
      <c r="Q51" s="7">
        <f t="shared" si="13"/>
        <v>500</v>
      </c>
      <c r="R51" s="7">
        <f t="shared" si="14"/>
        <v>7.428316743</v>
      </c>
      <c r="S51" s="7">
        <f t="shared" si="15"/>
        <v>600</v>
      </c>
      <c r="T51" s="7">
        <f t="shared" si="16"/>
        <v>8.913980092</v>
      </c>
      <c r="U51" s="7">
        <f t="shared" si="17"/>
        <v>700</v>
      </c>
      <c r="V51" s="7">
        <f t="shared" si="18"/>
        <v>10.39964344</v>
      </c>
      <c r="W51" s="7">
        <f t="shared" si="19"/>
        <v>800</v>
      </c>
      <c r="X51" s="7">
        <f t="shared" si="20"/>
        <v>11.88530679</v>
      </c>
      <c r="Y51" s="7">
        <f t="shared" si="21"/>
        <v>900</v>
      </c>
      <c r="Z51" s="7">
        <f t="shared" si="22"/>
        <v>13.37097014</v>
      </c>
    </row>
    <row r="52">
      <c r="A52" s="30" t="str">
        <f>IFERROR(__xludf.DUMMYFUNCTION("""COMPUTED_VALUE"""),"2016 01")</f>
        <v>2016 01</v>
      </c>
      <c r="B52" s="30" t="str">
        <f>IFERROR(__xludf.DUMMYFUNCTION("""COMPUTED_VALUE"""),"66.62")</f>
        <v>66.62</v>
      </c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0.7505253678</v>
      </c>
      <c r="G52" s="7">
        <f t="shared" si="3"/>
        <v>100</v>
      </c>
      <c r="H52" s="7">
        <f t="shared" si="4"/>
        <v>1.501050736</v>
      </c>
      <c r="I52" s="7">
        <f t="shared" si="5"/>
        <v>150</v>
      </c>
      <c r="J52" s="7">
        <f t="shared" si="6"/>
        <v>2.251576103</v>
      </c>
      <c r="K52" s="7">
        <f t="shared" si="7"/>
        <v>200</v>
      </c>
      <c r="L52" s="7">
        <f t="shared" si="8"/>
        <v>3.002101471</v>
      </c>
      <c r="M52" s="7">
        <f t="shared" si="9"/>
        <v>300</v>
      </c>
      <c r="N52" s="7">
        <f t="shared" si="10"/>
        <v>4.503152207</v>
      </c>
      <c r="O52" s="7">
        <f t="shared" si="11"/>
        <v>400</v>
      </c>
      <c r="P52" s="7">
        <f t="shared" si="12"/>
        <v>6.004202942</v>
      </c>
      <c r="Q52" s="7">
        <f t="shared" si="13"/>
        <v>500</v>
      </c>
      <c r="R52" s="7">
        <f t="shared" si="14"/>
        <v>7.505253678</v>
      </c>
      <c r="S52" s="7">
        <f t="shared" si="15"/>
        <v>600</v>
      </c>
      <c r="T52" s="7">
        <f t="shared" si="16"/>
        <v>9.006304413</v>
      </c>
      <c r="U52" s="7">
        <f t="shared" si="17"/>
        <v>700</v>
      </c>
      <c r="V52" s="7">
        <f t="shared" si="18"/>
        <v>10.50735515</v>
      </c>
      <c r="W52" s="7">
        <f t="shared" si="19"/>
        <v>800</v>
      </c>
      <c r="X52" s="7">
        <f t="shared" si="20"/>
        <v>12.00840588</v>
      </c>
      <c r="Y52" s="7">
        <f t="shared" si="21"/>
        <v>900</v>
      </c>
      <c r="Z52" s="7">
        <f t="shared" si="22"/>
        <v>13.50945662</v>
      </c>
    </row>
    <row r="53">
      <c r="A53" s="30" t="str">
        <f>IFERROR(__xludf.DUMMYFUNCTION("""COMPUTED_VALUE"""),"2016 02")</f>
        <v>2016 02</v>
      </c>
      <c r="B53" s="30" t="str">
        <f>IFERROR(__xludf.DUMMYFUNCTION("""COMPUTED_VALUE"""),"64.1")</f>
        <v>64.1</v>
      </c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0.7800312012</v>
      </c>
      <c r="G53" s="7">
        <f t="shared" si="3"/>
        <v>100</v>
      </c>
      <c r="H53" s="7">
        <f t="shared" si="4"/>
        <v>1.560062402</v>
      </c>
      <c r="I53" s="7">
        <f t="shared" si="5"/>
        <v>150</v>
      </c>
      <c r="J53" s="7">
        <f t="shared" si="6"/>
        <v>2.340093604</v>
      </c>
      <c r="K53" s="7">
        <f t="shared" si="7"/>
        <v>200</v>
      </c>
      <c r="L53" s="7">
        <f t="shared" si="8"/>
        <v>3.120124805</v>
      </c>
      <c r="M53" s="7">
        <f t="shared" si="9"/>
        <v>300</v>
      </c>
      <c r="N53" s="7">
        <f t="shared" si="10"/>
        <v>4.680187207</v>
      </c>
      <c r="O53" s="7">
        <f t="shared" si="11"/>
        <v>400</v>
      </c>
      <c r="P53" s="7">
        <f t="shared" si="12"/>
        <v>6.24024961</v>
      </c>
      <c r="Q53" s="7">
        <f t="shared" si="13"/>
        <v>500</v>
      </c>
      <c r="R53" s="7">
        <f t="shared" si="14"/>
        <v>7.800312012</v>
      </c>
      <c r="S53" s="7">
        <f t="shared" si="15"/>
        <v>600</v>
      </c>
      <c r="T53" s="7">
        <f t="shared" si="16"/>
        <v>9.360374415</v>
      </c>
      <c r="U53" s="7">
        <f t="shared" si="17"/>
        <v>700</v>
      </c>
      <c r="V53" s="7">
        <f t="shared" si="18"/>
        <v>10.92043682</v>
      </c>
      <c r="W53" s="7">
        <f t="shared" si="19"/>
        <v>800</v>
      </c>
      <c r="X53" s="7">
        <f t="shared" si="20"/>
        <v>12.48049922</v>
      </c>
      <c r="Y53" s="7">
        <f t="shared" si="21"/>
        <v>900</v>
      </c>
      <c r="Z53" s="7">
        <f t="shared" si="22"/>
        <v>14.04056162</v>
      </c>
    </row>
    <row r="54">
      <c r="A54" s="30" t="str">
        <f>IFERROR(__xludf.DUMMYFUNCTION("""COMPUTED_VALUE"""),"2016 03")</f>
        <v>2016 03</v>
      </c>
      <c r="B54" s="30" t="str">
        <f>IFERROR(__xludf.DUMMYFUNCTION("""COMPUTED_VALUE"""),"62.91")</f>
        <v>62.91</v>
      </c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0.7947862025</v>
      </c>
      <c r="G54" s="7">
        <f t="shared" si="3"/>
        <v>100</v>
      </c>
      <c r="H54" s="7">
        <f t="shared" si="4"/>
        <v>1.589572405</v>
      </c>
      <c r="I54" s="7">
        <f t="shared" si="5"/>
        <v>150</v>
      </c>
      <c r="J54" s="7">
        <f t="shared" si="6"/>
        <v>2.384358608</v>
      </c>
      <c r="K54" s="7">
        <f t="shared" si="7"/>
        <v>200</v>
      </c>
      <c r="L54" s="7">
        <f t="shared" si="8"/>
        <v>3.17914481</v>
      </c>
      <c r="M54" s="7">
        <f t="shared" si="9"/>
        <v>300</v>
      </c>
      <c r="N54" s="7">
        <f t="shared" si="10"/>
        <v>4.768717215</v>
      </c>
      <c r="O54" s="7">
        <f t="shared" si="11"/>
        <v>400</v>
      </c>
      <c r="P54" s="7">
        <f t="shared" si="12"/>
        <v>6.35828962</v>
      </c>
      <c r="Q54" s="7">
        <f t="shared" si="13"/>
        <v>500</v>
      </c>
      <c r="R54" s="7">
        <f t="shared" si="14"/>
        <v>7.947862025</v>
      </c>
      <c r="S54" s="7">
        <f t="shared" si="15"/>
        <v>600</v>
      </c>
      <c r="T54" s="7">
        <f t="shared" si="16"/>
        <v>9.53743443</v>
      </c>
      <c r="U54" s="7">
        <f t="shared" si="17"/>
        <v>700</v>
      </c>
      <c r="V54" s="7">
        <f t="shared" si="18"/>
        <v>11.12700684</v>
      </c>
      <c r="W54" s="7">
        <f t="shared" si="19"/>
        <v>800</v>
      </c>
      <c r="X54" s="7">
        <f t="shared" si="20"/>
        <v>12.71657924</v>
      </c>
      <c r="Y54" s="7">
        <f t="shared" si="21"/>
        <v>900</v>
      </c>
      <c r="Z54" s="7">
        <f t="shared" si="22"/>
        <v>14.30615165</v>
      </c>
    </row>
    <row r="55">
      <c r="A55" s="30" t="str">
        <f>IFERROR(__xludf.DUMMYFUNCTION("""COMPUTED_VALUE"""),"2016 04")</f>
        <v>2016 04</v>
      </c>
      <c r="B55" s="30" t="str">
        <f>IFERROR(__xludf.DUMMYFUNCTION("""COMPUTED_VALUE"""),"63.4")</f>
        <v>63.4</v>
      </c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0.7886435331</v>
      </c>
      <c r="G55" s="7">
        <f t="shared" si="3"/>
        <v>100</v>
      </c>
      <c r="H55" s="7">
        <f t="shared" si="4"/>
        <v>1.577287066</v>
      </c>
      <c r="I55" s="7">
        <f t="shared" si="5"/>
        <v>150</v>
      </c>
      <c r="J55" s="7">
        <f t="shared" si="6"/>
        <v>2.365930599</v>
      </c>
      <c r="K55" s="7">
        <f t="shared" si="7"/>
        <v>200</v>
      </c>
      <c r="L55" s="7">
        <f t="shared" si="8"/>
        <v>3.154574132</v>
      </c>
      <c r="M55" s="7">
        <f t="shared" si="9"/>
        <v>300</v>
      </c>
      <c r="N55" s="7">
        <f t="shared" si="10"/>
        <v>4.731861199</v>
      </c>
      <c r="O55" s="7">
        <f t="shared" si="11"/>
        <v>400</v>
      </c>
      <c r="P55" s="7">
        <f t="shared" si="12"/>
        <v>6.309148265</v>
      </c>
      <c r="Q55" s="7">
        <f t="shared" si="13"/>
        <v>500</v>
      </c>
      <c r="R55" s="7">
        <f t="shared" si="14"/>
        <v>7.886435331</v>
      </c>
      <c r="S55" s="7">
        <f t="shared" si="15"/>
        <v>600</v>
      </c>
      <c r="T55" s="7">
        <f t="shared" si="16"/>
        <v>9.463722397</v>
      </c>
      <c r="U55" s="7">
        <f t="shared" si="17"/>
        <v>700</v>
      </c>
      <c r="V55" s="7">
        <f t="shared" si="18"/>
        <v>11.04100946</v>
      </c>
      <c r="W55" s="7">
        <f t="shared" si="19"/>
        <v>800</v>
      </c>
      <c r="X55" s="7">
        <f t="shared" si="20"/>
        <v>12.61829653</v>
      </c>
      <c r="Y55" s="7">
        <f t="shared" si="21"/>
        <v>900</v>
      </c>
      <c r="Z55" s="7">
        <f t="shared" si="22"/>
        <v>14.1955836</v>
      </c>
    </row>
    <row r="56">
      <c r="A56" s="30" t="str">
        <f>IFERROR(__xludf.DUMMYFUNCTION("""COMPUTED_VALUE"""),"2016 05")</f>
        <v>2016 05</v>
      </c>
      <c r="B56" s="30" t="str">
        <f>IFERROR(__xludf.DUMMYFUNCTION("""COMPUTED_VALUE"""),"66.66")</f>
        <v>66.66</v>
      </c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0.7500750075</v>
      </c>
      <c r="G56" s="7">
        <f t="shared" si="3"/>
        <v>100</v>
      </c>
      <c r="H56" s="7">
        <f t="shared" si="4"/>
        <v>1.500150015</v>
      </c>
      <c r="I56" s="7">
        <f t="shared" si="5"/>
        <v>150</v>
      </c>
      <c r="J56" s="7">
        <f t="shared" si="6"/>
        <v>2.250225023</v>
      </c>
      <c r="K56" s="7">
        <f t="shared" si="7"/>
        <v>200</v>
      </c>
      <c r="L56" s="7">
        <f t="shared" si="8"/>
        <v>3.00030003</v>
      </c>
      <c r="M56" s="7">
        <f t="shared" si="9"/>
        <v>300</v>
      </c>
      <c r="N56" s="7">
        <f t="shared" si="10"/>
        <v>4.500450045</v>
      </c>
      <c r="O56" s="7">
        <f t="shared" si="11"/>
        <v>400</v>
      </c>
      <c r="P56" s="7">
        <f t="shared" si="12"/>
        <v>6.00060006</v>
      </c>
      <c r="Q56" s="7">
        <f t="shared" si="13"/>
        <v>500</v>
      </c>
      <c r="R56" s="7">
        <f t="shared" si="14"/>
        <v>7.500750075</v>
      </c>
      <c r="S56" s="7">
        <f t="shared" si="15"/>
        <v>600</v>
      </c>
      <c r="T56" s="7">
        <f t="shared" si="16"/>
        <v>9.00090009</v>
      </c>
      <c r="U56" s="7">
        <f t="shared" si="17"/>
        <v>700</v>
      </c>
      <c r="V56" s="7">
        <f t="shared" si="18"/>
        <v>10.50105011</v>
      </c>
      <c r="W56" s="7">
        <f t="shared" si="19"/>
        <v>800</v>
      </c>
      <c r="X56" s="7">
        <f t="shared" si="20"/>
        <v>12.00120012</v>
      </c>
      <c r="Y56" s="7">
        <f t="shared" si="21"/>
        <v>900</v>
      </c>
      <c r="Z56" s="7">
        <f t="shared" si="22"/>
        <v>13.50135014</v>
      </c>
    </row>
    <row r="57">
      <c r="A57" s="30" t="str">
        <f>IFERROR(__xludf.DUMMYFUNCTION("""COMPUTED_VALUE"""),"2016 06")</f>
        <v>2016 06</v>
      </c>
      <c r="B57" s="30" t="str">
        <f>IFERROR(__xludf.DUMMYFUNCTION("""COMPUTED_VALUE"""),"67.9")</f>
        <v>67.9</v>
      </c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0.736377025</v>
      </c>
      <c r="G57" s="7">
        <f t="shared" si="3"/>
        <v>100</v>
      </c>
      <c r="H57" s="7">
        <f t="shared" si="4"/>
        <v>1.47275405</v>
      </c>
      <c r="I57" s="7">
        <f t="shared" si="5"/>
        <v>150</v>
      </c>
      <c r="J57" s="7">
        <f t="shared" si="6"/>
        <v>2.209131075</v>
      </c>
      <c r="K57" s="7">
        <f t="shared" si="7"/>
        <v>200</v>
      </c>
      <c r="L57" s="7">
        <f t="shared" si="8"/>
        <v>2.9455081</v>
      </c>
      <c r="M57" s="7">
        <f t="shared" si="9"/>
        <v>300</v>
      </c>
      <c r="N57" s="7">
        <f t="shared" si="10"/>
        <v>4.41826215</v>
      </c>
      <c r="O57" s="7">
        <f t="shared" si="11"/>
        <v>400</v>
      </c>
      <c r="P57" s="7">
        <f t="shared" si="12"/>
        <v>5.8910162</v>
      </c>
      <c r="Q57" s="7">
        <f t="shared" si="13"/>
        <v>500</v>
      </c>
      <c r="R57" s="7">
        <f t="shared" si="14"/>
        <v>7.36377025</v>
      </c>
      <c r="S57" s="7">
        <f t="shared" si="15"/>
        <v>600</v>
      </c>
      <c r="T57" s="7">
        <f t="shared" si="16"/>
        <v>8.8365243</v>
      </c>
      <c r="U57" s="7">
        <f t="shared" si="17"/>
        <v>700</v>
      </c>
      <c r="V57" s="7">
        <f t="shared" si="18"/>
        <v>10.30927835</v>
      </c>
      <c r="W57" s="7">
        <f t="shared" si="19"/>
        <v>800</v>
      </c>
      <c r="X57" s="7">
        <f t="shared" si="20"/>
        <v>11.7820324</v>
      </c>
      <c r="Y57" s="7">
        <f t="shared" si="21"/>
        <v>900</v>
      </c>
      <c r="Z57" s="7">
        <f t="shared" si="22"/>
        <v>13.25478645</v>
      </c>
    </row>
    <row r="58">
      <c r="A58" s="30" t="str">
        <f>IFERROR(__xludf.DUMMYFUNCTION("""COMPUTED_VALUE"""),"2016 07")</f>
        <v>2016 07</v>
      </c>
      <c r="B58" s="30" t="str">
        <f>IFERROR(__xludf.DUMMYFUNCTION("""COMPUTED_VALUE"""),"67.04")</f>
        <v>67.04</v>
      </c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0.745823389</v>
      </c>
      <c r="G58" s="7">
        <f t="shared" si="3"/>
        <v>100</v>
      </c>
      <c r="H58" s="7">
        <f t="shared" si="4"/>
        <v>1.491646778</v>
      </c>
      <c r="I58" s="7">
        <f t="shared" si="5"/>
        <v>150</v>
      </c>
      <c r="J58" s="7">
        <f t="shared" si="6"/>
        <v>2.237470167</v>
      </c>
      <c r="K58" s="7">
        <f t="shared" si="7"/>
        <v>200</v>
      </c>
      <c r="L58" s="7">
        <f t="shared" si="8"/>
        <v>2.983293556</v>
      </c>
      <c r="M58" s="7">
        <f t="shared" si="9"/>
        <v>300</v>
      </c>
      <c r="N58" s="7">
        <f t="shared" si="10"/>
        <v>4.474940334</v>
      </c>
      <c r="O58" s="7">
        <f t="shared" si="11"/>
        <v>400</v>
      </c>
      <c r="P58" s="7">
        <f t="shared" si="12"/>
        <v>5.966587112</v>
      </c>
      <c r="Q58" s="7">
        <f t="shared" si="13"/>
        <v>500</v>
      </c>
      <c r="R58" s="7">
        <f t="shared" si="14"/>
        <v>7.45823389</v>
      </c>
      <c r="S58" s="7">
        <f t="shared" si="15"/>
        <v>600</v>
      </c>
      <c r="T58" s="7">
        <f t="shared" si="16"/>
        <v>8.949880668</v>
      </c>
      <c r="U58" s="7">
        <f t="shared" si="17"/>
        <v>700</v>
      </c>
      <c r="V58" s="7">
        <f t="shared" si="18"/>
        <v>10.44152745</v>
      </c>
      <c r="W58" s="7">
        <f t="shared" si="19"/>
        <v>800</v>
      </c>
      <c r="X58" s="7">
        <f t="shared" si="20"/>
        <v>11.93317422</v>
      </c>
      <c r="Y58" s="7">
        <f t="shared" si="21"/>
        <v>900</v>
      </c>
      <c r="Z58" s="7">
        <f t="shared" si="22"/>
        <v>13.424821</v>
      </c>
    </row>
    <row r="59">
      <c r="A59" s="30" t="str">
        <f>IFERROR(__xludf.DUMMYFUNCTION("""COMPUTED_VALUE"""),"2016 08")</f>
        <v>2016 08</v>
      </c>
      <c r="B59" s="30" t="str">
        <f>IFERROR(__xludf.DUMMYFUNCTION("""COMPUTED_VALUE"""),"71.26")</f>
        <v>71.26</v>
      </c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0.7016559079</v>
      </c>
      <c r="G59" s="7">
        <f t="shared" si="3"/>
        <v>100</v>
      </c>
      <c r="H59" s="7">
        <f t="shared" si="4"/>
        <v>1.403311816</v>
      </c>
      <c r="I59" s="7">
        <f t="shared" si="5"/>
        <v>150</v>
      </c>
      <c r="J59" s="7">
        <f t="shared" si="6"/>
        <v>2.104967724</v>
      </c>
      <c r="K59" s="7">
        <f t="shared" si="7"/>
        <v>200</v>
      </c>
      <c r="L59" s="7">
        <f t="shared" si="8"/>
        <v>2.806623632</v>
      </c>
      <c r="M59" s="7">
        <f t="shared" si="9"/>
        <v>300</v>
      </c>
      <c r="N59" s="7">
        <f t="shared" si="10"/>
        <v>4.209935448</v>
      </c>
      <c r="O59" s="7">
        <f t="shared" si="11"/>
        <v>400</v>
      </c>
      <c r="P59" s="7">
        <f t="shared" si="12"/>
        <v>5.613247264</v>
      </c>
      <c r="Q59" s="7">
        <f t="shared" si="13"/>
        <v>500</v>
      </c>
      <c r="R59" s="7">
        <f t="shared" si="14"/>
        <v>7.016559079</v>
      </c>
      <c r="S59" s="7">
        <f t="shared" si="15"/>
        <v>600</v>
      </c>
      <c r="T59" s="7">
        <f t="shared" si="16"/>
        <v>8.419870895</v>
      </c>
      <c r="U59" s="7">
        <f t="shared" si="17"/>
        <v>700</v>
      </c>
      <c r="V59" s="7">
        <f t="shared" si="18"/>
        <v>9.823182711</v>
      </c>
      <c r="W59" s="7">
        <f t="shared" si="19"/>
        <v>800</v>
      </c>
      <c r="X59" s="7">
        <f t="shared" si="20"/>
        <v>11.22649453</v>
      </c>
      <c r="Y59" s="7">
        <f t="shared" si="21"/>
        <v>900</v>
      </c>
      <c r="Z59" s="7">
        <f t="shared" si="22"/>
        <v>12.62980634</v>
      </c>
    </row>
    <row r="60">
      <c r="A60" s="30" t="str">
        <f>IFERROR(__xludf.DUMMYFUNCTION("""COMPUTED_VALUE"""),"2016 09")</f>
        <v>2016 09</v>
      </c>
      <c r="B60" s="30" t="str">
        <f>IFERROR(__xludf.DUMMYFUNCTION("""COMPUTED_VALUE"""),"69.64")</f>
        <v>69.64</v>
      </c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0.7179781735</v>
      </c>
      <c r="G60" s="7">
        <f t="shared" si="3"/>
        <v>100</v>
      </c>
      <c r="H60" s="7">
        <f t="shared" si="4"/>
        <v>1.435956347</v>
      </c>
      <c r="I60" s="7">
        <f t="shared" si="5"/>
        <v>150</v>
      </c>
      <c r="J60" s="7">
        <f t="shared" si="6"/>
        <v>2.15393452</v>
      </c>
      <c r="K60" s="7">
        <f t="shared" si="7"/>
        <v>200</v>
      </c>
      <c r="L60" s="7">
        <f t="shared" si="8"/>
        <v>2.871912694</v>
      </c>
      <c r="M60" s="7">
        <f t="shared" si="9"/>
        <v>300</v>
      </c>
      <c r="N60" s="7">
        <f t="shared" si="10"/>
        <v>4.307869041</v>
      </c>
      <c r="O60" s="7">
        <f t="shared" si="11"/>
        <v>400</v>
      </c>
      <c r="P60" s="7">
        <f t="shared" si="12"/>
        <v>5.743825388</v>
      </c>
      <c r="Q60" s="7">
        <f t="shared" si="13"/>
        <v>500</v>
      </c>
      <c r="R60" s="7">
        <f t="shared" si="14"/>
        <v>7.179781735</v>
      </c>
      <c r="S60" s="7">
        <f t="shared" si="15"/>
        <v>600</v>
      </c>
      <c r="T60" s="7">
        <f t="shared" si="16"/>
        <v>8.615738082</v>
      </c>
      <c r="U60" s="7">
        <f t="shared" si="17"/>
        <v>700</v>
      </c>
      <c r="V60" s="7">
        <f t="shared" si="18"/>
        <v>10.05169443</v>
      </c>
      <c r="W60" s="7">
        <f t="shared" si="19"/>
        <v>800</v>
      </c>
      <c r="X60" s="7">
        <f t="shared" si="20"/>
        <v>11.48765078</v>
      </c>
      <c r="Y60" s="7">
        <f t="shared" si="21"/>
        <v>900</v>
      </c>
      <c r="Z60" s="7">
        <f t="shared" si="22"/>
        <v>12.92360712</v>
      </c>
    </row>
    <row r="61">
      <c r="A61" s="30" t="str">
        <f>IFERROR(__xludf.DUMMYFUNCTION("""COMPUTED_VALUE"""),"2016 10")</f>
        <v>2016 10</v>
      </c>
      <c r="B61" s="30" t="str">
        <f>IFERROR(__xludf.DUMMYFUNCTION("""COMPUTED_VALUE"""),"70.75")</f>
        <v>70.75</v>
      </c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0.7067137809</v>
      </c>
      <c r="G61" s="7">
        <f t="shared" si="3"/>
        <v>100</v>
      </c>
      <c r="H61" s="7">
        <f t="shared" si="4"/>
        <v>1.413427562</v>
      </c>
      <c r="I61" s="7">
        <f t="shared" si="5"/>
        <v>150</v>
      </c>
      <c r="J61" s="7">
        <f t="shared" si="6"/>
        <v>2.120141343</v>
      </c>
      <c r="K61" s="7">
        <f t="shared" si="7"/>
        <v>200</v>
      </c>
      <c r="L61" s="7">
        <f t="shared" si="8"/>
        <v>2.826855124</v>
      </c>
      <c r="M61" s="7">
        <f t="shared" si="9"/>
        <v>300</v>
      </c>
      <c r="N61" s="7">
        <f t="shared" si="10"/>
        <v>4.240282686</v>
      </c>
      <c r="O61" s="7">
        <f t="shared" si="11"/>
        <v>400</v>
      </c>
      <c r="P61" s="7">
        <f t="shared" si="12"/>
        <v>5.653710247</v>
      </c>
      <c r="Q61" s="7">
        <f t="shared" si="13"/>
        <v>500</v>
      </c>
      <c r="R61" s="7">
        <f t="shared" si="14"/>
        <v>7.067137809</v>
      </c>
      <c r="S61" s="7">
        <f t="shared" si="15"/>
        <v>600</v>
      </c>
      <c r="T61" s="7">
        <f t="shared" si="16"/>
        <v>8.480565371</v>
      </c>
      <c r="U61" s="7">
        <f t="shared" si="17"/>
        <v>700</v>
      </c>
      <c r="V61" s="7">
        <f t="shared" si="18"/>
        <v>9.893992933</v>
      </c>
      <c r="W61" s="7">
        <f t="shared" si="19"/>
        <v>800</v>
      </c>
      <c r="X61" s="7">
        <f t="shared" si="20"/>
        <v>11.30742049</v>
      </c>
      <c r="Y61" s="7">
        <f t="shared" si="21"/>
        <v>900</v>
      </c>
      <c r="Z61" s="7">
        <f t="shared" si="22"/>
        <v>12.72084806</v>
      </c>
    </row>
    <row r="62">
      <c r="A62" s="30" t="str">
        <f>IFERROR(__xludf.DUMMYFUNCTION("""COMPUTED_VALUE"""),"2016 11")</f>
        <v>2016 11</v>
      </c>
      <c r="B62" s="30" t="str">
        <f>IFERROR(__xludf.DUMMYFUNCTION("""COMPUTED_VALUE"""),"67.3")</f>
        <v>67.3</v>
      </c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0.7429420505</v>
      </c>
      <c r="G62" s="7">
        <f t="shared" si="3"/>
        <v>100</v>
      </c>
      <c r="H62" s="7">
        <f t="shared" si="4"/>
        <v>1.485884101</v>
      </c>
      <c r="I62" s="7">
        <f t="shared" si="5"/>
        <v>150</v>
      </c>
      <c r="J62" s="7">
        <f t="shared" si="6"/>
        <v>2.228826152</v>
      </c>
      <c r="K62" s="7">
        <f t="shared" si="7"/>
        <v>200</v>
      </c>
      <c r="L62" s="7">
        <f t="shared" si="8"/>
        <v>2.971768202</v>
      </c>
      <c r="M62" s="7">
        <f t="shared" si="9"/>
        <v>300</v>
      </c>
      <c r="N62" s="7">
        <f t="shared" si="10"/>
        <v>4.457652303</v>
      </c>
      <c r="O62" s="7">
        <f t="shared" si="11"/>
        <v>400</v>
      </c>
      <c r="P62" s="7">
        <f t="shared" si="12"/>
        <v>5.943536404</v>
      </c>
      <c r="Q62" s="7">
        <f t="shared" si="13"/>
        <v>500</v>
      </c>
      <c r="R62" s="7">
        <f t="shared" si="14"/>
        <v>7.429420505</v>
      </c>
      <c r="S62" s="7">
        <f t="shared" si="15"/>
        <v>600</v>
      </c>
      <c r="T62" s="7">
        <f t="shared" si="16"/>
        <v>8.915304606</v>
      </c>
      <c r="U62" s="7">
        <f t="shared" si="17"/>
        <v>700</v>
      </c>
      <c r="V62" s="7">
        <f t="shared" si="18"/>
        <v>10.40118871</v>
      </c>
      <c r="W62" s="7">
        <f t="shared" si="19"/>
        <v>800</v>
      </c>
      <c r="X62" s="7">
        <f t="shared" si="20"/>
        <v>11.88707281</v>
      </c>
      <c r="Y62" s="7">
        <f t="shared" si="21"/>
        <v>900</v>
      </c>
      <c r="Z62" s="7">
        <f t="shared" si="22"/>
        <v>13.37295691</v>
      </c>
    </row>
    <row r="63">
      <c r="A63" s="30" t="str">
        <f>IFERROR(__xludf.DUMMYFUNCTION("""COMPUTED_VALUE"""),"2016 12")</f>
        <v>2016 12</v>
      </c>
      <c r="B63" s="30" t="str">
        <f>IFERROR(__xludf.DUMMYFUNCTION("""COMPUTED_VALUE"""),"70.22")</f>
        <v>70.22</v>
      </c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0.7120478496</v>
      </c>
      <c r="G63" s="7">
        <f t="shared" si="3"/>
        <v>100</v>
      </c>
      <c r="H63" s="7">
        <f t="shared" si="4"/>
        <v>1.424095699</v>
      </c>
      <c r="I63" s="7">
        <f t="shared" si="5"/>
        <v>150</v>
      </c>
      <c r="J63" s="7">
        <f t="shared" si="6"/>
        <v>2.136143549</v>
      </c>
      <c r="K63" s="7">
        <f t="shared" si="7"/>
        <v>200</v>
      </c>
      <c r="L63" s="7">
        <f t="shared" si="8"/>
        <v>2.848191398</v>
      </c>
      <c r="M63" s="7">
        <f t="shared" si="9"/>
        <v>300</v>
      </c>
      <c r="N63" s="7">
        <f t="shared" si="10"/>
        <v>4.272287098</v>
      </c>
      <c r="O63" s="7">
        <f t="shared" si="11"/>
        <v>400</v>
      </c>
      <c r="P63" s="7">
        <f t="shared" si="12"/>
        <v>5.696382797</v>
      </c>
      <c r="Q63" s="7">
        <f t="shared" si="13"/>
        <v>500</v>
      </c>
      <c r="R63" s="7">
        <f t="shared" si="14"/>
        <v>7.120478496</v>
      </c>
      <c r="S63" s="7">
        <f t="shared" si="15"/>
        <v>600</v>
      </c>
      <c r="T63" s="7">
        <f t="shared" si="16"/>
        <v>8.544574195</v>
      </c>
      <c r="U63" s="7">
        <f t="shared" si="17"/>
        <v>700</v>
      </c>
      <c r="V63" s="7">
        <f t="shared" si="18"/>
        <v>9.968669895</v>
      </c>
      <c r="W63" s="7">
        <f t="shared" si="19"/>
        <v>800</v>
      </c>
      <c r="X63" s="7">
        <f t="shared" si="20"/>
        <v>11.39276559</v>
      </c>
      <c r="Y63" s="7">
        <f t="shared" si="21"/>
        <v>900</v>
      </c>
      <c r="Z63" s="7">
        <f t="shared" si="22"/>
        <v>12.81686129</v>
      </c>
    </row>
    <row r="64">
      <c r="A64" s="30" t="str">
        <f>IFERROR(__xludf.DUMMYFUNCTION("""COMPUTED_VALUE"""),"2017 01")</f>
        <v>2017 01</v>
      </c>
      <c r="B64" s="30" t="str">
        <f>IFERROR(__xludf.DUMMYFUNCTION("""COMPUTED_VALUE"""),"72.48")</f>
        <v>72.48</v>
      </c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0.6898454746</v>
      </c>
      <c r="G64" s="7">
        <f t="shared" si="3"/>
        <v>100</v>
      </c>
      <c r="H64" s="7">
        <f t="shared" si="4"/>
        <v>1.379690949</v>
      </c>
      <c r="I64" s="7">
        <f t="shared" si="5"/>
        <v>150</v>
      </c>
      <c r="J64" s="7">
        <f t="shared" si="6"/>
        <v>2.069536424</v>
      </c>
      <c r="K64" s="7">
        <f t="shared" si="7"/>
        <v>200</v>
      </c>
      <c r="L64" s="7">
        <f t="shared" si="8"/>
        <v>2.759381898</v>
      </c>
      <c r="M64" s="7">
        <f t="shared" si="9"/>
        <v>300</v>
      </c>
      <c r="N64" s="7">
        <f t="shared" si="10"/>
        <v>4.139072848</v>
      </c>
      <c r="O64" s="7">
        <f t="shared" si="11"/>
        <v>400</v>
      </c>
      <c r="P64" s="7">
        <f t="shared" si="12"/>
        <v>5.518763797</v>
      </c>
      <c r="Q64" s="7">
        <f t="shared" si="13"/>
        <v>500</v>
      </c>
      <c r="R64" s="7">
        <f t="shared" si="14"/>
        <v>6.898454746</v>
      </c>
      <c r="S64" s="7">
        <f t="shared" si="15"/>
        <v>600</v>
      </c>
      <c r="T64" s="7">
        <f t="shared" si="16"/>
        <v>8.278145695</v>
      </c>
      <c r="U64" s="7">
        <f t="shared" si="17"/>
        <v>700</v>
      </c>
      <c r="V64" s="7">
        <f t="shared" si="18"/>
        <v>9.657836645</v>
      </c>
      <c r="W64" s="7">
        <f t="shared" si="19"/>
        <v>800</v>
      </c>
      <c r="X64" s="7">
        <f t="shared" si="20"/>
        <v>11.03752759</v>
      </c>
      <c r="Y64" s="7">
        <f t="shared" si="21"/>
        <v>900</v>
      </c>
      <c r="Z64" s="7">
        <f t="shared" si="22"/>
        <v>12.41721854</v>
      </c>
    </row>
    <row r="65">
      <c r="A65" s="30" t="str">
        <f>IFERROR(__xludf.DUMMYFUNCTION("""COMPUTED_VALUE"""),"2017 02")</f>
        <v>2017 02</v>
      </c>
      <c r="B65" s="30" t="str">
        <f>IFERROR(__xludf.DUMMYFUNCTION("""COMPUTED_VALUE"""),"71.42")</f>
        <v>71.42</v>
      </c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0.7000840101</v>
      </c>
      <c r="G65" s="7">
        <f t="shared" si="3"/>
        <v>100</v>
      </c>
      <c r="H65" s="7">
        <f t="shared" si="4"/>
        <v>1.40016802</v>
      </c>
      <c r="I65" s="7">
        <f t="shared" si="5"/>
        <v>150</v>
      </c>
      <c r="J65" s="7">
        <f t="shared" si="6"/>
        <v>2.10025203</v>
      </c>
      <c r="K65" s="7">
        <f t="shared" si="7"/>
        <v>200</v>
      </c>
      <c r="L65" s="7">
        <f t="shared" si="8"/>
        <v>2.80033604</v>
      </c>
      <c r="M65" s="7">
        <f t="shared" si="9"/>
        <v>300</v>
      </c>
      <c r="N65" s="7">
        <f t="shared" si="10"/>
        <v>4.20050406</v>
      </c>
      <c r="O65" s="7">
        <f t="shared" si="11"/>
        <v>400</v>
      </c>
      <c r="P65" s="7">
        <f t="shared" si="12"/>
        <v>5.600672081</v>
      </c>
      <c r="Q65" s="7">
        <f t="shared" si="13"/>
        <v>500</v>
      </c>
      <c r="R65" s="7">
        <f t="shared" si="14"/>
        <v>7.000840101</v>
      </c>
      <c r="S65" s="7">
        <f t="shared" si="15"/>
        <v>600</v>
      </c>
      <c r="T65" s="7">
        <f t="shared" si="16"/>
        <v>8.401008121</v>
      </c>
      <c r="U65" s="7">
        <f t="shared" si="17"/>
        <v>700</v>
      </c>
      <c r="V65" s="7">
        <f t="shared" si="18"/>
        <v>9.801176141</v>
      </c>
      <c r="W65" s="7">
        <f t="shared" si="19"/>
        <v>800</v>
      </c>
      <c r="X65" s="7">
        <f t="shared" si="20"/>
        <v>11.20134416</v>
      </c>
      <c r="Y65" s="7">
        <f t="shared" si="21"/>
        <v>900</v>
      </c>
      <c r="Z65" s="7">
        <f t="shared" si="22"/>
        <v>12.60151218</v>
      </c>
    </row>
    <row r="66">
      <c r="A66" s="30" t="str">
        <f>IFERROR(__xludf.DUMMYFUNCTION("""COMPUTED_VALUE"""),"2017 03")</f>
        <v>2017 03</v>
      </c>
      <c r="B66" s="30" t="str">
        <f>IFERROR(__xludf.DUMMYFUNCTION("""COMPUTED_VALUE"""),"72.59")</f>
        <v>72.59</v>
      </c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0.6888001102</v>
      </c>
      <c r="G66" s="7">
        <f t="shared" si="3"/>
        <v>100</v>
      </c>
      <c r="H66" s="7">
        <f t="shared" si="4"/>
        <v>1.37760022</v>
      </c>
      <c r="I66" s="7">
        <f t="shared" si="5"/>
        <v>150</v>
      </c>
      <c r="J66" s="7">
        <f t="shared" si="6"/>
        <v>2.066400331</v>
      </c>
      <c r="K66" s="7">
        <f t="shared" si="7"/>
        <v>200</v>
      </c>
      <c r="L66" s="7">
        <f t="shared" si="8"/>
        <v>2.755200441</v>
      </c>
      <c r="M66" s="7">
        <f t="shared" si="9"/>
        <v>300</v>
      </c>
      <c r="N66" s="7">
        <f t="shared" si="10"/>
        <v>4.132800661</v>
      </c>
      <c r="O66" s="7">
        <f t="shared" si="11"/>
        <v>400</v>
      </c>
      <c r="P66" s="7">
        <f t="shared" si="12"/>
        <v>5.510400882</v>
      </c>
      <c r="Q66" s="7">
        <f t="shared" si="13"/>
        <v>500</v>
      </c>
      <c r="R66" s="7">
        <f t="shared" si="14"/>
        <v>6.888001102</v>
      </c>
      <c r="S66" s="7">
        <f t="shared" si="15"/>
        <v>600</v>
      </c>
      <c r="T66" s="7">
        <f t="shared" si="16"/>
        <v>8.265601322</v>
      </c>
      <c r="U66" s="7">
        <f t="shared" si="17"/>
        <v>700</v>
      </c>
      <c r="V66" s="7">
        <f t="shared" si="18"/>
        <v>9.643201543</v>
      </c>
      <c r="W66" s="7">
        <f t="shared" si="19"/>
        <v>800</v>
      </c>
      <c r="X66" s="7">
        <f t="shared" si="20"/>
        <v>11.02080176</v>
      </c>
      <c r="Y66" s="7">
        <f t="shared" si="21"/>
        <v>900</v>
      </c>
      <c r="Z66" s="7">
        <f t="shared" si="22"/>
        <v>12.39840198</v>
      </c>
    </row>
    <row r="67">
      <c r="A67" s="30" t="str">
        <f>IFERROR(__xludf.DUMMYFUNCTION("""COMPUTED_VALUE"""),"2017 04")</f>
        <v>2017 04</v>
      </c>
      <c r="B67" s="30" t="str">
        <f>IFERROR(__xludf.DUMMYFUNCTION("""COMPUTED_VALUE"""),"74.5")</f>
        <v>74.5</v>
      </c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0.6711409396</v>
      </c>
      <c r="G67" s="7">
        <f t="shared" si="3"/>
        <v>100</v>
      </c>
      <c r="H67" s="7">
        <f t="shared" si="4"/>
        <v>1.342281879</v>
      </c>
      <c r="I67" s="7">
        <f t="shared" si="5"/>
        <v>150</v>
      </c>
      <c r="J67" s="7">
        <f t="shared" si="6"/>
        <v>2.013422819</v>
      </c>
      <c r="K67" s="7">
        <f t="shared" si="7"/>
        <v>200</v>
      </c>
      <c r="L67" s="7">
        <f t="shared" si="8"/>
        <v>2.684563758</v>
      </c>
      <c r="M67" s="7">
        <f t="shared" si="9"/>
        <v>300</v>
      </c>
      <c r="N67" s="7">
        <f t="shared" si="10"/>
        <v>4.026845638</v>
      </c>
      <c r="O67" s="7">
        <f t="shared" si="11"/>
        <v>400</v>
      </c>
      <c r="P67" s="7">
        <f t="shared" si="12"/>
        <v>5.369127517</v>
      </c>
      <c r="Q67" s="7">
        <f t="shared" si="13"/>
        <v>500</v>
      </c>
      <c r="R67" s="7">
        <f t="shared" si="14"/>
        <v>6.711409396</v>
      </c>
      <c r="S67" s="7">
        <f t="shared" si="15"/>
        <v>600</v>
      </c>
      <c r="T67" s="7">
        <f t="shared" si="16"/>
        <v>8.053691275</v>
      </c>
      <c r="U67" s="7">
        <f t="shared" si="17"/>
        <v>700</v>
      </c>
      <c r="V67" s="7">
        <f t="shared" si="18"/>
        <v>9.395973154</v>
      </c>
      <c r="W67" s="7">
        <f t="shared" si="19"/>
        <v>800</v>
      </c>
      <c r="X67" s="7">
        <f t="shared" si="20"/>
        <v>10.73825503</v>
      </c>
      <c r="Y67" s="7">
        <f t="shared" si="21"/>
        <v>900</v>
      </c>
      <c r="Z67" s="7">
        <f t="shared" si="22"/>
        <v>12.08053691</v>
      </c>
    </row>
    <row r="68">
      <c r="A68" s="30" t="str">
        <f>IFERROR(__xludf.DUMMYFUNCTION("""COMPUTED_VALUE"""),"2017 05")</f>
        <v>2017 05</v>
      </c>
      <c r="B68" s="30" t="str">
        <f>IFERROR(__xludf.DUMMYFUNCTION("""COMPUTED_VALUE"""),"75.54")</f>
        <v>75.54</v>
      </c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0.6619009796</v>
      </c>
      <c r="G68" s="7">
        <f t="shared" si="3"/>
        <v>100</v>
      </c>
      <c r="H68" s="7">
        <f t="shared" si="4"/>
        <v>1.323801959</v>
      </c>
      <c r="I68" s="7">
        <f t="shared" si="5"/>
        <v>150</v>
      </c>
      <c r="J68" s="7">
        <f t="shared" si="6"/>
        <v>1.985702939</v>
      </c>
      <c r="K68" s="7">
        <f t="shared" si="7"/>
        <v>200</v>
      </c>
      <c r="L68" s="7">
        <f t="shared" si="8"/>
        <v>2.647603918</v>
      </c>
      <c r="M68" s="7">
        <f t="shared" si="9"/>
        <v>300</v>
      </c>
      <c r="N68" s="7">
        <f t="shared" si="10"/>
        <v>3.971405878</v>
      </c>
      <c r="O68" s="7">
        <f t="shared" si="11"/>
        <v>400</v>
      </c>
      <c r="P68" s="7">
        <f t="shared" si="12"/>
        <v>5.295207837</v>
      </c>
      <c r="Q68" s="7">
        <f t="shared" si="13"/>
        <v>500</v>
      </c>
      <c r="R68" s="7">
        <f t="shared" si="14"/>
        <v>6.619009796</v>
      </c>
      <c r="S68" s="7">
        <f t="shared" si="15"/>
        <v>600</v>
      </c>
      <c r="T68" s="7">
        <f t="shared" si="16"/>
        <v>7.942811755</v>
      </c>
      <c r="U68" s="7">
        <f t="shared" si="17"/>
        <v>700</v>
      </c>
      <c r="V68" s="7">
        <f t="shared" si="18"/>
        <v>9.266613715</v>
      </c>
      <c r="W68" s="7">
        <f t="shared" si="19"/>
        <v>800</v>
      </c>
      <c r="X68" s="7">
        <f t="shared" si="20"/>
        <v>10.59041567</v>
      </c>
      <c r="Y68" s="7">
        <f t="shared" si="21"/>
        <v>900</v>
      </c>
      <c r="Z68" s="7">
        <f t="shared" si="22"/>
        <v>11.91421763</v>
      </c>
    </row>
    <row r="69">
      <c r="A69" s="30" t="str">
        <f>IFERROR(__xludf.DUMMYFUNCTION("""COMPUTED_VALUE"""),"2017 06")</f>
        <v>2017 06</v>
      </c>
      <c r="B69" s="30" t="str">
        <f>IFERROR(__xludf.DUMMYFUNCTION("""COMPUTED_VALUE"""),"73.19")</f>
        <v>73.19</v>
      </c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0.6831534363</v>
      </c>
      <c r="G69" s="7">
        <f t="shared" si="3"/>
        <v>100</v>
      </c>
      <c r="H69" s="7">
        <f t="shared" si="4"/>
        <v>1.366306873</v>
      </c>
      <c r="I69" s="7">
        <f t="shared" si="5"/>
        <v>150</v>
      </c>
      <c r="J69" s="7">
        <f t="shared" si="6"/>
        <v>2.049460309</v>
      </c>
      <c r="K69" s="7">
        <f t="shared" si="7"/>
        <v>200</v>
      </c>
      <c r="L69" s="7">
        <f t="shared" si="8"/>
        <v>2.732613745</v>
      </c>
      <c r="M69" s="7">
        <f t="shared" si="9"/>
        <v>300</v>
      </c>
      <c r="N69" s="7">
        <f t="shared" si="10"/>
        <v>4.098920618</v>
      </c>
      <c r="O69" s="7">
        <f t="shared" si="11"/>
        <v>400</v>
      </c>
      <c r="P69" s="7">
        <f t="shared" si="12"/>
        <v>5.46522749</v>
      </c>
      <c r="Q69" s="7">
        <f t="shared" si="13"/>
        <v>500</v>
      </c>
      <c r="R69" s="7">
        <f t="shared" si="14"/>
        <v>6.831534363</v>
      </c>
      <c r="S69" s="7">
        <f t="shared" si="15"/>
        <v>600</v>
      </c>
      <c r="T69" s="7">
        <f t="shared" si="16"/>
        <v>8.197841235</v>
      </c>
      <c r="U69" s="7">
        <f t="shared" si="17"/>
        <v>700</v>
      </c>
      <c r="V69" s="7">
        <f t="shared" si="18"/>
        <v>9.564148108</v>
      </c>
      <c r="W69" s="7">
        <f t="shared" si="19"/>
        <v>800</v>
      </c>
      <c r="X69" s="7">
        <f t="shared" si="20"/>
        <v>10.93045498</v>
      </c>
      <c r="Y69" s="7">
        <f t="shared" si="21"/>
        <v>900</v>
      </c>
      <c r="Z69" s="7">
        <f t="shared" si="22"/>
        <v>12.29676185</v>
      </c>
    </row>
    <row r="70">
      <c r="A70" s="30" t="str">
        <f>IFERROR(__xludf.DUMMYFUNCTION("""COMPUTED_VALUE"""),"2017 07")</f>
        <v>2017 07</v>
      </c>
      <c r="B70" s="30" t="str">
        <f>IFERROR(__xludf.DUMMYFUNCTION("""COMPUTED_VALUE"""),"72.4")</f>
        <v>72.4</v>
      </c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0.6906077348</v>
      </c>
      <c r="G70" s="7">
        <f t="shared" si="3"/>
        <v>100</v>
      </c>
      <c r="H70" s="7">
        <f t="shared" si="4"/>
        <v>1.38121547</v>
      </c>
      <c r="I70" s="7">
        <f t="shared" si="5"/>
        <v>150</v>
      </c>
      <c r="J70" s="7">
        <f t="shared" si="6"/>
        <v>2.071823204</v>
      </c>
      <c r="K70" s="7">
        <f t="shared" si="7"/>
        <v>200</v>
      </c>
      <c r="L70" s="7">
        <f t="shared" si="8"/>
        <v>2.762430939</v>
      </c>
      <c r="M70" s="7">
        <f t="shared" si="9"/>
        <v>300</v>
      </c>
      <c r="N70" s="7">
        <f t="shared" si="10"/>
        <v>4.143646409</v>
      </c>
      <c r="O70" s="7">
        <f t="shared" si="11"/>
        <v>400</v>
      </c>
      <c r="P70" s="7">
        <f t="shared" si="12"/>
        <v>5.524861878</v>
      </c>
      <c r="Q70" s="7">
        <f t="shared" si="13"/>
        <v>500</v>
      </c>
      <c r="R70" s="7">
        <f t="shared" si="14"/>
        <v>6.906077348</v>
      </c>
      <c r="S70" s="7">
        <f t="shared" si="15"/>
        <v>600</v>
      </c>
      <c r="T70" s="7">
        <f t="shared" si="16"/>
        <v>8.287292818</v>
      </c>
      <c r="U70" s="7">
        <f t="shared" si="17"/>
        <v>700</v>
      </c>
      <c r="V70" s="7">
        <f t="shared" si="18"/>
        <v>9.668508287</v>
      </c>
      <c r="W70" s="7">
        <f t="shared" si="19"/>
        <v>800</v>
      </c>
      <c r="X70" s="7">
        <f t="shared" si="20"/>
        <v>11.04972376</v>
      </c>
      <c r="Y70" s="7">
        <f t="shared" si="21"/>
        <v>900</v>
      </c>
      <c r="Z70" s="7">
        <f t="shared" si="22"/>
        <v>12.43093923</v>
      </c>
    </row>
    <row r="71">
      <c r="A71" s="30" t="str">
        <f>IFERROR(__xludf.DUMMYFUNCTION("""COMPUTED_VALUE"""),"2017 08")</f>
        <v>2017 08</v>
      </c>
      <c r="B71" s="30" t="str">
        <f>IFERROR(__xludf.DUMMYFUNCTION("""COMPUTED_VALUE"""),"73.44")</f>
        <v>73.44</v>
      </c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0.6808278867</v>
      </c>
      <c r="G71" s="7">
        <f t="shared" si="3"/>
        <v>100</v>
      </c>
      <c r="H71" s="7">
        <f t="shared" si="4"/>
        <v>1.361655773</v>
      </c>
      <c r="I71" s="7">
        <f t="shared" si="5"/>
        <v>150</v>
      </c>
      <c r="J71" s="7">
        <f t="shared" si="6"/>
        <v>2.04248366</v>
      </c>
      <c r="K71" s="7">
        <f t="shared" si="7"/>
        <v>200</v>
      </c>
      <c r="L71" s="7">
        <f t="shared" si="8"/>
        <v>2.723311547</v>
      </c>
      <c r="M71" s="7">
        <f t="shared" si="9"/>
        <v>300</v>
      </c>
      <c r="N71" s="7">
        <f t="shared" si="10"/>
        <v>4.08496732</v>
      </c>
      <c r="O71" s="7">
        <f t="shared" si="11"/>
        <v>400</v>
      </c>
      <c r="P71" s="7">
        <f t="shared" si="12"/>
        <v>5.446623094</v>
      </c>
      <c r="Q71" s="7">
        <f t="shared" si="13"/>
        <v>500</v>
      </c>
      <c r="R71" s="7">
        <f t="shared" si="14"/>
        <v>6.808278867</v>
      </c>
      <c r="S71" s="7">
        <f t="shared" si="15"/>
        <v>600</v>
      </c>
      <c r="T71" s="7">
        <f t="shared" si="16"/>
        <v>8.169934641</v>
      </c>
      <c r="U71" s="7">
        <f t="shared" si="17"/>
        <v>700</v>
      </c>
      <c r="V71" s="7">
        <f t="shared" si="18"/>
        <v>9.531590414</v>
      </c>
      <c r="W71" s="7">
        <f t="shared" si="19"/>
        <v>800</v>
      </c>
      <c r="X71" s="7">
        <f t="shared" si="20"/>
        <v>10.89324619</v>
      </c>
      <c r="Y71" s="7">
        <f t="shared" si="21"/>
        <v>900</v>
      </c>
      <c r="Z71" s="7">
        <f t="shared" si="22"/>
        <v>12.25490196</v>
      </c>
    </row>
    <row r="72">
      <c r="A72" s="30" t="str">
        <f>IFERROR(__xludf.DUMMYFUNCTION("""COMPUTED_VALUE"""),"2017 09")</f>
        <v>2017 09</v>
      </c>
      <c r="B72" s="30" t="str">
        <f>IFERROR(__xludf.DUMMYFUNCTION("""COMPUTED_VALUE"""),"73.44")</f>
        <v>73.44</v>
      </c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0.6808278867</v>
      </c>
      <c r="G72" s="7">
        <f t="shared" si="3"/>
        <v>100</v>
      </c>
      <c r="H72" s="7">
        <f t="shared" si="4"/>
        <v>1.361655773</v>
      </c>
      <c r="I72" s="7">
        <f t="shared" si="5"/>
        <v>150</v>
      </c>
      <c r="J72" s="7">
        <f t="shared" si="6"/>
        <v>2.04248366</v>
      </c>
      <c r="K72" s="7">
        <f t="shared" si="7"/>
        <v>200</v>
      </c>
      <c r="L72" s="7">
        <f t="shared" si="8"/>
        <v>2.723311547</v>
      </c>
      <c r="M72" s="7">
        <f t="shared" si="9"/>
        <v>300</v>
      </c>
      <c r="N72" s="7">
        <f t="shared" si="10"/>
        <v>4.08496732</v>
      </c>
      <c r="O72" s="7">
        <f t="shared" si="11"/>
        <v>400</v>
      </c>
      <c r="P72" s="7">
        <f t="shared" si="12"/>
        <v>5.446623094</v>
      </c>
      <c r="Q72" s="7">
        <f t="shared" si="13"/>
        <v>500</v>
      </c>
      <c r="R72" s="7">
        <f t="shared" si="14"/>
        <v>6.808278867</v>
      </c>
      <c r="S72" s="7">
        <f t="shared" si="15"/>
        <v>600</v>
      </c>
      <c r="T72" s="7">
        <f t="shared" si="16"/>
        <v>8.169934641</v>
      </c>
      <c r="U72" s="7">
        <f t="shared" si="17"/>
        <v>700</v>
      </c>
      <c r="V72" s="7">
        <f t="shared" si="18"/>
        <v>9.531590414</v>
      </c>
      <c r="W72" s="7">
        <f t="shared" si="19"/>
        <v>800</v>
      </c>
      <c r="X72" s="7">
        <f t="shared" si="20"/>
        <v>10.89324619</v>
      </c>
      <c r="Y72" s="7">
        <f t="shared" si="21"/>
        <v>900</v>
      </c>
      <c r="Z72" s="7">
        <f t="shared" si="22"/>
        <v>12.25490196</v>
      </c>
    </row>
    <row r="73">
      <c r="A73" s="30" t="str">
        <f>IFERROR(__xludf.DUMMYFUNCTION("""COMPUTED_VALUE"""),"2017 10")</f>
        <v>2017 10</v>
      </c>
      <c r="B73" s="30" t="str">
        <f>IFERROR(__xludf.DUMMYFUNCTION("""COMPUTED_VALUE"""),"72.91")</f>
        <v>72.91</v>
      </c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0.6857769853</v>
      </c>
      <c r="G73" s="7">
        <f t="shared" si="3"/>
        <v>100</v>
      </c>
      <c r="H73" s="7">
        <f t="shared" si="4"/>
        <v>1.371553971</v>
      </c>
      <c r="I73" s="7">
        <f t="shared" si="5"/>
        <v>150</v>
      </c>
      <c r="J73" s="7">
        <f t="shared" si="6"/>
        <v>2.057330956</v>
      </c>
      <c r="K73" s="7">
        <f t="shared" si="7"/>
        <v>200</v>
      </c>
      <c r="L73" s="7">
        <f t="shared" si="8"/>
        <v>2.743107941</v>
      </c>
      <c r="M73" s="7">
        <f t="shared" si="9"/>
        <v>300</v>
      </c>
      <c r="N73" s="7">
        <f t="shared" si="10"/>
        <v>4.114661912</v>
      </c>
      <c r="O73" s="7">
        <f t="shared" si="11"/>
        <v>400</v>
      </c>
      <c r="P73" s="7">
        <f t="shared" si="12"/>
        <v>5.486215883</v>
      </c>
      <c r="Q73" s="7">
        <f t="shared" si="13"/>
        <v>500</v>
      </c>
      <c r="R73" s="7">
        <f t="shared" si="14"/>
        <v>6.857769853</v>
      </c>
      <c r="S73" s="7">
        <f t="shared" si="15"/>
        <v>600</v>
      </c>
      <c r="T73" s="7">
        <f t="shared" si="16"/>
        <v>8.229323824</v>
      </c>
      <c r="U73" s="7">
        <f t="shared" si="17"/>
        <v>700</v>
      </c>
      <c r="V73" s="7">
        <f t="shared" si="18"/>
        <v>9.600877795</v>
      </c>
      <c r="W73" s="7">
        <f t="shared" si="19"/>
        <v>800</v>
      </c>
      <c r="X73" s="7">
        <f t="shared" si="20"/>
        <v>10.97243177</v>
      </c>
      <c r="Y73" s="7">
        <f t="shared" si="21"/>
        <v>900</v>
      </c>
      <c r="Z73" s="7">
        <f t="shared" si="22"/>
        <v>12.34398574</v>
      </c>
    </row>
    <row r="74">
      <c r="A74" s="30" t="str">
        <f>IFERROR(__xludf.DUMMYFUNCTION("""COMPUTED_VALUE"""),"2017 11")</f>
        <v>2017 11</v>
      </c>
      <c r="B74" s="30" t="str">
        <f>IFERROR(__xludf.DUMMYFUNCTION("""COMPUTED_VALUE"""),"75.63")</f>
        <v>75.63</v>
      </c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0.6611133148</v>
      </c>
      <c r="G74" s="7">
        <f t="shared" si="3"/>
        <v>100</v>
      </c>
      <c r="H74" s="7">
        <f t="shared" si="4"/>
        <v>1.32222663</v>
      </c>
      <c r="I74" s="7">
        <f t="shared" si="5"/>
        <v>150</v>
      </c>
      <c r="J74" s="7">
        <f t="shared" si="6"/>
        <v>1.983339944</v>
      </c>
      <c r="K74" s="7">
        <f t="shared" si="7"/>
        <v>200</v>
      </c>
      <c r="L74" s="7">
        <f t="shared" si="8"/>
        <v>2.644453259</v>
      </c>
      <c r="M74" s="7">
        <f t="shared" si="9"/>
        <v>300</v>
      </c>
      <c r="N74" s="7">
        <f t="shared" si="10"/>
        <v>3.966679889</v>
      </c>
      <c r="O74" s="7">
        <f t="shared" si="11"/>
        <v>400</v>
      </c>
      <c r="P74" s="7">
        <f t="shared" si="12"/>
        <v>5.288906519</v>
      </c>
      <c r="Q74" s="7">
        <f t="shared" si="13"/>
        <v>500</v>
      </c>
      <c r="R74" s="7">
        <f t="shared" si="14"/>
        <v>6.611133148</v>
      </c>
      <c r="S74" s="7">
        <f t="shared" si="15"/>
        <v>600</v>
      </c>
      <c r="T74" s="7">
        <f t="shared" si="16"/>
        <v>7.933359778</v>
      </c>
      <c r="U74" s="7">
        <f t="shared" si="17"/>
        <v>700</v>
      </c>
      <c r="V74" s="7">
        <f t="shared" si="18"/>
        <v>9.255586408</v>
      </c>
      <c r="W74" s="7">
        <f t="shared" si="19"/>
        <v>800</v>
      </c>
      <c r="X74" s="7">
        <f t="shared" si="20"/>
        <v>10.57781304</v>
      </c>
      <c r="Y74" s="7">
        <f t="shared" si="21"/>
        <v>900</v>
      </c>
      <c r="Z74" s="7">
        <f t="shared" si="22"/>
        <v>11.90003967</v>
      </c>
    </row>
    <row r="75">
      <c r="A75" s="30" t="str">
        <f>IFERROR(__xludf.DUMMYFUNCTION("""COMPUTED_VALUE"""),"2017 12")</f>
        <v>2017 12</v>
      </c>
      <c r="B75" s="30" t="str">
        <f>IFERROR(__xludf.DUMMYFUNCTION("""COMPUTED_VALUE"""),"76.8")</f>
        <v>76.8</v>
      </c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0.6510416667</v>
      </c>
      <c r="G75" s="7">
        <f t="shared" si="3"/>
        <v>100</v>
      </c>
      <c r="H75" s="7">
        <f t="shared" si="4"/>
        <v>1.302083333</v>
      </c>
      <c r="I75" s="7">
        <f t="shared" si="5"/>
        <v>150</v>
      </c>
      <c r="J75" s="7">
        <f t="shared" si="6"/>
        <v>1.953125</v>
      </c>
      <c r="K75" s="7">
        <f t="shared" si="7"/>
        <v>200</v>
      </c>
      <c r="L75" s="7">
        <f t="shared" si="8"/>
        <v>2.604166667</v>
      </c>
      <c r="M75" s="7">
        <f t="shared" si="9"/>
        <v>300</v>
      </c>
      <c r="N75" s="7">
        <f t="shared" si="10"/>
        <v>3.90625</v>
      </c>
      <c r="O75" s="7">
        <f t="shared" si="11"/>
        <v>400</v>
      </c>
      <c r="P75" s="7">
        <f t="shared" si="12"/>
        <v>5.208333333</v>
      </c>
      <c r="Q75" s="7">
        <f t="shared" si="13"/>
        <v>500</v>
      </c>
      <c r="R75" s="7">
        <f t="shared" si="14"/>
        <v>6.510416667</v>
      </c>
      <c r="S75" s="7">
        <f t="shared" si="15"/>
        <v>600</v>
      </c>
      <c r="T75" s="7">
        <f t="shared" si="16"/>
        <v>7.8125</v>
      </c>
      <c r="U75" s="7">
        <f t="shared" si="17"/>
        <v>700</v>
      </c>
      <c r="V75" s="7">
        <f t="shared" si="18"/>
        <v>9.114583333</v>
      </c>
      <c r="W75" s="7">
        <f t="shared" si="19"/>
        <v>800</v>
      </c>
      <c r="X75" s="7">
        <f t="shared" si="20"/>
        <v>10.41666667</v>
      </c>
      <c r="Y75" s="7">
        <f t="shared" si="21"/>
        <v>900</v>
      </c>
      <c r="Z75" s="7">
        <f t="shared" si="22"/>
        <v>11.71875</v>
      </c>
    </row>
    <row r="76">
      <c r="A76" s="30" t="str">
        <f>IFERROR(__xludf.DUMMYFUNCTION("""COMPUTED_VALUE"""),"2018 01")</f>
        <v>2018 01</v>
      </c>
      <c r="B76" s="30" t="str">
        <f>IFERROR(__xludf.DUMMYFUNCTION("""COMPUTED_VALUE"""),"77.04")</f>
        <v>77.04</v>
      </c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0.6490134995</v>
      </c>
      <c r="G76" s="7">
        <f t="shared" si="3"/>
        <v>100</v>
      </c>
      <c r="H76" s="7">
        <f t="shared" si="4"/>
        <v>1.298026999</v>
      </c>
      <c r="I76" s="7">
        <f t="shared" si="5"/>
        <v>150</v>
      </c>
      <c r="J76" s="7">
        <f t="shared" si="6"/>
        <v>1.947040498</v>
      </c>
      <c r="K76" s="7">
        <f t="shared" si="7"/>
        <v>200</v>
      </c>
      <c r="L76" s="7">
        <f t="shared" si="8"/>
        <v>2.596053998</v>
      </c>
      <c r="M76" s="7">
        <f t="shared" si="9"/>
        <v>300</v>
      </c>
      <c r="N76" s="7">
        <f t="shared" si="10"/>
        <v>3.894080997</v>
      </c>
      <c r="O76" s="7">
        <f t="shared" si="11"/>
        <v>400</v>
      </c>
      <c r="P76" s="7">
        <f t="shared" si="12"/>
        <v>5.192107996</v>
      </c>
      <c r="Q76" s="7">
        <f t="shared" si="13"/>
        <v>500</v>
      </c>
      <c r="R76" s="7">
        <f t="shared" si="14"/>
        <v>6.490134995</v>
      </c>
      <c r="S76" s="7">
        <f t="shared" si="15"/>
        <v>600</v>
      </c>
      <c r="T76" s="7">
        <f t="shared" si="16"/>
        <v>7.788161994</v>
      </c>
      <c r="U76" s="7">
        <f t="shared" si="17"/>
        <v>700</v>
      </c>
      <c r="V76" s="7">
        <f t="shared" si="18"/>
        <v>9.086188993</v>
      </c>
      <c r="W76" s="7">
        <f t="shared" si="19"/>
        <v>800</v>
      </c>
      <c r="X76" s="7">
        <f t="shared" si="20"/>
        <v>10.38421599</v>
      </c>
      <c r="Y76" s="7">
        <f t="shared" si="21"/>
        <v>900</v>
      </c>
      <c r="Z76" s="7">
        <f t="shared" si="22"/>
        <v>11.68224299</v>
      </c>
    </row>
    <row r="77">
      <c r="A77" s="30" t="str">
        <f>IFERROR(__xludf.DUMMYFUNCTION("""COMPUTED_VALUE"""),"2018 02")</f>
        <v>2018 02</v>
      </c>
      <c r="B77" s="30" t="str">
        <f>IFERROR(__xludf.DUMMYFUNCTION("""COMPUTED_VALUE"""),"77.61")</f>
        <v>77.61</v>
      </c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0.6442468754</v>
      </c>
      <c r="G77" s="7">
        <f t="shared" si="3"/>
        <v>100</v>
      </c>
      <c r="H77" s="7">
        <f t="shared" si="4"/>
        <v>1.288493751</v>
      </c>
      <c r="I77" s="7">
        <f t="shared" si="5"/>
        <v>150</v>
      </c>
      <c r="J77" s="7">
        <f t="shared" si="6"/>
        <v>1.932740626</v>
      </c>
      <c r="K77" s="7">
        <f t="shared" si="7"/>
        <v>200</v>
      </c>
      <c r="L77" s="7">
        <f t="shared" si="8"/>
        <v>2.576987502</v>
      </c>
      <c r="M77" s="7">
        <f t="shared" si="9"/>
        <v>300</v>
      </c>
      <c r="N77" s="7">
        <f t="shared" si="10"/>
        <v>3.865481252</v>
      </c>
      <c r="O77" s="7">
        <f t="shared" si="11"/>
        <v>400</v>
      </c>
      <c r="P77" s="7">
        <f t="shared" si="12"/>
        <v>5.153975003</v>
      </c>
      <c r="Q77" s="7">
        <f t="shared" si="13"/>
        <v>500</v>
      </c>
      <c r="R77" s="7">
        <f t="shared" si="14"/>
        <v>6.442468754</v>
      </c>
      <c r="S77" s="7">
        <f t="shared" si="15"/>
        <v>600</v>
      </c>
      <c r="T77" s="7">
        <f t="shared" si="16"/>
        <v>7.730962505</v>
      </c>
      <c r="U77" s="7">
        <f t="shared" si="17"/>
        <v>700</v>
      </c>
      <c r="V77" s="7">
        <f t="shared" si="18"/>
        <v>9.019456256</v>
      </c>
      <c r="W77" s="7">
        <f t="shared" si="19"/>
        <v>800</v>
      </c>
      <c r="X77" s="7">
        <f t="shared" si="20"/>
        <v>10.30795001</v>
      </c>
      <c r="Y77" s="7">
        <f t="shared" si="21"/>
        <v>900</v>
      </c>
      <c r="Z77" s="7">
        <f t="shared" si="22"/>
        <v>11.59644376</v>
      </c>
    </row>
    <row r="78">
      <c r="A78" s="30" t="str">
        <f>IFERROR(__xludf.DUMMYFUNCTION("""COMPUTED_VALUE"""),"2018 03")</f>
        <v>2018 03</v>
      </c>
      <c r="B78" s="30" t="str">
        <f>IFERROR(__xludf.DUMMYFUNCTION("""COMPUTED_VALUE"""),"76.72")</f>
        <v>76.72</v>
      </c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0.6517205422</v>
      </c>
      <c r="G78" s="7">
        <f t="shared" si="3"/>
        <v>100</v>
      </c>
      <c r="H78" s="7">
        <f t="shared" si="4"/>
        <v>1.303441084</v>
      </c>
      <c r="I78" s="7">
        <f t="shared" si="5"/>
        <v>150</v>
      </c>
      <c r="J78" s="7">
        <f t="shared" si="6"/>
        <v>1.955161627</v>
      </c>
      <c r="K78" s="7">
        <f t="shared" si="7"/>
        <v>200</v>
      </c>
      <c r="L78" s="7">
        <f t="shared" si="8"/>
        <v>2.606882169</v>
      </c>
      <c r="M78" s="7">
        <f t="shared" si="9"/>
        <v>300</v>
      </c>
      <c r="N78" s="7">
        <f t="shared" si="10"/>
        <v>3.910323253</v>
      </c>
      <c r="O78" s="7">
        <f t="shared" si="11"/>
        <v>400</v>
      </c>
      <c r="P78" s="7">
        <f t="shared" si="12"/>
        <v>5.213764338</v>
      </c>
      <c r="Q78" s="7">
        <f t="shared" si="13"/>
        <v>500</v>
      </c>
      <c r="R78" s="7">
        <f t="shared" si="14"/>
        <v>6.517205422</v>
      </c>
      <c r="S78" s="7">
        <f t="shared" si="15"/>
        <v>600</v>
      </c>
      <c r="T78" s="7">
        <f t="shared" si="16"/>
        <v>7.820646507</v>
      </c>
      <c r="U78" s="7">
        <f t="shared" si="17"/>
        <v>700</v>
      </c>
      <c r="V78" s="7">
        <f t="shared" si="18"/>
        <v>9.124087591</v>
      </c>
      <c r="W78" s="7">
        <f t="shared" si="19"/>
        <v>800</v>
      </c>
      <c r="X78" s="7">
        <f t="shared" si="20"/>
        <v>10.42752868</v>
      </c>
      <c r="Y78" s="7">
        <f t="shared" si="21"/>
        <v>900</v>
      </c>
      <c r="Z78" s="7">
        <f t="shared" si="22"/>
        <v>11.73096976</v>
      </c>
    </row>
    <row r="79">
      <c r="A79" s="30" t="str">
        <f>IFERROR(__xludf.DUMMYFUNCTION("""COMPUTED_VALUE"""),"2018 04")</f>
        <v>2018 04</v>
      </c>
      <c r="B79" s="30" t="str">
        <f>IFERROR(__xludf.DUMMYFUNCTION("""COMPUTED_VALUE"""),"73.53")</f>
        <v>73.53</v>
      </c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0.67999456</v>
      </c>
      <c r="G79" s="7">
        <f t="shared" si="3"/>
        <v>100</v>
      </c>
      <c r="H79" s="7">
        <f t="shared" si="4"/>
        <v>1.35998912</v>
      </c>
      <c r="I79" s="7">
        <f t="shared" si="5"/>
        <v>150</v>
      </c>
      <c r="J79" s="7">
        <f t="shared" si="6"/>
        <v>2.03998368</v>
      </c>
      <c r="K79" s="7">
        <f t="shared" si="7"/>
        <v>200</v>
      </c>
      <c r="L79" s="7">
        <f t="shared" si="8"/>
        <v>2.71997824</v>
      </c>
      <c r="M79" s="7">
        <f t="shared" si="9"/>
        <v>300</v>
      </c>
      <c r="N79" s="7">
        <f t="shared" si="10"/>
        <v>4.07996736</v>
      </c>
      <c r="O79" s="7">
        <f t="shared" si="11"/>
        <v>400</v>
      </c>
      <c r="P79" s="7">
        <f t="shared" si="12"/>
        <v>5.43995648</v>
      </c>
      <c r="Q79" s="7">
        <f t="shared" si="13"/>
        <v>500</v>
      </c>
      <c r="R79" s="7">
        <f t="shared" si="14"/>
        <v>6.7999456</v>
      </c>
      <c r="S79" s="7">
        <f t="shared" si="15"/>
        <v>600</v>
      </c>
      <c r="T79" s="7">
        <f t="shared" si="16"/>
        <v>8.159934721</v>
      </c>
      <c r="U79" s="7">
        <f t="shared" si="17"/>
        <v>700</v>
      </c>
      <c r="V79" s="7">
        <f t="shared" si="18"/>
        <v>9.519923841</v>
      </c>
      <c r="W79" s="7">
        <f t="shared" si="19"/>
        <v>800</v>
      </c>
      <c r="X79" s="7">
        <f t="shared" si="20"/>
        <v>10.87991296</v>
      </c>
      <c r="Y79" s="7">
        <f t="shared" si="21"/>
        <v>900</v>
      </c>
      <c r="Z79" s="7">
        <f t="shared" si="22"/>
        <v>12.23990208</v>
      </c>
    </row>
    <row r="80">
      <c r="A80" s="30" t="str">
        <f>IFERROR(__xludf.DUMMYFUNCTION("""COMPUTED_VALUE"""),"2018 05")</f>
        <v>2018 05</v>
      </c>
      <c r="B80" s="30" t="str">
        <f>IFERROR(__xludf.DUMMYFUNCTION("""COMPUTED_VALUE"""),"76.87")</f>
        <v>76.87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0.6504488097</v>
      </c>
      <c r="G80" s="7">
        <f t="shared" si="3"/>
        <v>100</v>
      </c>
      <c r="H80" s="7">
        <f t="shared" si="4"/>
        <v>1.300897619</v>
      </c>
      <c r="I80" s="7">
        <f t="shared" si="5"/>
        <v>150</v>
      </c>
      <c r="J80" s="7">
        <f t="shared" si="6"/>
        <v>1.951346429</v>
      </c>
      <c r="K80" s="7">
        <f t="shared" si="7"/>
        <v>200</v>
      </c>
      <c r="L80" s="7">
        <f t="shared" si="8"/>
        <v>2.601795239</v>
      </c>
      <c r="M80" s="7">
        <f t="shared" si="9"/>
        <v>300</v>
      </c>
      <c r="N80" s="7">
        <f t="shared" si="10"/>
        <v>3.902692858</v>
      </c>
      <c r="O80" s="7">
        <f t="shared" si="11"/>
        <v>400</v>
      </c>
      <c r="P80" s="7">
        <f t="shared" si="12"/>
        <v>5.203590477</v>
      </c>
      <c r="Q80" s="7">
        <f t="shared" si="13"/>
        <v>500</v>
      </c>
      <c r="R80" s="7">
        <f t="shared" si="14"/>
        <v>6.504488097</v>
      </c>
      <c r="S80" s="7">
        <f t="shared" si="15"/>
        <v>600</v>
      </c>
      <c r="T80" s="7">
        <f t="shared" si="16"/>
        <v>7.805385716</v>
      </c>
      <c r="U80" s="7">
        <f t="shared" si="17"/>
        <v>700</v>
      </c>
      <c r="V80" s="7">
        <f t="shared" si="18"/>
        <v>9.106283336</v>
      </c>
      <c r="W80" s="7">
        <f t="shared" si="19"/>
        <v>800</v>
      </c>
      <c r="X80" s="7">
        <f t="shared" si="20"/>
        <v>10.40718095</v>
      </c>
      <c r="Y80" s="7">
        <f t="shared" si="21"/>
        <v>900</v>
      </c>
      <c r="Z80" s="7">
        <f t="shared" si="22"/>
        <v>11.70807857</v>
      </c>
    </row>
    <row r="81">
      <c r="A81" s="30" t="str">
        <f>IFERROR(__xludf.DUMMYFUNCTION("""COMPUTED_VALUE"""),"2018 06")</f>
        <v>2018 06</v>
      </c>
      <c r="B81" s="30" t="str">
        <f>IFERROR(__xludf.DUMMYFUNCTION("""COMPUTED_VALUE"""),"77.1")</f>
        <v>77.1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0.6485084306</v>
      </c>
      <c r="G81" s="7">
        <f t="shared" si="3"/>
        <v>100</v>
      </c>
      <c r="H81" s="7">
        <f t="shared" si="4"/>
        <v>1.297016861</v>
      </c>
      <c r="I81" s="7">
        <f t="shared" si="5"/>
        <v>150</v>
      </c>
      <c r="J81" s="7">
        <f t="shared" si="6"/>
        <v>1.945525292</v>
      </c>
      <c r="K81" s="7">
        <f t="shared" si="7"/>
        <v>200</v>
      </c>
      <c r="L81" s="7">
        <f t="shared" si="8"/>
        <v>2.594033722</v>
      </c>
      <c r="M81" s="7">
        <f t="shared" si="9"/>
        <v>300</v>
      </c>
      <c r="N81" s="7">
        <f t="shared" si="10"/>
        <v>3.891050584</v>
      </c>
      <c r="O81" s="7">
        <f t="shared" si="11"/>
        <v>400</v>
      </c>
      <c r="P81" s="7">
        <f t="shared" si="12"/>
        <v>5.188067445</v>
      </c>
      <c r="Q81" s="7">
        <f t="shared" si="13"/>
        <v>500</v>
      </c>
      <c r="R81" s="7">
        <f t="shared" si="14"/>
        <v>6.485084306</v>
      </c>
      <c r="S81" s="7">
        <f t="shared" si="15"/>
        <v>600</v>
      </c>
      <c r="T81" s="7">
        <f t="shared" si="16"/>
        <v>7.782101167</v>
      </c>
      <c r="U81" s="7">
        <f t="shared" si="17"/>
        <v>700</v>
      </c>
      <c r="V81" s="7">
        <f t="shared" si="18"/>
        <v>9.079118029</v>
      </c>
      <c r="W81" s="7">
        <f t="shared" si="19"/>
        <v>800</v>
      </c>
      <c r="X81" s="7">
        <f t="shared" si="20"/>
        <v>10.37613489</v>
      </c>
      <c r="Y81" s="7">
        <f t="shared" si="21"/>
        <v>900</v>
      </c>
      <c r="Z81" s="7">
        <f t="shared" si="22"/>
        <v>11.67315175</v>
      </c>
    </row>
    <row r="82">
      <c r="A82" s="30" t="str">
        <f>IFERROR(__xludf.DUMMYFUNCTION("""COMPUTED_VALUE"""),"2018 07")</f>
        <v>2018 07</v>
      </c>
      <c r="B82" s="30" t="str">
        <f>IFERROR(__xludf.DUMMYFUNCTION("""COMPUTED_VALUE"""),"78.57")</f>
        <v>78.57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0.6363752068</v>
      </c>
      <c r="G82" s="7">
        <f t="shared" si="3"/>
        <v>100</v>
      </c>
      <c r="H82" s="7">
        <f t="shared" si="4"/>
        <v>1.272750414</v>
      </c>
      <c r="I82" s="7">
        <f t="shared" si="5"/>
        <v>150</v>
      </c>
      <c r="J82" s="7">
        <f t="shared" si="6"/>
        <v>1.90912562</v>
      </c>
      <c r="K82" s="7">
        <f t="shared" si="7"/>
        <v>200</v>
      </c>
      <c r="L82" s="7">
        <f t="shared" si="8"/>
        <v>2.545500827</v>
      </c>
      <c r="M82" s="7">
        <f t="shared" si="9"/>
        <v>300</v>
      </c>
      <c r="N82" s="7">
        <f t="shared" si="10"/>
        <v>3.818251241</v>
      </c>
      <c r="O82" s="7">
        <f t="shared" si="11"/>
        <v>400</v>
      </c>
      <c r="P82" s="7">
        <f t="shared" si="12"/>
        <v>5.091001655</v>
      </c>
      <c r="Q82" s="7">
        <f t="shared" si="13"/>
        <v>500</v>
      </c>
      <c r="R82" s="7">
        <f t="shared" si="14"/>
        <v>6.363752068</v>
      </c>
      <c r="S82" s="7">
        <f t="shared" si="15"/>
        <v>600</v>
      </c>
      <c r="T82" s="7">
        <f t="shared" si="16"/>
        <v>7.636502482</v>
      </c>
      <c r="U82" s="7">
        <f t="shared" si="17"/>
        <v>700</v>
      </c>
      <c r="V82" s="7">
        <f t="shared" si="18"/>
        <v>8.909252896</v>
      </c>
      <c r="W82" s="7">
        <f t="shared" si="19"/>
        <v>800</v>
      </c>
      <c r="X82" s="7">
        <f t="shared" si="20"/>
        <v>10.18200331</v>
      </c>
      <c r="Y82" s="7">
        <f t="shared" si="21"/>
        <v>900</v>
      </c>
      <c r="Z82" s="7">
        <f t="shared" si="22"/>
        <v>11.45475372</v>
      </c>
    </row>
    <row r="83">
      <c r="A83" s="30" t="str">
        <f>IFERROR(__xludf.DUMMYFUNCTION("""COMPUTED_VALUE"""),"2018 08")</f>
        <v>2018 08</v>
      </c>
      <c r="B83" s="30" t="str">
        <f>IFERROR(__xludf.DUMMYFUNCTION("""COMPUTED_VALUE"""),"79.71")</f>
        <v>79.71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0.6272738678</v>
      </c>
      <c r="G83" s="7">
        <f t="shared" si="3"/>
        <v>100</v>
      </c>
      <c r="H83" s="7">
        <f t="shared" si="4"/>
        <v>1.254547736</v>
      </c>
      <c r="I83" s="7">
        <f t="shared" si="5"/>
        <v>150</v>
      </c>
      <c r="J83" s="7">
        <f t="shared" si="6"/>
        <v>1.881821603</v>
      </c>
      <c r="K83" s="7">
        <f t="shared" si="7"/>
        <v>200</v>
      </c>
      <c r="L83" s="7">
        <f t="shared" si="8"/>
        <v>2.509095471</v>
      </c>
      <c r="M83" s="7">
        <f t="shared" si="9"/>
        <v>300</v>
      </c>
      <c r="N83" s="7">
        <f t="shared" si="10"/>
        <v>3.763643207</v>
      </c>
      <c r="O83" s="7">
        <f t="shared" si="11"/>
        <v>400</v>
      </c>
      <c r="P83" s="7">
        <f t="shared" si="12"/>
        <v>5.018190942</v>
      </c>
      <c r="Q83" s="7">
        <f t="shared" si="13"/>
        <v>500</v>
      </c>
      <c r="R83" s="7">
        <f t="shared" si="14"/>
        <v>6.272738678</v>
      </c>
      <c r="S83" s="7">
        <f t="shared" si="15"/>
        <v>600</v>
      </c>
      <c r="T83" s="7">
        <f t="shared" si="16"/>
        <v>7.527286413</v>
      </c>
      <c r="U83" s="7">
        <f t="shared" si="17"/>
        <v>700</v>
      </c>
      <c r="V83" s="7">
        <f t="shared" si="18"/>
        <v>8.781834149</v>
      </c>
      <c r="W83" s="7">
        <f t="shared" si="19"/>
        <v>800</v>
      </c>
      <c r="X83" s="7">
        <f t="shared" si="20"/>
        <v>10.03638188</v>
      </c>
      <c r="Y83" s="7">
        <f t="shared" si="21"/>
        <v>900</v>
      </c>
      <c r="Z83" s="7">
        <f t="shared" si="22"/>
        <v>11.29092962</v>
      </c>
    </row>
    <row r="84">
      <c r="A84" s="30" t="str">
        <f>IFERROR(__xludf.DUMMYFUNCTION("""COMPUTED_VALUE"""),"2018 09")</f>
        <v>2018 09</v>
      </c>
      <c r="B84" s="30" t="str">
        <f>IFERROR(__xludf.DUMMYFUNCTION("""COMPUTED_VALUE"""),"80.86")</f>
        <v>80.86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0.6183527084</v>
      </c>
      <c r="G84" s="7">
        <f t="shared" si="3"/>
        <v>100</v>
      </c>
      <c r="H84" s="7">
        <f t="shared" si="4"/>
        <v>1.236705417</v>
      </c>
      <c r="I84" s="7">
        <f t="shared" si="5"/>
        <v>150</v>
      </c>
      <c r="J84" s="7">
        <f t="shared" si="6"/>
        <v>1.855058125</v>
      </c>
      <c r="K84" s="7">
        <f t="shared" si="7"/>
        <v>200</v>
      </c>
      <c r="L84" s="7">
        <f t="shared" si="8"/>
        <v>2.473410834</v>
      </c>
      <c r="M84" s="7">
        <f t="shared" si="9"/>
        <v>300</v>
      </c>
      <c r="N84" s="7">
        <f t="shared" si="10"/>
        <v>3.71011625</v>
      </c>
      <c r="O84" s="7">
        <f t="shared" si="11"/>
        <v>400</v>
      </c>
      <c r="P84" s="7">
        <f t="shared" si="12"/>
        <v>4.946821667</v>
      </c>
      <c r="Q84" s="7">
        <f t="shared" si="13"/>
        <v>500</v>
      </c>
      <c r="R84" s="7">
        <f t="shared" si="14"/>
        <v>6.183527084</v>
      </c>
      <c r="S84" s="7">
        <f t="shared" si="15"/>
        <v>600</v>
      </c>
      <c r="T84" s="7">
        <f t="shared" si="16"/>
        <v>7.420232501</v>
      </c>
      <c r="U84" s="7">
        <f t="shared" si="17"/>
        <v>700</v>
      </c>
      <c r="V84" s="7">
        <f t="shared" si="18"/>
        <v>8.656937917</v>
      </c>
      <c r="W84" s="7">
        <f t="shared" si="19"/>
        <v>800</v>
      </c>
      <c r="X84" s="7">
        <f t="shared" si="20"/>
        <v>9.893643334</v>
      </c>
      <c r="Y84" s="7">
        <f t="shared" si="21"/>
        <v>900</v>
      </c>
      <c r="Z84" s="7">
        <f t="shared" si="22"/>
        <v>11.13034875</v>
      </c>
    </row>
    <row r="85">
      <c r="A85" s="30" t="str">
        <f>IFERROR(__xludf.DUMMYFUNCTION("""COMPUTED_VALUE"""),"2018 10")</f>
        <v>2018 10</v>
      </c>
      <c r="B85" s="30" t="str">
        <f>IFERROR(__xludf.DUMMYFUNCTION("""COMPUTED_VALUE"""),"78.31")</f>
        <v>78.31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0.6384880603</v>
      </c>
      <c r="G85" s="7">
        <f t="shared" si="3"/>
        <v>100</v>
      </c>
      <c r="H85" s="7">
        <f t="shared" si="4"/>
        <v>1.276976121</v>
      </c>
      <c r="I85" s="7">
        <f t="shared" si="5"/>
        <v>150</v>
      </c>
      <c r="J85" s="7">
        <f t="shared" si="6"/>
        <v>1.915464181</v>
      </c>
      <c r="K85" s="7">
        <f t="shared" si="7"/>
        <v>200</v>
      </c>
      <c r="L85" s="7">
        <f t="shared" si="8"/>
        <v>2.553952241</v>
      </c>
      <c r="M85" s="7">
        <f t="shared" si="9"/>
        <v>300</v>
      </c>
      <c r="N85" s="7">
        <f t="shared" si="10"/>
        <v>3.830928362</v>
      </c>
      <c r="O85" s="7">
        <f t="shared" si="11"/>
        <v>400</v>
      </c>
      <c r="P85" s="7">
        <f t="shared" si="12"/>
        <v>5.107904482</v>
      </c>
      <c r="Q85" s="7">
        <f t="shared" si="13"/>
        <v>500</v>
      </c>
      <c r="R85" s="7">
        <f t="shared" si="14"/>
        <v>6.384880603</v>
      </c>
      <c r="S85" s="7">
        <f t="shared" si="15"/>
        <v>600</v>
      </c>
      <c r="T85" s="7">
        <f t="shared" si="16"/>
        <v>7.661856723</v>
      </c>
      <c r="U85" s="7">
        <f t="shared" si="17"/>
        <v>700</v>
      </c>
      <c r="V85" s="7">
        <f t="shared" si="18"/>
        <v>8.938832844</v>
      </c>
      <c r="W85" s="7">
        <f t="shared" si="19"/>
        <v>800</v>
      </c>
      <c r="X85" s="7">
        <f t="shared" si="20"/>
        <v>10.21580896</v>
      </c>
      <c r="Y85" s="7">
        <f t="shared" si="21"/>
        <v>900</v>
      </c>
      <c r="Z85" s="7">
        <f t="shared" si="22"/>
        <v>11.49278508</v>
      </c>
    </row>
    <row r="86">
      <c r="A86" s="30" t="str">
        <f>IFERROR(__xludf.DUMMYFUNCTION("""COMPUTED_VALUE"""),"2018 11")</f>
        <v>2018 11</v>
      </c>
      <c r="B86" s="30" t="str">
        <f>IFERROR(__xludf.DUMMYFUNCTION("""COMPUTED_VALUE"""),"74.07")</f>
        <v>74.07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0.675037127</v>
      </c>
      <c r="G86" s="7">
        <f t="shared" si="3"/>
        <v>100</v>
      </c>
      <c r="H86" s="7">
        <f t="shared" si="4"/>
        <v>1.350074254</v>
      </c>
      <c r="I86" s="7">
        <f t="shared" si="5"/>
        <v>150</v>
      </c>
      <c r="J86" s="7">
        <f t="shared" si="6"/>
        <v>2.025111381</v>
      </c>
      <c r="K86" s="7">
        <f t="shared" si="7"/>
        <v>200</v>
      </c>
      <c r="L86" s="7">
        <f t="shared" si="8"/>
        <v>2.700148508</v>
      </c>
      <c r="M86" s="7">
        <f t="shared" si="9"/>
        <v>300</v>
      </c>
      <c r="N86" s="7">
        <f t="shared" si="10"/>
        <v>4.050222762</v>
      </c>
      <c r="O86" s="7">
        <f t="shared" si="11"/>
        <v>400</v>
      </c>
      <c r="P86" s="7">
        <f t="shared" si="12"/>
        <v>5.400297016</v>
      </c>
      <c r="Q86" s="7">
        <f t="shared" si="13"/>
        <v>500</v>
      </c>
      <c r="R86" s="7">
        <f t="shared" si="14"/>
        <v>6.75037127</v>
      </c>
      <c r="S86" s="7">
        <f t="shared" si="15"/>
        <v>600</v>
      </c>
      <c r="T86" s="7">
        <f t="shared" si="16"/>
        <v>8.100445525</v>
      </c>
      <c r="U86" s="7">
        <f t="shared" si="17"/>
        <v>700</v>
      </c>
      <c r="V86" s="7">
        <f t="shared" si="18"/>
        <v>9.450519779</v>
      </c>
      <c r="W86" s="7">
        <f t="shared" si="19"/>
        <v>800</v>
      </c>
      <c r="X86" s="7">
        <f t="shared" si="20"/>
        <v>10.80059403</v>
      </c>
      <c r="Y86" s="7">
        <f t="shared" si="21"/>
        <v>900</v>
      </c>
      <c r="Z86" s="7">
        <f t="shared" si="22"/>
        <v>12.15066829</v>
      </c>
    </row>
    <row r="87">
      <c r="A87" s="30" t="str">
        <f>IFERROR(__xludf.DUMMYFUNCTION("""COMPUTED_VALUE"""),"2018 12")</f>
        <v>2018 12</v>
      </c>
      <c r="B87" s="30" t="str">
        <f>IFERROR(__xludf.DUMMYFUNCTION("""COMPUTED_VALUE"""),"73.6")</f>
        <v>73.6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0.6793478261</v>
      </c>
      <c r="G87" s="7">
        <f t="shared" si="3"/>
        <v>100</v>
      </c>
      <c r="H87" s="7">
        <f t="shared" si="4"/>
        <v>1.358695652</v>
      </c>
      <c r="I87" s="7">
        <f t="shared" si="5"/>
        <v>150</v>
      </c>
      <c r="J87" s="7">
        <f t="shared" si="6"/>
        <v>2.038043478</v>
      </c>
      <c r="K87" s="7">
        <f t="shared" si="7"/>
        <v>200</v>
      </c>
      <c r="L87" s="7">
        <f t="shared" si="8"/>
        <v>2.717391304</v>
      </c>
      <c r="M87" s="7">
        <f t="shared" si="9"/>
        <v>300</v>
      </c>
      <c r="N87" s="7">
        <f t="shared" si="10"/>
        <v>4.076086957</v>
      </c>
      <c r="O87" s="7">
        <f t="shared" si="11"/>
        <v>400</v>
      </c>
      <c r="P87" s="7">
        <f t="shared" si="12"/>
        <v>5.434782609</v>
      </c>
      <c r="Q87" s="7">
        <f t="shared" si="13"/>
        <v>500</v>
      </c>
      <c r="R87" s="7">
        <f t="shared" si="14"/>
        <v>6.793478261</v>
      </c>
      <c r="S87" s="7">
        <f t="shared" si="15"/>
        <v>600</v>
      </c>
      <c r="T87" s="7">
        <f t="shared" si="16"/>
        <v>8.152173913</v>
      </c>
      <c r="U87" s="7">
        <f t="shared" si="17"/>
        <v>700</v>
      </c>
      <c r="V87" s="7">
        <f t="shared" si="18"/>
        <v>9.510869565</v>
      </c>
      <c r="W87" s="7">
        <f t="shared" si="19"/>
        <v>800</v>
      </c>
      <c r="X87" s="7">
        <f t="shared" si="20"/>
        <v>10.86956522</v>
      </c>
      <c r="Y87" s="7">
        <f t="shared" si="21"/>
        <v>900</v>
      </c>
      <c r="Z87" s="7">
        <f t="shared" si="22"/>
        <v>12.22826087</v>
      </c>
    </row>
    <row r="88">
      <c r="A88" s="30" t="str">
        <f>IFERROR(__xludf.DUMMYFUNCTION("""COMPUTED_VALUE"""),"2019 01")</f>
        <v>2019 01</v>
      </c>
      <c r="B88" s="30" t="str">
        <f>IFERROR(__xludf.DUMMYFUNCTION("""COMPUTED_VALUE"""),"70.26")</f>
        <v>70.26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0.7116424708</v>
      </c>
      <c r="G88" s="7">
        <f t="shared" si="3"/>
        <v>100</v>
      </c>
      <c r="H88" s="7">
        <f t="shared" si="4"/>
        <v>1.423284942</v>
      </c>
      <c r="I88" s="7">
        <f t="shared" si="5"/>
        <v>150</v>
      </c>
      <c r="J88" s="7">
        <f t="shared" si="6"/>
        <v>2.134927412</v>
      </c>
      <c r="K88" s="7">
        <f t="shared" si="7"/>
        <v>200</v>
      </c>
      <c r="L88" s="7">
        <f t="shared" si="8"/>
        <v>2.846569883</v>
      </c>
      <c r="M88" s="7">
        <f t="shared" si="9"/>
        <v>300</v>
      </c>
      <c r="N88" s="7">
        <f t="shared" si="10"/>
        <v>4.269854825</v>
      </c>
      <c r="O88" s="7">
        <f t="shared" si="11"/>
        <v>400</v>
      </c>
      <c r="P88" s="7">
        <f t="shared" si="12"/>
        <v>5.693139767</v>
      </c>
      <c r="Q88" s="7">
        <f t="shared" si="13"/>
        <v>500</v>
      </c>
      <c r="R88" s="7">
        <f t="shared" si="14"/>
        <v>7.116424708</v>
      </c>
      <c r="S88" s="7">
        <f t="shared" si="15"/>
        <v>600</v>
      </c>
      <c r="T88" s="7">
        <f t="shared" si="16"/>
        <v>8.53970965</v>
      </c>
      <c r="U88" s="7">
        <f t="shared" si="17"/>
        <v>700</v>
      </c>
      <c r="V88" s="7">
        <f t="shared" si="18"/>
        <v>9.962994592</v>
      </c>
      <c r="W88" s="7">
        <f t="shared" si="19"/>
        <v>800</v>
      </c>
      <c r="X88" s="7">
        <f t="shared" si="20"/>
        <v>11.38627953</v>
      </c>
      <c r="Y88" s="7">
        <f t="shared" si="21"/>
        <v>900</v>
      </c>
      <c r="Z88" s="7">
        <f t="shared" si="22"/>
        <v>12.80956447</v>
      </c>
    </row>
    <row r="89">
      <c r="A89" s="30" t="str">
        <f>IFERROR(__xludf.DUMMYFUNCTION("""COMPUTED_VALUE"""),"2019 02")</f>
        <v>2019 02</v>
      </c>
      <c r="B89" s="30" t="str">
        <f>IFERROR(__xludf.DUMMYFUNCTION("""COMPUTED_VALUE"""),"74.17")</f>
        <v>74.17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0.6741270055</v>
      </c>
      <c r="G89" s="7">
        <f t="shared" si="3"/>
        <v>100</v>
      </c>
      <c r="H89" s="7">
        <f t="shared" si="4"/>
        <v>1.348254011</v>
      </c>
      <c r="I89" s="7">
        <f t="shared" si="5"/>
        <v>150</v>
      </c>
      <c r="J89" s="7">
        <f t="shared" si="6"/>
        <v>2.022381017</v>
      </c>
      <c r="K89" s="7">
        <f t="shared" si="7"/>
        <v>200</v>
      </c>
      <c r="L89" s="7">
        <f t="shared" si="8"/>
        <v>2.696508022</v>
      </c>
      <c r="M89" s="7">
        <f t="shared" si="9"/>
        <v>300</v>
      </c>
      <c r="N89" s="7">
        <f t="shared" si="10"/>
        <v>4.044762033</v>
      </c>
      <c r="O89" s="7">
        <f t="shared" si="11"/>
        <v>400</v>
      </c>
      <c r="P89" s="7">
        <f t="shared" si="12"/>
        <v>5.393016044</v>
      </c>
      <c r="Q89" s="7">
        <f t="shared" si="13"/>
        <v>500</v>
      </c>
      <c r="R89" s="7">
        <f t="shared" si="14"/>
        <v>6.741270055</v>
      </c>
      <c r="S89" s="7">
        <f t="shared" si="15"/>
        <v>600</v>
      </c>
      <c r="T89" s="7">
        <f t="shared" si="16"/>
        <v>8.089524066</v>
      </c>
      <c r="U89" s="7">
        <f t="shared" si="17"/>
        <v>700</v>
      </c>
      <c r="V89" s="7">
        <f t="shared" si="18"/>
        <v>9.437778077</v>
      </c>
      <c r="W89" s="7">
        <f t="shared" si="19"/>
        <v>800</v>
      </c>
      <c r="X89" s="7">
        <f t="shared" si="20"/>
        <v>10.78603209</v>
      </c>
      <c r="Y89" s="7">
        <f t="shared" si="21"/>
        <v>900</v>
      </c>
      <c r="Z89" s="7">
        <f t="shared" si="22"/>
        <v>12.1342861</v>
      </c>
    </row>
    <row r="90">
      <c r="A90" s="30" t="str">
        <f>IFERROR(__xludf.DUMMYFUNCTION("""COMPUTED_VALUE"""),"2019 03")</f>
        <v>2019 03</v>
      </c>
      <c r="B90" s="30" t="str">
        <f>IFERROR(__xludf.DUMMYFUNCTION("""COMPUTED_VALUE"""),"79.05")</f>
        <v>79.05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0.6325110689</v>
      </c>
      <c r="G90" s="7">
        <f t="shared" si="3"/>
        <v>100</v>
      </c>
      <c r="H90" s="7">
        <f t="shared" si="4"/>
        <v>1.265022138</v>
      </c>
      <c r="I90" s="7">
        <f t="shared" si="5"/>
        <v>150</v>
      </c>
      <c r="J90" s="7">
        <f t="shared" si="6"/>
        <v>1.897533207</v>
      </c>
      <c r="K90" s="7">
        <f t="shared" si="7"/>
        <v>200</v>
      </c>
      <c r="L90" s="7">
        <f t="shared" si="8"/>
        <v>2.530044276</v>
      </c>
      <c r="M90" s="7">
        <f t="shared" si="9"/>
        <v>300</v>
      </c>
      <c r="N90" s="7">
        <f t="shared" si="10"/>
        <v>3.795066414</v>
      </c>
      <c r="O90" s="7">
        <f t="shared" si="11"/>
        <v>400</v>
      </c>
      <c r="P90" s="7">
        <f t="shared" si="12"/>
        <v>5.060088552</v>
      </c>
      <c r="Q90" s="7">
        <f t="shared" si="13"/>
        <v>500</v>
      </c>
      <c r="R90" s="7">
        <f t="shared" si="14"/>
        <v>6.325110689</v>
      </c>
      <c r="S90" s="7">
        <f t="shared" si="15"/>
        <v>600</v>
      </c>
      <c r="T90" s="7">
        <f t="shared" si="16"/>
        <v>7.590132827</v>
      </c>
      <c r="U90" s="7">
        <f t="shared" si="17"/>
        <v>700</v>
      </c>
      <c r="V90" s="7">
        <f t="shared" si="18"/>
        <v>8.855154965</v>
      </c>
      <c r="W90" s="7">
        <f t="shared" si="19"/>
        <v>800</v>
      </c>
      <c r="X90" s="7">
        <f t="shared" si="20"/>
        <v>10.1201771</v>
      </c>
      <c r="Y90" s="7">
        <f t="shared" si="21"/>
        <v>900</v>
      </c>
      <c r="Z90" s="7">
        <f t="shared" si="22"/>
        <v>11.38519924</v>
      </c>
    </row>
    <row r="91">
      <c r="A91" s="30" t="str">
        <f>IFERROR(__xludf.DUMMYFUNCTION("""COMPUTED_VALUE"""),"2019 04")</f>
        <v>2019 04</v>
      </c>
      <c r="B91" s="30" t="str">
        <f>IFERROR(__xludf.DUMMYFUNCTION("""COMPUTED_VALUE"""),"78.72")</f>
        <v>78.72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0.6351626016</v>
      </c>
      <c r="G91" s="7">
        <f t="shared" si="3"/>
        <v>100</v>
      </c>
      <c r="H91" s="7">
        <f t="shared" si="4"/>
        <v>1.270325203</v>
      </c>
      <c r="I91" s="7">
        <f t="shared" si="5"/>
        <v>150</v>
      </c>
      <c r="J91" s="7">
        <f t="shared" si="6"/>
        <v>1.905487805</v>
      </c>
      <c r="K91" s="7">
        <f t="shared" si="7"/>
        <v>200</v>
      </c>
      <c r="L91" s="7">
        <f t="shared" si="8"/>
        <v>2.540650407</v>
      </c>
      <c r="M91" s="7">
        <f t="shared" si="9"/>
        <v>300</v>
      </c>
      <c r="N91" s="7">
        <f t="shared" si="10"/>
        <v>3.81097561</v>
      </c>
      <c r="O91" s="7">
        <f t="shared" si="11"/>
        <v>400</v>
      </c>
      <c r="P91" s="7">
        <f t="shared" si="12"/>
        <v>5.081300813</v>
      </c>
      <c r="Q91" s="7">
        <f t="shared" si="13"/>
        <v>500</v>
      </c>
      <c r="R91" s="7">
        <f t="shared" si="14"/>
        <v>6.351626016</v>
      </c>
      <c r="S91" s="7">
        <f t="shared" si="15"/>
        <v>600</v>
      </c>
      <c r="T91" s="7">
        <f t="shared" si="16"/>
        <v>7.62195122</v>
      </c>
      <c r="U91" s="7">
        <f t="shared" si="17"/>
        <v>700</v>
      </c>
      <c r="V91" s="7">
        <f t="shared" si="18"/>
        <v>8.892276423</v>
      </c>
      <c r="W91" s="7">
        <f t="shared" si="19"/>
        <v>800</v>
      </c>
      <c r="X91" s="7">
        <f t="shared" si="20"/>
        <v>10.16260163</v>
      </c>
      <c r="Y91" s="7">
        <f t="shared" si="21"/>
        <v>900</v>
      </c>
      <c r="Z91" s="7">
        <f t="shared" si="22"/>
        <v>11.43292683</v>
      </c>
    </row>
    <row r="92">
      <c r="A92" s="30" t="str">
        <f>IFERROR(__xludf.DUMMYFUNCTION("""COMPUTED_VALUE"""),"2019 05")</f>
        <v>2019 05</v>
      </c>
      <c r="B92" s="30" t="str">
        <f>IFERROR(__xludf.DUMMYFUNCTION("""COMPUTED_VALUE"""),"80.8")</f>
        <v>80.8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0.6188118812</v>
      </c>
      <c r="G92" s="7">
        <f t="shared" si="3"/>
        <v>100</v>
      </c>
      <c r="H92" s="7">
        <f t="shared" si="4"/>
        <v>1.237623762</v>
      </c>
      <c r="I92" s="7">
        <f t="shared" si="5"/>
        <v>150</v>
      </c>
      <c r="J92" s="7">
        <f t="shared" si="6"/>
        <v>1.856435644</v>
      </c>
      <c r="K92" s="7">
        <f t="shared" si="7"/>
        <v>200</v>
      </c>
      <c r="L92" s="7">
        <f t="shared" si="8"/>
        <v>2.475247525</v>
      </c>
      <c r="M92" s="7">
        <f t="shared" si="9"/>
        <v>300</v>
      </c>
      <c r="N92" s="7">
        <f t="shared" si="10"/>
        <v>3.712871287</v>
      </c>
      <c r="O92" s="7">
        <f t="shared" si="11"/>
        <v>400</v>
      </c>
      <c r="P92" s="7">
        <f t="shared" si="12"/>
        <v>4.95049505</v>
      </c>
      <c r="Q92" s="7">
        <f t="shared" si="13"/>
        <v>500</v>
      </c>
      <c r="R92" s="7">
        <f t="shared" si="14"/>
        <v>6.188118812</v>
      </c>
      <c r="S92" s="7">
        <f t="shared" si="15"/>
        <v>600</v>
      </c>
      <c r="T92" s="7">
        <f t="shared" si="16"/>
        <v>7.425742574</v>
      </c>
      <c r="U92" s="7">
        <f t="shared" si="17"/>
        <v>700</v>
      </c>
      <c r="V92" s="7">
        <f t="shared" si="18"/>
        <v>8.663366337</v>
      </c>
      <c r="W92" s="7">
        <f t="shared" si="19"/>
        <v>800</v>
      </c>
      <c r="X92" s="7">
        <f t="shared" si="20"/>
        <v>9.900990099</v>
      </c>
      <c r="Y92" s="7">
        <f t="shared" si="21"/>
        <v>900</v>
      </c>
      <c r="Z92" s="7">
        <f t="shared" si="22"/>
        <v>11.13861386</v>
      </c>
    </row>
    <row r="93">
      <c r="A93" s="30" t="str">
        <f>IFERROR(__xludf.DUMMYFUNCTION("""COMPUTED_VALUE"""),"2019 06")</f>
        <v>2019 06</v>
      </c>
      <c r="B93" s="30" t="str">
        <f>IFERROR(__xludf.DUMMYFUNCTION("""COMPUTED_VALUE"""),"80.58")</f>
        <v>80.58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0.6205013651</v>
      </c>
      <c r="G93" s="7">
        <f t="shared" si="3"/>
        <v>100</v>
      </c>
      <c r="H93" s="7">
        <f t="shared" si="4"/>
        <v>1.24100273</v>
      </c>
      <c r="I93" s="7">
        <f t="shared" si="5"/>
        <v>150</v>
      </c>
      <c r="J93" s="7">
        <f t="shared" si="6"/>
        <v>1.861504095</v>
      </c>
      <c r="K93" s="7">
        <f t="shared" si="7"/>
        <v>200</v>
      </c>
      <c r="L93" s="7">
        <f t="shared" si="8"/>
        <v>2.48200546</v>
      </c>
      <c r="M93" s="7">
        <f t="shared" si="9"/>
        <v>300</v>
      </c>
      <c r="N93" s="7">
        <f t="shared" si="10"/>
        <v>3.723008191</v>
      </c>
      <c r="O93" s="7">
        <f t="shared" si="11"/>
        <v>400</v>
      </c>
      <c r="P93" s="7">
        <f t="shared" si="12"/>
        <v>4.964010921</v>
      </c>
      <c r="Q93" s="7">
        <f t="shared" si="13"/>
        <v>500</v>
      </c>
      <c r="R93" s="7">
        <f t="shared" si="14"/>
        <v>6.205013651</v>
      </c>
      <c r="S93" s="7">
        <f t="shared" si="15"/>
        <v>600</v>
      </c>
      <c r="T93" s="7">
        <f t="shared" si="16"/>
        <v>7.446016381</v>
      </c>
      <c r="U93" s="7">
        <f t="shared" si="17"/>
        <v>700</v>
      </c>
      <c r="V93" s="7">
        <f t="shared" si="18"/>
        <v>8.687019111</v>
      </c>
      <c r="W93" s="7">
        <f t="shared" si="19"/>
        <v>800</v>
      </c>
      <c r="X93" s="7">
        <f t="shared" si="20"/>
        <v>9.928021842</v>
      </c>
      <c r="Y93" s="7">
        <f t="shared" si="21"/>
        <v>900</v>
      </c>
      <c r="Z93" s="7">
        <f t="shared" si="22"/>
        <v>11.16902457</v>
      </c>
    </row>
    <row r="94">
      <c r="A94" s="30" t="str">
        <f>IFERROR(__xludf.DUMMYFUNCTION("""COMPUTED_VALUE"""),"2019 07")</f>
        <v>2019 07</v>
      </c>
      <c r="B94" s="30" t="str">
        <f>IFERROR(__xludf.DUMMYFUNCTION("""COMPUTED_VALUE"""),"84.14")</f>
        <v>84.14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0.5942476824</v>
      </c>
      <c r="G94" s="7">
        <f t="shared" si="3"/>
        <v>100</v>
      </c>
      <c r="H94" s="7">
        <f t="shared" si="4"/>
        <v>1.188495365</v>
      </c>
      <c r="I94" s="7">
        <f t="shared" si="5"/>
        <v>150</v>
      </c>
      <c r="J94" s="7">
        <f t="shared" si="6"/>
        <v>1.782743047</v>
      </c>
      <c r="K94" s="7">
        <f t="shared" si="7"/>
        <v>200</v>
      </c>
      <c r="L94" s="7">
        <f t="shared" si="8"/>
        <v>2.37699073</v>
      </c>
      <c r="M94" s="7">
        <f t="shared" si="9"/>
        <v>300</v>
      </c>
      <c r="N94" s="7">
        <f t="shared" si="10"/>
        <v>3.565486095</v>
      </c>
      <c r="O94" s="7">
        <f t="shared" si="11"/>
        <v>400</v>
      </c>
      <c r="P94" s="7">
        <f t="shared" si="12"/>
        <v>4.753981459</v>
      </c>
      <c r="Q94" s="7">
        <f t="shared" si="13"/>
        <v>500</v>
      </c>
      <c r="R94" s="7">
        <f t="shared" si="14"/>
        <v>5.942476824</v>
      </c>
      <c r="S94" s="7">
        <f t="shared" si="15"/>
        <v>600</v>
      </c>
      <c r="T94" s="7">
        <f t="shared" si="16"/>
        <v>7.130972189</v>
      </c>
      <c r="U94" s="7">
        <f t="shared" si="17"/>
        <v>700</v>
      </c>
      <c r="V94" s="7">
        <f t="shared" si="18"/>
        <v>8.319467554</v>
      </c>
      <c r="W94" s="7">
        <f t="shared" si="19"/>
        <v>800</v>
      </c>
      <c r="X94" s="7">
        <f t="shared" si="20"/>
        <v>9.507962919</v>
      </c>
      <c r="Y94" s="7">
        <f t="shared" si="21"/>
        <v>900</v>
      </c>
      <c r="Z94" s="7">
        <f t="shared" si="22"/>
        <v>10.69645828</v>
      </c>
    </row>
    <row r="95">
      <c r="A95" s="30" t="str">
        <f>IFERROR(__xludf.DUMMYFUNCTION("""COMPUTED_VALUE"""),"2019 08")</f>
        <v>2019 08</v>
      </c>
      <c r="B95" s="30" t="str">
        <f>IFERROR(__xludf.DUMMYFUNCTION("""COMPUTED_VALUE"""),"85.94")</f>
        <v>85.94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0.5818012567</v>
      </c>
      <c r="G95" s="7">
        <f t="shared" si="3"/>
        <v>100</v>
      </c>
      <c r="H95" s="7">
        <f t="shared" si="4"/>
        <v>1.163602513</v>
      </c>
      <c r="I95" s="7">
        <f t="shared" si="5"/>
        <v>150</v>
      </c>
      <c r="J95" s="7">
        <f t="shared" si="6"/>
        <v>1.74540377</v>
      </c>
      <c r="K95" s="7">
        <f t="shared" si="7"/>
        <v>200</v>
      </c>
      <c r="L95" s="7">
        <f t="shared" si="8"/>
        <v>2.327205027</v>
      </c>
      <c r="M95" s="7">
        <f t="shared" si="9"/>
        <v>300</v>
      </c>
      <c r="N95" s="7">
        <f t="shared" si="10"/>
        <v>3.49080754</v>
      </c>
      <c r="O95" s="7">
        <f t="shared" si="11"/>
        <v>400</v>
      </c>
      <c r="P95" s="7">
        <f t="shared" si="12"/>
        <v>4.654410054</v>
      </c>
      <c r="Q95" s="7">
        <f t="shared" si="13"/>
        <v>500</v>
      </c>
      <c r="R95" s="7">
        <f t="shared" si="14"/>
        <v>5.818012567</v>
      </c>
      <c r="S95" s="7">
        <f t="shared" si="15"/>
        <v>600</v>
      </c>
      <c r="T95" s="7">
        <f t="shared" si="16"/>
        <v>6.98161508</v>
      </c>
      <c r="U95" s="7">
        <f t="shared" si="17"/>
        <v>700</v>
      </c>
      <c r="V95" s="7">
        <f t="shared" si="18"/>
        <v>8.145217594</v>
      </c>
      <c r="W95" s="7">
        <f t="shared" si="19"/>
        <v>800</v>
      </c>
      <c r="X95" s="7">
        <f t="shared" si="20"/>
        <v>9.308820107</v>
      </c>
      <c r="Y95" s="7">
        <f t="shared" si="21"/>
        <v>900</v>
      </c>
      <c r="Z95" s="7">
        <f t="shared" si="22"/>
        <v>10.47242262</v>
      </c>
    </row>
    <row r="96">
      <c r="A96" s="30" t="str">
        <f>IFERROR(__xludf.DUMMYFUNCTION("""COMPUTED_VALUE"""),"2019 09")</f>
        <v>2019 09</v>
      </c>
      <c r="B96" s="30" t="str">
        <f>IFERROR(__xludf.DUMMYFUNCTION("""COMPUTED_VALUE"""),"84.12")</f>
        <v>84.12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0.5943889681</v>
      </c>
      <c r="G96" s="7">
        <f t="shared" si="3"/>
        <v>100</v>
      </c>
      <c r="H96" s="7">
        <f t="shared" si="4"/>
        <v>1.188777936</v>
      </c>
      <c r="I96" s="7">
        <f t="shared" si="5"/>
        <v>150</v>
      </c>
      <c r="J96" s="7">
        <f t="shared" si="6"/>
        <v>1.783166904</v>
      </c>
      <c r="K96" s="7">
        <f t="shared" si="7"/>
        <v>200</v>
      </c>
      <c r="L96" s="7">
        <f t="shared" si="8"/>
        <v>2.377555873</v>
      </c>
      <c r="M96" s="7">
        <f t="shared" si="9"/>
        <v>300</v>
      </c>
      <c r="N96" s="7">
        <f t="shared" si="10"/>
        <v>3.566333809</v>
      </c>
      <c r="O96" s="7">
        <f t="shared" si="11"/>
        <v>400</v>
      </c>
      <c r="P96" s="7">
        <f t="shared" si="12"/>
        <v>4.755111745</v>
      </c>
      <c r="Q96" s="7">
        <f t="shared" si="13"/>
        <v>500</v>
      </c>
      <c r="R96" s="7">
        <f t="shared" si="14"/>
        <v>5.943889681</v>
      </c>
      <c r="S96" s="7">
        <f t="shared" si="15"/>
        <v>600</v>
      </c>
      <c r="T96" s="7">
        <f t="shared" si="16"/>
        <v>7.132667618</v>
      </c>
      <c r="U96" s="7">
        <f t="shared" si="17"/>
        <v>700</v>
      </c>
      <c r="V96" s="7">
        <f t="shared" si="18"/>
        <v>8.321445554</v>
      </c>
      <c r="W96" s="7">
        <f t="shared" si="19"/>
        <v>800</v>
      </c>
      <c r="X96" s="7">
        <f t="shared" si="20"/>
        <v>9.51022349</v>
      </c>
      <c r="Y96" s="7">
        <f t="shared" si="21"/>
        <v>900</v>
      </c>
      <c r="Z96" s="7">
        <f t="shared" si="22"/>
        <v>10.69900143</v>
      </c>
    </row>
    <row r="97">
      <c r="A97" s="30" t="str">
        <f>IFERROR(__xludf.DUMMYFUNCTION("""COMPUTED_VALUE"""),"2019 10")</f>
        <v>2019 10</v>
      </c>
      <c r="B97" s="30" t="str">
        <f>IFERROR(__xludf.DUMMYFUNCTION("""COMPUTED_VALUE"""),"85.5")</f>
        <v>85.5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0.5847953216</v>
      </c>
      <c r="G97" s="7">
        <f t="shared" si="3"/>
        <v>100</v>
      </c>
      <c r="H97" s="7">
        <f t="shared" si="4"/>
        <v>1.169590643</v>
      </c>
      <c r="I97" s="7">
        <f t="shared" si="5"/>
        <v>150</v>
      </c>
      <c r="J97" s="7">
        <f t="shared" si="6"/>
        <v>1.754385965</v>
      </c>
      <c r="K97" s="7">
        <f t="shared" si="7"/>
        <v>200</v>
      </c>
      <c r="L97" s="7">
        <f t="shared" si="8"/>
        <v>2.339181287</v>
      </c>
      <c r="M97" s="7">
        <f t="shared" si="9"/>
        <v>300</v>
      </c>
      <c r="N97" s="7">
        <f t="shared" si="10"/>
        <v>3.50877193</v>
      </c>
      <c r="O97" s="7">
        <f t="shared" si="11"/>
        <v>400</v>
      </c>
      <c r="P97" s="7">
        <f t="shared" si="12"/>
        <v>4.678362573</v>
      </c>
      <c r="Q97" s="7">
        <f t="shared" si="13"/>
        <v>500</v>
      </c>
      <c r="R97" s="7">
        <f t="shared" si="14"/>
        <v>5.847953216</v>
      </c>
      <c r="S97" s="7">
        <f t="shared" si="15"/>
        <v>600</v>
      </c>
      <c r="T97" s="7">
        <f t="shared" si="16"/>
        <v>7.01754386</v>
      </c>
      <c r="U97" s="7">
        <f t="shared" si="17"/>
        <v>700</v>
      </c>
      <c r="V97" s="7">
        <f t="shared" si="18"/>
        <v>8.187134503</v>
      </c>
      <c r="W97" s="7">
        <f t="shared" si="19"/>
        <v>800</v>
      </c>
      <c r="X97" s="7">
        <f t="shared" si="20"/>
        <v>9.356725146</v>
      </c>
      <c r="Y97" s="7">
        <f t="shared" si="21"/>
        <v>900</v>
      </c>
      <c r="Z97" s="7">
        <f t="shared" si="22"/>
        <v>10.52631579</v>
      </c>
    </row>
    <row r="98">
      <c r="A98" s="30" t="str">
        <f>IFERROR(__xludf.DUMMYFUNCTION("""COMPUTED_VALUE"""),"2019 11")</f>
        <v>2019 11</v>
      </c>
      <c r="B98" s="30" t="str">
        <f>IFERROR(__xludf.DUMMYFUNCTION("""COMPUTED_VALUE"""),"84.56")</f>
        <v>84.56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0.5912961211</v>
      </c>
      <c r="G98" s="7">
        <f t="shared" si="3"/>
        <v>100</v>
      </c>
      <c r="H98" s="7">
        <f t="shared" si="4"/>
        <v>1.182592242</v>
      </c>
      <c r="I98" s="7">
        <f t="shared" si="5"/>
        <v>150</v>
      </c>
      <c r="J98" s="7">
        <f t="shared" si="6"/>
        <v>1.773888363</v>
      </c>
      <c r="K98" s="7">
        <f t="shared" si="7"/>
        <v>200</v>
      </c>
      <c r="L98" s="7">
        <f t="shared" si="8"/>
        <v>2.365184484</v>
      </c>
      <c r="M98" s="7">
        <f t="shared" si="9"/>
        <v>300</v>
      </c>
      <c r="N98" s="7">
        <f t="shared" si="10"/>
        <v>3.547776727</v>
      </c>
      <c r="O98" s="7">
        <f t="shared" si="11"/>
        <v>400</v>
      </c>
      <c r="P98" s="7">
        <f t="shared" si="12"/>
        <v>4.730368969</v>
      </c>
      <c r="Q98" s="7">
        <f t="shared" si="13"/>
        <v>500</v>
      </c>
      <c r="R98" s="7">
        <f t="shared" si="14"/>
        <v>5.912961211</v>
      </c>
      <c r="S98" s="7">
        <f t="shared" si="15"/>
        <v>600</v>
      </c>
      <c r="T98" s="7">
        <f t="shared" si="16"/>
        <v>7.095553453</v>
      </c>
      <c r="U98" s="7">
        <f t="shared" si="17"/>
        <v>700</v>
      </c>
      <c r="V98" s="7">
        <f t="shared" si="18"/>
        <v>8.278145695</v>
      </c>
      <c r="W98" s="7">
        <f t="shared" si="19"/>
        <v>800</v>
      </c>
      <c r="X98" s="7">
        <f t="shared" si="20"/>
        <v>9.460737938</v>
      </c>
      <c r="Y98" s="7">
        <f t="shared" si="21"/>
        <v>900</v>
      </c>
      <c r="Z98" s="7">
        <f t="shared" si="22"/>
        <v>10.64333018</v>
      </c>
    </row>
    <row r="99">
      <c r="A99" s="30" t="str">
        <f>IFERROR(__xludf.DUMMYFUNCTION("""COMPUTED_VALUE"""),"2019 12")</f>
        <v>2019 12</v>
      </c>
      <c r="B99" s="30" t="str">
        <f>IFERROR(__xludf.DUMMYFUNCTION("""COMPUTED_VALUE"""),"87.5")</f>
        <v>87.5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0.5714285714</v>
      </c>
      <c r="G99" s="7">
        <f t="shared" si="3"/>
        <v>100</v>
      </c>
      <c r="H99" s="7">
        <f t="shared" si="4"/>
        <v>1.142857143</v>
      </c>
      <c r="I99" s="7">
        <f t="shared" si="5"/>
        <v>150</v>
      </c>
      <c r="J99" s="7">
        <f t="shared" si="6"/>
        <v>1.714285714</v>
      </c>
      <c r="K99" s="7">
        <f t="shared" si="7"/>
        <v>200</v>
      </c>
      <c r="L99" s="7">
        <f t="shared" si="8"/>
        <v>2.285714286</v>
      </c>
      <c r="M99" s="7">
        <f t="shared" si="9"/>
        <v>300</v>
      </c>
      <c r="N99" s="7">
        <f t="shared" si="10"/>
        <v>3.428571429</v>
      </c>
      <c r="O99" s="7">
        <f t="shared" si="11"/>
        <v>400</v>
      </c>
      <c r="P99" s="7">
        <f t="shared" si="12"/>
        <v>4.571428571</v>
      </c>
      <c r="Q99" s="7">
        <f t="shared" si="13"/>
        <v>500</v>
      </c>
      <c r="R99" s="7">
        <f t="shared" si="14"/>
        <v>5.714285714</v>
      </c>
      <c r="S99" s="7">
        <f t="shared" si="15"/>
        <v>600</v>
      </c>
      <c r="T99" s="7">
        <f t="shared" si="16"/>
        <v>6.857142857</v>
      </c>
      <c r="U99" s="7">
        <f t="shared" si="17"/>
        <v>700</v>
      </c>
      <c r="V99" s="7">
        <f t="shared" si="18"/>
        <v>8</v>
      </c>
      <c r="W99" s="7">
        <f t="shared" si="19"/>
        <v>800</v>
      </c>
      <c r="X99" s="7">
        <f t="shared" si="20"/>
        <v>9.142857143</v>
      </c>
      <c r="Y99" s="7">
        <f t="shared" si="21"/>
        <v>900</v>
      </c>
      <c r="Z99" s="7">
        <f t="shared" si="22"/>
        <v>10.28571429</v>
      </c>
    </row>
    <row r="100">
      <c r="A100" s="30" t="str">
        <f>IFERROR(__xludf.DUMMYFUNCTION("""COMPUTED_VALUE"""),"2020 01")</f>
        <v>2020 01</v>
      </c>
      <c r="B100" s="30" t="str">
        <f>IFERROR(__xludf.DUMMYFUNCTION("""COMPUTED_VALUE"""),"84.69")</f>
        <v>84.69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0.5903884756</v>
      </c>
      <c r="G100" s="7">
        <f t="shared" si="3"/>
        <v>100</v>
      </c>
      <c r="H100" s="7">
        <f t="shared" si="4"/>
        <v>1.180776951</v>
      </c>
      <c r="I100" s="7">
        <f t="shared" si="5"/>
        <v>150</v>
      </c>
      <c r="J100" s="7">
        <f t="shared" si="6"/>
        <v>1.771165427</v>
      </c>
      <c r="K100" s="7">
        <f t="shared" si="7"/>
        <v>200</v>
      </c>
      <c r="L100" s="7">
        <f t="shared" si="8"/>
        <v>2.361553902</v>
      </c>
      <c r="M100" s="7">
        <f t="shared" si="9"/>
        <v>300</v>
      </c>
      <c r="N100" s="7">
        <f t="shared" si="10"/>
        <v>3.542330854</v>
      </c>
      <c r="O100" s="7">
        <f t="shared" si="11"/>
        <v>400</v>
      </c>
      <c r="P100" s="7">
        <f t="shared" si="12"/>
        <v>4.723107805</v>
      </c>
      <c r="Q100" s="7">
        <f t="shared" si="13"/>
        <v>500</v>
      </c>
      <c r="R100" s="7">
        <f t="shared" si="14"/>
        <v>5.903884756</v>
      </c>
      <c r="S100" s="7">
        <f t="shared" si="15"/>
        <v>600</v>
      </c>
      <c r="T100" s="7">
        <f t="shared" si="16"/>
        <v>7.084661707</v>
      </c>
      <c r="U100" s="7">
        <f t="shared" si="17"/>
        <v>700</v>
      </c>
      <c r="V100" s="7">
        <f t="shared" si="18"/>
        <v>8.265438659</v>
      </c>
      <c r="W100" s="7">
        <f t="shared" si="19"/>
        <v>800</v>
      </c>
      <c r="X100" s="7">
        <f t="shared" si="20"/>
        <v>9.44621561</v>
      </c>
      <c r="Y100" s="7">
        <f t="shared" si="21"/>
        <v>900</v>
      </c>
      <c r="Z100" s="7">
        <f t="shared" si="22"/>
        <v>10.62699256</v>
      </c>
    </row>
    <row r="101">
      <c r="A101" s="30" t="str">
        <f>IFERROR(__xludf.DUMMYFUNCTION("""COMPUTED_VALUE"""),"2020 02")</f>
        <v>2020 02</v>
      </c>
      <c r="B101" s="30" t="str">
        <f>IFERROR(__xludf.DUMMYFUNCTION("""COMPUTED_VALUE"""),"87.61")</f>
        <v>87.61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0.570711106</v>
      </c>
      <c r="G101" s="7">
        <f t="shared" si="3"/>
        <v>100</v>
      </c>
      <c r="H101" s="7">
        <f t="shared" si="4"/>
        <v>1.141422212</v>
      </c>
      <c r="I101" s="7">
        <f t="shared" si="5"/>
        <v>150</v>
      </c>
      <c r="J101" s="7">
        <f t="shared" si="6"/>
        <v>1.712133318</v>
      </c>
      <c r="K101" s="7">
        <f t="shared" si="7"/>
        <v>200</v>
      </c>
      <c r="L101" s="7">
        <f t="shared" si="8"/>
        <v>2.282844424</v>
      </c>
      <c r="M101" s="7">
        <f t="shared" si="9"/>
        <v>300</v>
      </c>
      <c r="N101" s="7">
        <f t="shared" si="10"/>
        <v>3.424266636</v>
      </c>
      <c r="O101" s="7">
        <f t="shared" si="11"/>
        <v>400</v>
      </c>
      <c r="P101" s="7">
        <f t="shared" si="12"/>
        <v>4.565688848</v>
      </c>
      <c r="Q101" s="7">
        <f t="shared" si="13"/>
        <v>500</v>
      </c>
      <c r="R101" s="7">
        <f t="shared" si="14"/>
        <v>5.70711106</v>
      </c>
      <c r="S101" s="7">
        <f t="shared" si="15"/>
        <v>600</v>
      </c>
      <c r="T101" s="7">
        <f t="shared" si="16"/>
        <v>6.848533272</v>
      </c>
      <c r="U101" s="7">
        <f t="shared" si="17"/>
        <v>700</v>
      </c>
      <c r="V101" s="7">
        <f t="shared" si="18"/>
        <v>7.989955485</v>
      </c>
      <c r="W101" s="7">
        <f t="shared" si="19"/>
        <v>800</v>
      </c>
      <c r="X101" s="7">
        <f t="shared" si="20"/>
        <v>9.131377697</v>
      </c>
      <c r="Y101" s="7">
        <f t="shared" si="21"/>
        <v>900</v>
      </c>
      <c r="Z101" s="7">
        <f t="shared" si="22"/>
        <v>10.27279991</v>
      </c>
    </row>
    <row r="102">
      <c r="A102" s="30" t="str">
        <f>IFERROR(__xludf.DUMMYFUNCTION("""COMPUTED_VALUE"""),"2020 03")</f>
        <v>2020 03</v>
      </c>
      <c r="B102" s="30" t="str">
        <f>IFERROR(__xludf.DUMMYFUNCTION("""COMPUTED_VALUE"""),"81.39")</f>
        <v>81.39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0.6143260843</v>
      </c>
      <c r="G102" s="7">
        <f t="shared" si="3"/>
        <v>100</v>
      </c>
      <c r="H102" s="7">
        <f t="shared" si="4"/>
        <v>1.228652169</v>
      </c>
      <c r="I102" s="7">
        <f t="shared" si="5"/>
        <v>150</v>
      </c>
      <c r="J102" s="7">
        <f t="shared" si="6"/>
        <v>1.842978253</v>
      </c>
      <c r="K102" s="7">
        <f t="shared" si="7"/>
        <v>200</v>
      </c>
      <c r="L102" s="7">
        <f t="shared" si="8"/>
        <v>2.457304337</v>
      </c>
      <c r="M102" s="7">
        <f t="shared" si="9"/>
        <v>300</v>
      </c>
      <c r="N102" s="7">
        <f t="shared" si="10"/>
        <v>3.685956506</v>
      </c>
      <c r="O102" s="7">
        <f t="shared" si="11"/>
        <v>400</v>
      </c>
      <c r="P102" s="7">
        <f t="shared" si="12"/>
        <v>4.914608674</v>
      </c>
      <c r="Q102" s="7">
        <f t="shared" si="13"/>
        <v>500</v>
      </c>
      <c r="R102" s="7">
        <f t="shared" si="14"/>
        <v>6.143260843</v>
      </c>
      <c r="S102" s="7">
        <f t="shared" si="15"/>
        <v>600</v>
      </c>
      <c r="T102" s="7">
        <f t="shared" si="16"/>
        <v>7.371913011</v>
      </c>
      <c r="U102" s="7">
        <f t="shared" si="17"/>
        <v>700</v>
      </c>
      <c r="V102" s="7">
        <f t="shared" si="18"/>
        <v>8.60056518</v>
      </c>
      <c r="W102" s="7">
        <f t="shared" si="19"/>
        <v>800</v>
      </c>
      <c r="X102" s="7">
        <f t="shared" si="20"/>
        <v>9.829217349</v>
      </c>
      <c r="Y102" s="7">
        <f t="shared" si="21"/>
        <v>900</v>
      </c>
      <c r="Z102" s="7">
        <f t="shared" si="22"/>
        <v>11.05786952</v>
      </c>
    </row>
    <row r="103">
      <c r="A103" s="30" t="str">
        <f>IFERROR(__xludf.DUMMYFUNCTION("""COMPUTED_VALUE"""),"2020 04")</f>
        <v>2020 04</v>
      </c>
      <c r="B103" s="30" t="str">
        <f>IFERROR(__xludf.DUMMYFUNCTION("""COMPUTED_VALUE"""),"66.14")</f>
        <v>66.14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0.7559721802</v>
      </c>
      <c r="G103" s="7">
        <f t="shared" si="3"/>
        <v>100</v>
      </c>
      <c r="H103" s="7">
        <f t="shared" si="4"/>
        <v>1.51194436</v>
      </c>
      <c r="I103" s="7">
        <f t="shared" si="5"/>
        <v>150</v>
      </c>
      <c r="J103" s="7">
        <f t="shared" si="6"/>
        <v>2.267916541</v>
      </c>
      <c r="K103" s="7">
        <f t="shared" si="7"/>
        <v>200</v>
      </c>
      <c r="L103" s="7">
        <f t="shared" si="8"/>
        <v>3.023888721</v>
      </c>
      <c r="M103" s="7">
        <f t="shared" si="9"/>
        <v>300</v>
      </c>
      <c r="N103" s="7">
        <f t="shared" si="10"/>
        <v>4.535833081</v>
      </c>
      <c r="O103" s="7">
        <f t="shared" si="11"/>
        <v>400</v>
      </c>
      <c r="P103" s="7">
        <f t="shared" si="12"/>
        <v>6.047777442</v>
      </c>
      <c r="Q103" s="7">
        <f t="shared" si="13"/>
        <v>500</v>
      </c>
      <c r="R103" s="7">
        <f t="shared" si="14"/>
        <v>7.559721802</v>
      </c>
      <c r="S103" s="7">
        <f t="shared" si="15"/>
        <v>600</v>
      </c>
      <c r="T103" s="7">
        <f t="shared" si="16"/>
        <v>9.071666163</v>
      </c>
      <c r="U103" s="7">
        <f t="shared" si="17"/>
        <v>700</v>
      </c>
      <c r="V103" s="7">
        <f t="shared" si="18"/>
        <v>10.58361052</v>
      </c>
      <c r="W103" s="7">
        <f t="shared" si="19"/>
        <v>800</v>
      </c>
      <c r="X103" s="7">
        <f t="shared" si="20"/>
        <v>12.09555488</v>
      </c>
      <c r="Y103" s="7">
        <f t="shared" si="21"/>
        <v>900</v>
      </c>
      <c r="Z103" s="7">
        <f t="shared" si="22"/>
        <v>13.60749924</v>
      </c>
    </row>
    <row r="104">
      <c r="A104" s="30" t="str">
        <f>IFERROR(__xludf.DUMMYFUNCTION("""COMPUTED_VALUE"""),"2020 05")</f>
        <v>2020 05</v>
      </c>
      <c r="B104" s="30" t="str">
        <f>IFERROR(__xludf.DUMMYFUNCTION("""COMPUTED_VALUE"""),"67")</f>
        <v>67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0.7462686567</v>
      </c>
      <c r="G104" s="7">
        <f t="shared" si="3"/>
        <v>100</v>
      </c>
      <c r="H104" s="7">
        <f t="shared" si="4"/>
        <v>1.492537313</v>
      </c>
      <c r="I104" s="7">
        <f t="shared" si="5"/>
        <v>150</v>
      </c>
      <c r="J104" s="7">
        <f t="shared" si="6"/>
        <v>2.23880597</v>
      </c>
      <c r="K104" s="7">
        <f t="shared" si="7"/>
        <v>200</v>
      </c>
      <c r="L104" s="7">
        <f t="shared" si="8"/>
        <v>2.985074627</v>
      </c>
      <c r="M104" s="7">
        <f t="shared" si="9"/>
        <v>300</v>
      </c>
      <c r="N104" s="7">
        <f t="shared" si="10"/>
        <v>4.47761194</v>
      </c>
      <c r="O104" s="7">
        <f t="shared" si="11"/>
        <v>400</v>
      </c>
      <c r="P104" s="7">
        <f t="shared" si="12"/>
        <v>5.970149254</v>
      </c>
      <c r="Q104" s="7">
        <f t="shared" si="13"/>
        <v>500</v>
      </c>
      <c r="R104" s="7">
        <f t="shared" si="14"/>
        <v>7.462686567</v>
      </c>
      <c r="S104" s="7">
        <f t="shared" si="15"/>
        <v>600</v>
      </c>
      <c r="T104" s="7">
        <f t="shared" si="16"/>
        <v>8.955223881</v>
      </c>
      <c r="U104" s="7">
        <f t="shared" si="17"/>
        <v>700</v>
      </c>
      <c r="V104" s="7">
        <f t="shared" si="18"/>
        <v>10.44776119</v>
      </c>
      <c r="W104" s="7">
        <f t="shared" si="19"/>
        <v>800</v>
      </c>
      <c r="X104" s="7">
        <f t="shared" si="20"/>
        <v>11.94029851</v>
      </c>
      <c r="Y104" s="7">
        <f t="shared" si="21"/>
        <v>900</v>
      </c>
      <c r="Z104" s="7">
        <f t="shared" si="22"/>
        <v>13.43283582</v>
      </c>
    </row>
    <row r="105">
      <c r="A105" s="30" t="str">
        <f>IFERROR(__xludf.DUMMYFUNCTION("""COMPUTED_VALUE"""),"2020 06")</f>
        <v>2020 06</v>
      </c>
      <c r="B105" s="30" t="str">
        <f>IFERROR(__xludf.DUMMYFUNCTION("""COMPUTED_VALUE"""),"74.01")</f>
        <v>74.01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0.6755843805</v>
      </c>
      <c r="G105" s="7">
        <f t="shared" si="3"/>
        <v>100</v>
      </c>
      <c r="H105" s="7">
        <f t="shared" si="4"/>
        <v>1.351168761</v>
      </c>
      <c r="I105" s="7">
        <f t="shared" si="5"/>
        <v>150</v>
      </c>
      <c r="J105" s="7">
        <f t="shared" si="6"/>
        <v>2.026753141</v>
      </c>
      <c r="K105" s="7">
        <f t="shared" si="7"/>
        <v>200</v>
      </c>
      <c r="L105" s="7">
        <f t="shared" si="8"/>
        <v>2.702337522</v>
      </c>
      <c r="M105" s="7">
        <f t="shared" si="9"/>
        <v>300</v>
      </c>
      <c r="N105" s="7">
        <f t="shared" si="10"/>
        <v>4.053506283</v>
      </c>
      <c r="O105" s="7">
        <f t="shared" si="11"/>
        <v>400</v>
      </c>
      <c r="P105" s="7">
        <f t="shared" si="12"/>
        <v>5.404675044</v>
      </c>
      <c r="Q105" s="7">
        <f t="shared" si="13"/>
        <v>500</v>
      </c>
      <c r="R105" s="7">
        <f t="shared" si="14"/>
        <v>6.755843805</v>
      </c>
      <c r="S105" s="7">
        <f t="shared" si="15"/>
        <v>600</v>
      </c>
      <c r="T105" s="7">
        <f t="shared" si="16"/>
        <v>8.107012566</v>
      </c>
      <c r="U105" s="7">
        <f t="shared" si="17"/>
        <v>700</v>
      </c>
      <c r="V105" s="7">
        <f t="shared" si="18"/>
        <v>9.458181327</v>
      </c>
      <c r="W105" s="7">
        <f t="shared" si="19"/>
        <v>800</v>
      </c>
      <c r="X105" s="7">
        <f t="shared" si="20"/>
        <v>10.80935009</v>
      </c>
      <c r="Y105" s="7">
        <f t="shared" si="21"/>
        <v>900</v>
      </c>
      <c r="Z105" s="7">
        <f t="shared" si="22"/>
        <v>12.16051885</v>
      </c>
    </row>
    <row r="106">
      <c r="A106" s="30" t="str">
        <f>IFERROR(__xludf.DUMMYFUNCTION("""COMPUTED_VALUE"""),"2020 07")</f>
        <v>2020 07</v>
      </c>
      <c r="B106" s="30" t="str">
        <f>IFERROR(__xludf.DUMMYFUNCTION("""COMPUTED_VALUE"""),"75.24")</f>
        <v>75.24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0.6645401382</v>
      </c>
      <c r="G106" s="7">
        <f t="shared" si="3"/>
        <v>100</v>
      </c>
      <c r="H106" s="7">
        <f t="shared" si="4"/>
        <v>1.329080276</v>
      </c>
      <c r="I106" s="7">
        <f t="shared" si="5"/>
        <v>150</v>
      </c>
      <c r="J106" s="7">
        <f t="shared" si="6"/>
        <v>1.993620415</v>
      </c>
      <c r="K106" s="7">
        <f t="shared" si="7"/>
        <v>200</v>
      </c>
      <c r="L106" s="7">
        <f t="shared" si="8"/>
        <v>2.658160553</v>
      </c>
      <c r="M106" s="7">
        <f t="shared" si="9"/>
        <v>300</v>
      </c>
      <c r="N106" s="7">
        <f t="shared" si="10"/>
        <v>3.987240829</v>
      </c>
      <c r="O106" s="7">
        <f t="shared" si="11"/>
        <v>400</v>
      </c>
      <c r="P106" s="7">
        <f t="shared" si="12"/>
        <v>5.316321106</v>
      </c>
      <c r="Q106" s="7">
        <f t="shared" si="13"/>
        <v>500</v>
      </c>
      <c r="R106" s="7">
        <f t="shared" si="14"/>
        <v>6.645401382</v>
      </c>
      <c r="S106" s="7">
        <f t="shared" si="15"/>
        <v>600</v>
      </c>
      <c r="T106" s="7">
        <f t="shared" si="16"/>
        <v>7.974481659</v>
      </c>
      <c r="U106" s="7">
        <f t="shared" si="17"/>
        <v>700</v>
      </c>
      <c r="V106" s="7">
        <f t="shared" si="18"/>
        <v>9.303561935</v>
      </c>
      <c r="W106" s="7">
        <f t="shared" si="19"/>
        <v>800</v>
      </c>
      <c r="X106" s="7">
        <f t="shared" si="20"/>
        <v>10.63264221</v>
      </c>
      <c r="Y106" s="7">
        <f t="shared" si="21"/>
        <v>900</v>
      </c>
      <c r="Z106" s="7">
        <f t="shared" si="22"/>
        <v>11.96172249</v>
      </c>
    </row>
    <row r="107">
      <c r="A107" s="30" t="str">
        <f>IFERROR(__xludf.DUMMYFUNCTION("""COMPUTED_VALUE"""),"2020 08")</f>
        <v>2020 08</v>
      </c>
      <c r="B107" s="30" t="str">
        <f>IFERROR(__xludf.DUMMYFUNCTION("""COMPUTED_VALUE"""),"75.27")</f>
        <v>75.27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0.6642752757</v>
      </c>
      <c r="G107" s="7">
        <f t="shared" si="3"/>
        <v>100</v>
      </c>
      <c r="H107" s="7">
        <f t="shared" si="4"/>
        <v>1.328550551</v>
      </c>
      <c r="I107" s="7">
        <f t="shared" si="5"/>
        <v>150</v>
      </c>
      <c r="J107" s="7">
        <f t="shared" si="6"/>
        <v>1.992825827</v>
      </c>
      <c r="K107" s="7">
        <f t="shared" si="7"/>
        <v>200</v>
      </c>
      <c r="L107" s="7">
        <f t="shared" si="8"/>
        <v>2.657101103</v>
      </c>
      <c r="M107" s="7">
        <f t="shared" si="9"/>
        <v>300</v>
      </c>
      <c r="N107" s="7">
        <f t="shared" si="10"/>
        <v>3.985651654</v>
      </c>
      <c r="O107" s="7">
        <f t="shared" si="11"/>
        <v>400</v>
      </c>
      <c r="P107" s="7">
        <f t="shared" si="12"/>
        <v>5.314202205</v>
      </c>
      <c r="Q107" s="7">
        <f t="shared" si="13"/>
        <v>500</v>
      </c>
      <c r="R107" s="7">
        <f t="shared" si="14"/>
        <v>6.642752757</v>
      </c>
      <c r="S107" s="7">
        <f t="shared" si="15"/>
        <v>600</v>
      </c>
      <c r="T107" s="7">
        <f t="shared" si="16"/>
        <v>7.971303308</v>
      </c>
      <c r="U107" s="7">
        <f t="shared" si="17"/>
        <v>700</v>
      </c>
      <c r="V107" s="7">
        <f t="shared" si="18"/>
        <v>9.299853859</v>
      </c>
      <c r="W107" s="7">
        <f t="shared" si="19"/>
        <v>800</v>
      </c>
      <c r="X107" s="7">
        <f t="shared" si="20"/>
        <v>10.62840441</v>
      </c>
      <c r="Y107" s="7">
        <f t="shared" si="21"/>
        <v>900</v>
      </c>
      <c r="Z107" s="7">
        <f t="shared" si="22"/>
        <v>11.95695496</v>
      </c>
    </row>
    <row r="108">
      <c r="A108" s="30" t="str">
        <f>IFERROR(__xludf.DUMMYFUNCTION("""COMPUTED_VALUE"""),"2020 09")</f>
        <v>2020 09</v>
      </c>
      <c r="B108" s="30" t="str">
        <f>IFERROR(__xludf.DUMMYFUNCTION("""COMPUTED_VALUE"""),"76.27")</f>
        <v>76.27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0.6555657532</v>
      </c>
      <c r="G108" s="7">
        <f t="shared" si="3"/>
        <v>100</v>
      </c>
      <c r="H108" s="7">
        <f t="shared" si="4"/>
        <v>1.311131506</v>
      </c>
      <c r="I108" s="7">
        <f t="shared" si="5"/>
        <v>150</v>
      </c>
      <c r="J108" s="7">
        <f t="shared" si="6"/>
        <v>1.96669726</v>
      </c>
      <c r="K108" s="7">
        <f t="shared" si="7"/>
        <v>200</v>
      </c>
      <c r="L108" s="7">
        <f t="shared" si="8"/>
        <v>2.622263013</v>
      </c>
      <c r="M108" s="7">
        <f t="shared" si="9"/>
        <v>300</v>
      </c>
      <c r="N108" s="7">
        <f t="shared" si="10"/>
        <v>3.933394519</v>
      </c>
      <c r="O108" s="7">
        <f t="shared" si="11"/>
        <v>400</v>
      </c>
      <c r="P108" s="7">
        <f t="shared" si="12"/>
        <v>5.244526026</v>
      </c>
      <c r="Q108" s="7">
        <f t="shared" si="13"/>
        <v>500</v>
      </c>
      <c r="R108" s="7">
        <f t="shared" si="14"/>
        <v>6.555657532</v>
      </c>
      <c r="S108" s="7">
        <f t="shared" si="15"/>
        <v>600</v>
      </c>
      <c r="T108" s="7">
        <f t="shared" si="16"/>
        <v>7.866789039</v>
      </c>
      <c r="U108" s="7">
        <f t="shared" si="17"/>
        <v>700</v>
      </c>
      <c r="V108" s="7">
        <f t="shared" si="18"/>
        <v>9.177920545</v>
      </c>
      <c r="W108" s="7">
        <f t="shared" si="19"/>
        <v>800</v>
      </c>
      <c r="X108" s="7">
        <f t="shared" si="20"/>
        <v>10.48905205</v>
      </c>
      <c r="Y108" s="7">
        <f t="shared" si="21"/>
        <v>900</v>
      </c>
      <c r="Z108" s="7">
        <f t="shared" si="22"/>
        <v>11.80018356</v>
      </c>
    </row>
    <row r="109">
      <c r="A109" s="30" t="str">
        <f>IFERROR(__xludf.DUMMYFUNCTION("""COMPUTED_VALUE"""),"2020 10")</f>
        <v>2020 10</v>
      </c>
      <c r="B109" s="30" t="str">
        <f>IFERROR(__xludf.DUMMYFUNCTION("""COMPUTED_VALUE"""),"75.1")</f>
        <v>75.1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0.6657789614</v>
      </c>
      <c r="G109" s="7">
        <f t="shared" si="3"/>
        <v>100</v>
      </c>
      <c r="H109" s="7">
        <f t="shared" si="4"/>
        <v>1.331557923</v>
      </c>
      <c r="I109" s="7">
        <f t="shared" si="5"/>
        <v>150</v>
      </c>
      <c r="J109" s="7">
        <f t="shared" si="6"/>
        <v>1.997336884</v>
      </c>
      <c r="K109" s="7">
        <f t="shared" si="7"/>
        <v>200</v>
      </c>
      <c r="L109" s="7">
        <f t="shared" si="8"/>
        <v>2.663115846</v>
      </c>
      <c r="M109" s="7">
        <f t="shared" si="9"/>
        <v>300</v>
      </c>
      <c r="N109" s="7">
        <f t="shared" si="10"/>
        <v>3.994673768</v>
      </c>
      <c r="O109" s="7">
        <f t="shared" si="11"/>
        <v>400</v>
      </c>
      <c r="P109" s="7">
        <f t="shared" si="12"/>
        <v>5.326231691</v>
      </c>
      <c r="Q109" s="7">
        <f t="shared" si="13"/>
        <v>500</v>
      </c>
      <c r="R109" s="7">
        <f t="shared" si="14"/>
        <v>6.657789614</v>
      </c>
      <c r="S109" s="7">
        <f t="shared" si="15"/>
        <v>600</v>
      </c>
      <c r="T109" s="7">
        <f t="shared" si="16"/>
        <v>7.989347537</v>
      </c>
      <c r="U109" s="7">
        <f t="shared" si="17"/>
        <v>700</v>
      </c>
      <c r="V109" s="7">
        <f t="shared" si="18"/>
        <v>9.320905459</v>
      </c>
      <c r="W109" s="7">
        <f t="shared" si="19"/>
        <v>800</v>
      </c>
      <c r="X109" s="7">
        <f t="shared" si="20"/>
        <v>10.65246338</v>
      </c>
      <c r="Y109" s="7">
        <f t="shared" si="21"/>
        <v>900</v>
      </c>
      <c r="Z109" s="7">
        <f t="shared" si="22"/>
        <v>11.9840213</v>
      </c>
    </row>
    <row r="110">
      <c r="A110" s="30" t="str">
        <f>IFERROR(__xludf.DUMMYFUNCTION("""COMPUTED_VALUE"""),"2020 11")</f>
        <v>2020 11</v>
      </c>
      <c r="B110" s="30" t="str">
        <f>IFERROR(__xludf.DUMMYFUNCTION("""COMPUTED_VALUE"""),"75.95")</f>
        <v>75.95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0.6583278473</v>
      </c>
      <c r="G110" s="7">
        <f t="shared" si="3"/>
        <v>100</v>
      </c>
      <c r="H110" s="7">
        <f t="shared" si="4"/>
        <v>1.316655695</v>
      </c>
      <c r="I110" s="7">
        <f t="shared" si="5"/>
        <v>150</v>
      </c>
      <c r="J110" s="7">
        <f t="shared" si="6"/>
        <v>1.974983542</v>
      </c>
      <c r="K110" s="7">
        <f t="shared" si="7"/>
        <v>200</v>
      </c>
      <c r="L110" s="7">
        <f t="shared" si="8"/>
        <v>2.633311389</v>
      </c>
      <c r="M110" s="7">
        <f t="shared" si="9"/>
        <v>300</v>
      </c>
      <c r="N110" s="7">
        <f t="shared" si="10"/>
        <v>3.949967084</v>
      </c>
      <c r="O110" s="7">
        <f t="shared" si="11"/>
        <v>400</v>
      </c>
      <c r="P110" s="7">
        <f t="shared" si="12"/>
        <v>5.266622778</v>
      </c>
      <c r="Q110" s="7">
        <f t="shared" si="13"/>
        <v>500</v>
      </c>
      <c r="R110" s="7">
        <f t="shared" si="14"/>
        <v>6.583278473</v>
      </c>
      <c r="S110" s="7">
        <f t="shared" si="15"/>
        <v>600</v>
      </c>
      <c r="T110" s="7">
        <f t="shared" si="16"/>
        <v>7.899934167</v>
      </c>
      <c r="U110" s="7">
        <f t="shared" si="17"/>
        <v>700</v>
      </c>
      <c r="V110" s="7">
        <f t="shared" si="18"/>
        <v>9.216589862</v>
      </c>
      <c r="W110" s="7">
        <f t="shared" si="19"/>
        <v>800</v>
      </c>
      <c r="X110" s="7">
        <f t="shared" si="20"/>
        <v>10.53324556</v>
      </c>
      <c r="Y110" s="7">
        <f t="shared" si="21"/>
        <v>900</v>
      </c>
      <c r="Z110" s="7">
        <f t="shared" si="22"/>
        <v>11.84990125</v>
      </c>
    </row>
    <row r="111">
      <c r="A111" s="30" t="str">
        <f>IFERROR(__xludf.DUMMYFUNCTION("""COMPUTED_VALUE"""),"2020 12")</f>
        <v>2020 12</v>
      </c>
      <c r="B111" s="30" t="str">
        <f>IFERROR(__xludf.DUMMYFUNCTION("""COMPUTED_VALUE"""),"84.3")</f>
        <v>84.3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0.5931198102</v>
      </c>
      <c r="G111" s="7">
        <f t="shared" si="3"/>
        <v>100</v>
      </c>
      <c r="H111" s="7">
        <f t="shared" si="4"/>
        <v>1.18623962</v>
      </c>
      <c r="I111" s="7">
        <f t="shared" si="5"/>
        <v>150</v>
      </c>
      <c r="J111" s="7">
        <f t="shared" si="6"/>
        <v>1.779359431</v>
      </c>
      <c r="K111" s="7">
        <f t="shared" si="7"/>
        <v>200</v>
      </c>
      <c r="L111" s="7">
        <f t="shared" si="8"/>
        <v>2.372479241</v>
      </c>
      <c r="M111" s="7">
        <f t="shared" si="9"/>
        <v>300</v>
      </c>
      <c r="N111" s="7">
        <f t="shared" si="10"/>
        <v>3.558718861</v>
      </c>
      <c r="O111" s="7">
        <f t="shared" si="11"/>
        <v>400</v>
      </c>
      <c r="P111" s="7">
        <f t="shared" si="12"/>
        <v>4.744958482</v>
      </c>
      <c r="Q111" s="7">
        <f t="shared" si="13"/>
        <v>500</v>
      </c>
      <c r="R111" s="7">
        <f t="shared" si="14"/>
        <v>5.931198102</v>
      </c>
      <c r="S111" s="7">
        <f t="shared" si="15"/>
        <v>600</v>
      </c>
      <c r="T111" s="7">
        <f t="shared" si="16"/>
        <v>7.117437722</v>
      </c>
      <c r="U111" s="7">
        <f t="shared" si="17"/>
        <v>700</v>
      </c>
      <c r="V111" s="7">
        <f t="shared" si="18"/>
        <v>8.303677343</v>
      </c>
      <c r="W111" s="7">
        <f t="shared" si="19"/>
        <v>800</v>
      </c>
      <c r="X111" s="7">
        <f t="shared" si="20"/>
        <v>9.489916963</v>
      </c>
      <c r="Y111" s="7">
        <f t="shared" si="21"/>
        <v>900</v>
      </c>
      <c r="Z111" s="7">
        <f t="shared" si="22"/>
        <v>10.67615658</v>
      </c>
    </row>
    <row r="112">
      <c r="A112" s="30" t="str">
        <f>IFERROR(__xludf.DUMMYFUNCTION("""COMPUTED_VALUE"""),"2021 01")</f>
        <v>2021 01</v>
      </c>
      <c r="B112" s="30" t="str">
        <f>IFERROR(__xludf.DUMMYFUNCTION("""COMPUTED_VALUE"""),"85.28")</f>
        <v>85.28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0.58630394</v>
      </c>
      <c r="G112" s="7">
        <f t="shared" si="3"/>
        <v>100</v>
      </c>
      <c r="H112" s="7">
        <f t="shared" si="4"/>
        <v>1.17260788</v>
      </c>
      <c r="I112" s="7">
        <f t="shared" si="5"/>
        <v>150</v>
      </c>
      <c r="J112" s="7">
        <f t="shared" si="6"/>
        <v>1.75891182</v>
      </c>
      <c r="K112" s="7">
        <f t="shared" si="7"/>
        <v>200</v>
      </c>
      <c r="L112" s="7">
        <f t="shared" si="8"/>
        <v>2.34521576</v>
      </c>
      <c r="M112" s="7">
        <f t="shared" si="9"/>
        <v>300</v>
      </c>
      <c r="N112" s="7">
        <f t="shared" si="10"/>
        <v>3.51782364</v>
      </c>
      <c r="O112" s="7">
        <f t="shared" si="11"/>
        <v>400</v>
      </c>
      <c r="P112" s="7">
        <f t="shared" si="12"/>
        <v>4.69043152</v>
      </c>
      <c r="Q112" s="7">
        <f t="shared" si="13"/>
        <v>500</v>
      </c>
      <c r="R112" s="7">
        <f t="shared" si="14"/>
        <v>5.8630394</v>
      </c>
      <c r="S112" s="7">
        <f t="shared" si="15"/>
        <v>600</v>
      </c>
      <c r="T112" s="7">
        <f t="shared" si="16"/>
        <v>7.03564728</v>
      </c>
      <c r="U112" s="7">
        <f t="shared" si="17"/>
        <v>700</v>
      </c>
      <c r="V112" s="7">
        <f t="shared" si="18"/>
        <v>8.208255159</v>
      </c>
      <c r="W112" s="7">
        <f t="shared" si="19"/>
        <v>800</v>
      </c>
      <c r="X112" s="7">
        <f t="shared" si="20"/>
        <v>9.380863039</v>
      </c>
      <c r="Y112" s="7">
        <f t="shared" si="21"/>
        <v>900</v>
      </c>
      <c r="Z112" s="7">
        <f t="shared" si="22"/>
        <v>10.55347092</v>
      </c>
    </row>
    <row r="113">
      <c r="A113" s="30" t="str">
        <f>IFERROR(__xludf.DUMMYFUNCTION("""COMPUTED_VALUE"""),"2021 02")</f>
        <v>2021 02</v>
      </c>
      <c r="B113" s="30" t="str">
        <f>IFERROR(__xludf.DUMMYFUNCTION("""COMPUTED_VALUE"""),"85.04")</f>
        <v>85.04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0.5879586077</v>
      </c>
      <c r="G113" s="7">
        <f t="shared" si="3"/>
        <v>100</v>
      </c>
      <c r="H113" s="7">
        <f t="shared" si="4"/>
        <v>1.175917215</v>
      </c>
      <c r="I113" s="7">
        <f t="shared" si="5"/>
        <v>150</v>
      </c>
      <c r="J113" s="7">
        <f t="shared" si="6"/>
        <v>1.763875823</v>
      </c>
      <c r="K113" s="7">
        <f t="shared" si="7"/>
        <v>200</v>
      </c>
      <c r="L113" s="7">
        <f t="shared" si="8"/>
        <v>2.351834431</v>
      </c>
      <c r="M113" s="7">
        <f t="shared" si="9"/>
        <v>300</v>
      </c>
      <c r="N113" s="7">
        <f t="shared" si="10"/>
        <v>3.527751646</v>
      </c>
      <c r="O113" s="7">
        <f t="shared" si="11"/>
        <v>400</v>
      </c>
      <c r="P113" s="7">
        <f t="shared" si="12"/>
        <v>4.703668862</v>
      </c>
      <c r="Q113" s="7">
        <f t="shared" si="13"/>
        <v>500</v>
      </c>
      <c r="R113" s="7">
        <f t="shared" si="14"/>
        <v>5.879586077</v>
      </c>
      <c r="S113" s="7">
        <f t="shared" si="15"/>
        <v>600</v>
      </c>
      <c r="T113" s="7">
        <f t="shared" si="16"/>
        <v>7.055503293</v>
      </c>
      <c r="U113" s="7">
        <f t="shared" si="17"/>
        <v>700</v>
      </c>
      <c r="V113" s="7">
        <f t="shared" si="18"/>
        <v>8.231420508</v>
      </c>
      <c r="W113" s="7">
        <f t="shared" si="19"/>
        <v>800</v>
      </c>
      <c r="X113" s="7">
        <f t="shared" si="20"/>
        <v>9.407337723</v>
      </c>
      <c r="Y113" s="7">
        <f t="shared" si="21"/>
        <v>900</v>
      </c>
      <c r="Z113" s="7">
        <f t="shared" si="22"/>
        <v>10.58325494</v>
      </c>
    </row>
    <row r="114">
      <c r="A114" s="30" t="str">
        <f>IFERROR(__xludf.DUMMYFUNCTION("""COMPUTED_VALUE"""),"2021 03")</f>
        <v>2021 03</v>
      </c>
      <c r="B114" s="30" t="str">
        <f>IFERROR(__xludf.DUMMYFUNCTION("""COMPUTED_VALUE"""),"87.25")</f>
        <v>87.25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0.5730659026</v>
      </c>
      <c r="G114" s="7">
        <f t="shared" si="3"/>
        <v>100</v>
      </c>
      <c r="H114" s="7">
        <f t="shared" si="4"/>
        <v>1.146131805</v>
      </c>
      <c r="I114" s="7">
        <f t="shared" si="5"/>
        <v>150</v>
      </c>
      <c r="J114" s="7">
        <f t="shared" si="6"/>
        <v>1.719197708</v>
      </c>
      <c r="K114" s="7">
        <f t="shared" si="7"/>
        <v>200</v>
      </c>
      <c r="L114" s="7">
        <f t="shared" si="8"/>
        <v>2.29226361</v>
      </c>
      <c r="M114" s="7">
        <f t="shared" si="9"/>
        <v>300</v>
      </c>
      <c r="N114" s="7">
        <f t="shared" si="10"/>
        <v>3.438395415</v>
      </c>
      <c r="O114" s="7">
        <f t="shared" si="11"/>
        <v>400</v>
      </c>
      <c r="P114" s="7">
        <f t="shared" si="12"/>
        <v>4.584527221</v>
      </c>
      <c r="Q114" s="7">
        <f t="shared" si="13"/>
        <v>500</v>
      </c>
      <c r="R114" s="7">
        <f t="shared" si="14"/>
        <v>5.730659026</v>
      </c>
      <c r="S114" s="7">
        <f t="shared" si="15"/>
        <v>600</v>
      </c>
      <c r="T114" s="7">
        <f t="shared" si="16"/>
        <v>6.876790831</v>
      </c>
      <c r="U114" s="7">
        <f t="shared" si="17"/>
        <v>700</v>
      </c>
      <c r="V114" s="7">
        <f t="shared" si="18"/>
        <v>8.022922636</v>
      </c>
      <c r="W114" s="7">
        <f t="shared" si="19"/>
        <v>800</v>
      </c>
      <c r="X114" s="7">
        <f t="shared" si="20"/>
        <v>9.169054441</v>
      </c>
      <c r="Y114" s="7">
        <f t="shared" si="21"/>
        <v>900</v>
      </c>
      <c r="Z114" s="7">
        <f t="shared" si="22"/>
        <v>10.31518625</v>
      </c>
    </row>
    <row r="115">
      <c r="A115" s="30" t="str">
        <f>IFERROR(__xludf.DUMMYFUNCTION("""COMPUTED_VALUE"""),"2021 04")</f>
        <v>2021 04</v>
      </c>
      <c r="B115" s="30" t="str">
        <f>IFERROR(__xludf.DUMMYFUNCTION("""COMPUTED_VALUE"""),"88")</f>
        <v>88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0.5681818182</v>
      </c>
      <c r="G115" s="7">
        <f t="shared" si="3"/>
        <v>100</v>
      </c>
      <c r="H115" s="7">
        <f t="shared" si="4"/>
        <v>1.136363636</v>
      </c>
      <c r="I115" s="7">
        <f t="shared" si="5"/>
        <v>150</v>
      </c>
      <c r="J115" s="7">
        <f t="shared" si="6"/>
        <v>1.704545455</v>
      </c>
      <c r="K115" s="7">
        <f t="shared" si="7"/>
        <v>200</v>
      </c>
      <c r="L115" s="7">
        <f t="shared" si="8"/>
        <v>2.272727273</v>
      </c>
      <c r="M115" s="7">
        <f t="shared" si="9"/>
        <v>300</v>
      </c>
      <c r="N115" s="7">
        <f t="shared" si="10"/>
        <v>3.409090909</v>
      </c>
      <c r="O115" s="7">
        <f t="shared" si="11"/>
        <v>400</v>
      </c>
      <c r="P115" s="7">
        <f t="shared" si="12"/>
        <v>4.545454545</v>
      </c>
      <c r="Q115" s="7">
        <f t="shared" si="13"/>
        <v>500</v>
      </c>
      <c r="R115" s="7">
        <f t="shared" si="14"/>
        <v>5.681818182</v>
      </c>
      <c r="S115" s="7">
        <f t="shared" si="15"/>
        <v>600</v>
      </c>
      <c r="T115" s="7">
        <f t="shared" si="16"/>
        <v>6.818181818</v>
      </c>
      <c r="U115" s="7">
        <f t="shared" si="17"/>
        <v>700</v>
      </c>
      <c r="V115" s="7">
        <f t="shared" si="18"/>
        <v>7.954545455</v>
      </c>
      <c r="W115" s="7">
        <f t="shared" si="19"/>
        <v>800</v>
      </c>
      <c r="X115" s="7">
        <f t="shared" si="20"/>
        <v>9.090909091</v>
      </c>
      <c r="Y115" s="7">
        <f t="shared" si="21"/>
        <v>900</v>
      </c>
      <c r="Z115" s="7">
        <f t="shared" si="22"/>
        <v>10.22727273</v>
      </c>
    </row>
    <row r="116">
      <c r="A116" s="30" t="str">
        <f>IFERROR(__xludf.DUMMYFUNCTION("""COMPUTED_VALUE"""),"2021 05")</f>
        <v>2021 05</v>
      </c>
      <c r="B116" s="30" t="str">
        <f>IFERROR(__xludf.DUMMYFUNCTION("""COMPUTED_VALUE"""),"89.99")</f>
        <v>89.99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0.5556172908</v>
      </c>
      <c r="G116" s="7">
        <f t="shared" si="3"/>
        <v>100</v>
      </c>
      <c r="H116" s="7">
        <f t="shared" si="4"/>
        <v>1.111234582</v>
      </c>
      <c r="I116" s="7">
        <f t="shared" si="5"/>
        <v>150</v>
      </c>
      <c r="J116" s="7">
        <f t="shared" si="6"/>
        <v>1.666851872</v>
      </c>
      <c r="K116" s="7">
        <f t="shared" si="7"/>
        <v>200</v>
      </c>
      <c r="L116" s="7">
        <f t="shared" si="8"/>
        <v>2.222469163</v>
      </c>
      <c r="M116" s="7">
        <f t="shared" si="9"/>
        <v>300</v>
      </c>
      <c r="N116" s="7">
        <f t="shared" si="10"/>
        <v>3.333703745</v>
      </c>
      <c r="O116" s="7">
        <f t="shared" si="11"/>
        <v>400</v>
      </c>
      <c r="P116" s="7">
        <f t="shared" si="12"/>
        <v>4.444938326</v>
      </c>
      <c r="Q116" s="7">
        <f t="shared" si="13"/>
        <v>500</v>
      </c>
      <c r="R116" s="7">
        <f t="shared" si="14"/>
        <v>5.556172908</v>
      </c>
      <c r="S116" s="7">
        <f t="shared" si="15"/>
        <v>600</v>
      </c>
      <c r="T116" s="7">
        <f t="shared" si="16"/>
        <v>6.66740749</v>
      </c>
      <c r="U116" s="7">
        <f t="shared" si="17"/>
        <v>700</v>
      </c>
      <c r="V116" s="7">
        <f t="shared" si="18"/>
        <v>7.778642071</v>
      </c>
      <c r="W116" s="7">
        <f t="shared" si="19"/>
        <v>800</v>
      </c>
      <c r="X116" s="7">
        <f t="shared" si="20"/>
        <v>8.889876653</v>
      </c>
      <c r="Y116" s="7">
        <f t="shared" si="21"/>
        <v>900</v>
      </c>
      <c r="Z116" s="7">
        <f t="shared" si="22"/>
        <v>10.00111123</v>
      </c>
    </row>
    <row r="117">
      <c r="A117" s="30" t="str">
        <f>IFERROR(__xludf.DUMMYFUNCTION("""COMPUTED_VALUE"""),"2021 06")</f>
        <v>2021 06</v>
      </c>
      <c r="B117" s="30" t="str">
        <f>IFERROR(__xludf.DUMMYFUNCTION("""COMPUTED_VALUE"""),"91.79")</f>
        <v>91.79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0.5447216472</v>
      </c>
      <c r="G117" s="7">
        <f t="shared" si="3"/>
        <v>100</v>
      </c>
      <c r="H117" s="7">
        <f t="shared" si="4"/>
        <v>1.089443294</v>
      </c>
      <c r="I117" s="7">
        <f t="shared" si="5"/>
        <v>150</v>
      </c>
      <c r="J117" s="7">
        <f t="shared" si="6"/>
        <v>1.634164942</v>
      </c>
      <c r="K117" s="7">
        <f t="shared" si="7"/>
        <v>200</v>
      </c>
      <c r="L117" s="7">
        <f t="shared" si="8"/>
        <v>2.178886589</v>
      </c>
      <c r="M117" s="7">
        <f t="shared" si="9"/>
        <v>300</v>
      </c>
      <c r="N117" s="7">
        <f t="shared" si="10"/>
        <v>3.268329883</v>
      </c>
      <c r="O117" s="7">
        <f t="shared" si="11"/>
        <v>400</v>
      </c>
      <c r="P117" s="7">
        <f t="shared" si="12"/>
        <v>4.357773178</v>
      </c>
      <c r="Q117" s="7">
        <f t="shared" si="13"/>
        <v>500</v>
      </c>
      <c r="R117" s="7">
        <f t="shared" si="14"/>
        <v>5.447216472</v>
      </c>
      <c r="S117" s="7">
        <f t="shared" si="15"/>
        <v>600</v>
      </c>
      <c r="T117" s="7">
        <f t="shared" si="16"/>
        <v>6.536659767</v>
      </c>
      <c r="U117" s="7">
        <f t="shared" si="17"/>
        <v>700</v>
      </c>
      <c r="V117" s="7">
        <f t="shared" si="18"/>
        <v>7.626103061</v>
      </c>
      <c r="W117" s="7">
        <f t="shared" si="19"/>
        <v>800</v>
      </c>
      <c r="X117" s="7">
        <f t="shared" si="20"/>
        <v>8.715546356</v>
      </c>
      <c r="Y117" s="7">
        <f t="shared" si="21"/>
        <v>900</v>
      </c>
      <c r="Z117" s="7">
        <f t="shared" si="22"/>
        <v>9.80498965</v>
      </c>
    </row>
    <row r="118">
      <c r="A118" s="30" t="str">
        <f>IFERROR(__xludf.DUMMYFUNCTION("""COMPUTED_VALUE"""),"2021 07")</f>
        <v>2021 07</v>
      </c>
      <c r="B118" s="30" t="str">
        <f>IFERROR(__xludf.DUMMYFUNCTION("""COMPUTED_VALUE"""),"93.01")</f>
        <v>93.01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0.5375766047</v>
      </c>
      <c r="G118" s="7">
        <f t="shared" si="3"/>
        <v>100</v>
      </c>
      <c r="H118" s="7">
        <f t="shared" si="4"/>
        <v>1.075153209</v>
      </c>
      <c r="I118" s="7">
        <f t="shared" si="5"/>
        <v>150</v>
      </c>
      <c r="J118" s="7">
        <f t="shared" si="6"/>
        <v>1.612729814</v>
      </c>
      <c r="K118" s="7">
        <f t="shared" si="7"/>
        <v>200</v>
      </c>
      <c r="L118" s="7">
        <f t="shared" si="8"/>
        <v>2.150306419</v>
      </c>
      <c r="M118" s="7">
        <f t="shared" si="9"/>
        <v>300</v>
      </c>
      <c r="N118" s="7">
        <f t="shared" si="10"/>
        <v>3.225459628</v>
      </c>
      <c r="O118" s="7">
        <f t="shared" si="11"/>
        <v>400</v>
      </c>
      <c r="P118" s="7">
        <f t="shared" si="12"/>
        <v>4.300612837</v>
      </c>
      <c r="Q118" s="7">
        <f t="shared" si="13"/>
        <v>500</v>
      </c>
      <c r="R118" s="7">
        <f t="shared" si="14"/>
        <v>5.375766047</v>
      </c>
      <c r="S118" s="7">
        <f t="shared" si="15"/>
        <v>600</v>
      </c>
      <c r="T118" s="7">
        <f t="shared" si="16"/>
        <v>6.450919256</v>
      </c>
      <c r="U118" s="7">
        <f t="shared" si="17"/>
        <v>700</v>
      </c>
      <c r="V118" s="7">
        <f t="shared" si="18"/>
        <v>7.526072465</v>
      </c>
      <c r="W118" s="7">
        <f t="shared" si="19"/>
        <v>800</v>
      </c>
      <c r="X118" s="7">
        <f t="shared" si="20"/>
        <v>8.601225675</v>
      </c>
      <c r="Y118" s="7">
        <f t="shared" si="21"/>
        <v>900</v>
      </c>
      <c r="Z118" s="7">
        <f t="shared" si="22"/>
        <v>9.676378884</v>
      </c>
    </row>
    <row r="119">
      <c r="A119" s="30" t="str">
        <f>IFERROR(__xludf.DUMMYFUNCTION("""COMPUTED_VALUE"""),"2021 08")</f>
        <v>2021 08</v>
      </c>
      <c r="B119" s="30" t="str">
        <f>IFERROR(__xludf.DUMMYFUNCTION("""COMPUTED_VALUE"""),"95.81")</f>
        <v>95.81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0.5218661935</v>
      </c>
      <c r="G119" s="7">
        <f t="shared" si="3"/>
        <v>100</v>
      </c>
      <c r="H119" s="7">
        <f t="shared" si="4"/>
        <v>1.043732387</v>
      </c>
      <c r="I119" s="7">
        <f t="shared" si="5"/>
        <v>150</v>
      </c>
      <c r="J119" s="7">
        <f t="shared" si="6"/>
        <v>1.565598581</v>
      </c>
      <c r="K119" s="7">
        <f t="shared" si="7"/>
        <v>200</v>
      </c>
      <c r="L119" s="7">
        <f t="shared" si="8"/>
        <v>2.087464774</v>
      </c>
      <c r="M119" s="7">
        <f t="shared" si="9"/>
        <v>300</v>
      </c>
      <c r="N119" s="7">
        <f t="shared" si="10"/>
        <v>3.131197161</v>
      </c>
      <c r="O119" s="7">
        <f t="shared" si="11"/>
        <v>400</v>
      </c>
      <c r="P119" s="7">
        <f t="shared" si="12"/>
        <v>4.174929548</v>
      </c>
      <c r="Q119" s="7">
        <f t="shared" si="13"/>
        <v>500</v>
      </c>
      <c r="R119" s="7">
        <f t="shared" si="14"/>
        <v>5.218661935</v>
      </c>
      <c r="S119" s="7">
        <f t="shared" si="15"/>
        <v>600</v>
      </c>
      <c r="T119" s="7">
        <f t="shared" si="16"/>
        <v>6.262394322</v>
      </c>
      <c r="U119" s="7">
        <f t="shared" si="17"/>
        <v>700</v>
      </c>
      <c r="V119" s="7">
        <f t="shared" si="18"/>
        <v>7.306126709</v>
      </c>
      <c r="W119" s="7">
        <f t="shared" si="19"/>
        <v>800</v>
      </c>
      <c r="X119" s="7">
        <f t="shared" si="20"/>
        <v>8.349859096</v>
      </c>
      <c r="Y119" s="7">
        <f t="shared" si="21"/>
        <v>900</v>
      </c>
      <c r="Z119" s="7">
        <f t="shared" si="22"/>
        <v>9.393591483</v>
      </c>
    </row>
    <row r="120">
      <c r="A120" s="30" t="str">
        <f>IFERROR(__xludf.DUMMYFUNCTION("""COMPUTED_VALUE"""),"2021 09")</f>
        <v>2021 09</v>
      </c>
      <c r="B120" s="30" t="str">
        <f>IFERROR(__xludf.DUMMYFUNCTION("""COMPUTED_VALUE"""),"96.99")</f>
        <v>96.99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0.5155170636</v>
      </c>
      <c r="G120" s="7">
        <f t="shared" si="3"/>
        <v>100</v>
      </c>
      <c r="H120" s="7">
        <f t="shared" si="4"/>
        <v>1.031034127</v>
      </c>
      <c r="I120" s="7">
        <f t="shared" si="5"/>
        <v>150</v>
      </c>
      <c r="J120" s="7">
        <f t="shared" si="6"/>
        <v>1.546551191</v>
      </c>
      <c r="K120" s="7">
        <f t="shared" si="7"/>
        <v>200</v>
      </c>
      <c r="L120" s="7">
        <f t="shared" si="8"/>
        <v>2.062068254</v>
      </c>
      <c r="M120" s="7">
        <f t="shared" si="9"/>
        <v>300</v>
      </c>
      <c r="N120" s="7">
        <f t="shared" si="10"/>
        <v>3.093102382</v>
      </c>
      <c r="O120" s="7">
        <f t="shared" si="11"/>
        <v>400</v>
      </c>
      <c r="P120" s="7">
        <f t="shared" si="12"/>
        <v>4.124136509</v>
      </c>
      <c r="Q120" s="7">
        <f t="shared" si="13"/>
        <v>500</v>
      </c>
      <c r="R120" s="7">
        <f t="shared" si="14"/>
        <v>5.155170636</v>
      </c>
      <c r="S120" s="7">
        <f t="shared" si="15"/>
        <v>600</v>
      </c>
      <c r="T120" s="7">
        <f t="shared" si="16"/>
        <v>6.186204763</v>
      </c>
      <c r="U120" s="7">
        <f t="shared" si="17"/>
        <v>700</v>
      </c>
      <c r="V120" s="7">
        <f t="shared" si="18"/>
        <v>7.217238891</v>
      </c>
      <c r="W120" s="7">
        <f t="shared" si="19"/>
        <v>800</v>
      </c>
      <c r="X120" s="7">
        <f t="shared" si="20"/>
        <v>8.248273018</v>
      </c>
      <c r="Y120" s="7">
        <f t="shared" si="21"/>
        <v>900</v>
      </c>
      <c r="Z120" s="7">
        <f t="shared" si="22"/>
        <v>9.279307145</v>
      </c>
    </row>
    <row r="121">
      <c r="A121" s="30" t="str">
        <f>IFERROR(__xludf.DUMMYFUNCTION("""COMPUTED_VALUE"""),"2021 10")</f>
        <v>2021 10</v>
      </c>
      <c r="B121" s="30" t="str">
        <f>IFERROR(__xludf.DUMMYFUNCTION("""COMPUTED_VALUE"""),"92.02")</f>
        <v>92.02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0.5433601391</v>
      </c>
      <c r="G121" s="7">
        <f t="shared" si="3"/>
        <v>100</v>
      </c>
      <c r="H121" s="7">
        <f t="shared" si="4"/>
        <v>1.086720278</v>
      </c>
      <c r="I121" s="7">
        <f t="shared" si="5"/>
        <v>150</v>
      </c>
      <c r="J121" s="7">
        <f t="shared" si="6"/>
        <v>1.630080417</v>
      </c>
      <c r="K121" s="7">
        <f t="shared" si="7"/>
        <v>200</v>
      </c>
      <c r="L121" s="7">
        <f t="shared" si="8"/>
        <v>2.173440556</v>
      </c>
      <c r="M121" s="7">
        <f t="shared" si="9"/>
        <v>300</v>
      </c>
      <c r="N121" s="7">
        <f t="shared" si="10"/>
        <v>3.260160835</v>
      </c>
      <c r="O121" s="7">
        <f t="shared" si="11"/>
        <v>400</v>
      </c>
      <c r="P121" s="7">
        <f t="shared" si="12"/>
        <v>4.346881113</v>
      </c>
      <c r="Q121" s="7">
        <f t="shared" si="13"/>
        <v>500</v>
      </c>
      <c r="R121" s="7">
        <f t="shared" si="14"/>
        <v>5.433601391</v>
      </c>
      <c r="S121" s="7">
        <f t="shared" si="15"/>
        <v>600</v>
      </c>
      <c r="T121" s="7">
        <f t="shared" si="16"/>
        <v>6.520321669</v>
      </c>
      <c r="U121" s="7">
        <f t="shared" si="17"/>
        <v>700</v>
      </c>
      <c r="V121" s="7">
        <f t="shared" si="18"/>
        <v>7.607041947</v>
      </c>
      <c r="W121" s="7">
        <f t="shared" si="19"/>
        <v>800</v>
      </c>
      <c r="X121" s="7">
        <f t="shared" si="20"/>
        <v>8.693762226</v>
      </c>
      <c r="Y121" s="7">
        <f t="shared" si="21"/>
        <v>900</v>
      </c>
      <c r="Z121" s="7">
        <f t="shared" si="22"/>
        <v>9.780482504</v>
      </c>
    </row>
    <row r="122">
      <c r="A122" s="30" t="str">
        <f>IFERROR(__xludf.DUMMYFUNCTION("""COMPUTED_VALUE"""),"2021 11")</f>
        <v>2021 11</v>
      </c>
      <c r="B122" s="30" t="str">
        <f>IFERROR(__xludf.DUMMYFUNCTION("""COMPUTED_VALUE"""),"94.59")</f>
        <v>94.59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0.5285971033</v>
      </c>
      <c r="G122" s="7">
        <f t="shared" si="3"/>
        <v>100</v>
      </c>
      <c r="H122" s="7">
        <f t="shared" si="4"/>
        <v>1.057194207</v>
      </c>
      <c r="I122" s="7">
        <f t="shared" si="5"/>
        <v>150</v>
      </c>
      <c r="J122" s="7">
        <f t="shared" si="6"/>
        <v>1.58579131</v>
      </c>
      <c r="K122" s="7">
        <f t="shared" si="7"/>
        <v>200</v>
      </c>
      <c r="L122" s="7">
        <f t="shared" si="8"/>
        <v>2.114388413</v>
      </c>
      <c r="M122" s="7">
        <f t="shared" si="9"/>
        <v>300</v>
      </c>
      <c r="N122" s="7">
        <f t="shared" si="10"/>
        <v>3.17158262</v>
      </c>
      <c r="O122" s="7">
        <f t="shared" si="11"/>
        <v>400</v>
      </c>
      <c r="P122" s="7">
        <f t="shared" si="12"/>
        <v>4.228776826</v>
      </c>
      <c r="Q122" s="7">
        <f t="shared" si="13"/>
        <v>500</v>
      </c>
      <c r="R122" s="7">
        <f t="shared" si="14"/>
        <v>5.285971033</v>
      </c>
      <c r="S122" s="7">
        <f t="shared" si="15"/>
        <v>600</v>
      </c>
      <c r="T122" s="7">
        <f t="shared" si="16"/>
        <v>6.343165239</v>
      </c>
      <c r="U122" s="7">
        <f t="shared" si="17"/>
        <v>700</v>
      </c>
      <c r="V122" s="7">
        <f t="shared" si="18"/>
        <v>7.400359446</v>
      </c>
      <c r="W122" s="7">
        <f t="shared" si="19"/>
        <v>800</v>
      </c>
      <c r="X122" s="7">
        <f t="shared" si="20"/>
        <v>8.457553653</v>
      </c>
      <c r="Y122" s="7">
        <f t="shared" si="21"/>
        <v>900</v>
      </c>
      <c r="Z122" s="7">
        <f t="shared" si="22"/>
        <v>9.514747859</v>
      </c>
    </row>
    <row r="123">
      <c r="A123" s="30" t="str">
        <f>IFERROR(__xludf.DUMMYFUNCTION("""COMPUTED_VALUE"""),"2021 12")</f>
        <v>2021 12</v>
      </c>
      <c r="B123" s="30" t="str">
        <f>IFERROR(__xludf.DUMMYFUNCTION("""COMPUTED_VALUE"""),"93.23")</f>
        <v>93.23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0.5363080553</v>
      </c>
      <c r="G123" s="7">
        <f t="shared" si="3"/>
        <v>100</v>
      </c>
      <c r="H123" s="7">
        <f t="shared" si="4"/>
        <v>1.072616111</v>
      </c>
      <c r="I123" s="7">
        <f t="shared" si="5"/>
        <v>150</v>
      </c>
      <c r="J123" s="7">
        <f t="shared" si="6"/>
        <v>1.608924166</v>
      </c>
      <c r="K123" s="7">
        <f t="shared" si="7"/>
        <v>200</v>
      </c>
      <c r="L123" s="7">
        <f t="shared" si="8"/>
        <v>2.145232221</v>
      </c>
      <c r="M123" s="7">
        <f t="shared" si="9"/>
        <v>300</v>
      </c>
      <c r="N123" s="7">
        <f t="shared" si="10"/>
        <v>3.217848332</v>
      </c>
      <c r="O123" s="7">
        <f t="shared" si="11"/>
        <v>400</v>
      </c>
      <c r="P123" s="7">
        <f t="shared" si="12"/>
        <v>4.290464443</v>
      </c>
      <c r="Q123" s="7">
        <f t="shared" si="13"/>
        <v>500</v>
      </c>
      <c r="R123" s="7">
        <f t="shared" si="14"/>
        <v>5.363080553</v>
      </c>
      <c r="S123" s="7">
        <f t="shared" si="15"/>
        <v>600</v>
      </c>
      <c r="T123" s="7">
        <f t="shared" si="16"/>
        <v>6.435696664</v>
      </c>
      <c r="U123" s="7">
        <f t="shared" si="17"/>
        <v>700</v>
      </c>
      <c r="V123" s="7">
        <f t="shared" si="18"/>
        <v>7.508312775</v>
      </c>
      <c r="W123" s="7">
        <f t="shared" si="19"/>
        <v>800</v>
      </c>
      <c r="X123" s="7">
        <f t="shared" si="20"/>
        <v>8.580928886</v>
      </c>
      <c r="Y123" s="7">
        <f t="shared" si="21"/>
        <v>900</v>
      </c>
      <c r="Z123" s="7">
        <f t="shared" si="22"/>
        <v>9.653544996</v>
      </c>
    </row>
    <row r="124">
      <c r="A124" s="30" t="str">
        <f>IFERROR(__xludf.DUMMYFUNCTION("""COMPUTED_VALUE"""),"2022 01")</f>
        <v>2022 01</v>
      </c>
      <c r="B124" s="30" t="str">
        <f>IFERROR(__xludf.DUMMYFUNCTION("""COMPUTED_VALUE"""),"97.13")</f>
        <v>97.13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0.5147740142</v>
      </c>
      <c r="G124" s="7">
        <f t="shared" si="3"/>
        <v>100</v>
      </c>
      <c r="H124" s="7">
        <f t="shared" si="4"/>
        <v>1.029548028</v>
      </c>
      <c r="I124" s="7">
        <f t="shared" si="5"/>
        <v>150</v>
      </c>
      <c r="J124" s="7">
        <f t="shared" si="6"/>
        <v>1.544322043</v>
      </c>
      <c r="K124" s="7">
        <f t="shared" si="7"/>
        <v>200</v>
      </c>
      <c r="L124" s="7">
        <f t="shared" si="8"/>
        <v>2.059096057</v>
      </c>
      <c r="M124" s="7">
        <f t="shared" si="9"/>
        <v>300</v>
      </c>
      <c r="N124" s="7">
        <f t="shared" si="10"/>
        <v>3.088644085</v>
      </c>
      <c r="O124" s="7">
        <f t="shared" si="11"/>
        <v>400</v>
      </c>
      <c r="P124" s="7">
        <f t="shared" si="12"/>
        <v>4.118192114</v>
      </c>
      <c r="Q124" s="7">
        <f t="shared" si="13"/>
        <v>500</v>
      </c>
      <c r="R124" s="7">
        <f t="shared" si="14"/>
        <v>5.147740142</v>
      </c>
      <c r="S124" s="7">
        <f t="shared" si="15"/>
        <v>600</v>
      </c>
      <c r="T124" s="7">
        <f t="shared" si="16"/>
        <v>6.17728817</v>
      </c>
      <c r="U124" s="7">
        <f t="shared" si="17"/>
        <v>700</v>
      </c>
      <c r="V124" s="7">
        <f t="shared" si="18"/>
        <v>7.206836199</v>
      </c>
      <c r="W124" s="7">
        <f t="shared" si="19"/>
        <v>800</v>
      </c>
      <c r="X124" s="7">
        <f t="shared" si="20"/>
        <v>8.236384227</v>
      </c>
      <c r="Y124" s="7">
        <f t="shared" si="21"/>
        <v>900</v>
      </c>
      <c r="Z124" s="7">
        <f t="shared" si="22"/>
        <v>9.265932256</v>
      </c>
    </row>
    <row r="125">
      <c r="A125" s="30" t="str">
        <f>IFERROR(__xludf.DUMMYFUNCTION("""COMPUTED_VALUE"""),"2022 02")</f>
        <v>2022 02</v>
      </c>
      <c r="B125" s="30" t="str">
        <f>IFERROR(__xludf.DUMMYFUNCTION("""COMPUTED_VALUE"""),"89.56")</f>
        <v>89.56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0.5582849486</v>
      </c>
      <c r="G125" s="7">
        <f t="shared" si="3"/>
        <v>100</v>
      </c>
      <c r="H125" s="7">
        <f t="shared" si="4"/>
        <v>1.116569897</v>
      </c>
      <c r="I125" s="7">
        <f t="shared" si="5"/>
        <v>150</v>
      </c>
      <c r="J125" s="7">
        <f t="shared" si="6"/>
        <v>1.674854846</v>
      </c>
      <c r="K125" s="7">
        <f t="shared" si="7"/>
        <v>200</v>
      </c>
      <c r="L125" s="7">
        <f t="shared" si="8"/>
        <v>2.233139795</v>
      </c>
      <c r="M125" s="7">
        <f t="shared" si="9"/>
        <v>300</v>
      </c>
      <c r="N125" s="7">
        <f t="shared" si="10"/>
        <v>3.349709692</v>
      </c>
      <c r="O125" s="7">
        <f t="shared" si="11"/>
        <v>400</v>
      </c>
      <c r="P125" s="7">
        <f t="shared" si="12"/>
        <v>4.466279589</v>
      </c>
      <c r="Q125" s="7">
        <f t="shared" si="13"/>
        <v>500</v>
      </c>
      <c r="R125" s="7">
        <f t="shared" si="14"/>
        <v>5.582849486</v>
      </c>
      <c r="S125" s="7">
        <f t="shared" si="15"/>
        <v>600</v>
      </c>
      <c r="T125" s="7">
        <f t="shared" si="16"/>
        <v>6.699419384</v>
      </c>
      <c r="U125" s="7">
        <f t="shared" si="17"/>
        <v>700</v>
      </c>
      <c r="V125" s="7">
        <f t="shared" si="18"/>
        <v>7.815989281</v>
      </c>
      <c r="W125" s="7">
        <f t="shared" si="19"/>
        <v>800</v>
      </c>
      <c r="X125" s="7">
        <f t="shared" si="20"/>
        <v>8.932559178</v>
      </c>
      <c r="Y125" s="7">
        <f t="shared" si="21"/>
        <v>900</v>
      </c>
      <c r="Z125" s="7">
        <f t="shared" si="22"/>
        <v>10.04912908</v>
      </c>
    </row>
    <row r="126">
      <c r="A126" s="30" t="str">
        <f>IFERROR(__xludf.DUMMYFUNCTION("""COMPUTED_VALUE"""),"2022 03")</f>
        <v>2022 03</v>
      </c>
      <c r="B126" s="30" t="str">
        <f>IFERROR(__xludf.DUMMYFUNCTION("""COMPUTED_VALUE"""),"91.56")</f>
        <v>91.56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0.5460899956</v>
      </c>
      <c r="G126" s="7">
        <f t="shared" si="3"/>
        <v>100</v>
      </c>
      <c r="H126" s="7">
        <f t="shared" si="4"/>
        <v>1.092179991</v>
      </c>
      <c r="I126" s="7">
        <f t="shared" si="5"/>
        <v>150</v>
      </c>
      <c r="J126" s="7">
        <f t="shared" si="6"/>
        <v>1.638269987</v>
      </c>
      <c r="K126" s="7">
        <f t="shared" si="7"/>
        <v>200</v>
      </c>
      <c r="L126" s="7">
        <f t="shared" si="8"/>
        <v>2.184359983</v>
      </c>
      <c r="M126" s="7">
        <f t="shared" si="9"/>
        <v>300</v>
      </c>
      <c r="N126" s="7">
        <f t="shared" si="10"/>
        <v>3.276539974</v>
      </c>
      <c r="O126" s="7">
        <f t="shared" si="11"/>
        <v>400</v>
      </c>
      <c r="P126" s="7">
        <f t="shared" si="12"/>
        <v>4.368719965</v>
      </c>
      <c r="Q126" s="7">
        <f t="shared" si="13"/>
        <v>500</v>
      </c>
      <c r="R126" s="7">
        <f t="shared" si="14"/>
        <v>5.460899956</v>
      </c>
      <c r="S126" s="7">
        <f t="shared" si="15"/>
        <v>600</v>
      </c>
      <c r="T126" s="7">
        <f t="shared" si="16"/>
        <v>6.553079948</v>
      </c>
      <c r="U126" s="7">
        <f t="shared" si="17"/>
        <v>700</v>
      </c>
      <c r="V126" s="7">
        <f t="shared" si="18"/>
        <v>7.645259939</v>
      </c>
      <c r="W126" s="7">
        <f t="shared" si="19"/>
        <v>800</v>
      </c>
      <c r="X126" s="7">
        <f t="shared" si="20"/>
        <v>8.73743993</v>
      </c>
      <c r="Y126" s="7">
        <f t="shared" si="21"/>
        <v>900</v>
      </c>
      <c r="Z126" s="7">
        <f t="shared" si="22"/>
        <v>9.829619921</v>
      </c>
    </row>
    <row r="127">
      <c r="A127" s="30" t="str">
        <f>IFERROR(__xludf.DUMMYFUNCTION("""COMPUTED_VALUE"""),"2022 04")</f>
        <v>2022 04</v>
      </c>
      <c r="B127" s="30" t="str">
        <f>IFERROR(__xludf.DUMMYFUNCTION("""COMPUTED_VALUE"""),"95.11")</f>
        <v>95.11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0.525707076</v>
      </c>
      <c r="G127" s="7">
        <f t="shared" si="3"/>
        <v>100</v>
      </c>
      <c r="H127" s="7">
        <f t="shared" si="4"/>
        <v>1.051414152</v>
      </c>
      <c r="I127" s="7">
        <f t="shared" si="5"/>
        <v>150</v>
      </c>
      <c r="J127" s="7">
        <f t="shared" si="6"/>
        <v>1.577121228</v>
      </c>
      <c r="K127" s="7">
        <f t="shared" si="7"/>
        <v>200</v>
      </c>
      <c r="L127" s="7">
        <f t="shared" si="8"/>
        <v>2.102828304</v>
      </c>
      <c r="M127" s="7">
        <f t="shared" si="9"/>
        <v>300</v>
      </c>
      <c r="N127" s="7">
        <f t="shared" si="10"/>
        <v>3.154242456</v>
      </c>
      <c r="O127" s="7">
        <f t="shared" si="11"/>
        <v>400</v>
      </c>
      <c r="P127" s="7">
        <f t="shared" si="12"/>
        <v>4.205656608</v>
      </c>
      <c r="Q127" s="7">
        <f t="shared" si="13"/>
        <v>500</v>
      </c>
      <c r="R127" s="7">
        <f t="shared" si="14"/>
        <v>5.25707076</v>
      </c>
      <c r="S127" s="7">
        <f t="shared" si="15"/>
        <v>600</v>
      </c>
      <c r="T127" s="7">
        <f t="shared" si="16"/>
        <v>6.308484912</v>
      </c>
      <c r="U127" s="7">
        <f t="shared" si="17"/>
        <v>700</v>
      </c>
      <c r="V127" s="7">
        <f t="shared" si="18"/>
        <v>7.359899064</v>
      </c>
      <c r="W127" s="7">
        <f t="shared" si="19"/>
        <v>800</v>
      </c>
      <c r="X127" s="7">
        <f t="shared" si="20"/>
        <v>8.411313216</v>
      </c>
      <c r="Y127" s="7">
        <f t="shared" si="21"/>
        <v>900</v>
      </c>
      <c r="Z127" s="7">
        <f t="shared" si="22"/>
        <v>9.462727368</v>
      </c>
    </row>
    <row r="128">
      <c r="A128" s="30" t="str">
        <f>IFERROR(__xludf.DUMMYFUNCTION("""COMPUTED_VALUE"""),"2022 05")</f>
        <v>2022 05</v>
      </c>
      <c r="B128" s="30" t="str">
        <f>IFERROR(__xludf.DUMMYFUNCTION("""COMPUTED_VALUE"""),"93.3")</f>
        <v>93.3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0.5359056806</v>
      </c>
      <c r="G128" s="7">
        <f t="shared" si="3"/>
        <v>100</v>
      </c>
      <c r="H128" s="7">
        <f t="shared" si="4"/>
        <v>1.071811361</v>
      </c>
      <c r="I128" s="7">
        <f t="shared" si="5"/>
        <v>150</v>
      </c>
      <c r="J128" s="7">
        <f t="shared" si="6"/>
        <v>1.607717042</v>
      </c>
      <c r="K128" s="7">
        <f t="shared" si="7"/>
        <v>200</v>
      </c>
      <c r="L128" s="7">
        <f t="shared" si="8"/>
        <v>2.143622722</v>
      </c>
      <c r="M128" s="7">
        <f t="shared" si="9"/>
        <v>300</v>
      </c>
      <c r="N128" s="7">
        <f t="shared" si="10"/>
        <v>3.215434084</v>
      </c>
      <c r="O128" s="7">
        <f t="shared" si="11"/>
        <v>400</v>
      </c>
      <c r="P128" s="7">
        <f t="shared" si="12"/>
        <v>4.287245445</v>
      </c>
      <c r="Q128" s="7">
        <f t="shared" si="13"/>
        <v>500</v>
      </c>
      <c r="R128" s="7">
        <f t="shared" si="14"/>
        <v>5.359056806</v>
      </c>
      <c r="S128" s="7">
        <f t="shared" si="15"/>
        <v>600</v>
      </c>
      <c r="T128" s="7">
        <f t="shared" si="16"/>
        <v>6.430868167</v>
      </c>
      <c r="U128" s="7">
        <f t="shared" si="17"/>
        <v>700</v>
      </c>
      <c r="V128" s="7">
        <f t="shared" si="18"/>
        <v>7.502679528</v>
      </c>
      <c r="W128" s="7">
        <f t="shared" si="19"/>
        <v>800</v>
      </c>
      <c r="X128" s="7">
        <f t="shared" si="20"/>
        <v>8.57449089</v>
      </c>
      <c r="Y128" s="7">
        <f t="shared" si="21"/>
        <v>900</v>
      </c>
      <c r="Z128" s="7">
        <f t="shared" si="22"/>
        <v>9.646302251</v>
      </c>
    </row>
    <row r="129">
      <c r="A129" s="30" t="str">
        <f>IFERROR(__xludf.DUMMYFUNCTION("""COMPUTED_VALUE"""),"2022 06")</f>
        <v>2022 06</v>
      </c>
      <c r="B129" s="30" t="str">
        <f>IFERROR(__xludf.DUMMYFUNCTION("""COMPUTED_VALUE"""),"92.01")</f>
        <v>92.01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0.5434191936</v>
      </c>
      <c r="G129" s="7">
        <f t="shared" si="3"/>
        <v>100</v>
      </c>
      <c r="H129" s="7">
        <f t="shared" si="4"/>
        <v>1.086838387</v>
      </c>
      <c r="I129" s="7">
        <f t="shared" si="5"/>
        <v>150</v>
      </c>
      <c r="J129" s="7">
        <f t="shared" si="6"/>
        <v>1.630257581</v>
      </c>
      <c r="K129" s="7">
        <f t="shared" si="7"/>
        <v>200</v>
      </c>
      <c r="L129" s="7">
        <f t="shared" si="8"/>
        <v>2.173676774</v>
      </c>
      <c r="M129" s="7">
        <f t="shared" si="9"/>
        <v>300</v>
      </c>
      <c r="N129" s="7">
        <f t="shared" si="10"/>
        <v>3.260515161</v>
      </c>
      <c r="O129" s="7">
        <f t="shared" si="11"/>
        <v>400</v>
      </c>
      <c r="P129" s="7">
        <f t="shared" si="12"/>
        <v>4.347353549</v>
      </c>
      <c r="Q129" s="7">
        <f t="shared" si="13"/>
        <v>500</v>
      </c>
      <c r="R129" s="7">
        <f t="shared" si="14"/>
        <v>5.434191936</v>
      </c>
      <c r="S129" s="7">
        <f t="shared" si="15"/>
        <v>600</v>
      </c>
      <c r="T129" s="7">
        <f t="shared" si="16"/>
        <v>6.521030323</v>
      </c>
      <c r="U129" s="7">
        <f t="shared" si="17"/>
        <v>700</v>
      </c>
      <c r="V129" s="7">
        <f t="shared" si="18"/>
        <v>7.60786871</v>
      </c>
      <c r="W129" s="7">
        <f t="shared" si="19"/>
        <v>800</v>
      </c>
      <c r="X129" s="7">
        <f t="shared" si="20"/>
        <v>8.694707097</v>
      </c>
      <c r="Y129" s="7">
        <f t="shared" si="21"/>
        <v>900</v>
      </c>
      <c r="Z129" s="7">
        <f t="shared" si="22"/>
        <v>9.781545484</v>
      </c>
    </row>
    <row r="130">
      <c r="A130" s="30" t="str">
        <f>IFERROR(__xludf.DUMMYFUNCTION("""COMPUTED_VALUE"""),"2022 07")</f>
        <v>2022 07</v>
      </c>
      <c r="B130" s="30" t="str">
        <f>IFERROR(__xludf.DUMMYFUNCTION("""COMPUTED_VALUE"""),"81.17")</f>
        <v>81.17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0.6159911297</v>
      </c>
      <c r="G130" s="7">
        <f t="shared" si="3"/>
        <v>100</v>
      </c>
      <c r="H130" s="7">
        <f t="shared" si="4"/>
        <v>1.231982259</v>
      </c>
      <c r="I130" s="7">
        <f t="shared" si="5"/>
        <v>150</v>
      </c>
      <c r="J130" s="7">
        <f t="shared" si="6"/>
        <v>1.847973389</v>
      </c>
      <c r="K130" s="7">
        <f t="shared" si="7"/>
        <v>200</v>
      </c>
      <c r="L130" s="7">
        <f t="shared" si="8"/>
        <v>2.463964519</v>
      </c>
      <c r="M130" s="7">
        <f t="shared" si="9"/>
        <v>300</v>
      </c>
      <c r="N130" s="7">
        <f t="shared" si="10"/>
        <v>3.695946778</v>
      </c>
      <c r="O130" s="7">
        <f t="shared" si="11"/>
        <v>400</v>
      </c>
      <c r="P130" s="7">
        <f t="shared" si="12"/>
        <v>4.927929038</v>
      </c>
      <c r="Q130" s="7">
        <f t="shared" si="13"/>
        <v>500</v>
      </c>
      <c r="R130" s="7">
        <f t="shared" si="14"/>
        <v>6.159911297</v>
      </c>
      <c r="S130" s="7">
        <f t="shared" si="15"/>
        <v>600</v>
      </c>
      <c r="T130" s="7">
        <f t="shared" si="16"/>
        <v>7.391893557</v>
      </c>
      <c r="U130" s="7">
        <f t="shared" si="17"/>
        <v>700</v>
      </c>
      <c r="V130" s="7">
        <f t="shared" si="18"/>
        <v>8.623875816</v>
      </c>
      <c r="W130" s="7">
        <f t="shared" si="19"/>
        <v>800</v>
      </c>
      <c r="X130" s="7">
        <f t="shared" si="20"/>
        <v>9.855858076</v>
      </c>
      <c r="Y130" s="7">
        <f t="shared" si="21"/>
        <v>900</v>
      </c>
      <c r="Z130" s="7">
        <f t="shared" si="22"/>
        <v>11.08784034</v>
      </c>
    </row>
    <row r="131">
      <c r="A131" s="30" t="str">
        <f>IFERROR(__xludf.DUMMYFUNCTION("""COMPUTED_VALUE"""),"2022 08")</f>
        <v>2022 08</v>
      </c>
      <c r="B131" s="30" t="str">
        <f>IFERROR(__xludf.DUMMYFUNCTION("""COMPUTED_VALUE"""),"86.86")</f>
        <v>86.86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0.5756389592</v>
      </c>
      <c r="G131" s="7">
        <f t="shared" si="3"/>
        <v>100</v>
      </c>
      <c r="H131" s="7">
        <f t="shared" si="4"/>
        <v>1.151277918</v>
      </c>
      <c r="I131" s="7">
        <f t="shared" si="5"/>
        <v>150</v>
      </c>
      <c r="J131" s="7">
        <f t="shared" si="6"/>
        <v>1.726916878</v>
      </c>
      <c r="K131" s="7">
        <f t="shared" si="7"/>
        <v>200</v>
      </c>
      <c r="L131" s="7">
        <f t="shared" si="8"/>
        <v>2.302555837</v>
      </c>
      <c r="M131" s="7">
        <f t="shared" si="9"/>
        <v>300</v>
      </c>
      <c r="N131" s="7">
        <f t="shared" si="10"/>
        <v>3.453833755</v>
      </c>
      <c r="O131" s="7">
        <f t="shared" si="11"/>
        <v>400</v>
      </c>
      <c r="P131" s="7">
        <f t="shared" si="12"/>
        <v>4.605111674</v>
      </c>
      <c r="Q131" s="7">
        <f t="shared" si="13"/>
        <v>500</v>
      </c>
      <c r="R131" s="7">
        <f t="shared" si="14"/>
        <v>5.756389592</v>
      </c>
      <c r="S131" s="7">
        <f t="shared" si="15"/>
        <v>600</v>
      </c>
      <c r="T131" s="7">
        <f t="shared" si="16"/>
        <v>6.907667511</v>
      </c>
      <c r="U131" s="7">
        <f t="shared" si="17"/>
        <v>700</v>
      </c>
      <c r="V131" s="7">
        <f t="shared" si="18"/>
        <v>8.058945429</v>
      </c>
      <c r="W131" s="7">
        <f t="shared" si="19"/>
        <v>800</v>
      </c>
      <c r="X131" s="7">
        <f t="shared" si="20"/>
        <v>9.210223348</v>
      </c>
      <c r="Y131" s="7">
        <f t="shared" si="21"/>
        <v>900</v>
      </c>
      <c r="Z131" s="7">
        <f t="shared" si="22"/>
        <v>10.36150127</v>
      </c>
    </row>
    <row r="132">
      <c r="A132" s="30" t="str">
        <f>IFERROR(__xludf.DUMMYFUNCTION("""COMPUTED_VALUE"""),"2022 09")</f>
        <v>2022 09</v>
      </c>
      <c r="B132" s="30" t="str">
        <f>IFERROR(__xludf.DUMMYFUNCTION("""COMPUTED_VALUE"""),"86.06")</f>
        <v>86.06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0.580990007</v>
      </c>
      <c r="G132" s="7">
        <f t="shared" si="3"/>
        <v>100</v>
      </c>
      <c r="H132" s="7">
        <f t="shared" si="4"/>
        <v>1.161980014</v>
      </c>
      <c r="I132" s="7">
        <f t="shared" si="5"/>
        <v>150</v>
      </c>
      <c r="J132" s="7">
        <f t="shared" si="6"/>
        <v>1.742970021</v>
      </c>
      <c r="K132" s="7">
        <f t="shared" si="7"/>
        <v>200</v>
      </c>
      <c r="L132" s="7">
        <f t="shared" si="8"/>
        <v>2.323960028</v>
      </c>
      <c r="M132" s="7">
        <f t="shared" si="9"/>
        <v>300</v>
      </c>
      <c r="N132" s="7">
        <f t="shared" si="10"/>
        <v>3.485940042</v>
      </c>
      <c r="O132" s="7">
        <f t="shared" si="11"/>
        <v>400</v>
      </c>
      <c r="P132" s="7">
        <f t="shared" si="12"/>
        <v>4.647920056</v>
      </c>
      <c r="Q132" s="7">
        <f t="shared" si="13"/>
        <v>500</v>
      </c>
      <c r="R132" s="7">
        <f t="shared" si="14"/>
        <v>5.80990007</v>
      </c>
      <c r="S132" s="7">
        <f t="shared" si="15"/>
        <v>600</v>
      </c>
      <c r="T132" s="7">
        <f t="shared" si="16"/>
        <v>6.971880084</v>
      </c>
      <c r="U132" s="7">
        <f t="shared" si="17"/>
        <v>700</v>
      </c>
      <c r="V132" s="7">
        <f t="shared" si="18"/>
        <v>8.133860098</v>
      </c>
      <c r="W132" s="7">
        <f t="shared" si="19"/>
        <v>800</v>
      </c>
      <c r="X132" s="7">
        <f t="shared" si="20"/>
        <v>9.295840112</v>
      </c>
      <c r="Y132" s="7">
        <f t="shared" si="21"/>
        <v>900</v>
      </c>
      <c r="Z132" s="7">
        <f t="shared" si="22"/>
        <v>10.45782013</v>
      </c>
    </row>
    <row r="133">
      <c r="A133" s="30" t="str">
        <f>IFERROR(__xludf.DUMMYFUNCTION("""COMPUTED_VALUE"""),"2022 10")</f>
        <v>2022 10</v>
      </c>
      <c r="B133" s="30" t="str">
        <f>IFERROR(__xludf.DUMMYFUNCTION("""COMPUTED_VALUE"""),"80.2")</f>
        <v>80.2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0.6234413965</v>
      </c>
      <c r="G133" s="7">
        <f t="shared" si="3"/>
        <v>100</v>
      </c>
      <c r="H133" s="7">
        <f t="shared" si="4"/>
        <v>1.246882793</v>
      </c>
      <c r="I133" s="7">
        <f t="shared" si="5"/>
        <v>150</v>
      </c>
      <c r="J133" s="7">
        <f t="shared" si="6"/>
        <v>1.87032419</v>
      </c>
      <c r="K133" s="7">
        <f t="shared" si="7"/>
        <v>200</v>
      </c>
      <c r="L133" s="7">
        <f t="shared" si="8"/>
        <v>2.493765586</v>
      </c>
      <c r="M133" s="7">
        <f t="shared" si="9"/>
        <v>300</v>
      </c>
      <c r="N133" s="7">
        <f t="shared" si="10"/>
        <v>3.740648379</v>
      </c>
      <c r="O133" s="7">
        <f t="shared" si="11"/>
        <v>400</v>
      </c>
      <c r="P133" s="7">
        <f t="shared" si="12"/>
        <v>4.987531172</v>
      </c>
      <c r="Q133" s="7">
        <f t="shared" si="13"/>
        <v>500</v>
      </c>
      <c r="R133" s="7">
        <f t="shared" si="14"/>
        <v>6.234413965</v>
      </c>
      <c r="S133" s="7">
        <f t="shared" si="15"/>
        <v>600</v>
      </c>
      <c r="T133" s="7">
        <f t="shared" si="16"/>
        <v>7.481296758</v>
      </c>
      <c r="U133" s="7">
        <f t="shared" si="17"/>
        <v>700</v>
      </c>
      <c r="V133" s="7">
        <f t="shared" si="18"/>
        <v>8.728179551</v>
      </c>
      <c r="W133" s="7">
        <f t="shared" si="19"/>
        <v>800</v>
      </c>
      <c r="X133" s="7">
        <f t="shared" si="20"/>
        <v>9.975062344</v>
      </c>
      <c r="Y133" s="7">
        <f t="shared" si="21"/>
        <v>900</v>
      </c>
      <c r="Z133" s="7">
        <f t="shared" si="22"/>
        <v>11.22194514</v>
      </c>
    </row>
    <row r="134">
      <c r="A134" s="30" t="str">
        <f>IFERROR(__xludf.DUMMYFUNCTION("""COMPUTED_VALUE"""),"2022 11")</f>
        <v>2022 11</v>
      </c>
      <c r="B134" s="30" t="str">
        <f>IFERROR(__xludf.DUMMYFUNCTION("""COMPUTED_VALUE"""),"86.56")</f>
        <v>86.56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0.5776340111</v>
      </c>
      <c r="G134" s="7">
        <f t="shared" si="3"/>
        <v>100</v>
      </c>
      <c r="H134" s="7">
        <f t="shared" si="4"/>
        <v>1.155268022</v>
      </c>
      <c r="I134" s="7">
        <f t="shared" si="5"/>
        <v>150</v>
      </c>
      <c r="J134" s="7">
        <f t="shared" si="6"/>
        <v>1.732902033</v>
      </c>
      <c r="K134" s="7">
        <f t="shared" si="7"/>
        <v>200</v>
      </c>
      <c r="L134" s="7">
        <f t="shared" si="8"/>
        <v>2.310536044</v>
      </c>
      <c r="M134" s="7">
        <f t="shared" si="9"/>
        <v>300</v>
      </c>
      <c r="N134" s="7">
        <f t="shared" si="10"/>
        <v>3.465804067</v>
      </c>
      <c r="O134" s="7">
        <f t="shared" si="11"/>
        <v>400</v>
      </c>
      <c r="P134" s="7">
        <f t="shared" si="12"/>
        <v>4.621072089</v>
      </c>
      <c r="Q134" s="7">
        <f t="shared" si="13"/>
        <v>500</v>
      </c>
      <c r="R134" s="7">
        <f t="shared" si="14"/>
        <v>5.776340111</v>
      </c>
      <c r="S134" s="7">
        <f t="shared" si="15"/>
        <v>600</v>
      </c>
      <c r="T134" s="7">
        <f t="shared" si="16"/>
        <v>6.931608133</v>
      </c>
      <c r="U134" s="7">
        <f t="shared" si="17"/>
        <v>700</v>
      </c>
      <c r="V134" s="7">
        <f t="shared" si="18"/>
        <v>8.086876155</v>
      </c>
      <c r="W134" s="7">
        <f t="shared" si="19"/>
        <v>800</v>
      </c>
      <c r="X134" s="7">
        <f t="shared" si="20"/>
        <v>9.242144177</v>
      </c>
      <c r="Y134" s="7">
        <f t="shared" si="21"/>
        <v>900</v>
      </c>
      <c r="Z134" s="7">
        <f t="shared" si="22"/>
        <v>10.3974122</v>
      </c>
    </row>
    <row r="135">
      <c r="A135" s="30" t="str">
        <f>IFERROR(__xludf.DUMMYFUNCTION("""COMPUTED_VALUE"""),"2022 12")</f>
        <v>2022 12</v>
      </c>
      <c r="B135" s="30" t="str">
        <f>IFERROR(__xludf.DUMMYFUNCTION("""COMPUTED_VALUE"""),"91.54")</f>
        <v>91.54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0.5462093074</v>
      </c>
      <c r="G135" s="7">
        <f t="shared" si="3"/>
        <v>100</v>
      </c>
      <c r="H135" s="7">
        <f t="shared" si="4"/>
        <v>1.092418615</v>
      </c>
      <c r="I135" s="7">
        <f t="shared" si="5"/>
        <v>150</v>
      </c>
      <c r="J135" s="7">
        <f t="shared" si="6"/>
        <v>1.638627922</v>
      </c>
      <c r="K135" s="7">
        <f t="shared" si="7"/>
        <v>200</v>
      </c>
      <c r="L135" s="7">
        <f t="shared" si="8"/>
        <v>2.18483723</v>
      </c>
      <c r="M135" s="7">
        <f t="shared" si="9"/>
        <v>300</v>
      </c>
      <c r="N135" s="7">
        <f t="shared" si="10"/>
        <v>3.277255844</v>
      </c>
      <c r="O135" s="7">
        <f t="shared" si="11"/>
        <v>400</v>
      </c>
      <c r="P135" s="7">
        <f t="shared" si="12"/>
        <v>4.369674459</v>
      </c>
      <c r="Q135" s="7">
        <f t="shared" si="13"/>
        <v>500</v>
      </c>
      <c r="R135" s="7">
        <f t="shared" si="14"/>
        <v>5.462093074</v>
      </c>
      <c r="S135" s="7">
        <f t="shared" si="15"/>
        <v>600</v>
      </c>
      <c r="T135" s="7">
        <f t="shared" si="16"/>
        <v>6.554511689</v>
      </c>
      <c r="U135" s="7">
        <f t="shared" si="17"/>
        <v>700</v>
      </c>
      <c r="V135" s="7">
        <f t="shared" si="18"/>
        <v>7.646930304</v>
      </c>
      <c r="W135" s="7">
        <f t="shared" si="19"/>
        <v>800</v>
      </c>
      <c r="X135" s="7">
        <f t="shared" si="20"/>
        <v>8.739348919</v>
      </c>
      <c r="Y135" s="7">
        <f t="shared" si="21"/>
        <v>900</v>
      </c>
      <c r="Z135" s="7">
        <f t="shared" si="22"/>
        <v>9.831767533</v>
      </c>
    </row>
    <row r="136">
      <c r="A136" s="30" t="str">
        <f>IFERROR(__xludf.DUMMYFUNCTION("""COMPUTED_VALUE"""),"2023 01")</f>
        <v>2023 01</v>
      </c>
      <c r="B136" s="30" t="str">
        <f>IFERROR(__xludf.DUMMYFUNCTION("""COMPUTED_VALUE"""),"85.82")</f>
        <v>85.82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0.5826147751</v>
      </c>
      <c r="G136" s="7">
        <f t="shared" si="3"/>
        <v>100</v>
      </c>
      <c r="H136" s="7">
        <f t="shared" si="4"/>
        <v>1.16522955</v>
      </c>
      <c r="I136" s="7">
        <f t="shared" si="5"/>
        <v>150</v>
      </c>
      <c r="J136" s="7">
        <f t="shared" si="6"/>
        <v>1.747844325</v>
      </c>
      <c r="K136" s="7">
        <f t="shared" si="7"/>
        <v>200</v>
      </c>
      <c r="L136" s="7">
        <f t="shared" si="8"/>
        <v>2.3304591</v>
      </c>
      <c r="M136" s="7">
        <f t="shared" si="9"/>
        <v>300</v>
      </c>
      <c r="N136" s="7">
        <f t="shared" si="10"/>
        <v>3.495688651</v>
      </c>
      <c r="O136" s="7">
        <f t="shared" si="11"/>
        <v>400</v>
      </c>
      <c r="P136" s="7">
        <f t="shared" si="12"/>
        <v>4.660918201</v>
      </c>
      <c r="Q136" s="7">
        <f t="shared" si="13"/>
        <v>500</v>
      </c>
      <c r="R136" s="7">
        <f t="shared" si="14"/>
        <v>5.826147751</v>
      </c>
      <c r="S136" s="7">
        <f t="shared" si="15"/>
        <v>600</v>
      </c>
      <c r="T136" s="7">
        <f t="shared" si="16"/>
        <v>6.991377301</v>
      </c>
      <c r="U136" s="7">
        <f t="shared" si="17"/>
        <v>700</v>
      </c>
      <c r="V136" s="7">
        <f t="shared" si="18"/>
        <v>8.156606852</v>
      </c>
      <c r="W136" s="7">
        <f t="shared" si="19"/>
        <v>800</v>
      </c>
      <c r="X136" s="7">
        <f t="shared" si="20"/>
        <v>9.321836402</v>
      </c>
      <c r="Y136" s="7">
        <f t="shared" si="21"/>
        <v>900</v>
      </c>
      <c r="Z136" s="7">
        <f t="shared" si="22"/>
        <v>10.48706595</v>
      </c>
    </row>
    <row r="137">
      <c r="A137" s="30" t="str">
        <f>IFERROR(__xludf.DUMMYFUNCTION("""COMPUTED_VALUE"""),"2023 02")</f>
        <v>2023 02</v>
      </c>
      <c r="B137" s="30" t="str">
        <f>IFERROR(__xludf.DUMMYFUNCTION("""COMPUTED_VALUE"""),"92.69")</f>
        <v>92.69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0.539432517</v>
      </c>
      <c r="G137" s="7">
        <f t="shared" si="3"/>
        <v>100</v>
      </c>
      <c r="H137" s="7">
        <f t="shared" si="4"/>
        <v>1.078865034</v>
      </c>
      <c r="I137" s="7">
        <f t="shared" si="5"/>
        <v>150</v>
      </c>
      <c r="J137" s="7">
        <f t="shared" si="6"/>
        <v>1.618297551</v>
      </c>
      <c r="K137" s="7">
        <f t="shared" si="7"/>
        <v>200</v>
      </c>
      <c r="L137" s="7">
        <f t="shared" si="8"/>
        <v>2.157730068</v>
      </c>
      <c r="M137" s="7">
        <f t="shared" si="9"/>
        <v>300</v>
      </c>
      <c r="N137" s="7">
        <f t="shared" si="10"/>
        <v>3.236595102</v>
      </c>
      <c r="O137" s="7">
        <f t="shared" si="11"/>
        <v>400</v>
      </c>
      <c r="P137" s="7">
        <f t="shared" si="12"/>
        <v>4.315460136</v>
      </c>
      <c r="Q137" s="7">
        <f t="shared" si="13"/>
        <v>500</v>
      </c>
      <c r="R137" s="7">
        <f t="shared" si="14"/>
        <v>5.39432517</v>
      </c>
      <c r="S137" s="7">
        <f t="shared" si="15"/>
        <v>600</v>
      </c>
      <c r="T137" s="7">
        <f t="shared" si="16"/>
        <v>6.473190204</v>
      </c>
      <c r="U137" s="7">
        <f t="shared" si="17"/>
        <v>700</v>
      </c>
      <c r="V137" s="7">
        <f t="shared" si="18"/>
        <v>7.552055238</v>
      </c>
      <c r="W137" s="7">
        <f t="shared" si="19"/>
        <v>800</v>
      </c>
      <c r="X137" s="7">
        <f t="shared" si="20"/>
        <v>8.630920272</v>
      </c>
      <c r="Y137" s="7">
        <f t="shared" si="21"/>
        <v>900</v>
      </c>
      <c r="Z137" s="7">
        <f t="shared" si="22"/>
        <v>9.709785306</v>
      </c>
    </row>
    <row r="138">
      <c r="A138" s="30" t="str">
        <f>IFERROR(__xludf.DUMMYFUNCTION("""COMPUTED_VALUE"""),"2023 03")</f>
        <v>2023 03</v>
      </c>
      <c r="B138" s="30" t="str">
        <f>IFERROR(__xludf.DUMMYFUNCTION("""COMPUTED_VALUE"""),"89.96")</f>
        <v>89.96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0.5558025789</v>
      </c>
      <c r="G138" s="7">
        <f t="shared" si="3"/>
        <v>100</v>
      </c>
      <c r="H138" s="7">
        <f t="shared" si="4"/>
        <v>1.111605158</v>
      </c>
      <c r="I138" s="7">
        <f t="shared" si="5"/>
        <v>150</v>
      </c>
      <c r="J138" s="7">
        <f t="shared" si="6"/>
        <v>1.667407737</v>
      </c>
      <c r="K138" s="7">
        <f t="shared" si="7"/>
        <v>200</v>
      </c>
      <c r="L138" s="7">
        <f t="shared" si="8"/>
        <v>2.223210316</v>
      </c>
      <c r="M138" s="7">
        <f t="shared" si="9"/>
        <v>300</v>
      </c>
      <c r="N138" s="7">
        <f t="shared" si="10"/>
        <v>3.334815474</v>
      </c>
      <c r="O138" s="7">
        <f t="shared" si="11"/>
        <v>400</v>
      </c>
      <c r="P138" s="7">
        <f t="shared" si="12"/>
        <v>4.446420631</v>
      </c>
      <c r="Q138" s="7">
        <f t="shared" si="13"/>
        <v>500</v>
      </c>
      <c r="R138" s="7">
        <f t="shared" si="14"/>
        <v>5.558025789</v>
      </c>
      <c r="S138" s="7">
        <f t="shared" si="15"/>
        <v>600</v>
      </c>
      <c r="T138" s="7">
        <f t="shared" si="16"/>
        <v>6.669630947</v>
      </c>
      <c r="U138" s="7">
        <f t="shared" si="17"/>
        <v>700</v>
      </c>
      <c r="V138" s="7">
        <f t="shared" si="18"/>
        <v>7.781236105</v>
      </c>
      <c r="W138" s="7">
        <f t="shared" si="19"/>
        <v>800</v>
      </c>
      <c r="X138" s="7">
        <f t="shared" si="20"/>
        <v>8.892841263</v>
      </c>
      <c r="Y138" s="7">
        <f t="shared" si="21"/>
        <v>900</v>
      </c>
      <c r="Z138" s="7">
        <f t="shared" si="22"/>
        <v>10.00444642</v>
      </c>
    </row>
    <row r="139">
      <c r="A139" s="30" t="str">
        <f>IFERROR(__xludf.DUMMYFUNCTION("""COMPUTED_VALUE"""),"2023 04")</f>
        <v>2023 04</v>
      </c>
      <c r="B139" s="30" t="str">
        <f>IFERROR(__xludf.DUMMYFUNCTION("""COMPUTED_VALUE"""),"89.79")</f>
        <v>89.79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0.5568548836</v>
      </c>
      <c r="G139" s="7">
        <f t="shared" si="3"/>
        <v>100</v>
      </c>
      <c r="H139" s="7">
        <f t="shared" si="4"/>
        <v>1.113709767</v>
      </c>
      <c r="I139" s="7">
        <f t="shared" si="5"/>
        <v>150</v>
      </c>
      <c r="J139" s="7">
        <f t="shared" si="6"/>
        <v>1.670564651</v>
      </c>
      <c r="K139" s="7">
        <f t="shared" si="7"/>
        <v>200</v>
      </c>
      <c r="L139" s="7">
        <f t="shared" si="8"/>
        <v>2.227419534</v>
      </c>
      <c r="M139" s="7">
        <f t="shared" si="9"/>
        <v>300</v>
      </c>
      <c r="N139" s="7">
        <f t="shared" si="10"/>
        <v>3.341129302</v>
      </c>
      <c r="O139" s="7">
        <f t="shared" si="11"/>
        <v>400</v>
      </c>
      <c r="P139" s="7">
        <f t="shared" si="12"/>
        <v>4.454839069</v>
      </c>
      <c r="Q139" s="7">
        <f t="shared" si="13"/>
        <v>500</v>
      </c>
      <c r="R139" s="7">
        <f t="shared" si="14"/>
        <v>5.568548836</v>
      </c>
      <c r="S139" s="7">
        <f t="shared" si="15"/>
        <v>600</v>
      </c>
      <c r="T139" s="7">
        <f t="shared" si="16"/>
        <v>6.682258603</v>
      </c>
      <c r="U139" s="7">
        <f t="shared" si="17"/>
        <v>700</v>
      </c>
      <c r="V139" s="7">
        <f t="shared" si="18"/>
        <v>7.795968371</v>
      </c>
      <c r="W139" s="7">
        <f t="shared" si="19"/>
        <v>800</v>
      </c>
      <c r="X139" s="7">
        <f t="shared" si="20"/>
        <v>8.909678138</v>
      </c>
      <c r="Y139" s="7">
        <f t="shared" si="21"/>
        <v>900</v>
      </c>
      <c r="Z139" s="7">
        <f t="shared" si="22"/>
        <v>10.02338791</v>
      </c>
    </row>
    <row r="140">
      <c r="A140" s="30" t="str">
        <f>IFERROR(__xludf.DUMMYFUNCTION("""COMPUTED_VALUE"""),"2023 05")</f>
        <v>2023 05</v>
      </c>
      <c r="B140" s="30" t="str">
        <f>IFERROR(__xludf.DUMMYFUNCTION("""COMPUTED_VALUE"""),"91.2")</f>
        <v>91.2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0.548245614</v>
      </c>
      <c r="G140" s="7">
        <f t="shared" si="3"/>
        <v>100</v>
      </c>
      <c r="H140" s="7">
        <f t="shared" si="4"/>
        <v>1.096491228</v>
      </c>
      <c r="I140" s="7">
        <f t="shared" si="5"/>
        <v>150</v>
      </c>
      <c r="J140" s="7">
        <f t="shared" si="6"/>
        <v>1.644736842</v>
      </c>
      <c r="K140" s="7">
        <f t="shared" si="7"/>
        <v>200</v>
      </c>
      <c r="L140" s="7">
        <f t="shared" si="8"/>
        <v>2.192982456</v>
      </c>
      <c r="M140" s="7">
        <f t="shared" si="9"/>
        <v>300</v>
      </c>
      <c r="N140" s="7">
        <f t="shared" si="10"/>
        <v>3.289473684</v>
      </c>
      <c r="O140" s="7">
        <f t="shared" si="11"/>
        <v>400</v>
      </c>
      <c r="P140" s="7">
        <f t="shared" si="12"/>
        <v>4.385964912</v>
      </c>
      <c r="Q140" s="7">
        <f t="shared" si="13"/>
        <v>500</v>
      </c>
      <c r="R140" s="7">
        <f t="shared" si="14"/>
        <v>5.48245614</v>
      </c>
      <c r="S140" s="7">
        <f t="shared" si="15"/>
        <v>600</v>
      </c>
      <c r="T140" s="7">
        <f t="shared" si="16"/>
        <v>6.578947368</v>
      </c>
      <c r="U140" s="7">
        <f t="shared" si="17"/>
        <v>700</v>
      </c>
      <c r="V140" s="7">
        <f t="shared" si="18"/>
        <v>7.675438596</v>
      </c>
      <c r="W140" s="7">
        <f t="shared" si="19"/>
        <v>800</v>
      </c>
      <c r="X140" s="7">
        <f t="shared" si="20"/>
        <v>8.771929825</v>
      </c>
      <c r="Y140" s="7">
        <f t="shared" si="21"/>
        <v>900</v>
      </c>
      <c r="Z140" s="7">
        <f t="shared" si="22"/>
        <v>9.868421053</v>
      </c>
    </row>
    <row r="141">
      <c r="A141" s="30" t="str">
        <f>IFERROR(__xludf.DUMMYFUNCTION("""COMPUTED_VALUE"""),"2023 06")</f>
        <v>2023 06</v>
      </c>
      <c r="B141" s="30" t="str">
        <f>IFERROR(__xludf.DUMMYFUNCTION("""COMPUTED_VALUE"""),"88.8")</f>
        <v>88.8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0.5630630631</v>
      </c>
      <c r="G141" s="7">
        <f t="shared" si="3"/>
        <v>100</v>
      </c>
      <c r="H141" s="7">
        <f t="shared" si="4"/>
        <v>1.126126126</v>
      </c>
      <c r="I141" s="7">
        <f t="shared" si="5"/>
        <v>150</v>
      </c>
      <c r="J141" s="7">
        <f t="shared" si="6"/>
        <v>1.689189189</v>
      </c>
      <c r="K141" s="7">
        <f t="shared" si="7"/>
        <v>200</v>
      </c>
      <c r="L141" s="7">
        <f t="shared" si="8"/>
        <v>2.252252252</v>
      </c>
      <c r="M141" s="7">
        <f t="shared" si="9"/>
        <v>300</v>
      </c>
      <c r="N141" s="7">
        <f t="shared" si="10"/>
        <v>3.378378378</v>
      </c>
      <c r="O141" s="7">
        <f t="shared" si="11"/>
        <v>400</v>
      </c>
      <c r="P141" s="7">
        <f t="shared" si="12"/>
        <v>4.504504505</v>
      </c>
      <c r="Q141" s="7">
        <f t="shared" si="13"/>
        <v>500</v>
      </c>
      <c r="R141" s="7">
        <f t="shared" si="14"/>
        <v>5.630630631</v>
      </c>
      <c r="S141" s="7">
        <f t="shared" si="15"/>
        <v>600</v>
      </c>
      <c r="T141" s="7">
        <f t="shared" si="16"/>
        <v>6.756756757</v>
      </c>
      <c r="U141" s="7">
        <f t="shared" si="17"/>
        <v>700</v>
      </c>
      <c r="V141" s="7">
        <f t="shared" si="18"/>
        <v>7.882882883</v>
      </c>
      <c r="W141" s="7">
        <f t="shared" si="19"/>
        <v>800</v>
      </c>
      <c r="X141" s="7">
        <f t="shared" si="20"/>
        <v>9.009009009</v>
      </c>
      <c r="Y141" s="7">
        <f t="shared" si="21"/>
        <v>900</v>
      </c>
      <c r="Z141" s="7">
        <f t="shared" si="22"/>
        <v>10.13513514</v>
      </c>
    </row>
    <row r="142">
      <c r="A142" s="30" t="str">
        <f>IFERROR(__xludf.DUMMYFUNCTION("""COMPUTED_VALUE"""),"2023 07")</f>
        <v>2023 07</v>
      </c>
      <c r="B142" s="30" t="str">
        <f>IFERROR(__xludf.DUMMYFUNCTION("""COMPUTED_VALUE"""),"89.75")</f>
        <v>89.75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0.5571030641</v>
      </c>
      <c r="G142" s="7">
        <f t="shared" si="3"/>
        <v>100</v>
      </c>
      <c r="H142" s="7">
        <f t="shared" si="4"/>
        <v>1.114206128</v>
      </c>
      <c r="I142" s="7">
        <f t="shared" si="5"/>
        <v>150</v>
      </c>
      <c r="J142" s="7">
        <f t="shared" si="6"/>
        <v>1.671309192</v>
      </c>
      <c r="K142" s="7">
        <f t="shared" si="7"/>
        <v>200</v>
      </c>
      <c r="L142" s="7">
        <f t="shared" si="8"/>
        <v>2.228412256</v>
      </c>
      <c r="M142" s="7">
        <f t="shared" si="9"/>
        <v>300</v>
      </c>
      <c r="N142" s="7">
        <f t="shared" si="10"/>
        <v>3.342618384</v>
      </c>
      <c r="O142" s="7">
        <f t="shared" si="11"/>
        <v>400</v>
      </c>
      <c r="P142" s="7">
        <f t="shared" si="12"/>
        <v>4.456824513</v>
      </c>
      <c r="Q142" s="7">
        <f t="shared" si="13"/>
        <v>500</v>
      </c>
      <c r="R142" s="7">
        <f t="shared" si="14"/>
        <v>5.571030641</v>
      </c>
      <c r="S142" s="7">
        <f t="shared" si="15"/>
        <v>600</v>
      </c>
      <c r="T142" s="7">
        <f t="shared" si="16"/>
        <v>6.685236769</v>
      </c>
      <c r="U142" s="7">
        <f t="shared" si="17"/>
        <v>700</v>
      </c>
      <c r="V142" s="7">
        <f t="shared" si="18"/>
        <v>7.799442897</v>
      </c>
      <c r="W142" s="7">
        <f t="shared" si="19"/>
        <v>800</v>
      </c>
      <c r="X142" s="7">
        <f t="shared" si="20"/>
        <v>8.913649025</v>
      </c>
      <c r="Y142" s="7">
        <f t="shared" si="21"/>
        <v>900</v>
      </c>
      <c r="Z142" s="7">
        <f t="shared" si="22"/>
        <v>10.02785515</v>
      </c>
    </row>
    <row r="143">
      <c r="A143" s="30" t="str">
        <f>IFERROR(__xludf.DUMMYFUNCTION("""COMPUTED_VALUE"""),"2023 08")</f>
        <v>2023 08</v>
      </c>
      <c r="B143" s="30" t="str">
        <f>IFERROR(__xludf.DUMMYFUNCTION("""COMPUTED_VALUE"""),"92.28")</f>
        <v>92.28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0.5418292154</v>
      </c>
      <c r="G143" s="7">
        <f t="shared" si="3"/>
        <v>100</v>
      </c>
      <c r="H143" s="7">
        <f t="shared" si="4"/>
        <v>1.083658431</v>
      </c>
      <c r="I143" s="7">
        <f t="shared" si="5"/>
        <v>150</v>
      </c>
      <c r="J143" s="7">
        <f t="shared" si="6"/>
        <v>1.625487646</v>
      </c>
      <c r="K143" s="7">
        <f t="shared" si="7"/>
        <v>200</v>
      </c>
      <c r="L143" s="7">
        <f t="shared" si="8"/>
        <v>2.167316862</v>
      </c>
      <c r="M143" s="7">
        <f t="shared" si="9"/>
        <v>300</v>
      </c>
      <c r="N143" s="7">
        <f t="shared" si="10"/>
        <v>3.250975293</v>
      </c>
      <c r="O143" s="7">
        <f t="shared" si="11"/>
        <v>400</v>
      </c>
      <c r="P143" s="7">
        <f t="shared" si="12"/>
        <v>4.334633723</v>
      </c>
      <c r="Q143" s="7">
        <f t="shared" si="13"/>
        <v>500</v>
      </c>
      <c r="R143" s="7">
        <f t="shared" si="14"/>
        <v>5.418292154</v>
      </c>
      <c r="S143" s="7">
        <f t="shared" si="15"/>
        <v>600</v>
      </c>
      <c r="T143" s="7">
        <f t="shared" si="16"/>
        <v>6.501950585</v>
      </c>
      <c r="U143" s="7">
        <f t="shared" si="17"/>
        <v>700</v>
      </c>
      <c r="V143" s="7">
        <f t="shared" si="18"/>
        <v>7.585609016</v>
      </c>
      <c r="W143" s="7">
        <f t="shared" si="19"/>
        <v>800</v>
      </c>
      <c r="X143" s="7">
        <f t="shared" si="20"/>
        <v>8.669267447</v>
      </c>
      <c r="Y143" s="7">
        <f t="shared" si="21"/>
        <v>900</v>
      </c>
      <c r="Z143" s="7">
        <f t="shared" si="22"/>
        <v>9.752925878</v>
      </c>
    </row>
    <row r="144">
      <c r="A144" s="30" t="str">
        <f>IFERROR(__xludf.DUMMYFUNCTION("""COMPUTED_VALUE"""),"2023 09")</f>
        <v>2023 09</v>
      </c>
      <c r="B144" s="30" t="str">
        <f>IFERROR(__xludf.DUMMYFUNCTION("""COMPUTED_VALUE"""),"90.8")</f>
        <v>90.8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0.550660793</v>
      </c>
      <c r="G144" s="7">
        <f t="shared" si="3"/>
        <v>100</v>
      </c>
      <c r="H144" s="7">
        <f t="shared" si="4"/>
        <v>1.101321586</v>
      </c>
      <c r="I144" s="7">
        <f t="shared" si="5"/>
        <v>150</v>
      </c>
      <c r="J144" s="7">
        <f t="shared" si="6"/>
        <v>1.651982379</v>
      </c>
      <c r="K144" s="7">
        <f t="shared" si="7"/>
        <v>200</v>
      </c>
      <c r="L144" s="7">
        <f t="shared" si="8"/>
        <v>2.202643172</v>
      </c>
      <c r="M144" s="7">
        <f t="shared" si="9"/>
        <v>300</v>
      </c>
      <c r="N144" s="7">
        <f t="shared" si="10"/>
        <v>3.303964758</v>
      </c>
      <c r="O144" s="7">
        <f t="shared" si="11"/>
        <v>400</v>
      </c>
      <c r="P144" s="7">
        <f t="shared" si="12"/>
        <v>4.405286344</v>
      </c>
      <c r="Q144" s="7">
        <f t="shared" si="13"/>
        <v>500</v>
      </c>
      <c r="R144" s="7">
        <f t="shared" si="14"/>
        <v>5.50660793</v>
      </c>
      <c r="S144" s="7">
        <f t="shared" si="15"/>
        <v>600</v>
      </c>
      <c r="T144" s="7">
        <f t="shared" si="16"/>
        <v>6.607929515</v>
      </c>
      <c r="U144" s="7">
        <f t="shared" si="17"/>
        <v>700</v>
      </c>
      <c r="V144" s="7">
        <f t="shared" si="18"/>
        <v>7.709251101</v>
      </c>
      <c r="W144" s="7">
        <f t="shared" si="19"/>
        <v>800</v>
      </c>
      <c r="X144" s="7">
        <f t="shared" si="20"/>
        <v>8.810572687</v>
      </c>
      <c r="Y144" s="7">
        <f t="shared" si="21"/>
        <v>900</v>
      </c>
      <c r="Z144" s="7">
        <f t="shared" si="22"/>
        <v>9.911894273</v>
      </c>
    </row>
    <row r="145">
      <c r="A145" s="19" t="str">
        <f>IFERROR(__xludf.DUMMYFUNCTION("""COMPUTED_VALUE"""),"2023 10")</f>
        <v>2023 10</v>
      </c>
      <c r="B145" s="19" t="str">
        <f>IFERROR(__xludf.DUMMYFUNCTION("""COMPUTED_VALUE"""),"86.97")</f>
        <v>86.97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0.5749108888</v>
      </c>
      <c r="G145" s="7">
        <f t="shared" si="3"/>
        <v>100</v>
      </c>
      <c r="H145" s="7">
        <f t="shared" si="4"/>
        <v>1.149821778</v>
      </c>
      <c r="I145" s="7">
        <f t="shared" si="5"/>
        <v>150</v>
      </c>
      <c r="J145" s="7">
        <f t="shared" si="6"/>
        <v>1.724732666</v>
      </c>
      <c r="K145" s="7">
        <f t="shared" si="7"/>
        <v>200</v>
      </c>
      <c r="L145" s="7">
        <f t="shared" si="8"/>
        <v>2.299643555</v>
      </c>
      <c r="M145" s="7">
        <f t="shared" si="9"/>
        <v>300</v>
      </c>
      <c r="N145" s="7">
        <f t="shared" si="10"/>
        <v>3.449465333</v>
      </c>
      <c r="O145" s="7">
        <f t="shared" si="11"/>
        <v>400</v>
      </c>
      <c r="P145" s="7">
        <f t="shared" si="12"/>
        <v>4.59928711</v>
      </c>
      <c r="Q145" s="7">
        <f t="shared" si="13"/>
        <v>500</v>
      </c>
      <c r="R145" s="7">
        <f t="shared" si="14"/>
        <v>5.749108888</v>
      </c>
      <c r="S145" s="7">
        <f t="shared" si="15"/>
        <v>600</v>
      </c>
      <c r="T145" s="7">
        <f t="shared" si="16"/>
        <v>6.898930666</v>
      </c>
      <c r="U145" s="7">
        <f t="shared" si="17"/>
        <v>700</v>
      </c>
      <c r="V145" s="7">
        <f t="shared" si="18"/>
        <v>8.048752443</v>
      </c>
      <c r="W145" s="7">
        <f t="shared" si="19"/>
        <v>800</v>
      </c>
      <c r="X145" s="7">
        <f t="shared" si="20"/>
        <v>9.198574221</v>
      </c>
      <c r="Y145" s="7">
        <f t="shared" si="21"/>
        <v>900</v>
      </c>
      <c r="Z145" s="7">
        <f t="shared" si="22"/>
        <v>10.348396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96.53020773</v>
      </c>
      <c r="G352" s="33"/>
      <c r="H352" s="34">
        <f>SUMIF(H3:H351,"&lt;&gt;#DIV/0!")</f>
        <v>193.0604155</v>
      </c>
      <c r="I352" s="33"/>
      <c r="J352" s="34">
        <f>SUMIF(J3:J351,"&lt;&gt;#DIV/0!")</f>
        <v>289.5906232</v>
      </c>
      <c r="K352" s="33"/>
      <c r="L352" s="34">
        <f>SUMIF(L3:L351,"&lt;&gt;#DIV/0!")</f>
        <v>386.1208309</v>
      </c>
      <c r="M352" s="33"/>
      <c r="N352" s="34">
        <f>SUMIF(N3:N351,"&lt;&gt;#DIV/0!")</f>
        <v>579.1812464</v>
      </c>
      <c r="O352" s="33"/>
      <c r="P352" s="34">
        <f>SUMIF(P3:P351,"&lt;&gt;#DIV/0!")</f>
        <v>772.2416618</v>
      </c>
      <c r="Q352" s="33"/>
      <c r="R352" s="34">
        <f>SUMIF(R3:R351,"&lt;&gt;#DIV/0!")</f>
        <v>965.3020773</v>
      </c>
      <c r="S352" s="33"/>
      <c r="T352" s="34">
        <f>SUMIF(T3:T351,"&lt;&gt;#DIV/0!")</f>
        <v>1158.362493</v>
      </c>
      <c r="U352" s="33"/>
      <c r="V352" s="34">
        <f>SUMIF(V3:V351,"&lt;&gt;#DIV/0!")</f>
        <v>1351.422908</v>
      </c>
      <c r="W352" s="33"/>
      <c r="X352" s="34">
        <f>SUMIF(X3:X351,"&lt;&gt;#DIV/0!")</f>
        <v>1544.483324</v>
      </c>
      <c r="Y352" s="33"/>
      <c r="Z352" s="34">
        <f>SUMIF(Z3:Z351,"&lt;&gt;#DIV/0!")</f>
        <v>1737.543739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11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0</v>
      </c>
      <c r="G4" s="7">
        <f t="shared" si="3"/>
        <v>100</v>
      </c>
      <c r="H4" s="7">
        <f t="shared" si="4"/>
        <v>0</v>
      </c>
      <c r="I4" s="7">
        <f t="shared" si="5"/>
        <v>150</v>
      </c>
      <c r="J4" s="7">
        <f t="shared" si="6"/>
        <v>0</v>
      </c>
      <c r="K4" s="7">
        <f t="shared" si="7"/>
        <v>200</v>
      </c>
      <c r="L4" s="7">
        <f t="shared" si="8"/>
        <v>0</v>
      </c>
      <c r="M4" s="7">
        <f t="shared" si="9"/>
        <v>300</v>
      </c>
      <c r="N4" s="7">
        <f t="shared" si="10"/>
        <v>0</v>
      </c>
      <c r="O4" s="7">
        <f t="shared" si="11"/>
        <v>400</v>
      </c>
      <c r="P4" s="7">
        <f t="shared" si="12"/>
        <v>0</v>
      </c>
      <c r="Q4" s="7">
        <f t="shared" si="13"/>
        <v>500</v>
      </c>
      <c r="R4" s="7">
        <f t="shared" si="14"/>
        <v>0</v>
      </c>
      <c r="S4" s="7">
        <f t="shared" si="15"/>
        <v>600</v>
      </c>
      <c r="T4" s="7">
        <f t="shared" si="16"/>
        <v>0</v>
      </c>
      <c r="U4" s="7">
        <f t="shared" si="17"/>
        <v>700</v>
      </c>
      <c r="V4" s="7">
        <f t="shared" si="18"/>
        <v>0</v>
      </c>
      <c r="W4" s="7">
        <f t="shared" si="19"/>
        <v>800</v>
      </c>
      <c r="X4" s="7">
        <f t="shared" si="20"/>
        <v>0</v>
      </c>
      <c r="Y4" s="7">
        <f t="shared" si="21"/>
        <v>900</v>
      </c>
      <c r="Z4" s="7">
        <f t="shared" si="22"/>
        <v>0</v>
      </c>
    </row>
    <row r="5"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0</v>
      </c>
      <c r="G5" s="7">
        <f t="shared" si="3"/>
        <v>100</v>
      </c>
      <c r="H5" s="7">
        <f t="shared" si="4"/>
        <v>0</v>
      </c>
      <c r="I5" s="7">
        <f t="shared" si="5"/>
        <v>150</v>
      </c>
      <c r="J5" s="7">
        <f t="shared" si="6"/>
        <v>0</v>
      </c>
      <c r="K5" s="7">
        <f t="shared" si="7"/>
        <v>200</v>
      </c>
      <c r="L5" s="7">
        <f t="shared" si="8"/>
        <v>0</v>
      </c>
      <c r="M5" s="7">
        <f t="shared" si="9"/>
        <v>300</v>
      </c>
      <c r="N5" s="7">
        <f t="shared" si="10"/>
        <v>0</v>
      </c>
      <c r="O5" s="7">
        <f t="shared" si="11"/>
        <v>400</v>
      </c>
      <c r="P5" s="7">
        <f t="shared" si="12"/>
        <v>0</v>
      </c>
      <c r="Q5" s="7">
        <f t="shared" si="13"/>
        <v>500</v>
      </c>
      <c r="R5" s="7">
        <f t="shared" si="14"/>
        <v>0</v>
      </c>
      <c r="S5" s="7">
        <f t="shared" si="15"/>
        <v>600</v>
      </c>
      <c r="T5" s="7">
        <f t="shared" si="16"/>
        <v>0</v>
      </c>
      <c r="U5" s="7">
        <f t="shared" si="17"/>
        <v>700</v>
      </c>
      <c r="V5" s="7">
        <f t="shared" si="18"/>
        <v>0</v>
      </c>
      <c r="W5" s="7">
        <f t="shared" si="19"/>
        <v>800</v>
      </c>
      <c r="X5" s="7">
        <f t="shared" si="20"/>
        <v>0</v>
      </c>
      <c r="Y5" s="7">
        <f t="shared" si="21"/>
        <v>900</v>
      </c>
      <c r="Z5" s="7">
        <f t="shared" si="22"/>
        <v>0</v>
      </c>
    </row>
    <row r="6"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0</v>
      </c>
      <c r="G6" s="7">
        <f t="shared" si="3"/>
        <v>100</v>
      </c>
      <c r="H6" s="7">
        <f t="shared" si="4"/>
        <v>0</v>
      </c>
      <c r="I6" s="7">
        <f t="shared" si="5"/>
        <v>150</v>
      </c>
      <c r="J6" s="7">
        <f t="shared" si="6"/>
        <v>0</v>
      </c>
      <c r="K6" s="7">
        <f t="shared" si="7"/>
        <v>200</v>
      </c>
      <c r="L6" s="7">
        <f t="shared" si="8"/>
        <v>0</v>
      </c>
      <c r="M6" s="7">
        <f t="shared" si="9"/>
        <v>300</v>
      </c>
      <c r="N6" s="7">
        <f t="shared" si="10"/>
        <v>0</v>
      </c>
      <c r="O6" s="7">
        <f t="shared" si="11"/>
        <v>400</v>
      </c>
      <c r="P6" s="7">
        <f t="shared" si="12"/>
        <v>0</v>
      </c>
      <c r="Q6" s="7">
        <f t="shared" si="13"/>
        <v>500</v>
      </c>
      <c r="R6" s="7">
        <f t="shared" si="14"/>
        <v>0</v>
      </c>
      <c r="S6" s="7">
        <f t="shared" si="15"/>
        <v>600</v>
      </c>
      <c r="T6" s="7">
        <f t="shared" si="16"/>
        <v>0</v>
      </c>
      <c r="U6" s="7">
        <f t="shared" si="17"/>
        <v>700</v>
      </c>
      <c r="V6" s="7">
        <f t="shared" si="18"/>
        <v>0</v>
      </c>
      <c r="W6" s="7">
        <f t="shared" si="19"/>
        <v>800</v>
      </c>
      <c r="X6" s="7">
        <f t="shared" si="20"/>
        <v>0</v>
      </c>
      <c r="Y6" s="7">
        <f t="shared" si="21"/>
        <v>900</v>
      </c>
      <c r="Z6" s="7">
        <f t="shared" si="22"/>
        <v>0</v>
      </c>
    </row>
    <row r="7"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0</v>
      </c>
      <c r="G7" s="7">
        <f t="shared" si="3"/>
        <v>100</v>
      </c>
      <c r="H7" s="7">
        <f t="shared" si="4"/>
        <v>0</v>
      </c>
      <c r="I7" s="7">
        <f t="shared" si="5"/>
        <v>150</v>
      </c>
      <c r="J7" s="7">
        <f t="shared" si="6"/>
        <v>0</v>
      </c>
      <c r="K7" s="7">
        <f t="shared" si="7"/>
        <v>200</v>
      </c>
      <c r="L7" s="7">
        <f t="shared" si="8"/>
        <v>0</v>
      </c>
      <c r="M7" s="7">
        <f t="shared" si="9"/>
        <v>300</v>
      </c>
      <c r="N7" s="7">
        <f t="shared" si="10"/>
        <v>0</v>
      </c>
      <c r="O7" s="7">
        <f t="shared" si="11"/>
        <v>400</v>
      </c>
      <c r="P7" s="7">
        <f t="shared" si="12"/>
        <v>0</v>
      </c>
      <c r="Q7" s="7">
        <f t="shared" si="13"/>
        <v>500</v>
      </c>
      <c r="R7" s="7">
        <f t="shared" si="14"/>
        <v>0</v>
      </c>
      <c r="S7" s="7">
        <f t="shared" si="15"/>
        <v>600</v>
      </c>
      <c r="T7" s="7">
        <f t="shared" si="16"/>
        <v>0</v>
      </c>
      <c r="U7" s="7">
        <f t="shared" si="17"/>
        <v>700</v>
      </c>
      <c r="V7" s="7">
        <f t="shared" si="18"/>
        <v>0</v>
      </c>
      <c r="W7" s="7">
        <f t="shared" si="19"/>
        <v>800</v>
      </c>
      <c r="X7" s="7">
        <f t="shared" si="20"/>
        <v>0</v>
      </c>
      <c r="Y7" s="7">
        <f t="shared" si="21"/>
        <v>900</v>
      </c>
      <c r="Z7" s="7">
        <f t="shared" si="22"/>
        <v>0</v>
      </c>
    </row>
    <row r="8"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0</v>
      </c>
      <c r="G8" s="7">
        <f t="shared" si="3"/>
        <v>100</v>
      </c>
      <c r="H8" s="7">
        <f t="shared" si="4"/>
        <v>0</v>
      </c>
      <c r="I8" s="7">
        <f t="shared" si="5"/>
        <v>150</v>
      </c>
      <c r="J8" s="7">
        <f t="shared" si="6"/>
        <v>0</v>
      </c>
      <c r="K8" s="7">
        <f t="shared" si="7"/>
        <v>200</v>
      </c>
      <c r="L8" s="7">
        <f t="shared" si="8"/>
        <v>0</v>
      </c>
      <c r="M8" s="7">
        <f t="shared" si="9"/>
        <v>300</v>
      </c>
      <c r="N8" s="7">
        <f t="shared" si="10"/>
        <v>0</v>
      </c>
      <c r="O8" s="7">
        <f t="shared" si="11"/>
        <v>400</v>
      </c>
      <c r="P8" s="7">
        <f t="shared" si="12"/>
        <v>0</v>
      </c>
      <c r="Q8" s="7">
        <f t="shared" si="13"/>
        <v>500</v>
      </c>
      <c r="R8" s="7">
        <f t="shared" si="14"/>
        <v>0</v>
      </c>
      <c r="S8" s="7">
        <f t="shared" si="15"/>
        <v>600</v>
      </c>
      <c r="T8" s="7">
        <f t="shared" si="16"/>
        <v>0</v>
      </c>
      <c r="U8" s="7">
        <f t="shared" si="17"/>
        <v>700</v>
      </c>
      <c r="V8" s="7">
        <f t="shared" si="18"/>
        <v>0</v>
      </c>
      <c r="W8" s="7">
        <f t="shared" si="19"/>
        <v>800</v>
      </c>
      <c r="X8" s="7">
        <f t="shared" si="20"/>
        <v>0</v>
      </c>
      <c r="Y8" s="7">
        <f t="shared" si="21"/>
        <v>900</v>
      </c>
      <c r="Z8" s="7">
        <f t="shared" si="22"/>
        <v>0</v>
      </c>
    </row>
    <row r="9"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0</v>
      </c>
      <c r="G9" s="7">
        <f t="shared" si="3"/>
        <v>100</v>
      </c>
      <c r="H9" s="7">
        <f t="shared" si="4"/>
        <v>0</v>
      </c>
      <c r="I9" s="7">
        <f t="shared" si="5"/>
        <v>150</v>
      </c>
      <c r="J9" s="7">
        <f t="shared" si="6"/>
        <v>0</v>
      </c>
      <c r="K9" s="7">
        <f t="shared" si="7"/>
        <v>200</v>
      </c>
      <c r="L9" s="7">
        <f t="shared" si="8"/>
        <v>0</v>
      </c>
      <c r="M9" s="7">
        <f t="shared" si="9"/>
        <v>300</v>
      </c>
      <c r="N9" s="7">
        <f t="shared" si="10"/>
        <v>0</v>
      </c>
      <c r="O9" s="7">
        <f t="shared" si="11"/>
        <v>400</v>
      </c>
      <c r="P9" s="7">
        <f t="shared" si="12"/>
        <v>0</v>
      </c>
      <c r="Q9" s="7">
        <f t="shared" si="13"/>
        <v>500</v>
      </c>
      <c r="R9" s="7">
        <f t="shared" si="14"/>
        <v>0</v>
      </c>
      <c r="S9" s="7">
        <f t="shared" si="15"/>
        <v>600</v>
      </c>
      <c r="T9" s="7">
        <f t="shared" si="16"/>
        <v>0</v>
      </c>
      <c r="U9" s="7">
        <f t="shared" si="17"/>
        <v>700</v>
      </c>
      <c r="V9" s="7">
        <f t="shared" si="18"/>
        <v>0</v>
      </c>
      <c r="W9" s="7">
        <f t="shared" si="19"/>
        <v>800</v>
      </c>
      <c r="X9" s="7">
        <f t="shared" si="20"/>
        <v>0</v>
      </c>
      <c r="Y9" s="7">
        <f t="shared" si="21"/>
        <v>900</v>
      </c>
      <c r="Z9" s="7">
        <f t="shared" si="22"/>
        <v>0</v>
      </c>
    </row>
    <row r="10"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0</v>
      </c>
      <c r="G10" s="7">
        <f t="shared" si="3"/>
        <v>100</v>
      </c>
      <c r="H10" s="7">
        <f t="shared" si="4"/>
        <v>0</v>
      </c>
      <c r="I10" s="7">
        <f t="shared" si="5"/>
        <v>150</v>
      </c>
      <c r="J10" s="7">
        <f t="shared" si="6"/>
        <v>0</v>
      </c>
      <c r="K10" s="7">
        <f t="shared" si="7"/>
        <v>200</v>
      </c>
      <c r="L10" s="7">
        <f t="shared" si="8"/>
        <v>0</v>
      </c>
      <c r="M10" s="7">
        <f t="shared" si="9"/>
        <v>300</v>
      </c>
      <c r="N10" s="7">
        <f t="shared" si="10"/>
        <v>0</v>
      </c>
      <c r="O10" s="7">
        <f t="shared" si="11"/>
        <v>400</v>
      </c>
      <c r="P10" s="7">
        <f t="shared" si="12"/>
        <v>0</v>
      </c>
      <c r="Q10" s="7">
        <f t="shared" si="13"/>
        <v>500</v>
      </c>
      <c r="R10" s="7">
        <f t="shared" si="14"/>
        <v>0</v>
      </c>
      <c r="S10" s="7">
        <f t="shared" si="15"/>
        <v>600</v>
      </c>
      <c r="T10" s="7">
        <f t="shared" si="16"/>
        <v>0</v>
      </c>
      <c r="U10" s="7">
        <f t="shared" si="17"/>
        <v>700</v>
      </c>
      <c r="V10" s="7">
        <f t="shared" si="18"/>
        <v>0</v>
      </c>
      <c r="W10" s="7">
        <f t="shared" si="19"/>
        <v>800</v>
      </c>
      <c r="X10" s="7">
        <f t="shared" si="20"/>
        <v>0</v>
      </c>
      <c r="Y10" s="7">
        <f t="shared" si="21"/>
        <v>900</v>
      </c>
      <c r="Z10" s="7">
        <f t="shared" si="22"/>
        <v>0</v>
      </c>
    </row>
    <row r="11"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0</v>
      </c>
      <c r="G11" s="7">
        <f t="shared" si="3"/>
        <v>100</v>
      </c>
      <c r="H11" s="7">
        <f t="shared" si="4"/>
        <v>0</v>
      </c>
      <c r="I11" s="7">
        <f t="shared" si="5"/>
        <v>150</v>
      </c>
      <c r="J11" s="7">
        <f t="shared" si="6"/>
        <v>0</v>
      </c>
      <c r="K11" s="7">
        <f t="shared" si="7"/>
        <v>200</v>
      </c>
      <c r="L11" s="7">
        <f t="shared" si="8"/>
        <v>0</v>
      </c>
      <c r="M11" s="7">
        <f t="shared" si="9"/>
        <v>300</v>
      </c>
      <c r="N11" s="7">
        <f t="shared" si="10"/>
        <v>0</v>
      </c>
      <c r="O11" s="7">
        <f t="shared" si="11"/>
        <v>400</v>
      </c>
      <c r="P11" s="7">
        <f t="shared" si="12"/>
        <v>0</v>
      </c>
      <c r="Q11" s="7">
        <f t="shared" si="13"/>
        <v>500</v>
      </c>
      <c r="R11" s="7">
        <f t="shared" si="14"/>
        <v>0</v>
      </c>
      <c r="S11" s="7">
        <f t="shared" si="15"/>
        <v>600</v>
      </c>
      <c r="T11" s="7">
        <f t="shared" si="16"/>
        <v>0</v>
      </c>
      <c r="U11" s="7">
        <f t="shared" si="17"/>
        <v>700</v>
      </c>
      <c r="V11" s="7">
        <f t="shared" si="18"/>
        <v>0</v>
      </c>
      <c r="W11" s="7">
        <f t="shared" si="19"/>
        <v>800</v>
      </c>
      <c r="X11" s="7">
        <f t="shared" si="20"/>
        <v>0</v>
      </c>
      <c r="Y11" s="7">
        <f t="shared" si="21"/>
        <v>900</v>
      </c>
      <c r="Z11" s="7">
        <f t="shared" si="22"/>
        <v>0</v>
      </c>
    </row>
    <row r="12"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0</v>
      </c>
      <c r="G12" s="7">
        <f t="shared" si="3"/>
        <v>100</v>
      </c>
      <c r="H12" s="7">
        <f t="shared" si="4"/>
        <v>0</v>
      </c>
      <c r="I12" s="7">
        <f t="shared" si="5"/>
        <v>150</v>
      </c>
      <c r="J12" s="7">
        <f t="shared" si="6"/>
        <v>0</v>
      </c>
      <c r="K12" s="7">
        <f t="shared" si="7"/>
        <v>200</v>
      </c>
      <c r="L12" s="7">
        <f t="shared" si="8"/>
        <v>0</v>
      </c>
      <c r="M12" s="7">
        <f t="shared" si="9"/>
        <v>300</v>
      </c>
      <c r="N12" s="7">
        <f t="shared" si="10"/>
        <v>0</v>
      </c>
      <c r="O12" s="7">
        <f t="shared" si="11"/>
        <v>400</v>
      </c>
      <c r="P12" s="7">
        <f t="shared" si="12"/>
        <v>0</v>
      </c>
      <c r="Q12" s="7">
        <f t="shared" si="13"/>
        <v>500</v>
      </c>
      <c r="R12" s="7">
        <f t="shared" si="14"/>
        <v>0</v>
      </c>
      <c r="S12" s="7">
        <f t="shared" si="15"/>
        <v>600</v>
      </c>
      <c r="T12" s="7">
        <f t="shared" si="16"/>
        <v>0</v>
      </c>
      <c r="U12" s="7">
        <f t="shared" si="17"/>
        <v>700</v>
      </c>
      <c r="V12" s="7">
        <f t="shared" si="18"/>
        <v>0</v>
      </c>
      <c r="W12" s="7">
        <f t="shared" si="19"/>
        <v>800</v>
      </c>
      <c r="X12" s="7">
        <f t="shared" si="20"/>
        <v>0</v>
      </c>
      <c r="Y12" s="7">
        <f t="shared" si="21"/>
        <v>900</v>
      </c>
      <c r="Z12" s="7">
        <f t="shared" si="22"/>
        <v>0</v>
      </c>
    </row>
    <row r="13"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0</v>
      </c>
      <c r="G13" s="7">
        <f t="shared" si="3"/>
        <v>100</v>
      </c>
      <c r="H13" s="7">
        <f t="shared" si="4"/>
        <v>0</v>
      </c>
      <c r="I13" s="7">
        <f t="shared" si="5"/>
        <v>150</v>
      </c>
      <c r="J13" s="7">
        <f t="shared" si="6"/>
        <v>0</v>
      </c>
      <c r="K13" s="7">
        <f t="shared" si="7"/>
        <v>200</v>
      </c>
      <c r="L13" s="7">
        <f t="shared" si="8"/>
        <v>0</v>
      </c>
      <c r="M13" s="7">
        <f t="shared" si="9"/>
        <v>300</v>
      </c>
      <c r="N13" s="7">
        <f t="shared" si="10"/>
        <v>0</v>
      </c>
      <c r="O13" s="7">
        <f t="shared" si="11"/>
        <v>400</v>
      </c>
      <c r="P13" s="7">
        <f t="shared" si="12"/>
        <v>0</v>
      </c>
      <c r="Q13" s="7">
        <f t="shared" si="13"/>
        <v>500</v>
      </c>
      <c r="R13" s="7">
        <f t="shared" si="14"/>
        <v>0</v>
      </c>
      <c r="S13" s="7">
        <f t="shared" si="15"/>
        <v>600</v>
      </c>
      <c r="T13" s="7">
        <f t="shared" si="16"/>
        <v>0</v>
      </c>
      <c r="U13" s="7">
        <f t="shared" si="17"/>
        <v>700</v>
      </c>
      <c r="V13" s="7">
        <f t="shared" si="18"/>
        <v>0</v>
      </c>
      <c r="W13" s="7">
        <f t="shared" si="19"/>
        <v>800</v>
      </c>
      <c r="X13" s="7">
        <f t="shared" si="20"/>
        <v>0</v>
      </c>
      <c r="Y13" s="7">
        <f t="shared" si="21"/>
        <v>900</v>
      </c>
      <c r="Z13" s="7">
        <f t="shared" si="22"/>
        <v>0</v>
      </c>
    </row>
    <row r="14"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0</v>
      </c>
      <c r="G14" s="7">
        <f t="shared" si="3"/>
        <v>100</v>
      </c>
      <c r="H14" s="7">
        <f t="shared" si="4"/>
        <v>0</v>
      </c>
      <c r="I14" s="7">
        <f t="shared" si="5"/>
        <v>150</v>
      </c>
      <c r="J14" s="7">
        <f t="shared" si="6"/>
        <v>0</v>
      </c>
      <c r="K14" s="7">
        <f t="shared" si="7"/>
        <v>200</v>
      </c>
      <c r="L14" s="7">
        <f t="shared" si="8"/>
        <v>0</v>
      </c>
      <c r="M14" s="7">
        <f t="shared" si="9"/>
        <v>300</v>
      </c>
      <c r="N14" s="7">
        <f t="shared" si="10"/>
        <v>0</v>
      </c>
      <c r="O14" s="7">
        <f t="shared" si="11"/>
        <v>400</v>
      </c>
      <c r="P14" s="7">
        <f t="shared" si="12"/>
        <v>0</v>
      </c>
      <c r="Q14" s="7">
        <f t="shared" si="13"/>
        <v>500</v>
      </c>
      <c r="R14" s="7">
        <f t="shared" si="14"/>
        <v>0</v>
      </c>
      <c r="S14" s="7">
        <f t="shared" si="15"/>
        <v>600</v>
      </c>
      <c r="T14" s="7">
        <f t="shared" si="16"/>
        <v>0</v>
      </c>
      <c r="U14" s="7">
        <f t="shared" si="17"/>
        <v>700</v>
      </c>
      <c r="V14" s="7">
        <f t="shared" si="18"/>
        <v>0</v>
      </c>
      <c r="W14" s="7">
        <f t="shared" si="19"/>
        <v>800</v>
      </c>
      <c r="X14" s="7">
        <f t="shared" si="20"/>
        <v>0</v>
      </c>
      <c r="Y14" s="7">
        <f t="shared" si="21"/>
        <v>900</v>
      </c>
      <c r="Z14" s="7">
        <f t="shared" si="22"/>
        <v>0</v>
      </c>
    </row>
    <row r="15"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0</v>
      </c>
      <c r="G15" s="7">
        <f t="shared" si="3"/>
        <v>100</v>
      </c>
      <c r="H15" s="7">
        <f t="shared" si="4"/>
        <v>0</v>
      </c>
      <c r="I15" s="7">
        <f t="shared" si="5"/>
        <v>150</v>
      </c>
      <c r="J15" s="7">
        <f t="shared" si="6"/>
        <v>0</v>
      </c>
      <c r="K15" s="7">
        <f t="shared" si="7"/>
        <v>200</v>
      </c>
      <c r="L15" s="7">
        <f t="shared" si="8"/>
        <v>0</v>
      </c>
      <c r="M15" s="7">
        <f t="shared" si="9"/>
        <v>300</v>
      </c>
      <c r="N15" s="7">
        <f t="shared" si="10"/>
        <v>0</v>
      </c>
      <c r="O15" s="7">
        <f t="shared" si="11"/>
        <v>400</v>
      </c>
      <c r="P15" s="7">
        <f t="shared" si="12"/>
        <v>0</v>
      </c>
      <c r="Q15" s="7">
        <f t="shared" si="13"/>
        <v>500</v>
      </c>
      <c r="R15" s="7">
        <f t="shared" si="14"/>
        <v>0</v>
      </c>
      <c r="S15" s="7">
        <f t="shared" si="15"/>
        <v>600</v>
      </c>
      <c r="T15" s="7">
        <f t="shared" si="16"/>
        <v>0</v>
      </c>
      <c r="U15" s="7">
        <f t="shared" si="17"/>
        <v>700</v>
      </c>
      <c r="V15" s="7">
        <f t="shared" si="18"/>
        <v>0</v>
      </c>
      <c r="W15" s="7">
        <f t="shared" si="19"/>
        <v>800</v>
      </c>
      <c r="X15" s="7">
        <f t="shared" si="20"/>
        <v>0</v>
      </c>
      <c r="Y15" s="7">
        <f t="shared" si="21"/>
        <v>900</v>
      </c>
      <c r="Z15" s="7">
        <f t="shared" si="22"/>
        <v>0</v>
      </c>
    </row>
    <row r="16"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0</v>
      </c>
      <c r="G16" s="7">
        <f t="shared" si="3"/>
        <v>100</v>
      </c>
      <c r="H16" s="7">
        <f t="shared" si="4"/>
        <v>0</v>
      </c>
      <c r="I16" s="7">
        <f t="shared" si="5"/>
        <v>150</v>
      </c>
      <c r="J16" s="7">
        <f t="shared" si="6"/>
        <v>0</v>
      </c>
      <c r="K16" s="7">
        <f t="shared" si="7"/>
        <v>200</v>
      </c>
      <c r="L16" s="7">
        <f t="shared" si="8"/>
        <v>0</v>
      </c>
      <c r="M16" s="7">
        <f t="shared" si="9"/>
        <v>300</v>
      </c>
      <c r="N16" s="7">
        <f t="shared" si="10"/>
        <v>0</v>
      </c>
      <c r="O16" s="7">
        <f t="shared" si="11"/>
        <v>400</v>
      </c>
      <c r="P16" s="7">
        <f t="shared" si="12"/>
        <v>0</v>
      </c>
      <c r="Q16" s="7">
        <f t="shared" si="13"/>
        <v>500</v>
      </c>
      <c r="R16" s="7">
        <f t="shared" si="14"/>
        <v>0</v>
      </c>
      <c r="S16" s="7">
        <f t="shared" si="15"/>
        <v>600</v>
      </c>
      <c r="T16" s="7">
        <f t="shared" si="16"/>
        <v>0</v>
      </c>
      <c r="U16" s="7">
        <f t="shared" si="17"/>
        <v>700</v>
      </c>
      <c r="V16" s="7">
        <f t="shared" si="18"/>
        <v>0</v>
      </c>
      <c r="W16" s="7">
        <f t="shared" si="19"/>
        <v>800</v>
      </c>
      <c r="X16" s="7">
        <f t="shared" si="20"/>
        <v>0</v>
      </c>
      <c r="Y16" s="7">
        <f t="shared" si="21"/>
        <v>900</v>
      </c>
      <c r="Z16" s="7">
        <f t="shared" si="22"/>
        <v>0</v>
      </c>
    </row>
    <row r="17"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0</v>
      </c>
      <c r="G17" s="7">
        <f t="shared" si="3"/>
        <v>100</v>
      </c>
      <c r="H17" s="7">
        <f t="shared" si="4"/>
        <v>0</v>
      </c>
      <c r="I17" s="7">
        <f t="shared" si="5"/>
        <v>150</v>
      </c>
      <c r="J17" s="7">
        <f t="shared" si="6"/>
        <v>0</v>
      </c>
      <c r="K17" s="7">
        <f t="shared" si="7"/>
        <v>200</v>
      </c>
      <c r="L17" s="7">
        <f t="shared" si="8"/>
        <v>0</v>
      </c>
      <c r="M17" s="7">
        <f t="shared" si="9"/>
        <v>300</v>
      </c>
      <c r="N17" s="7">
        <f t="shared" si="10"/>
        <v>0</v>
      </c>
      <c r="O17" s="7">
        <f t="shared" si="11"/>
        <v>400</v>
      </c>
      <c r="P17" s="7">
        <f t="shared" si="12"/>
        <v>0</v>
      </c>
      <c r="Q17" s="7">
        <f t="shared" si="13"/>
        <v>500</v>
      </c>
      <c r="R17" s="7">
        <f t="shared" si="14"/>
        <v>0</v>
      </c>
      <c r="S17" s="7">
        <f t="shared" si="15"/>
        <v>600</v>
      </c>
      <c r="T17" s="7">
        <f t="shared" si="16"/>
        <v>0</v>
      </c>
      <c r="U17" s="7">
        <f t="shared" si="17"/>
        <v>700</v>
      </c>
      <c r="V17" s="7">
        <f t="shared" si="18"/>
        <v>0</v>
      </c>
      <c r="W17" s="7">
        <f t="shared" si="19"/>
        <v>800</v>
      </c>
      <c r="X17" s="7">
        <f t="shared" si="20"/>
        <v>0</v>
      </c>
      <c r="Y17" s="7">
        <f t="shared" si="21"/>
        <v>900</v>
      </c>
      <c r="Z17" s="7">
        <f t="shared" si="22"/>
        <v>0</v>
      </c>
    </row>
    <row r="18"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0</v>
      </c>
      <c r="G18" s="7">
        <f t="shared" si="3"/>
        <v>100</v>
      </c>
      <c r="H18" s="7">
        <f t="shared" si="4"/>
        <v>0</v>
      </c>
      <c r="I18" s="7">
        <f t="shared" si="5"/>
        <v>150</v>
      </c>
      <c r="J18" s="7">
        <f t="shared" si="6"/>
        <v>0</v>
      </c>
      <c r="K18" s="7">
        <f t="shared" si="7"/>
        <v>200</v>
      </c>
      <c r="L18" s="7">
        <f t="shared" si="8"/>
        <v>0</v>
      </c>
      <c r="M18" s="7">
        <f t="shared" si="9"/>
        <v>300</v>
      </c>
      <c r="N18" s="7">
        <f t="shared" si="10"/>
        <v>0</v>
      </c>
      <c r="O18" s="7">
        <f t="shared" si="11"/>
        <v>400</v>
      </c>
      <c r="P18" s="7">
        <f t="shared" si="12"/>
        <v>0</v>
      </c>
      <c r="Q18" s="7">
        <f t="shared" si="13"/>
        <v>500</v>
      </c>
      <c r="R18" s="7">
        <f t="shared" si="14"/>
        <v>0</v>
      </c>
      <c r="S18" s="7">
        <f t="shared" si="15"/>
        <v>600</v>
      </c>
      <c r="T18" s="7">
        <f t="shared" si="16"/>
        <v>0</v>
      </c>
      <c r="U18" s="7">
        <f t="shared" si="17"/>
        <v>700</v>
      </c>
      <c r="V18" s="7">
        <f t="shared" si="18"/>
        <v>0</v>
      </c>
      <c r="W18" s="7">
        <f t="shared" si="19"/>
        <v>800</v>
      </c>
      <c r="X18" s="7">
        <f t="shared" si="20"/>
        <v>0</v>
      </c>
      <c r="Y18" s="7">
        <f t="shared" si="21"/>
        <v>900</v>
      </c>
      <c r="Z18" s="7">
        <f t="shared" si="22"/>
        <v>0</v>
      </c>
    </row>
    <row r="19"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0</v>
      </c>
      <c r="G19" s="7">
        <f t="shared" si="3"/>
        <v>100</v>
      </c>
      <c r="H19" s="7">
        <f t="shared" si="4"/>
        <v>0</v>
      </c>
      <c r="I19" s="7">
        <f t="shared" si="5"/>
        <v>150</v>
      </c>
      <c r="J19" s="7">
        <f t="shared" si="6"/>
        <v>0</v>
      </c>
      <c r="K19" s="7">
        <f t="shared" si="7"/>
        <v>200</v>
      </c>
      <c r="L19" s="7">
        <f t="shared" si="8"/>
        <v>0</v>
      </c>
      <c r="M19" s="7">
        <f t="shared" si="9"/>
        <v>300</v>
      </c>
      <c r="N19" s="7">
        <f t="shared" si="10"/>
        <v>0</v>
      </c>
      <c r="O19" s="7">
        <f t="shared" si="11"/>
        <v>400</v>
      </c>
      <c r="P19" s="7">
        <f t="shared" si="12"/>
        <v>0</v>
      </c>
      <c r="Q19" s="7">
        <f t="shared" si="13"/>
        <v>500</v>
      </c>
      <c r="R19" s="7">
        <f t="shared" si="14"/>
        <v>0</v>
      </c>
      <c r="S19" s="7">
        <f t="shared" si="15"/>
        <v>600</v>
      </c>
      <c r="T19" s="7">
        <f t="shared" si="16"/>
        <v>0</v>
      </c>
      <c r="U19" s="7">
        <f t="shared" si="17"/>
        <v>700</v>
      </c>
      <c r="V19" s="7">
        <f t="shared" si="18"/>
        <v>0</v>
      </c>
      <c r="W19" s="7">
        <f t="shared" si="19"/>
        <v>800</v>
      </c>
      <c r="X19" s="7">
        <f t="shared" si="20"/>
        <v>0</v>
      </c>
      <c r="Y19" s="7">
        <f t="shared" si="21"/>
        <v>900</v>
      </c>
      <c r="Z19" s="7">
        <f t="shared" si="22"/>
        <v>0</v>
      </c>
    </row>
    <row r="20"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0</v>
      </c>
      <c r="G20" s="7">
        <f t="shared" si="3"/>
        <v>100</v>
      </c>
      <c r="H20" s="7">
        <f t="shared" si="4"/>
        <v>0</v>
      </c>
      <c r="I20" s="7">
        <f t="shared" si="5"/>
        <v>150</v>
      </c>
      <c r="J20" s="7">
        <f t="shared" si="6"/>
        <v>0</v>
      </c>
      <c r="K20" s="7">
        <f t="shared" si="7"/>
        <v>200</v>
      </c>
      <c r="L20" s="7">
        <f t="shared" si="8"/>
        <v>0</v>
      </c>
      <c r="M20" s="7">
        <f t="shared" si="9"/>
        <v>300</v>
      </c>
      <c r="N20" s="7">
        <f t="shared" si="10"/>
        <v>0</v>
      </c>
      <c r="O20" s="7">
        <f t="shared" si="11"/>
        <v>400</v>
      </c>
      <c r="P20" s="7">
        <f t="shared" si="12"/>
        <v>0</v>
      </c>
      <c r="Q20" s="7">
        <f t="shared" si="13"/>
        <v>500</v>
      </c>
      <c r="R20" s="7">
        <f t="shared" si="14"/>
        <v>0</v>
      </c>
      <c r="S20" s="7">
        <f t="shared" si="15"/>
        <v>600</v>
      </c>
      <c r="T20" s="7">
        <f t="shared" si="16"/>
        <v>0</v>
      </c>
      <c r="U20" s="7">
        <f t="shared" si="17"/>
        <v>700</v>
      </c>
      <c r="V20" s="7">
        <f t="shared" si="18"/>
        <v>0</v>
      </c>
      <c r="W20" s="7">
        <f t="shared" si="19"/>
        <v>800</v>
      </c>
      <c r="X20" s="7">
        <f t="shared" si="20"/>
        <v>0</v>
      </c>
      <c r="Y20" s="7">
        <f t="shared" si="21"/>
        <v>900</v>
      </c>
      <c r="Z20" s="7">
        <f t="shared" si="22"/>
        <v>0</v>
      </c>
    </row>
    <row r="21"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0</v>
      </c>
      <c r="G21" s="7">
        <f t="shared" si="3"/>
        <v>100</v>
      </c>
      <c r="H21" s="7">
        <f t="shared" si="4"/>
        <v>0</v>
      </c>
      <c r="I21" s="7">
        <f t="shared" si="5"/>
        <v>150</v>
      </c>
      <c r="J21" s="7">
        <f t="shared" si="6"/>
        <v>0</v>
      </c>
      <c r="K21" s="7">
        <f t="shared" si="7"/>
        <v>200</v>
      </c>
      <c r="L21" s="7">
        <f t="shared" si="8"/>
        <v>0</v>
      </c>
      <c r="M21" s="7">
        <f t="shared" si="9"/>
        <v>300</v>
      </c>
      <c r="N21" s="7">
        <f t="shared" si="10"/>
        <v>0</v>
      </c>
      <c r="O21" s="7">
        <f t="shared" si="11"/>
        <v>400</v>
      </c>
      <c r="P21" s="7">
        <f t="shared" si="12"/>
        <v>0</v>
      </c>
      <c r="Q21" s="7">
        <f t="shared" si="13"/>
        <v>500</v>
      </c>
      <c r="R21" s="7">
        <f t="shared" si="14"/>
        <v>0</v>
      </c>
      <c r="S21" s="7">
        <f t="shared" si="15"/>
        <v>600</v>
      </c>
      <c r="T21" s="7">
        <f t="shared" si="16"/>
        <v>0</v>
      </c>
      <c r="U21" s="7">
        <f t="shared" si="17"/>
        <v>700</v>
      </c>
      <c r="V21" s="7">
        <f t="shared" si="18"/>
        <v>0</v>
      </c>
      <c r="W21" s="7">
        <f t="shared" si="19"/>
        <v>800</v>
      </c>
      <c r="X21" s="7">
        <f t="shared" si="20"/>
        <v>0</v>
      </c>
      <c r="Y21" s="7">
        <f t="shared" si="21"/>
        <v>900</v>
      </c>
      <c r="Z21" s="7">
        <f t="shared" si="22"/>
        <v>0</v>
      </c>
    </row>
    <row r="22"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0</v>
      </c>
      <c r="G22" s="7">
        <f t="shared" si="3"/>
        <v>100</v>
      </c>
      <c r="H22" s="7">
        <f t="shared" si="4"/>
        <v>0</v>
      </c>
      <c r="I22" s="7">
        <f t="shared" si="5"/>
        <v>150</v>
      </c>
      <c r="J22" s="7">
        <f t="shared" si="6"/>
        <v>0</v>
      </c>
      <c r="K22" s="7">
        <f t="shared" si="7"/>
        <v>200</v>
      </c>
      <c r="L22" s="7">
        <f t="shared" si="8"/>
        <v>0</v>
      </c>
      <c r="M22" s="7">
        <f t="shared" si="9"/>
        <v>300</v>
      </c>
      <c r="N22" s="7">
        <f t="shared" si="10"/>
        <v>0</v>
      </c>
      <c r="O22" s="7">
        <f t="shared" si="11"/>
        <v>400</v>
      </c>
      <c r="P22" s="7">
        <f t="shared" si="12"/>
        <v>0</v>
      </c>
      <c r="Q22" s="7">
        <f t="shared" si="13"/>
        <v>500</v>
      </c>
      <c r="R22" s="7">
        <f t="shared" si="14"/>
        <v>0</v>
      </c>
      <c r="S22" s="7">
        <f t="shared" si="15"/>
        <v>600</v>
      </c>
      <c r="T22" s="7">
        <f t="shared" si="16"/>
        <v>0</v>
      </c>
      <c r="U22" s="7">
        <f t="shared" si="17"/>
        <v>700</v>
      </c>
      <c r="V22" s="7">
        <f t="shared" si="18"/>
        <v>0</v>
      </c>
      <c r="W22" s="7">
        <f t="shared" si="19"/>
        <v>800</v>
      </c>
      <c r="X22" s="7">
        <f t="shared" si="20"/>
        <v>0</v>
      </c>
      <c r="Y22" s="7">
        <f t="shared" si="21"/>
        <v>900</v>
      </c>
      <c r="Z22" s="7">
        <f t="shared" si="22"/>
        <v>0</v>
      </c>
    </row>
    <row r="23"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0</v>
      </c>
      <c r="G23" s="7">
        <f t="shared" si="3"/>
        <v>100</v>
      </c>
      <c r="H23" s="7">
        <f t="shared" si="4"/>
        <v>0</v>
      </c>
      <c r="I23" s="7">
        <f t="shared" si="5"/>
        <v>150</v>
      </c>
      <c r="J23" s="7">
        <f t="shared" si="6"/>
        <v>0</v>
      </c>
      <c r="K23" s="7">
        <f t="shared" si="7"/>
        <v>200</v>
      </c>
      <c r="L23" s="7">
        <f t="shared" si="8"/>
        <v>0</v>
      </c>
      <c r="M23" s="7">
        <f t="shared" si="9"/>
        <v>300</v>
      </c>
      <c r="N23" s="7">
        <f t="shared" si="10"/>
        <v>0</v>
      </c>
      <c r="O23" s="7">
        <f t="shared" si="11"/>
        <v>400</v>
      </c>
      <c r="P23" s="7">
        <f t="shared" si="12"/>
        <v>0</v>
      </c>
      <c r="Q23" s="7">
        <f t="shared" si="13"/>
        <v>500</v>
      </c>
      <c r="R23" s="7">
        <f t="shared" si="14"/>
        <v>0</v>
      </c>
      <c r="S23" s="7">
        <f t="shared" si="15"/>
        <v>600</v>
      </c>
      <c r="T23" s="7">
        <f t="shared" si="16"/>
        <v>0</v>
      </c>
      <c r="U23" s="7">
        <f t="shared" si="17"/>
        <v>700</v>
      </c>
      <c r="V23" s="7">
        <f t="shared" si="18"/>
        <v>0</v>
      </c>
      <c r="W23" s="7">
        <f t="shared" si="19"/>
        <v>800</v>
      </c>
      <c r="X23" s="7">
        <f t="shared" si="20"/>
        <v>0</v>
      </c>
      <c r="Y23" s="7">
        <f t="shared" si="21"/>
        <v>900</v>
      </c>
      <c r="Z23" s="7">
        <f t="shared" si="22"/>
        <v>0</v>
      </c>
    </row>
    <row r="24"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0</v>
      </c>
      <c r="G24" s="7">
        <f t="shared" si="3"/>
        <v>100</v>
      </c>
      <c r="H24" s="7">
        <f t="shared" si="4"/>
        <v>0</v>
      </c>
      <c r="I24" s="7">
        <f t="shared" si="5"/>
        <v>150</v>
      </c>
      <c r="J24" s="7">
        <f t="shared" si="6"/>
        <v>0</v>
      </c>
      <c r="K24" s="7">
        <f t="shared" si="7"/>
        <v>200</v>
      </c>
      <c r="L24" s="7">
        <f t="shared" si="8"/>
        <v>0</v>
      </c>
      <c r="M24" s="7">
        <f t="shared" si="9"/>
        <v>300</v>
      </c>
      <c r="N24" s="7">
        <f t="shared" si="10"/>
        <v>0</v>
      </c>
      <c r="O24" s="7">
        <f t="shared" si="11"/>
        <v>400</v>
      </c>
      <c r="P24" s="7">
        <f t="shared" si="12"/>
        <v>0</v>
      </c>
      <c r="Q24" s="7">
        <f t="shared" si="13"/>
        <v>500</v>
      </c>
      <c r="R24" s="7">
        <f t="shared" si="14"/>
        <v>0</v>
      </c>
      <c r="S24" s="7">
        <f t="shared" si="15"/>
        <v>600</v>
      </c>
      <c r="T24" s="7">
        <f t="shared" si="16"/>
        <v>0</v>
      </c>
      <c r="U24" s="7">
        <f t="shared" si="17"/>
        <v>700</v>
      </c>
      <c r="V24" s="7">
        <f t="shared" si="18"/>
        <v>0</v>
      </c>
      <c r="W24" s="7">
        <f t="shared" si="19"/>
        <v>800</v>
      </c>
      <c r="X24" s="7">
        <f t="shared" si="20"/>
        <v>0</v>
      </c>
      <c r="Y24" s="7">
        <f t="shared" si="21"/>
        <v>900</v>
      </c>
      <c r="Z24" s="7">
        <f t="shared" si="22"/>
        <v>0</v>
      </c>
    </row>
    <row r="25"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0</v>
      </c>
      <c r="G25" s="7">
        <f t="shared" si="3"/>
        <v>100</v>
      </c>
      <c r="H25" s="7">
        <f t="shared" si="4"/>
        <v>0</v>
      </c>
      <c r="I25" s="7">
        <f t="shared" si="5"/>
        <v>150</v>
      </c>
      <c r="J25" s="7">
        <f t="shared" si="6"/>
        <v>0</v>
      </c>
      <c r="K25" s="7">
        <f t="shared" si="7"/>
        <v>200</v>
      </c>
      <c r="L25" s="7">
        <f t="shared" si="8"/>
        <v>0</v>
      </c>
      <c r="M25" s="7">
        <f t="shared" si="9"/>
        <v>300</v>
      </c>
      <c r="N25" s="7">
        <f t="shared" si="10"/>
        <v>0</v>
      </c>
      <c r="O25" s="7">
        <f t="shared" si="11"/>
        <v>400</v>
      </c>
      <c r="P25" s="7">
        <f t="shared" si="12"/>
        <v>0</v>
      </c>
      <c r="Q25" s="7">
        <f t="shared" si="13"/>
        <v>500</v>
      </c>
      <c r="R25" s="7">
        <f t="shared" si="14"/>
        <v>0</v>
      </c>
      <c r="S25" s="7">
        <f t="shared" si="15"/>
        <v>600</v>
      </c>
      <c r="T25" s="7">
        <f t="shared" si="16"/>
        <v>0</v>
      </c>
      <c r="U25" s="7">
        <f t="shared" si="17"/>
        <v>700</v>
      </c>
      <c r="V25" s="7">
        <f t="shared" si="18"/>
        <v>0</v>
      </c>
      <c r="W25" s="7">
        <f t="shared" si="19"/>
        <v>800</v>
      </c>
      <c r="X25" s="7">
        <f t="shared" si="20"/>
        <v>0</v>
      </c>
      <c r="Y25" s="7">
        <f t="shared" si="21"/>
        <v>900</v>
      </c>
      <c r="Z25" s="7">
        <f t="shared" si="22"/>
        <v>0</v>
      </c>
    </row>
    <row r="26"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0</v>
      </c>
      <c r="G26" s="7">
        <f t="shared" si="3"/>
        <v>100</v>
      </c>
      <c r="H26" s="7">
        <f t="shared" si="4"/>
        <v>0</v>
      </c>
      <c r="I26" s="7">
        <f t="shared" si="5"/>
        <v>150</v>
      </c>
      <c r="J26" s="7">
        <f t="shared" si="6"/>
        <v>0</v>
      </c>
      <c r="K26" s="7">
        <f t="shared" si="7"/>
        <v>200</v>
      </c>
      <c r="L26" s="7">
        <f t="shared" si="8"/>
        <v>0</v>
      </c>
      <c r="M26" s="7">
        <f t="shared" si="9"/>
        <v>300</v>
      </c>
      <c r="N26" s="7">
        <f t="shared" si="10"/>
        <v>0</v>
      </c>
      <c r="O26" s="7">
        <f t="shared" si="11"/>
        <v>400</v>
      </c>
      <c r="P26" s="7">
        <f t="shared" si="12"/>
        <v>0</v>
      </c>
      <c r="Q26" s="7">
        <f t="shared" si="13"/>
        <v>500</v>
      </c>
      <c r="R26" s="7">
        <f t="shared" si="14"/>
        <v>0</v>
      </c>
      <c r="S26" s="7">
        <f t="shared" si="15"/>
        <v>600</v>
      </c>
      <c r="T26" s="7">
        <f t="shared" si="16"/>
        <v>0</v>
      </c>
      <c r="U26" s="7">
        <f t="shared" si="17"/>
        <v>700</v>
      </c>
      <c r="V26" s="7">
        <f t="shared" si="18"/>
        <v>0</v>
      </c>
      <c r="W26" s="7">
        <f t="shared" si="19"/>
        <v>800</v>
      </c>
      <c r="X26" s="7">
        <f t="shared" si="20"/>
        <v>0</v>
      </c>
      <c r="Y26" s="7">
        <f t="shared" si="21"/>
        <v>900</v>
      </c>
      <c r="Z26" s="7">
        <f t="shared" si="22"/>
        <v>0</v>
      </c>
    </row>
    <row r="27"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0</v>
      </c>
      <c r="G27" s="7">
        <f t="shared" si="3"/>
        <v>100</v>
      </c>
      <c r="H27" s="7">
        <f t="shared" si="4"/>
        <v>0</v>
      </c>
      <c r="I27" s="7">
        <f t="shared" si="5"/>
        <v>150</v>
      </c>
      <c r="J27" s="7">
        <f t="shared" si="6"/>
        <v>0</v>
      </c>
      <c r="K27" s="7">
        <f t="shared" si="7"/>
        <v>200</v>
      </c>
      <c r="L27" s="7">
        <f t="shared" si="8"/>
        <v>0</v>
      </c>
      <c r="M27" s="7">
        <f t="shared" si="9"/>
        <v>300</v>
      </c>
      <c r="N27" s="7">
        <f t="shared" si="10"/>
        <v>0</v>
      </c>
      <c r="O27" s="7">
        <f t="shared" si="11"/>
        <v>400</v>
      </c>
      <c r="P27" s="7">
        <f t="shared" si="12"/>
        <v>0</v>
      </c>
      <c r="Q27" s="7">
        <f t="shared" si="13"/>
        <v>500</v>
      </c>
      <c r="R27" s="7">
        <f t="shared" si="14"/>
        <v>0</v>
      </c>
      <c r="S27" s="7">
        <f t="shared" si="15"/>
        <v>600</v>
      </c>
      <c r="T27" s="7">
        <f t="shared" si="16"/>
        <v>0</v>
      </c>
      <c r="U27" s="7">
        <f t="shared" si="17"/>
        <v>700</v>
      </c>
      <c r="V27" s="7">
        <f t="shared" si="18"/>
        <v>0</v>
      </c>
      <c r="W27" s="7">
        <f t="shared" si="19"/>
        <v>800</v>
      </c>
      <c r="X27" s="7">
        <f t="shared" si="20"/>
        <v>0</v>
      </c>
      <c r="Y27" s="7">
        <f t="shared" si="21"/>
        <v>900</v>
      </c>
      <c r="Z27" s="7">
        <f t="shared" si="22"/>
        <v>0</v>
      </c>
    </row>
    <row r="28"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0</v>
      </c>
      <c r="G28" s="7">
        <f t="shared" si="3"/>
        <v>100</v>
      </c>
      <c r="H28" s="7">
        <f t="shared" si="4"/>
        <v>0</v>
      </c>
      <c r="I28" s="7">
        <f t="shared" si="5"/>
        <v>150</v>
      </c>
      <c r="J28" s="7">
        <f t="shared" si="6"/>
        <v>0</v>
      </c>
      <c r="K28" s="7">
        <f t="shared" si="7"/>
        <v>200</v>
      </c>
      <c r="L28" s="7">
        <f t="shared" si="8"/>
        <v>0</v>
      </c>
      <c r="M28" s="7">
        <f t="shared" si="9"/>
        <v>300</v>
      </c>
      <c r="N28" s="7">
        <f t="shared" si="10"/>
        <v>0</v>
      </c>
      <c r="O28" s="7">
        <f t="shared" si="11"/>
        <v>400</v>
      </c>
      <c r="P28" s="7">
        <f t="shared" si="12"/>
        <v>0</v>
      </c>
      <c r="Q28" s="7">
        <f t="shared" si="13"/>
        <v>500</v>
      </c>
      <c r="R28" s="7">
        <f t="shared" si="14"/>
        <v>0</v>
      </c>
      <c r="S28" s="7">
        <f t="shared" si="15"/>
        <v>600</v>
      </c>
      <c r="T28" s="7">
        <f t="shared" si="16"/>
        <v>0</v>
      </c>
      <c r="U28" s="7">
        <f t="shared" si="17"/>
        <v>700</v>
      </c>
      <c r="V28" s="7">
        <f t="shared" si="18"/>
        <v>0</v>
      </c>
      <c r="W28" s="7">
        <f t="shared" si="19"/>
        <v>800</v>
      </c>
      <c r="X28" s="7">
        <f t="shared" si="20"/>
        <v>0</v>
      </c>
      <c r="Y28" s="7">
        <f t="shared" si="21"/>
        <v>900</v>
      </c>
      <c r="Z28" s="7">
        <f t="shared" si="22"/>
        <v>0</v>
      </c>
    </row>
    <row r="29"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0</v>
      </c>
      <c r="G29" s="7">
        <f t="shared" si="3"/>
        <v>100</v>
      </c>
      <c r="H29" s="7">
        <f t="shared" si="4"/>
        <v>0</v>
      </c>
      <c r="I29" s="7">
        <f t="shared" si="5"/>
        <v>150</v>
      </c>
      <c r="J29" s="7">
        <f t="shared" si="6"/>
        <v>0</v>
      </c>
      <c r="K29" s="7">
        <f t="shared" si="7"/>
        <v>200</v>
      </c>
      <c r="L29" s="7">
        <f t="shared" si="8"/>
        <v>0</v>
      </c>
      <c r="M29" s="7">
        <f t="shared" si="9"/>
        <v>300</v>
      </c>
      <c r="N29" s="7">
        <f t="shared" si="10"/>
        <v>0</v>
      </c>
      <c r="O29" s="7">
        <f t="shared" si="11"/>
        <v>400</v>
      </c>
      <c r="P29" s="7">
        <f t="shared" si="12"/>
        <v>0</v>
      </c>
      <c r="Q29" s="7">
        <f t="shared" si="13"/>
        <v>500</v>
      </c>
      <c r="R29" s="7">
        <f t="shared" si="14"/>
        <v>0</v>
      </c>
      <c r="S29" s="7">
        <f t="shared" si="15"/>
        <v>600</v>
      </c>
      <c r="T29" s="7">
        <f t="shared" si="16"/>
        <v>0</v>
      </c>
      <c r="U29" s="7">
        <f t="shared" si="17"/>
        <v>700</v>
      </c>
      <c r="V29" s="7">
        <f t="shared" si="18"/>
        <v>0</v>
      </c>
      <c r="W29" s="7">
        <f t="shared" si="19"/>
        <v>800</v>
      </c>
      <c r="X29" s="7">
        <f t="shared" si="20"/>
        <v>0</v>
      </c>
      <c r="Y29" s="7">
        <f t="shared" si="21"/>
        <v>900</v>
      </c>
      <c r="Z29" s="7">
        <f t="shared" si="22"/>
        <v>0</v>
      </c>
    </row>
    <row r="30"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0</v>
      </c>
      <c r="G30" s="7">
        <f t="shared" si="3"/>
        <v>100</v>
      </c>
      <c r="H30" s="7">
        <f t="shared" si="4"/>
        <v>0</v>
      </c>
      <c r="I30" s="7">
        <f t="shared" si="5"/>
        <v>150</v>
      </c>
      <c r="J30" s="7">
        <f t="shared" si="6"/>
        <v>0</v>
      </c>
      <c r="K30" s="7">
        <f t="shared" si="7"/>
        <v>200</v>
      </c>
      <c r="L30" s="7">
        <f t="shared" si="8"/>
        <v>0</v>
      </c>
      <c r="M30" s="7">
        <f t="shared" si="9"/>
        <v>300</v>
      </c>
      <c r="N30" s="7">
        <f t="shared" si="10"/>
        <v>0</v>
      </c>
      <c r="O30" s="7">
        <f t="shared" si="11"/>
        <v>400</v>
      </c>
      <c r="P30" s="7">
        <f t="shared" si="12"/>
        <v>0</v>
      </c>
      <c r="Q30" s="7">
        <f t="shared" si="13"/>
        <v>500</v>
      </c>
      <c r="R30" s="7">
        <f t="shared" si="14"/>
        <v>0</v>
      </c>
      <c r="S30" s="7">
        <f t="shared" si="15"/>
        <v>600</v>
      </c>
      <c r="T30" s="7">
        <f t="shared" si="16"/>
        <v>0</v>
      </c>
      <c r="U30" s="7">
        <f t="shared" si="17"/>
        <v>700</v>
      </c>
      <c r="V30" s="7">
        <f t="shared" si="18"/>
        <v>0</v>
      </c>
      <c r="W30" s="7">
        <f t="shared" si="19"/>
        <v>800</v>
      </c>
      <c r="X30" s="7">
        <f t="shared" si="20"/>
        <v>0</v>
      </c>
      <c r="Y30" s="7">
        <f t="shared" si="21"/>
        <v>900</v>
      </c>
      <c r="Z30" s="7">
        <f t="shared" si="22"/>
        <v>0</v>
      </c>
    </row>
    <row r="31"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0</v>
      </c>
      <c r="G31" s="7">
        <f t="shared" si="3"/>
        <v>100</v>
      </c>
      <c r="H31" s="7">
        <f t="shared" si="4"/>
        <v>0</v>
      </c>
      <c r="I31" s="7">
        <f t="shared" si="5"/>
        <v>150</v>
      </c>
      <c r="J31" s="7">
        <f t="shared" si="6"/>
        <v>0</v>
      </c>
      <c r="K31" s="7">
        <f t="shared" si="7"/>
        <v>200</v>
      </c>
      <c r="L31" s="7">
        <f t="shared" si="8"/>
        <v>0</v>
      </c>
      <c r="M31" s="7">
        <f t="shared" si="9"/>
        <v>300</v>
      </c>
      <c r="N31" s="7">
        <f t="shared" si="10"/>
        <v>0</v>
      </c>
      <c r="O31" s="7">
        <f t="shared" si="11"/>
        <v>400</v>
      </c>
      <c r="P31" s="7">
        <f t="shared" si="12"/>
        <v>0</v>
      </c>
      <c r="Q31" s="7">
        <f t="shared" si="13"/>
        <v>500</v>
      </c>
      <c r="R31" s="7">
        <f t="shared" si="14"/>
        <v>0</v>
      </c>
      <c r="S31" s="7">
        <f t="shared" si="15"/>
        <v>600</v>
      </c>
      <c r="T31" s="7">
        <f t="shared" si="16"/>
        <v>0</v>
      </c>
      <c r="U31" s="7">
        <f t="shared" si="17"/>
        <v>700</v>
      </c>
      <c r="V31" s="7">
        <f t="shared" si="18"/>
        <v>0</v>
      </c>
      <c r="W31" s="7">
        <f t="shared" si="19"/>
        <v>800</v>
      </c>
      <c r="X31" s="7">
        <f t="shared" si="20"/>
        <v>0</v>
      </c>
      <c r="Y31" s="7">
        <f t="shared" si="21"/>
        <v>900</v>
      </c>
      <c r="Z31" s="7">
        <f t="shared" si="22"/>
        <v>0</v>
      </c>
    </row>
    <row r="32"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0</v>
      </c>
      <c r="G32" s="7">
        <f t="shared" si="3"/>
        <v>100</v>
      </c>
      <c r="H32" s="7">
        <f t="shared" si="4"/>
        <v>0</v>
      </c>
      <c r="I32" s="7">
        <f t="shared" si="5"/>
        <v>150</v>
      </c>
      <c r="J32" s="7">
        <f t="shared" si="6"/>
        <v>0</v>
      </c>
      <c r="K32" s="7">
        <f t="shared" si="7"/>
        <v>200</v>
      </c>
      <c r="L32" s="7">
        <f t="shared" si="8"/>
        <v>0</v>
      </c>
      <c r="M32" s="7">
        <f t="shared" si="9"/>
        <v>300</v>
      </c>
      <c r="N32" s="7">
        <f t="shared" si="10"/>
        <v>0</v>
      </c>
      <c r="O32" s="7">
        <f t="shared" si="11"/>
        <v>400</v>
      </c>
      <c r="P32" s="7">
        <f t="shared" si="12"/>
        <v>0</v>
      </c>
      <c r="Q32" s="7">
        <f t="shared" si="13"/>
        <v>500</v>
      </c>
      <c r="R32" s="7">
        <f t="shared" si="14"/>
        <v>0</v>
      </c>
      <c r="S32" s="7">
        <f t="shared" si="15"/>
        <v>600</v>
      </c>
      <c r="T32" s="7">
        <f t="shared" si="16"/>
        <v>0</v>
      </c>
      <c r="U32" s="7">
        <f t="shared" si="17"/>
        <v>700</v>
      </c>
      <c r="V32" s="7">
        <f t="shared" si="18"/>
        <v>0</v>
      </c>
      <c r="W32" s="7">
        <f t="shared" si="19"/>
        <v>800</v>
      </c>
      <c r="X32" s="7">
        <f t="shared" si="20"/>
        <v>0</v>
      </c>
      <c r="Y32" s="7">
        <f t="shared" si="21"/>
        <v>900</v>
      </c>
      <c r="Z32" s="7">
        <f t="shared" si="22"/>
        <v>0</v>
      </c>
    </row>
    <row r="33"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0</v>
      </c>
      <c r="G33" s="7">
        <f t="shared" si="3"/>
        <v>100</v>
      </c>
      <c r="H33" s="7">
        <f t="shared" si="4"/>
        <v>0</v>
      </c>
      <c r="I33" s="7">
        <f t="shared" si="5"/>
        <v>150</v>
      </c>
      <c r="J33" s="7">
        <f t="shared" si="6"/>
        <v>0</v>
      </c>
      <c r="K33" s="7">
        <f t="shared" si="7"/>
        <v>200</v>
      </c>
      <c r="L33" s="7">
        <f t="shared" si="8"/>
        <v>0</v>
      </c>
      <c r="M33" s="7">
        <f t="shared" si="9"/>
        <v>300</v>
      </c>
      <c r="N33" s="7">
        <f t="shared" si="10"/>
        <v>0</v>
      </c>
      <c r="O33" s="7">
        <f t="shared" si="11"/>
        <v>400</v>
      </c>
      <c r="P33" s="7">
        <f t="shared" si="12"/>
        <v>0</v>
      </c>
      <c r="Q33" s="7">
        <f t="shared" si="13"/>
        <v>500</v>
      </c>
      <c r="R33" s="7">
        <f t="shared" si="14"/>
        <v>0</v>
      </c>
      <c r="S33" s="7">
        <f t="shared" si="15"/>
        <v>600</v>
      </c>
      <c r="T33" s="7">
        <f t="shared" si="16"/>
        <v>0</v>
      </c>
      <c r="U33" s="7">
        <f t="shared" si="17"/>
        <v>700</v>
      </c>
      <c r="V33" s="7">
        <f t="shared" si="18"/>
        <v>0</v>
      </c>
      <c r="W33" s="7">
        <f t="shared" si="19"/>
        <v>800</v>
      </c>
      <c r="X33" s="7">
        <f t="shared" si="20"/>
        <v>0</v>
      </c>
      <c r="Y33" s="7">
        <f t="shared" si="21"/>
        <v>900</v>
      </c>
      <c r="Z33" s="7">
        <f t="shared" si="22"/>
        <v>0</v>
      </c>
    </row>
    <row r="34"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0</v>
      </c>
      <c r="G34" s="7">
        <f t="shared" si="3"/>
        <v>100</v>
      </c>
      <c r="H34" s="7">
        <f t="shared" si="4"/>
        <v>0</v>
      </c>
      <c r="I34" s="7">
        <f t="shared" si="5"/>
        <v>150</v>
      </c>
      <c r="J34" s="7">
        <f t="shared" si="6"/>
        <v>0</v>
      </c>
      <c r="K34" s="7">
        <f t="shared" si="7"/>
        <v>200</v>
      </c>
      <c r="L34" s="7">
        <f t="shared" si="8"/>
        <v>0</v>
      </c>
      <c r="M34" s="7">
        <f t="shared" si="9"/>
        <v>300</v>
      </c>
      <c r="N34" s="7">
        <f t="shared" si="10"/>
        <v>0</v>
      </c>
      <c r="O34" s="7">
        <f t="shared" si="11"/>
        <v>400</v>
      </c>
      <c r="P34" s="7">
        <f t="shared" si="12"/>
        <v>0</v>
      </c>
      <c r="Q34" s="7">
        <f t="shared" si="13"/>
        <v>500</v>
      </c>
      <c r="R34" s="7">
        <f t="shared" si="14"/>
        <v>0</v>
      </c>
      <c r="S34" s="7">
        <f t="shared" si="15"/>
        <v>600</v>
      </c>
      <c r="T34" s="7">
        <f t="shared" si="16"/>
        <v>0</v>
      </c>
      <c r="U34" s="7">
        <f t="shared" si="17"/>
        <v>700</v>
      </c>
      <c r="V34" s="7">
        <f t="shared" si="18"/>
        <v>0</v>
      </c>
      <c r="W34" s="7">
        <f t="shared" si="19"/>
        <v>800</v>
      </c>
      <c r="X34" s="7">
        <f t="shared" si="20"/>
        <v>0</v>
      </c>
      <c r="Y34" s="7">
        <f t="shared" si="21"/>
        <v>900</v>
      </c>
      <c r="Z34" s="7">
        <f t="shared" si="22"/>
        <v>0</v>
      </c>
    </row>
    <row r="35"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0</v>
      </c>
      <c r="G35" s="7">
        <f t="shared" si="3"/>
        <v>100</v>
      </c>
      <c r="H35" s="7">
        <f t="shared" si="4"/>
        <v>0</v>
      </c>
      <c r="I35" s="7">
        <f t="shared" si="5"/>
        <v>150</v>
      </c>
      <c r="J35" s="7">
        <f t="shared" si="6"/>
        <v>0</v>
      </c>
      <c r="K35" s="7">
        <f t="shared" si="7"/>
        <v>200</v>
      </c>
      <c r="L35" s="7">
        <f t="shared" si="8"/>
        <v>0</v>
      </c>
      <c r="M35" s="7">
        <f t="shared" si="9"/>
        <v>300</v>
      </c>
      <c r="N35" s="7">
        <f t="shared" si="10"/>
        <v>0</v>
      </c>
      <c r="O35" s="7">
        <f t="shared" si="11"/>
        <v>400</v>
      </c>
      <c r="P35" s="7">
        <f t="shared" si="12"/>
        <v>0</v>
      </c>
      <c r="Q35" s="7">
        <f t="shared" si="13"/>
        <v>500</v>
      </c>
      <c r="R35" s="7">
        <f t="shared" si="14"/>
        <v>0</v>
      </c>
      <c r="S35" s="7">
        <f t="shared" si="15"/>
        <v>600</v>
      </c>
      <c r="T35" s="7">
        <f t="shared" si="16"/>
        <v>0</v>
      </c>
      <c r="U35" s="7">
        <f t="shared" si="17"/>
        <v>700</v>
      </c>
      <c r="V35" s="7">
        <f t="shared" si="18"/>
        <v>0</v>
      </c>
      <c r="W35" s="7">
        <f t="shared" si="19"/>
        <v>800</v>
      </c>
      <c r="X35" s="7">
        <f t="shared" si="20"/>
        <v>0</v>
      </c>
      <c r="Y35" s="7">
        <f t="shared" si="21"/>
        <v>900</v>
      </c>
      <c r="Z35" s="7">
        <f t="shared" si="22"/>
        <v>0</v>
      </c>
    </row>
    <row r="36"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0</v>
      </c>
      <c r="G36" s="7">
        <f t="shared" si="3"/>
        <v>100</v>
      </c>
      <c r="H36" s="7">
        <f t="shared" si="4"/>
        <v>0</v>
      </c>
      <c r="I36" s="7">
        <f t="shared" si="5"/>
        <v>150</v>
      </c>
      <c r="J36" s="7">
        <f t="shared" si="6"/>
        <v>0</v>
      </c>
      <c r="K36" s="7">
        <f t="shared" si="7"/>
        <v>200</v>
      </c>
      <c r="L36" s="7">
        <f t="shared" si="8"/>
        <v>0</v>
      </c>
      <c r="M36" s="7">
        <f t="shared" si="9"/>
        <v>300</v>
      </c>
      <c r="N36" s="7">
        <f t="shared" si="10"/>
        <v>0</v>
      </c>
      <c r="O36" s="7">
        <f t="shared" si="11"/>
        <v>400</v>
      </c>
      <c r="P36" s="7">
        <f t="shared" si="12"/>
        <v>0</v>
      </c>
      <c r="Q36" s="7">
        <f t="shared" si="13"/>
        <v>500</v>
      </c>
      <c r="R36" s="7">
        <f t="shared" si="14"/>
        <v>0</v>
      </c>
      <c r="S36" s="7">
        <f t="shared" si="15"/>
        <v>600</v>
      </c>
      <c r="T36" s="7">
        <f t="shared" si="16"/>
        <v>0</v>
      </c>
      <c r="U36" s="7">
        <f t="shared" si="17"/>
        <v>700</v>
      </c>
      <c r="V36" s="7">
        <f t="shared" si="18"/>
        <v>0</v>
      </c>
      <c r="W36" s="7">
        <f t="shared" si="19"/>
        <v>800</v>
      </c>
      <c r="X36" s="7">
        <f t="shared" si="20"/>
        <v>0</v>
      </c>
      <c r="Y36" s="7">
        <f t="shared" si="21"/>
        <v>900</v>
      </c>
      <c r="Z36" s="7">
        <f t="shared" si="22"/>
        <v>0</v>
      </c>
    </row>
    <row r="37"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0</v>
      </c>
      <c r="G37" s="7">
        <f t="shared" si="3"/>
        <v>100</v>
      </c>
      <c r="H37" s="7">
        <f t="shared" si="4"/>
        <v>0</v>
      </c>
      <c r="I37" s="7">
        <f t="shared" si="5"/>
        <v>150</v>
      </c>
      <c r="J37" s="7">
        <f t="shared" si="6"/>
        <v>0</v>
      </c>
      <c r="K37" s="7">
        <f t="shared" si="7"/>
        <v>200</v>
      </c>
      <c r="L37" s="7">
        <f t="shared" si="8"/>
        <v>0</v>
      </c>
      <c r="M37" s="7">
        <f t="shared" si="9"/>
        <v>300</v>
      </c>
      <c r="N37" s="7">
        <f t="shared" si="10"/>
        <v>0</v>
      </c>
      <c r="O37" s="7">
        <f t="shared" si="11"/>
        <v>400</v>
      </c>
      <c r="P37" s="7">
        <f t="shared" si="12"/>
        <v>0</v>
      </c>
      <c r="Q37" s="7">
        <f t="shared" si="13"/>
        <v>500</v>
      </c>
      <c r="R37" s="7">
        <f t="shared" si="14"/>
        <v>0</v>
      </c>
      <c r="S37" s="7">
        <f t="shared" si="15"/>
        <v>600</v>
      </c>
      <c r="T37" s="7">
        <f t="shared" si="16"/>
        <v>0</v>
      </c>
      <c r="U37" s="7">
        <f t="shared" si="17"/>
        <v>700</v>
      </c>
      <c r="V37" s="7">
        <f t="shared" si="18"/>
        <v>0</v>
      </c>
      <c r="W37" s="7">
        <f t="shared" si="19"/>
        <v>800</v>
      </c>
      <c r="X37" s="7">
        <f t="shared" si="20"/>
        <v>0</v>
      </c>
      <c r="Y37" s="7">
        <f t="shared" si="21"/>
        <v>900</v>
      </c>
      <c r="Z37" s="7">
        <f t="shared" si="22"/>
        <v>0</v>
      </c>
    </row>
    <row r="38"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0</v>
      </c>
      <c r="G38" s="7">
        <f t="shared" si="3"/>
        <v>100</v>
      </c>
      <c r="H38" s="7">
        <f t="shared" si="4"/>
        <v>0</v>
      </c>
      <c r="I38" s="7">
        <f t="shared" si="5"/>
        <v>150</v>
      </c>
      <c r="J38" s="7">
        <f t="shared" si="6"/>
        <v>0</v>
      </c>
      <c r="K38" s="7">
        <f t="shared" si="7"/>
        <v>200</v>
      </c>
      <c r="L38" s="7">
        <f t="shared" si="8"/>
        <v>0</v>
      </c>
      <c r="M38" s="7">
        <f t="shared" si="9"/>
        <v>300</v>
      </c>
      <c r="N38" s="7">
        <f t="shared" si="10"/>
        <v>0</v>
      </c>
      <c r="O38" s="7">
        <f t="shared" si="11"/>
        <v>400</v>
      </c>
      <c r="P38" s="7">
        <f t="shared" si="12"/>
        <v>0</v>
      </c>
      <c r="Q38" s="7">
        <f t="shared" si="13"/>
        <v>500</v>
      </c>
      <c r="R38" s="7">
        <f t="shared" si="14"/>
        <v>0</v>
      </c>
      <c r="S38" s="7">
        <f t="shared" si="15"/>
        <v>600</v>
      </c>
      <c r="T38" s="7">
        <f t="shared" si="16"/>
        <v>0</v>
      </c>
      <c r="U38" s="7">
        <f t="shared" si="17"/>
        <v>700</v>
      </c>
      <c r="V38" s="7">
        <f t="shared" si="18"/>
        <v>0</v>
      </c>
      <c r="W38" s="7">
        <f t="shared" si="19"/>
        <v>800</v>
      </c>
      <c r="X38" s="7">
        <f t="shared" si="20"/>
        <v>0</v>
      </c>
      <c r="Y38" s="7">
        <f t="shared" si="21"/>
        <v>900</v>
      </c>
      <c r="Z38" s="7">
        <f t="shared" si="22"/>
        <v>0</v>
      </c>
    </row>
    <row r="39"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0</v>
      </c>
      <c r="G39" s="7">
        <f t="shared" si="3"/>
        <v>100</v>
      </c>
      <c r="H39" s="7">
        <f t="shared" si="4"/>
        <v>0</v>
      </c>
      <c r="I39" s="7">
        <f t="shared" si="5"/>
        <v>150</v>
      </c>
      <c r="J39" s="7">
        <f t="shared" si="6"/>
        <v>0</v>
      </c>
      <c r="K39" s="7">
        <f t="shared" si="7"/>
        <v>200</v>
      </c>
      <c r="L39" s="7">
        <f t="shared" si="8"/>
        <v>0</v>
      </c>
      <c r="M39" s="7">
        <f t="shared" si="9"/>
        <v>300</v>
      </c>
      <c r="N39" s="7">
        <f t="shared" si="10"/>
        <v>0</v>
      </c>
      <c r="O39" s="7">
        <f t="shared" si="11"/>
        <v>400</v>
      </c>
      <c r="P39" s="7">
        <f t="shared" si="12"/>
        <v>0</v>
      </c>
      <c r="Q39" s="7">
        <f t="shared" si="13"/>
        <v>500</v>
      </c>
      <c r="R39" s="7">
        <f t="shared" si="14"/>
        <v>0</v>
      </c>
      <c r="S39" s="7">
        <f t="shared" si="15"/>
        <v>600</v>
      </c>
      <c r="T39" s="7">
        <f t="shared" si="16"/>
        <v>0</v>
      </c>
      <c r="U39" s="7">
        <f t="shared" si="17"/>
        <v>700</v>
      </c>
      <c r="V39" s="7">
        <f t="shared" si="18"/>
        <v>0</v>
      </c>
      <c r="W39" s="7">
        <f t="shared" si="19"/>
        <v>800</v>
      </c>
      <c r="X39" s="7">
        <f t="shared" si="20"/>
        <v>0</v>
      </c>
      <c r="Y39" s="7">
        <f t="shared" si="21"/>
        <v>900</v>
      </c>
      <c r="Z39" s="7">
        <f t="shared" si="22"/>
        <v>0</v>
      </c>
    </row>
    <row r="40"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0</v>
      </c>
      <c r="G40" s="7">
        <f t="shared" si="3"/>
        <v>100</v>
      </c>
      <c r="H40" s="7">
        <f t="shared" si="4"/>
        <v>0</v>
      </c>
      <c r="I40" s="7">
        <f t="shared" si="5"/>
        <v>150</v>
      </c>
      <c r="J40" s="7">
        <f t="shared" si="6"/>
        <v>0</v>
      </c>
      <c r="K40" s="7">
        <f t="shared" si="7"/>
        <v>200</v>
      </c>
      <c r="L40" s="7">
        <f t="shared" si="8"/>
        <v>0</v>
      </c>
      <c r="M40" s="7">
        <f t="shared" si="9"/>
        <v>300</v>
      </c>
      <c r="N40" s="7">
        <f t="shared" si="10"/>
        <v>0</v>
      </c>
      <c r="O40" s="7">
        <f t="shared" si="11"/>
        <v>400</v>
      </c>
      <c r="P40" s="7">
        <f t="shared" si="12"/>
        <v>0</v>
      </c>
      <c r="Q40" s="7">
        <f t="shared" si="13"/>
        <v>500</v>
      </c>
      <c r="R40" s="7">
        <f t="shared" si="14"/>
        <v>0</v>
      </c>
      <c r="S40" s="7">
        <f t="shared" si="15"/>
        <v>600</v>
      </c>
      <c r="T40" s="7">
        <f t="shared" si="16"/>
        <v>0</v>
      </c>
      <c r="U40" s="7">
        <f t="shared" si="17"/>
        <v>700</v>
      </c>
      <c r="V40" s="7">
        <f t="shared" si="18"/>
        <v>0</v>
      </c>
      <c r="W40" s="7">
        <f t="shared" si="19"/>
        <v>800</v>
      </c>
      <c r="X40" s="7">
        <f t="shared" si="20"/>
        <v>0</v>
      </c>
      <c r="Y40" s="7">
        <f t="shared" si="21"/>
        <v>900</v>
      </c>
      <c r="Z40" s="7">
        <f t="shared" si="22"/>
        <v>0</v>
      </c>
    </row>
    <row r="41"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0</v>
      </c>
      <c r="G41" s="7">
        <f t="shared" si="3"/>
        <v>100</v>
      </c>
      <c r="H41" s="7">
        <f t="shared" si="4"/>
        <v>0</v>
      </c>
      <c r="I41" s="7">
        <f t="shared" si="5"/>
        <v>150</v>
      </c>
      <c r="J41" s="7">
        <f t="shared" si="6"/>
        <v>0</v>
      </c>
      <c r="K41" s="7">
        <f t="shared" si="7"/>
        <v>200</v>
      </c>
      <c r="L41" s="7">
        <f t="shared" si="8"/>
        <v>0</v>
      </c>
      <c r="M41" s="7">
        <f t="shared" si="9"/>
        <v>300</v>
      </c>
      <c r="N41" s="7">
        <f t="shared" si="10"/>
        <v>0</v>
      </c>
      <c r="O41" s="7">
        <f t="shared" si="11"/>
        <v>400</v>
      </c>
      <c r="P41" s="7">
        <f t="shared" si="12"/>
        <v>0</v>
      </c>
      <c r="Q41" s="7">
        <f t="shared" si="13"/>
        <v>500</v>
      </c>
      <c r="R41" s="7">
        <f t="shared" si="14"/>
        <v>0</v>
      </c>
      <c r="S41" s="7">
        <f t="shared" si="15"/>
        <v>600</v>
      </c>
      <c r="T41" s="7">
        <f t="shared" si="16"/>
        <v>0</v>
      </c>
      <c r="U41" s="7">
        <f t="shared" si="17"/>
        <v>700</v>
      </c>
      <c r="V41" s="7">
        <f t="shared" si="18"/>
        <v>0</v>
      </c>
      <c r="W41" s="7">
        <f t="shared" si="19"/>
        <v>800</v>
      </c>
      <c r="X41" s="7">
        <f t="shared" si="20"/>
        <v>0</v>
      </c>
      <c r="Y41" s="7">
        <f t="shared" si="21"/>
        <v>900</v>
      </c>
      <c r="Z41" s="7">
        <f t="shared" si="22"/>
        <v>0</v>
      </c>
    </row>
    <row r="42"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0</v>
      </c>
      <c r="G42" s="7">
        <f t="shared" si="3"/>
        <v>100</v>
      </c>
      <c r="H42" s="7">
        <f t="shared" si="4"/>
        <v>0</v>
      </c>
      <c r="I42" s="7">
        <f t="shared" si="5"/>
        <v>150</v>
      </c>
      <c r="J42" s="7">
        <f t="shared" si="6"/>
        <v>0</v>
      </c>
      <c r="K42" s="7">
        <f t="shared" si="7"/>
        <v>200</v>
      </c>
      <c r="L42" s="7">
        <f t="shared" si="8"/>
        <v>0</v>
      </c>
      <c r="M42" s="7">
        <f t="shared" si="9"/>
        <v>300</v>
      </c>
      <c r="N42" s="7">
        <f t="shared" si="10"/>
        <v>0</v>
      </c>
      <c r="O42" s="7">
        <f t="shared" si="11"/>
        <v>400</v>
      </c>
      <c r="P42" s="7">
        <f t="shared" si="12"/>
        <v>0</v>
      </c>
      <c r="Q42" s="7">
        <f t="shared" si="13"/>
        <v>500</v>
      </c>
      <c r="R42" s="7">
        <f t="shared" si="14"/>
        <v>0</v>
      </c>
      <c r="S42" s="7">
        <f t="shared" si="15"/>
        <v>600</v>
      </c>
      <c r="T42" s="7">
        <f t="shared" si="16"/>
        <v>0</v>
      </c>
      <c r="U42" s="7">
        <f t="shared" si="17"/>
        <v>700</v>
      </c>
      <c r="V42" s="7">
        <f t="shared" si="18"/>
        <v>0</v>
      </c>
      <c r="W42" s="7">
        <f t="shared" si="19"/>
        <v>800</v>
      </c>
      <c r="X42" s="7">
        <f t="shared" si="20"/>
        <v>0</v>
      </c>
      <c r="Y42" s="7">
        <f t="shared" si="21"/>
        <v>900</v>
      </c>
      <c r="Z42" s="7">
        <f t="shared" si="22"/>
        <v>0</v>
      </c>
    </row>
    <row r="43"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0</v>
      </c>
      <c r="G43" s="7">
        <f t="shared" si="3"/>
        <v>100</v>
      </c>
      <c r="H43" s="7">
        <f t="shared" si="4"/>
        <v>0</v>
      </c>
      <c r="I43" s="7">
        <f t="shared" si="5"/>
        <v>150</v>
      </c>
      <c r="J43" s="7">
        <f t="shared" si="6"/>
        <v>0</v>
      </c>
      <c r="K43" s="7">
        <f t="shared" si="7"/>
        <v>200</v>
      </c>
      <c r="L43" s="7">
        <f t="shared" si="8"/>
        <v>0</v>
      </c>
      <c r="M43" s="7">
        <f t="shared" si="9"/>
        <v>300</v>
      </c>
      <c r="N43" s="7">
        <f t="shared" si="10"/>
        <v>0</v>
      </c>
      <c r="O43" s="7">
        <f t="shared" si="11"/>
        <v>400</v>
      </c>
      <c r="P43" s="7">
        <f t="shared" si="12"/>
        <v>0</v>
      </c>
      <c r="Q43" s="7">
        <f t="shared" si="13"/>
        <v>500</v>
      </c>
      <c r="R43" s="7">
        <f t="shared" si="14"/>
        <v>0</v>
      </c>
      <c r="S43" s="7">
        <f t="shared" si="15"/>
        <v>600</v>
      </c>
      <c r="T43" s="7">
        <f t="shared" si="16"/>
        <v>0</v>
      </c>
      <c r="U43" s="7">
        <f t="shared" si="17"/>
        <v>700</v>
      </c>
      <c r="V43" s="7">
        <f t="shared" si="18"/>
        <v>0</v>
      </c>
      <c r="W43" s="7">
        <f t="shared" si="19"/>
        <v>800</v>
      </c>
      <c r="X43" s="7">
        <f t="shared" si="20"/>
        <v>0</v>
      </c>
      <c r="Y43" s="7">
        <f t="shared" si="21"/>
        <v>900</v>
      </c>
      <c r="Z43" s="7">
        <f t="shared" si="22"/>
        <v>0</v>
      </c>
    </row>
    <row r="44"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0</v>
      </c>
      <c r="G44" s="7">
        <f t="shared" si="3"/>
        <v>100</v>
      </c>
      <c r="H44" s="7">
        <f t="shared" si="4"/>
        <v>0</v>
      </c>
      <c r="I44" s="7">
        <f t="shared" si="5"/>
        <v>150</v>
      </c>
      <c r="J44" s="7">
        <f t="shared" si="6"/>
        <v>0</v>
      </c>
      <c r="K44" s="7">
        <f t="shared" si="7"/>
        <v>200</v>
      </c>
      <c r="L44" s="7">
        <f t="shared" si="8"/>
        <v>0</v>
      </c>
      <c r="M44" s="7">
        <f t="shared" si="9"/>
        <v>300</v>
      </c>
      <c r="N44" s="7">
        <f t="shared" si="10"/>
        <v>0</v>
      </c>
      <c r="O44" s="7">
        <f t="shared" si="11"/>
        <v>400</v>
      </c>
      <c r="P44" s="7">
        <f t="shared" si="12"/>
        <v>0</v>
      </c>
      <c r="Q44" s="7">
        <f t="shared" si="13"/>
        <v>500</v>
      </c>
      <c r="R44" s="7">
        <f t="shared" si="14"/>
        <v>0</v>
      </c>
      <c r="S44" s="7">
        <f t="shared" si="15"/>
        <v>600</v>
      </c>
      <c r="T44" s="7">
        <f t="shared" si="16"/>
        <v>0</v>
      </c>
      <c r="U44" s="7">
        <f t="shared" si="17"/>
        <v>700</v>
      </c>
      <c r="V44" s="7">
        <f t="shared" si="18"/>
        <v>0</v>
      </c>
      <c r="W44" s="7">
        <f t="shared" si="19"/>
        <v>800</v>
      </c>
      <c r="X44" s="7">
        <f t="shared" si="20"/>
        <v>0</v>
      </c>
      <c r="Y44" s="7">
        <f t="shared" si="21"/>
        <v>900</v>
      </c>
      <c r="Z44" s="7">
        <f t="shared" si="22"/>
        <v>0</v>
      </c>
    </row>
    <row r="45"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0</v>
      </c>
      <c r="G45" s="7">
        <f t="shared" si="3"/>
        <v>100</v>
      </c>
      <c r="H45" s="7">
        <f t="shared" si="4"/>
        <v>0</v>
      </c>
      <c r="I45" s="7">
        <f t="shared" si="5"/>
        <v>150</v>
      </c>
      <c r="J45" s="7">
        <f t="shared" si="6"/>
        <v>0</v>
      </c>
      <c r="K45" s="7">
        <f t="shared" si="7"/>
        <v>200</v>
      </c>
      <c r="L45" s="7">
        <f t="shared" si="8"/>
        <v>0</v>
      </c>
      <c r="M45" s="7">
        <f t="shared" si="9"/>
        <v>300</v>
      </c>
      <c r="N45" s="7">
        <f t="shared" si="10"/>
        <v>0</v>
      </c>
      <c r="O45" s="7">
        <f t="shared" si="11"/>
        <v>400</v>
      </c>
      <c r="P45" s="7">
        <f t="shared" si="12"/>
        <v>0</v>
      </c>
      <c r="Q45" s="7">
        <f t="shared" si="13"/>
        <v>500</v>
      </c>
      <c r="R45" s="7">
        <f t="shared" si="14"/>
        <v>0</v>
      </c>
      <c r="S45" s="7">
        <f t="shared" si="15"/>
        <v>600</v>
      </c>
      <c r="T45" s="7">
        <f t="shared" si="16"/>
        <v>0</v>
      </c>
      <c r="U45" s="7">
        <f t="shared" si="17"/>
        <v>700</v>
      </c>
      <c r="V45" s="7">
        <f t="shared" si="18"/>
        <v>0</v>
      </c>
      <c r="W45" s="7">
        <f t="shared" si="19"/>
        <v>800</v>
      </c>
      <c r="X45" s="7">
        <f t="shared" si="20"/>
        <v>0</v>
      </c>
      <c r="Y45" s="7">
        <f t="shared" si="21"/>
        <v>900</v>
      </c>
      <c r="Z45" s="7">
        <f t="shared" si="22"/>
        <v>0</v>
      </c>
    </row>
    <row r="46"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0</v>
      </c>
      <c r="G46" s="7">
        <f t="shared" si="3"/>
        <v>100</v>
      </c>
      <c r="H46" s="7">
        <f t="shared" si="4"/>
        <v>0</v>
      </c>
      <c r="I46" s="7">
        <f t="shared" si="5"/>
        <v>150</v>
      </c>
      <c r="J46" s="7">
        <f t="shared" si="6"/>
        <v>0</v>
      </c>
      <c r="K46" s="7">
        <f t="shared" si="7"/>
        <v>200</v>
      </c>
      <c r="L46" s="7">
        <f t="shared" si="8"/>
        <v>0</v>
      </c>
      <c r="M46" s="7">
        <f t="shared" si="9"/>
        <v>300</v>
      </c>
      <c r="N46" s="7">
        <f t="shared" si="10"/>
        <v>0</v>
      </c>
      <c r="O46" s="7">
        <f t="shared" si="11"/>
        <v>400</v>
      </c>
      <c r="P46" s="7">
        <f t="shared" si="12"/>
        <v>0</v>
      </c>
      <c r="Q46" s="7">
        <f t="shared" si="13"/>
        <v>500</v>
      </c>
      <c r="R46" s="7">
        <f t="shared" si="14"/>
        <v>0</v>
      </c>
      <c r="S46" s="7">
        <f t="shared" si="15"/>
        <v>600</v>
      </c>
      <c r="T46" s="7">
        <f t="shared" si="16"/>
        <v>0</v>
      </c>
      <c r="U46" s="7">
        <f t="shared" si="17"/>
        <v>700</v>
      </c>
      <c r="V46" s="7">
        <f t="shared" si="18"/>
        <v>0</v>
      </c>
      <c r="W46" s="7">
        <f t="shared" si="19"/>
        <v>800</v>
      </c>
      <c r="X46" s="7">
        <f t="shared" si="20"/>
        <v>0</v>
      </c>
      <c r="Y46" s="7">
        <f t="shared" si="21"/>
        <v>900</v>
      </c>
      <c r="Z46" s="7">
        <f t="shared" si="22"/>
        <v>0</v>
      </c>
    </row>
    <row r="47"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0</v>
      </c>
      <c r="G47" s="7">
        <f t="shared" si="3"/>
        <v>100</v>
      </c>
      <c r="H47" s="7">
        <f t="shared" si="4"/>
        <v>0</v>
      </c>
      <c r="I47" s="7">
        <f t="shared" si="5"/>
        <v>150</v>
      </c>
      <c r="J47" s="7">
        <f t="shared" si="6"/>
        <v>0</v>
      </c>
      <c r="K47" s="7">
        <f t="shared" si="7"/>
        <v>200</v>
      </c>
      <c r="L47" s="7">
        <f t="shared" si="8"/>
        <v>0</v>
      </c>
      <c r="M47" s="7">
        <f t="shared" si="9"/>
        <v>300</v>
      </c>
      <c r="N47" s="7">
        <f t="shared" si="10"/>
        <v>0</v>
      </c>
      <c r="O47" s="7">
        <f t="shared" si="11"/>
        <v>400</v>
      </c>
      <c r="P47" s="7">
        <f t="shared" si="12"/>
        <v>0</v>
      </c>
      <c r="Q47" s="7">
        <f t="shared" si="13"/>
        <v>500</v>
      </c>
      <c r="R47" s="7">
        <f t="shared" si="14"/>
        <v>0</v>
      </c>
      <c r="S47" s="7">
        <f t="shared" si="15"/>
        <v>600</v>
      </c>
      <c r="T47" s="7">
        <f t="shared" si="16"/>
        <v>0</v>
      </c>
      <c r="U47" s="7">
        <f t="shared" si="17"/>
        <v>700</v>
      </c>
      <c r="V47" s="7">
        <f t="shared" si="18"/>
        <v>0</v>
      </c>
      <c r="W47" s="7">
        <f t="shared" si="19"/>
        <v>800</v>
      </c>
      <c r="X47" s="7">
        <f t="shared" si="20"/>
        <v>0</v>
      </c>
      <c r="Y47" s="7">
        <f t="shared" si="21"/>
        <v>900</v>
      </c>
      <c r="Z47" s="7">
        <f t="shared" si="22"/>
        <v>0</v>
      </c>
    </row>
    <row r="48"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0</v>
      </c>
      <c r="G48" s="7">
        <f t="shared" si="3"/>
        <v>100</v>
      </c>
      <c r="H48" s="7">
        <f t="shared" si="4"/>
        <v>0</v>
      </c>
      <c r="I48" s="7">
        <f t="shared" si="5"/>
        <v>150</v>
      </c>
      <c r="J48" s="7">
        <f t="shared" si="6"/>
        <v>0</v>
      </c>
      <c r="K48" s="7">
        <f t="shared" si="7"/>
        <v>200</v>
      </c>
      <c r="L48" s="7">
        <f t="shared" si="8"/>
        <v>0</v>
      </c>
      <c r="M48" s="7">
        <f t="shared" si="9"/>
        <v>300</v>
      </c>
      <c r="N48" s="7">
        <f t="shared" si="10"/>
        <v>0</v>
      </c>
      <c r="O48" s="7">
        <f t="shared" si="11"/>
        <v>400</v>
      </c>
      <c r="P48" s="7">
        <f t="shared" si="12"/>
        <v>0</v>
      </c>
      <c r="Q48" s="7">
        <f t="shared" si="13"/>
        <v>500</v>
      </c>
      <c r="R48" s="7">
        <f t="shared" si="14"/>
        <v>0</v>
      </c>
      <c r="S48" s="7">
        <f t="shared" si="15"/>
        <v>600</v>
      </c>
      <c r="T48" s="7">
        <f t="shared" si="16"/>
        <v>0</v>
      </c>
      <c r="U48" s="7">
        <f t="shared" si="17"/>
        <v>700</v>
      </c>
      <c r="V48" s="7">
        <f t="shared" si="18"/>
        <v>0</v>
      </c>
      <c r="W48" s="7">
        <f t="shared" si="19"/>
        <v>800</v>
      </c>
      <c r="X48" s="7">
        <f t="shared" si="20"/>
        <v>0</v>
      </c>
      <c r="Y48" s="7">
        <f t="shared" si="21"/>
        <v>900</v>
      </c>
      <c r="Z48" s="7">
        <f t="shared" si="22"/>
        <v>0</v>
      </c>
    </row>
    <row r="49"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0</v>
      </c>
      <c r="G49" s="7">
        <f t="shared" si="3"/>
        <v>100</v>
      </c>
      <c r="H49" s="7">
        <f t="shared" si="4"/>
        <v>0</v>
      </c>
      <c r="I49" s="7">
        <f t="shared" si="5"/>
        <v>150</v>
      </c>
      <c r="J49" s="7">
        <f t="shared" si="6"/>
        <v>0</v>
      </c>
      <c r="K49" s="7">
        <f t="shared" si="7"/>
        <v>200</v>
      </c>
      <c r="L49" s="7">
        <f t="shared" si="8"/>
        <v>0</v>
      </c>
      <c r="M49" s="7">
        <f t="shared" si="9"/>
        <v>300</v>
      </c>
      <c r="N49" s="7">
        <f t="shared" si="10"/>
        <v>0</v>
      </c>
      <c r="O49" s="7">
        <f t="shared" si="11"/>
        <v>400</v>
      </c>
      <c r="P49" s="7">
        <f t="shared" si="12"/>
        <v>0</v>
      </c>
      <c r="Q49" s="7">
        <f t="shared" si="13"/>
        <v>500</v>
      </c>
      <c r="R49" s="7">
        <f t="shared" si="14"/>
        <v>0</v>
      </c>
      <c r="S49" s="7">
        <f t="shared" si="15"/>
        <v>600</v>
      </c>
      <c r="T49" s="7">
        <f t="shared" si="16"/>
        <v>0</v>
      </c>
      <c r="U49" s="7">
        <f t="shared" si="17"/>
        <v>700</v>
      </c>
      <c r="V49" s="7">
        <f t="shared" si="18"/>
        <v>0</v>
      </c>
      <c r="W49" s="7">
        <f t="shared" si="19"/>
        <v>800</v>
      </c>
      <c r="X49" s="7">
        <f t="shared" si="20"/>
        <v>0</v>
      </c>
      <c r="Y49" s="7">
        <f t="shared" si="21"/>
        <v>900</v>
      </c>
      <c r="Z49" s="7">
        <f t="shared" si="22"/>
        <v>0</v>
      </c>
    </row>
    <row r="50"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0</v>
      </c>
      <c r="G50" s="7">
        <f t="shared" si="3"/>
        <v>100</v>
      </c>
      <c r="H50" s="7">
        <f t="shared" si="4"/>
        <v>0</v>
      </c>
      <c r="I50" s="7">
        <f t="shared" si="5"/>
        <v>150</v>
      </c>
      <c r="J50" s="7">
        <f t="shared" si="6"/>
        <v>0</v>
      </c>
      <c r="K50" s="7">
        <f t="shared" si="7"/>
        <v>200</v>
      </c>
      <c r="L50" s="7">
        <f t="shared" si="8"/>
        <v>0</v>
      </c>
      <c r="M50" s="7">
        <f t="shared" si="9"/>
        <v>300</v>
      </c>
      <c r="N50" s="7">
        <f t="shared" si="10"/>
        <v>0</v>
      </c>
      <c r="O50" s="7">
        <f t="shared" si="11"/>
        <v>400</v>
      </c>
      <c r="P50" s="7">
        <f t="shared" si="12"/>
        <v>0</v>
      </c>
      <c r="Q50" s="7">
        <f t="shared" si="13"/>
        <v>500</v>
      </c>
      <c r="R50" s="7">
        <f t="shared" si="14"/>
        <v>0</v>
      </c>
      <c r="S50" s="7">
        <f t="shared" si="15"/>
        <v>600</v>
      </c>
      <c r="T50" s="7">
        <f t="shared" si="16"/>
        <v>0</v>
      </c>
      <c r="U50" s="7">
        <f t="shared" si="17"/>
        <v>700</v>
      </c>
      <c r="V50" s="7">
        <f t="shared" si="18"/>
        <v>0</v>
      </c>
      <c r="W50" s="7">
        <f t="shared" si="19"/>
        <v>800</v>
      </c>
      <c r="X50" s="7">
        <f t="shared" si="20"/>
        <v>0</v>
      </c>
      <c r="Y50" s="7">
        <f t="shared" si="21"/>
        <v>900</v>
      </c>
      <c r="Z50" s="7">
        <f t="shared" si="22"/>
        <v>0</v>
      </c>
    </row>
    <row r="51"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0</v>
      </c>
      <c r="G51" s="7">
        <f t="shared" si="3"/>
        <v>100</v>
      </c>
      <c r="H51" s="7">
        <f t="shared" si="4"/>
        <v>0</v>
      </c>
      <c r="I51" s="7">
        <f t="shared" si="5"/>
        <v>150</v>
      </c>
      <c r="J51" s="7">
        <f t="shared" si="6"/>
        <v>0</v>
      </c>
      <c r="K51" s="7">
        <f t="shared" si="7"/>
        <v>200</v>
      </c>
      <c r="L51" s="7">
        <f t="shared" si="8"/>
        <v>0</v>
      </c>
      <c r="M51" s="7">
        <f t="shared" si="9"/>
        <v>300</v>
      </c>
      <c r="N51" s="7">
        <f t="shared" si="10"/>
        <v>0</v>
      </c>
      <c r="O51" s="7">
        <f t="shared" si="11"/>
        <v>400</v>
      </c>
      <c r="P51" s="7">
        <f t="shared" si="12"/>
        <v>0</v>
      </c>
      <c r="Q51" s="7">
        <f t="shared" si="13"/>
        <v>500</v>
      </c>
      <c r="R51" s="7">
        <f t="shared" si="14"/>
        <v>0</v>
      </c>
      <c r="S51" s="7">
        <f t="shared" si="15"/>
        <v>600</v>
      </c>
      <c r="T51" s="7">
        <f t="shared" si="16"/>
        <v>0</v>
      </c>
      <c r="U51" s="7">
        <f t="shared" si="17"/>
        <v>700</v>
      </c>
      <c r="V51" s="7">
        <f t="shared" si="18"/>
        <v>0</v>
      </c>
      <c r="W51" s="7">
        <f t="shared" si="19"/>
        <v>800</v>
      </c>
      <c r="X51" s="7">
        <f t="shared" si="20"/>
        <v>0</v>
      </c>
      <c r="Y51" s="7">
        <f t="shared" si="21"/>
        <v>900</v>
      </c>
      <c r="Z51" s="7">
        <f t="shared" si="22"/>
        <v>0</v>
      </c>
    </row>
    <row r="52"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0</v>
      </c>
      <c r="G52" s="7">
        <f t="shared" si="3"/>
        <v>100</v>
      </c>
      <c r="H52" s="7">
        <f t="shared" si="4"/>
        <v>0</v>
      </c>
      <c r="I52" s="7">
        <f t="shared" si="5"/>
        <v>150</v>
      </c>
      <c r="J52" s="7">
        <f t="shared" si="6"/>
        <v>0</v>
      </c>
      <c r="K52" s="7">
        <f t="shared" si="7"/>
        <v>200</v>
      </c>
      <c r="L52" s="7">
        <f t="shared" si="8"/>
        <v>0</v>
      </c>
      <c r="M52" s="7">
        <f t="shared" si="9"/>
        <v>300</v>
      </c>
      <c r="N52" s="7">
        <f t="shared" si="10"/>
        <v>0</v>
      </c>
      <c r="O52" s="7">
        <f t="shared" si="11"/>
        <v>400</v>
      </c>
      <c r="P52" s="7">
        <f t="shared" si="12"/>
        <v>0</v>
      </c>
      <c r="Q52" s="7">
        <f t="shared" si="13"/>
        <v>500</v>
      </c>
      <c r="R52" s="7">
        <f t="shared" si="14"/>
        <v>0</v>
      </c>
      <c r="S52" s="7">
        <f t="shared" si="15"/>
        <v>600</v>
      </c>
      <c r="T52" s="7">
        <f t="shared" si="16"/>
        <v>0</v>
      </c>
      <c r="U52" s="7">
        <f t="shared" si="17"/>
        <v>700</v>
      </c>
      <c r="V52" s="7">
        <f t="shared" si="18"/>
        <v>0</v>
      </c>
      <c r="W52" s="7">
        <f t="shared" si="19"/>
        <v>800</v>
      </c>
      <c r="X52" s="7">
        <f t="shared" si="20"/>
        <v>0</v>
      </c>
      <c r="Y52" s="7">
        <f t="shared" si="21"/>
        <v>900</v>
      </c>
      <c r="Z52" s="7">
        <f t="shared" si="22"/>
        <v>0</v>
      </c>
    </row>
    <row r="53"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0</v>
      </c>
      <c r="G53" s="7">
        <f t="shared" si="3"/>
        <v>100</v>
      </c>
      <c r="H53" s="7">
        <f t="shared" si="4"/>
        <v>0</v>
      </c>
      <c r="I53" s="7">
        <f t="shared" si="5"/>
        <v>150</v>
      </c>
      <c r="J53" s="7">
        <f t="shared" si="6"/>
        <v>0</v>
      </c>
      <c r="K53" s="7">
        <f t="shared" si="7"/>
        <v>200</v>
      </c>
      <c r="L53" s="7">
        <f t="shared" si="8"/>
        <v>0</v>
      </c>
      <c r="M53" s="7">
        <f t="shared" si="9"/>
        <v>300</v>
      </c>
      <c r="N53" s="7">
        <f t="shared" si="10"/>
        <v>0</v>
      </c>
      <c r="O53" s="7">
        <f t="shared" si="11"/>
        <v>400</v>
      </c>
      <c r="P53" s="7">
        <f t="shared" si="12"/>
        <v>0</v>
      </c>
      <c r="Q53" s="7">
        <f t="shared" si="13"/>
        <v>500</v>
      </c>
      <c r="R53" s="7">
        <f t="shared" si="14"/>
        <v>0</v>
      </c>
      <c r="S53" s="7">
        <f t="shared" si="15"/>
        <v>600</v>
      </c>
      <c r="T53" s="7">
        <f t="shared" si="16"/>
        <v>0</v>
      </c>
      <c r="U53" s="7">
        <f t="shared" si="17"/>
        <v>700</v>
      </c>
      <c r="V53" s="7">
        <f t="shared" si="18"/>
        <v>0</v>
      </c>
      <c r="W53" s="7">
        <f t="shared" si="19"/>
        <v>800</v>
      </c>
      <c r="X53" s="7">
        <f t="shared" si="20"/>
        <v>0</v>
      </c>
      <c r="Y53" s="7">
        <f t="shared" si="21"/>
        <v>900</v>
      </c>
      <c r="Z53" s="7">
        <f t="shared" si="22"/>
        <v>0</v>
      </c>
    </row>
    <row r="54"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0</v>
      </c>
      <c r="G54" s="7">
        <f t="shared" si="3"/>
        <v>100</v>
      </c>
      <c r="H54" s="7">
        <f t="shared" si="4"/>
        <v>0</v>
      </c>
      <c r="I54" s="7">
        <f t="shared" si="5"/>
        <v>150</v>
      </c>
      <c r="J54" s="7">
        <f t="shared" si="6"/>
        <v>0</v>
      </c>
      <c r="K54" s="7">
        <f t="shared" si="7"/>
        <v>200</v>
      </c>
      <c r="L54" s="7">
        <f t="shared" si="8"/>
        <v>0</v>
      </c>
      <c r="M54" s="7">
        <f t="shared" si="9"/>
        <v>300</v>
      </c>
      <c r="N54" s="7">
        <f t="shared" si="10"/>
        <v>0</v>
      </c>
      <c r="O54" s="7">
        <f t="shared" si="11"/>
        <v>400</v>
      </c>
      <c r="P54" s="7">
        <f t="shared" si="12"/>
        <v>0</v>
      </c>
      <c r="Q54" s="7">
        <f t="shared" si="13"/>
        <v>500</v>
      </c>
      <c r="R54" s="7">
        <f t="shared" si="14"/>
        <v>0</v>
      </c>
      <c r="S54" s="7">
        <f t="shared" si="15"/>
        <v>600</v>
      </c>
      <c r="T54" s="7">
        <f t="shared" si="16"/>
        <v>0</v>
      </c>
      <c r="U54" s="7">
        <f t="shared" si="17"/>
        <v>700</v>
      </c>
      <c r="V54" s="7">
        <f t="shared" si="18"/>
        <v>0</v>
      </c>
      <c r="W54" s="7">
        <f t="shared" si="19"/>
        <v>800</v>
      </c>
      <c r="X54" s="7">
        <f t="shared" si="20"/>
        <v>0</v>
      </c>
      <c r="Y54" s="7">
        <f t="shared" si="21"/>
        <v>900</v>
      </c>
      <c r="Z54" s="7">
        <f t="shared" si="22"/>
        <v>0</v>
      </c>
    </row>
    <row r="55"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0</v>
      </c>
      <c r="G55" s="7">
        <f t="shared" si="3"/>
        <v>100</v>
      </c>
      <c r="H55" s="7">
        <f t="shared" si="4"/>
        <v>0</v>
      </c>
      <c r="I55" s="7">
        <f t="shared" si="5"/>
        <v>150</v>
      </c>
      <c r="J55" s="7">
        <f t="shared" si="6"/>
        <v>0</v>
      </c>
      <c r="K55" s="7">
        <f t="shared" si="7"/>
        <v>200</v>
      </c>
      <c r="L55" s="7">
        <f t="shared" si="8"/>
        <v>0</v>
      </c>
      <c r="M55" s="7">
        <f t="shared" si="9"/>
        <v>300</v>
      </c>
      <c r="N55" s="7">
        <f t="shared" si="10"/>
        <v>0</v>
      </c>
      <c r="O55" s="7">
        <f t="shared" si="11"/>
        <v>400</v>
      </c>
      <c r="P55" s="7">
        <f t="shared" si="12"/>
        <v>0</v>
      </c>
      <c r="Q55" s="7">
        <f t="shared" si="13"/>
        <v>500</v>
      </c>
      <c r="R55" s="7">
        <f t="shared" si="14"/>
        <v>0</v>
      </c>
      <c r="S55" s="7">
        <f t="shared" si="15"/>
        <v>600</v>
      </c>
      <c r="T55" s="7">
        <f t="shared" si="16"/>
        <v>0</v>
      </c>
      <c r="U55" s="7">
        <f t="shared" si="17"/>
        <v>700</v>
      </c>
      <c r="V55" s="7">
        <f t="shared" si="18"/>
        <v>0</v>
      </c>
      <c r="W55" s="7">
        <f t="shared" si="19"/>
        <v>800</v>
      </c>
      <c r="X55" s="7">
        <f t="shared" si="20"/>
        <v>0</v>
      </c>
      <c r="Y55" s="7">
        <f t="shared" si="21"/>
        <v>900</v>
      </c>
      <c r="Z55" s="7">
        <f t="shared" si="22"/>
        <v>0</v>
      </c>
    </row>
    <row r="56"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0</v>
      </c>
      <c r="G56" s="7">
        <f t="shared" si="3"/>
        <v>100</v>
      </c>
      <c r="H56" s="7">
        <f t="shared" si="4"/>
        <v>0</v>
      </c>
      <c r="I56" s="7">
        <f t="shared" si="5"/>
        <v>150</v>
      </c>
      <c r="J56" s="7">
        <f t="shared" si="6"/>
        <v>0</v>
      </c>
      <c r="K56" s="7">
        <f t="shared" si="7"/>
        <v>200</v>
      </c>
      <c r="L56" s="7">
        <f t="shared" si="8"/>
        <v>0</v>
      </c>
      <c r="M56" s="7">
        <f t="shared" si="9"/>
        <v>300</v>
      </c>
      <c r="N56" s="7">
        <f t="shared" si="10"/>
        <v>0</v>
      </c>
      <c r="O56" s="7">
        <f t="shared" si="11"/>
        <v>400</v>
      </c>
      <c r="P56" s="7">
        <f t="shared" si="12"/>
        <v>0</v>
      </c>
      <c r="Q56" s="7">
        <f t="shared" si="13"/>
        <v>500</v>
      </c>
      <c r="R56" s="7">
        <f t="shared" si="14"/>
        <v>0</v>
      </c>
      <c r="S56" s="7">
        <f t="shared" si="15"/>
        <v>600</v>
      </c>
      <c r="T56" s="7">
        <f t="shared" si="16"/>
        <v>0</v>
      </c>
      <c r="U56" s="7">
        <f t="shared" si="17"/>
        <v>700</v>
      </c>
      <c r="V56" s="7">
        <f t="shared" si="18"/>
        <v>0</v>
      </c>
      <c r="W56" s="7">
        <f t="shared" si="19"/>
        <v>800</v>
      </c>
      <c r="X56" s="7">
        <f t="shared" si="20"/>
        <v>0</v>
      </c>
      <c r="Y56" s="7">
        <f t="shared" si="21"/>
        <v>900</v>
      </c>
      <c r="Z56" s="7">
        <f t="shared" si="22"/>
        <v>0</v>
      </c>
    </row>
    <row r="57"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0</v>
      </c>
      <c r="G57" s="7">
        <f t="shared" si="3"/>
        <v>100</v>
      </c>
      <c r="H57" s="7">
        <f t="shared" si="4"/>
        <v>0</v>
      </c>
      <c r="I57" s="7">
        <f t="shared" si="5"/>
        <v>150</v>
      </c>
      <c r="J57" s="7">
        <f t="shared" si="6"/>
        <v>0</v>
      </c>
      <c r="K57" s="7">
        <f t="shared" si="7"/>
        <v>200</v>
      </c>
      <c r="L57" s="7">
        <f t="shared" si="8"/>
        <v>0</v>
      </c>
      <c r="M57" s="7">
        <f t="shared" si="9"/>
        <v>300</v>
      </c>
      <c r="N57" s="7">
        <f t="shared" si="10"/>
        <v>0</v>
      </c>
      <c r="O57" s="7">
        <f t="shared" si="11"/>
        <v>400</v>
      </c>
      <c r="P57" s="7">
        <f t="shared" si="12"/>
        <v>0</v>
      </c>
      <c r="Q57" s="7">
        <f t="shared" si="13"/>
        <v>500</v>
      </c>
      <c r="R57" s="7">
        <f t="shared" si="14"/>
        <v>0</v>
      </c>
      <c r="S57" s="7">
        <f t="shared" si="15"/>
        <v>600</v>
      </c>
      <c r="T57" s="7">
        <f t="shared" si="16"/>
        <v>0</v>
      </c>
      <c r="U57" s="7">
        <f t="shared" si="17"/>
        <v>700</v>
      </c>
      <c r="V57" s="7">
        <f t="shared" si="18"/>
        <v>0</v>
      </c>
      <c r="W57" s="7">
        <f t="shared" si="19"/>
        <v>800</v>
      </c>
      <c r="X57" s="7">
        <f t="shared" si="20"/>
        <v>0</v>
      </c>
      <c r="Y57" s="7">
        <f t="shared" si="21"/>
        <v>900</v>
      </c>
      <c r="Z57" s="7">
        <f t="shared" si="22"/>
        <v>0</v>
      </c>
    </row>
    <row r="58"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0</v>
      </c>
      <c r="G58" s="7">
        <f t="shared" si="3"/>
        <v>100</v>
      </c>
      <c r="H58" s="7">
        <f t="shared" si="4"/>
        <v>0</v>
      </c>
      <c r="I58" s="7">
        <f t="shared" si="5"/>
        <v>150</v>
      </c>
      <c r="J58" s="7">
        <f t="shared" si="6"/>
        <v>0</v>
      </c>
      <c r="K58" s="7">
        <f t="shared" si="7"/>
        <v>200</v>
      </c>
      <c r="L58" s="7">
        <f t="shared" si="8"/>
        <v>0</v>
      </c>
      <c r="M58" s="7">
        <f t="shared" si="9"/>
        <v>300</v>
      </c>
      <c r="N58" s="7">
        <f t="shared" si="10"/>
        <v>0</v>
      </c>
      <c r="O58" s="7">
        <f t="shared" si="11"/>
        <v>400</v>
      </c>
      <c r="P58" s="7">
        <f t="shared" si="12"/>
        <v>0</v>
      </c>
      <c r="Q58" s="7">
        <f t="shared" si="13"/>
        <v>500</v>
      </c>
      <c r="R58" s="7">
        <f t="shared" si="14"/>
        <v>0</v>
      </c>
      <c r="S58" s="7">
        <f t="shared" si="15"/>
        <v>600</v>
      </c>
      <c r="T58" s="7">
        <f t="shared" si="16"/>
        <v>0</v>
      </c>
      <c r="U58" s="7">
        <f t="shared" si="17"/>
        <v>700</v>
      </c>
      <c r="V58" s="7">
        <f t="shared" si="18"/>
        <v>0</v>
      </c>
      <c r="W58" s="7">
        <f t="shared" si="19"/>
        <v>800</v>
      </c>
      <c r="X58" s="7">
        <f t="shared" si="20"/>
        <v>0</v>
      </c>
      <c r="Y58" s="7">
        <f t="shared" si="21"/>
        <v>900</v>
      </c>
      <c r="Z58" s="7">
        <f t="shared" si="22"/>
        <v>0</v>
      </c>
    </row>
    <row r="59"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0</v>
      </c>
      <c r="G59" s="7">
        <f t="shared" si="3"/>
        <v>100</v>
      </c>
      <c r="H59" s="7">
        <f t="shared" si="4"/>
        <v>0</v>
      </c>
      <c r="I59" s="7">
        <f t="shared" si="5"/>
        <v>150</v>
      </c>
      <c r="J59" s="7">
        <f t="shared" si="6"/>
        <v>0</v>
      </c>
      <c r="K59" s="7">
        <f t="shared" si="7"/>
        <v>200</v>
      </c>
      <c r="L59" s="7">
        <f t="shared" si="8"/>
        <v>0</v>
      </c>
      <c r="M59" s="7">
        <f t="shared" si="9"/>
        <v>300</v>
      </c>
      <c r="N59" s="7">
        <f t="shared" si="10"/>
        <v>0</v>
      </c>
      <c r="O59" s="7">
        <f t="shared" si="11"/>
        <v>400</v>
      </c>
      <c r="P59" s="7">
        <f t="shared" si="12"/>
        <v>0</v>
      </c>
      <c r="Q59" s="7">
        <f t="shared" si="13"/>
        <v>500</v>
      </c>
      <c r="R59" s="7">
        <f t="shared" si="14"/>
        <v>0</v>
      </c>
      <c r="S59" s="7">
        <f t="shared" si="15"/>
        <v>600</v>
      </c>
      <c r="T59" s="7">
        <f t="shared" si="16"/>
        <v>0</v>
      </c>
      <c r="U59" s="7">
        <f t="shared" si="17"/>
        <v>700</v>
      </c>
      <c r="V59" s="7">
        <f t="shared" si="18"/>
        <v>0</v>
      </c>
      <c r="W59" s="7">
        <f t="shared" si="19"/>
        <v>800</v>
      </c>
      <c r="X59" s="7">
        <f t="shared" si="20"/>
        <v>0</v>
      </c>
      <c r="Y59" s="7">
        <f t="shared" si="21"/>
        <v>900</v>
      </c>
      <c r="Z59" s="7">
        <f t="shared" si="22"/>
        <v>0</v>
      </c>
    </row>
    <row r="60"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0</v>
      </c>
      <c r="G60" s="7">
        <f t="shared" si="3"/>
        <v>100</v>
      </c>
      <c r="H60" s="7">
        <f t="shared" si="4"/>
        <v>0</v>
      </c>
      <c r="I60" s="7">
        <f t="shared" si="5"/>
        <v>150</v>
      </c>
      <c r="J60" s="7">
        <f t="shared" si="6"/>
        <v>0</v>
      </c>
      <c r="K60" s="7">
        <f t="shared" si="7"/>
        <v>200</v>
      </c>
      <c r="L60" s="7">
        <f t="shared" si="8"/>
        <v>0</v>
      </c>
      <c r="M60" s="7">
        <f t="shared" si="9"/>
        <v>300</v>
      </c>
      <c r="N60" s="7">
        <f t="shared" si="10"/>
        <v>0</v>
      </c>
      <c r="O60" s="7">
        <f t="shared" si="11"/>
        <v>400</v>
      </c>
      <c r="P60" s="7">
        <f t="shared" si="12"/>
        <v>0</v>
      </c>
      <c r="Q60" s="7">
        <f t="shared" si="13"/>
        <v>500</v>
      </c>
      <c r="R60" s="7">
        <f t="shared" si="14"/>
        <v>0</v>
      </c>
      <c r="S60" s="7">
        <f t="shared" si="15"/>
        <v>600</v>
      </c>
      <c r="T60" s="7">
        <f t="shared" si="16"/>
        <v>0</v>
      </c>
      <c r="U60" s="7">
        <f t="shared" si="17"/>
        <v>700</v>
      </c>
      <c r="V60" s="7">
        <f t="shared" si="18"/>
        <v>0</v>
      </c>
      <c r="W60" s="7">
        <f t="shared" si="19"/>
        <v>800</v>
      </c>
      <c r="X60" s="7">
        <f t="shared" si="20"/>
        <v>0</v>
      </c>
      <c r="Y60" s="7">
        <f t="shared" si="21"/>
        <v>900</v>
      </c>
      <c r="Z60" s="7">
        <f t="shared" si="22"/>
        <v>0</v>
      </c>
    </row>
    <row r="61"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0</v>
      </c>
      <c r="G61" s="7">
        <f t="shared" si="3"/>
        <v>100</v>
      </c>
      <c r="H61" s="7">
        <f t="shared" si="4"/>
        <v>0</v>
      </c>
      <c r="I61" s="7">
        <f t="shared" si="5"/>
        <v>150</v>
      </c>
      <c r="J61" s="7">
        <f t="shared" si="6"/>
        <v>0</v>
      </c>
      <c r="K61" s="7">
        <f t="shared" si="7"/>
        <v>200</v>
      </c>
      <c r="L61" s="7">
        <f t="shared" si="8"/>
        <v>0</v>
      </c>
      <c r="M61" s="7">
        <f t="shared" si="9"/>
        <v>300</v>
      </c>
      <c r="N61" s="7">
        <f t="shared" si="10"/>
        <v>0</v>
      </c>
      <c r="O61" s="7">
        <f t="shared" si="11"/>
        <v>400</v>
      </c>
      <c r="P61" s="7">
        <f t="shared" si="12"/>
        <v>0</v>
      </c>
      <c r="Q61" s="7">
        <f t="shared" si="13"/>
        <v>500</v>
      </c>
      <c r="R61" s="7">
        <f t="shared" si="14"/>
        <v>0</v>
      </c>
      <c r="S61" s="7">
        <f t="shared" si="15"/>
        <v>600</v>
      </c>
      <c r="T61" s="7">
        <f t="shared" si="16"/>
        <v>0</v>
      </c>
      <c r="U61" s="7">
        <f t="shared" si="17"/>
        <v>700</v>
      </c>
      <c r="V61" s="7">
        <f t="shared" si="18"/>
        <v>0</v>
      </c>
      <c r="W61" s="7">
        <f t="shared" si="19"/>
        <v>800</v>
      </c>
      <c r="X61" s="7">
        <f t="shared" si="20"/>
        <v>0</v>
      </c>
      <c r="Y61" s="7">
        <f t="shared" si="21"/>
        <v>900</v>
      </c>
      <c r="Z61" s="7">
        <f t="shared" si="22"/>
        <v>0</v>
      </c>
    </row>
    <row r="62"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0</v>
      </c>
      <c r="G62" s="7">
        <f t="shared" si="3"/>
        <v>100</v>
      </c>
      <c r="H62" s="7">
        <f t="shared" si="4"/>
        <v>0</v>
      </c>
      <c r="I62" s="7">
        <f t="shared" si="5"/>
        <v>150</v>
      </c>
      <c r="J62" s="7">
        <f t="shared" si="6"/>
        <v>0</v>
      </c>
      <c r="K62" s="7">
        <f t="shared" si="7"/>
        <v>200</v>
      </c>
      <c r="L62" s="7">
        <f t="shared" si="8"/>
        <v>0</v>
      </c>
      <c r="M62" s="7">
        <f t="shared" si="9"/>
        <v>300</v>
      </c>
      <c r="N62" s="7">
        <f t="shared" si="10"/>
        <v>0</v>
      </c>
      <c r="O62" s="7">
        <f t="shared" si="11"/>
        <v>400</v>
      </c>
      <c r="P62" s="7">
        <f t="shared" si="12"/>
        <v>0</v>
      </c>
      <c r="Q62" s="7">
        <f t="shared" si="13"/>
        <v>500</v>
      </c>
      <c r="R62" s="7">
        <f t="shared" si="14"/>
        <v>0</v>
      </c>
      <c r="S62" s="7">
        <f t="shared" si="15"/>
        <v>600</v>
      </c>
      <c r="T62" s="7">
        <f t="shared" si="16"/>
        <v>0</v>
      </c>
      <c r="U62" s="7">
        <f t="shared" si="17"/>
        <v>700</v>
      </c>
      <c r="V62" s="7">
        <f t="shared" si="18"/>
        <v>0</v>
      </c>
      <c r="W62" s="7">
        <f t="shared" si="19"/>
        <v>800</v>
      </c>
      <c r="X62" s="7">
        <f t="shared" si="20"/>
        <v>0</v>
      </c>
      <c r="Y62" s="7">
        <f t="shared" si="21"/>
        <v>900</v>
      </c>
      <c r="Z62" s="7">
        <f t="shared" si="22"/>
        <v>0</v>
      </c>
    </row>
    <row r="63"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0</v>
      </c>
      <c r="G63" s="7">
        <f t="shared" si="3"/>
        <v>100</v>
      </c>
      <c r="H63" s="7">
        <f t="shared" si="4"/>
        <v>0</v>
      </c>
      <c r="I63" s="7">
        <f t="shared" si="5"/>
        <v>150</v>
      </c>
      <c r="J63" s="7">
        <f t="shared" si="6"/>
        <v>0</v>
      </c>
      <c r="K63" s="7">
        <f t="shared" si="7"/>
        <v>200</v>
      </c>
      <c r="L63" s="7">
        <f t="shared" si="8"/>
        <v>0</v>
      </c>
      <c r="M63" s="7">
        <f t="shared" si="9"/>
        <v>300</v>
      </c>
      <c r="N63" s="7">
        <f t="shared" si="10"/>
        <v>0</v>
      </c>
      <c r="O63" s="7">
        <f t="shared" si="11"/>
        <v>400</v>
      </c>
      <c r="P63" s="7">
        <f t="shared" si="12"/>
        <v>0</v>
      </c>
      <c r="Q63" s="7">
        <f t="shared" si="13"/>
        <v>500</v>
      </c>
      <c r="R63" s="7">
        <f t="shared" si="14"/>
        <v>0</v>
      </c>
      <c r="S63" s="7">
        <f t="shared" si="15"/>
        <v>600</v>
      </c>
      <c r="T63" s="7">
        <f t="shared" si="16"/>
        <v>0</v>
      </c>
      <c r="U63" s="7">
        <f t="shared" si="17"/>
        <v>700</v>
      </c>
      <c r="V63" s="7">
        <f t="shared" si="18"/>
        <v>0</v>
      </c>
      <c r="W63" s="7">
        <f t="shared" si="19"/>
        <v>800</v>
      </c>
      <c r="X63" s="7">
        <f t="shared" si="20"/>
        <v>0</v>
      </c>
      <c r="Y63" s="7">
        <f t="shared" si="21"/>
        <v>900</v>
      </c>
      <c r="Z63" s="7">
        <f t="shared" si="22"/>
        <v>0</v>
      </c>
    </row>
    <row r="64"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0</v>
      </c>
      <c r="G64" s="7">
        <f t="shared" si="3"/>
        <v>100</v>
      </c>
      <c r="H64" s="7">
        <f t="shared" si="4"/>
        <v>0</v>
      </c>
      <c r="I64" s="7">
        <f t="shared" si="5"/>
        <v>150</v>
      </c>
      <c r="J64" s="7">
        <f t="shared" si="6"/>
        <v>0</v>
      </c>
      <c r="K64" s="7">
        <f t="shared" si="7"/>
        <v>200</v>
      </c>
      <c r="L64" s="7">
        <f t="shared" si="8"/>
        <v>0</v>
      </c>
      <c r="M64" s="7">
        <f t="shared" si="9"/>
        <v>300</v>
      </c>
      <c r="N64" s="7">
        <f t="shared" si="10"/>
        <v>0</v>
      </c>
      <c r="O64" s="7">
        <f t="shared" si="11"/>
        <v>400</v>
      </c>
      <c r="P64" s="7">
        <f t="shared" si="12"/>
        <v>0</v>
      </c>
      <c r="Q64" s="7">
        <f t="shared" si="13"/>
        <v>500</v>
      </c>
      <c r="R64" s="7">
        <f t="shared" si="14"/>
        <v>0</v>
      </c>
      <c r="S64" s="7">
        <f t="shared" si="15"/>
        <v>600</v>
      </c>
      <c r="T64" s="7">
        <f t="shared" si="16"/>
        <v>0</v>
      </c>
      <c r="U64" s="7">
        <f t="shared" si="17"/>
        <v>700</v>
      </c>
      <c r="V64" s="7">
        <f t="shared" si="18"/>
        <v>0</v>
      </c>
      <c r="W64" s="7">
        <f t="shared" si="19"/>
        <v>800</v>
      </c>
      <c r="X64" s="7">
        <f t="shared" si="20"/>
        <v>0</v>
      </c>
      <c r="Y64" s="7">
        <f t="shared" si="21"/>
        <v>900</v>
      </c>
      <c r="Z64" s="7">
        <f t="shared" si="22"/>
        <v>0</v>
      </c>
    </row>
    <row r="65"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0</v>
      </c>
      <c r="G65" s="7">
        <f t="shared" si="3"/>
        <v>100</v>
      </c>
      <c r="H65" s="7">
        <f t="shared" si="4"/>
        <v>0</v>
      </c>
      <c r="I65" s="7">
        <f t="shared" si="5"/>
        <v>150</v>
      </c>
      <c r="J65" s="7">
        <f t="shared" si="6"/>
        <v>0</v>
      </c>
      <c r="K65" s="7">
        <f t="shared" si="7"/>
        <v>200</v>
      </c>
      <c r="L65" s="7">
        <f t="shared" si="8"/>
        <v>0</v>
      </c>
      <c r="M65" s="7">
        <f t="shared" si="9"/>
        <v>300</v>
      </c>
      <c r="N65" s="7">
        <f t="shared" si="10"/>
        <v>0</v>
      </c>
      <c r="O65" s="7">
        <f t="shared" si="11"/>
        <v>400</v>
      </c>
      <c r="P65" s="7">
        <f t="shared" si="12"/>
        <v>0</v>
      </c>
      <c r="Q65" s="7">
        <f t="shared" si="13"/>
        <v>500</v>
      </c>
      <c r="R65" s="7">
        <f t="shared" si="14"/>
        <v>0</v>
      </c>
      <c r="S65" s="7">
        <f t="shared" si="15"/>
        <v>600</v>
      </c>
      <c r="T65" s="7">
        <f t="shared" si="16"/>
        <v>0</v>
      </c>
      <c r="U65" s="7">
        <f t="shared" si="17"/>
        <v>700</v>
      </c>
      <c r="V65" s="7">
        <f t="shared" si="18"/>
        <v>0</v>
      </c>
      <c r="W65" s="7">
        <f t="shared" si="19"/>
        <v>800</v>
      </c>
      <c r="X65" s="7">
        <f t="shared" si="20"/>
        <v>0</v>
      </c>
      <c r="Y65" s="7">
        <f t="shared" si="21"/>
        <v>900</v>
      </c>
      <c r="Z65" s="7">
        <f t="shared" si="22"/>
        <v>0</v>
      </c>
    </row>
    <row r="66"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0</v>
      </c>
      <c r="G66" s="7">
        <f t="shared" si="3"/>
        <v>100</v>
      </c>
      <c r="H66" s="7">
        <f t="shared" si="4"/>
        <v>0</v>
      </c>
      <c r="I66" s="7">
        <f t="shared" si="5"/>
        <v>150</v>
      </c>
      <c r="J66" s="7">
        <f t="shared" si="6"/>
        <v>0</v>
      </c>
      <c r="K66" s="7">
        <f t="shared" si="7"/>
        <v>200</v>
      </c>
      <c r="L66" s="7">
        <f t="shared" si="8"/>
        <v>0</v>
      </c>
      <c r="M66" s="7">
        <f t="shared" si="9"/>
        <v>300</v>
      </c>
      <c r="N66" s="7">
        <f t="shared" si="10"/>
        <v>0</v>
      </c>
      <c r="O66" s="7">
        <f t="shared" si="11"/>
        <v>400</v>
      </c>
      <c r="P66" s="7">
        <f t="shared" si="12"/>
        <v>0</v>
      </c>
      <c r="Q66" s="7">
        <f t="shared" si="13"/>
        <v>500</v>
      </c>
      <c r="R66" s="7">
        <f t="shared" si="14"/>
        <v>0</v>
      </c>
      <c r="S66" s="7">
        <f t="shared" si="15"/>
        <v>600</v>
      </c>
      <c r="T66" s="7">
        <f t="shared" si="16"/>
        <v>0</v>
      </c>
      <c r="U66" s="7">
        <f t="shared" si="17"/>
        <v>700</v>
      </c>
      <c r="V66" s="7">
        <f t="shared" si="18"/>
        <v>0</v>
      </c>
      <c r="W66" s="7">
        <f t="shared" si="19"/>
        <v>800</v>
      </c>
      <c r="X66" s="7">
        <f t="shared" si="20"/>
        <v>0</v>
      </c>
      <c r="Y66" s="7">
        <f t="shared" si="21"/>
        <v>900</v>
      </c>
      <c r="Z66" s="7">
        <f t="shared" si="22"/>
        <v>0</v>
      </c>
    </row>
    <row r="67"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0</v>
      </c>
      <c r="G67" s="7">
        <f t="shared" si="3"/>
        <v>100</v>
      </c>
      <c r="H67" s="7">
        <f t="shared" si="4"/>
        <v>0</v>
      </c>
      <c r="I67" s="7">
        <f t="shared" si="5"/>
        <v>150</v>
      </c>
      <c r="J67" s="7">
        <f t="shared" si="6"/>
        <v>0</v>
      </c>
      <c r="K67" s="7">
        <f t="shared" si="7"/>
        <v>200</v>
      </c>
      <c r="L67" s="7">
        <f t="shared" si="8"/>
        <v>0</v>
      </c>
      <c r="M67" s="7">
        <f t="shared" si="9"/>
        <v>300</v>
      </c>
      <c r="N67" s="7">
        <f t="shared" si="10"/>
        <v>0</v>
      </c>
      <c r="O67" s="7">
        <f t="shared" si="11"/>
        <v>400</v>
      </c>
      <c r="P67" s="7">
        <f t="shared" si="12"/>
        <v>0</v>
      </c>
      <c r="Q67" s="7">
        <f t="shared" si="13"/>
        <v>500</v>
      </c>
      <c r="R67" s="7">
        <f t="shared" si="14"/>
        <v>0</v>
      </c>
      <c r="S67" s="7">
        <f t="shared" si="15"/>
        <v>600</v>
      </c>
      <c r="T67" s="7">
        <f t="shared" si="16"/>
        <v>0</v>
      </c>
      <c r="U67" s="7">
        <f t="shared" si="17"/>
        <v>700</v>
      </c>
      <c r="V67" s="7">
        <f t="shared" si="18"/>
        <v>0</v>
      </c>
      <c r="W67" s="7">
        <f t="shared" si="19"/>
        <v>800</v>
      </c>
      <c r="X67" s="7">
        <f t="shared" si="20"/>
        <v>0</v>
      </c>
      <c r="Y67" s="7">
        <f t="shared" si="21"/>
        <v>900</v>
      </c>
      <c r="Z67" s="7">
        <f t="shared" si="22"/>
        <v>0</v>
      </c>
    </row>
    <row r="68"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0</v>
      </c>
      <c r="G68" s="7">
        <f t="shared" si="3"/>
        <v>100</v>
      </c>
      <c r="H68" s="7">
        <f t="shared" si="4"/>
        <v>0</v>
      </c>
      <c r="I68" s="7">
        <f t="shared" si="5"/>
        <v>150</v>
      </c>
      <c r="J68" s="7">
        <f t="shared" si="6"/>
        <v>0</v>
      </c>
      <c r="K68" s="7">
        <f t="shared" si="7"/>
        <v>200</v>
      </c>
      <c r="L68" s="7">
        <f t="shared" si="8"/>
        <v>0</v>
      </c>
      <c r="M68" s="7">
        <f t="shared" si="9"/>
        <v>300</v>
      </c>
      <c r="N68" s="7">
        <f t="shared" si="10"/>
        <v>0</v>
      </c>
      <c r="O68" s="7">
        <f t="shared" si="11"/>
        <v>400</v>
      </c>
      <c r="P68" s="7">
        <f t="shared" si="12"/>
        <v>0</v>
      </c>
      <c r="Q68" s="7">
        <f t="shared" si="13"/>
        <v>500</v>
      </c>
      <c r="R68" s="7">
        <f t="shared" si="14"/>
        <v>0</v>
      </c>
      <c r="S68" s="7">
        <f t="shared" si="15"/>
        <v>600</v>
      </c>
      <c r="T68" s="7">
        <f t="shared" si="16"/>
        <v>0</v>
      </c>
      <c r="U68" s="7">
        <f t="shared" si="17"/>
        <v>700</v>
      </c>
      <c r="V68" s="7">
        <f t="shared" si="18"/>
        <v>0</v>
      </c>
      <c r="W68" s="7">
        <f t="shared" si="19"/>
        <v>800</v>
      </c>
      <c r="X68" s="7">
        <f t="shared" si="20"/>
        <v>0</v>
      </c>
      <c r="Y68" s="7">
        <f t="shared" si="21"/>
        <v>900</v>
      </c>
      <c r="Z68" s="7">
        <f t="shared" si="22"/>
        <v>0</v>
      </c>
    </row>
    <row r="69"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0</v>
      </c>
      <c r="G69" s="7">
        <f t="shared" si="3"/>
        <v>100</v>
      </c>
      <c r="H69" s="7">
        <f t="shared" si="4"/>
        <v>0</v>
      </c>
      <c r="I69" s="7">
        <f t="shared" si="5"/>
        <v>150</v>
      </c>
      <c r="J69" s="7">
        <f t="shared" si="6"/>
        <v>0</v>
      </c>
      <c r="K69" s="7">
        <f t="shared" si="7"/>
        <v>200</v>
      </c>
      <c r="L69" s="7">
        <f t="shared" si="8"/>
        <v>0</v>
      </c>
      <c r="M69" s="7">
        <f t="shared" si="9"/>
        <v>300</v>
      </c>
      <c r="N69" s="7">
        <f t="shared" si="10"/>
        <v>0</v>
      </c>
      <c r="O69" s="7">
        <f t="shared" si="11"/>
        <v>400</v>
      </c>
      <c r="P69" s="7">
        <f t="shared" si="12"/>
        <v>0</v>
      </c>
      <c r="Q69" s="7">
        <f t="shared" si="13"/>
        <v>500</v>
      </c>
      <c r="R69" s="7">
        <f t="shared" si="14"/>
        <v>0</v>
      </c>
      <c r="S69" s="7">
        <f t="shared" si="15"/>
        <v>600</v>
      </c>
      <c r="T69" s="7">
        <f t="shared" si="16"/>
        <v>0</v>
      </c>
      <c r="U69" s="7">
        <f t="shared" si="17"/>
        <v>700</v>
      </c>
      <c r="V69" s="7">
        <f t="shared" si="18"/>
        <v>0</v>
      </c>
      <c r="W69" s="7">
        <f t="shared" si="19"/>
        <v>800</v>
      </c>
      <c r="X69" s="7">
        <f t="shared" si="20"/>
        <v>0</v>
      </c>
      <c r="Y69" s="7">
        <f t="shared" si="21"/>
        <v>900</v>
      </c>
      <c r="Z69" s="7">
        <f t="shared" si="22"/>
        <v>0</v>
      </c>
    </row>
    <row r="70"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0</v>
      </c>
      <c r="G70" s="7">
        <f t="shared" si="3"/>
        <v>100</v>
      </c>
      <c r="H70" s="7">
        <f t="shared" si="4"/>
        <v>0</v>
      </c>
      <c r="I70" s="7">
        <f t="shared" si="5"/>
        <v>150</v>
      </c>
      <c r="J70" s="7">
        <f t="shared" si="6"/>
        <v>0</v>
      </c>
      <c r="K70" s="7">
        <f t="shared" si="7"/>
        <v>200</v>
      </c>
      <c r="L70" s="7">
        <f t="shared" si="8"/>
        <v>0</v>
      </c>
      <c r="M70" s="7">
        <f t="shared" si="9"/>
        <v>300</v>
      </c>
      <c r="N70" s="7">
        <f t="shared" si="10"/>
        <v>0</v>
      </c>
      <c r="O70" s="7">
        <f t="shared" si="11"/>
        <v>400</v>
      </c>
      <c r="P70" s="7">
        <f t="shared" si="12"/>
        <v>0</v>
      </c>
      <c r="Q70" s="7">
        <f t="shared" si="13"/>
        <v>500</v>
      </c>
      <c r="R70" s="7">
        <f t="shared" si="14"/>
        <v>0</v>
      </c>
      <c r="S70" s="7">
        <f t="shared" si="15"/>
        <v>600</v>
      </c>
      <c r="T70" s="7">
        <f t="shared" si="16"/>
        <v>0</v>
      </c>
      <c r="U70" s="7">
        <f t="shared" si="17"/>
        <v>700</v>
      </c>
      <c r="V70" s="7">
        <f t="shared" si="18"/>
        <v>0</v>
      </c>
      <c r="W70" s="7">
        <f t="shared" si="19"/>
        <v>800</v>
      </c>
      <c r="X70" s="7">
        <f t="shared" si="20"/>
        <v>0</v>
      </c>
      <c r="Y70" s="7">
        <f t="shared" si="21"/>
        <v>900</v>
      </c>
      <c r="Z70" s="7">
        <f t="shared" si="22"/>
        <v>0</v>
      </c>
    </row>
    <row r="71"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0</v>
      </c>
      <c r="G71" s="7">
        <f t="shared" si="3"/>
        <v>100</v>
      </c>
      <c r="H71" s="7">
        <f t="shared" si="4"/>
        <v>0</v>
      </c>
      <c r="I71" s="7">
        <f t="shared" si="5"/>
        <v>150</v>
      </c>
      <c r="J71" s="7">
        <f t="shared" si="6"/>
        <v>0</v>
      </c>
      <c r="K71" s="7">
        <f t="shared" si="7"/>
        <v>200</v>
      </c>
      <c r="L71" s="7">
        <f t="shared" si="8"/>
        <v>0</v>
      </c>
      <c r="M71" s="7">
        <f t="shared" si="9"/>
        <v>300</v>
      </c>
      <c r="N71" s="7">
        <f t="shared" si="10"/>
        <v>0</v>
      </c>
      <c r="O71" s="7">
        <f t="shared" si="11"/>
        <v>400</v>
      </c>
      <c r="P71" s="7">
        <f t="shared" si="12"/>
        <v>0</v>
      </c>
      <c r="Q71" s="7">
        <f t="shared" si="13"/>
        <v>500</v>
      </c>
      <c r="R71" s="7">
        <f t="shared" si="14"/>
        <v>0</v>
      </c>
      <c r="S71" s="7">
        <f t="shared" si="15"/>
        <v>600</v>
      </c>
      <c r="T71" s="7">
        <f t="shared" si="16"/>
        <v>0</v>
      </c>
      <c r="U71" s="7">
        <f t="shared" si="17"/>
        <v>700</v>
      </c>
      <c r="V71" s="7">
        <f t="shared" si="18"/>
        <v>0</v>
      </c>
      <c r="W71" s="7">
        <f t="shared" si="19"/>
        <v>800</v>
      </c>
      <c r="X71" s="7">
        <f t="shared" si="20"/>
        <v>0</v>
      </c>
      <c r="Y71" s="7">
        <f t="shared" si="21"/>
        <v>900</v>
      </c>
      <c r="Z71" s="7">
        <f t="shared" si="22"/>
        <v>0</v>
      </c>
    </row>
    <row r="72"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0</v>
      </c>
      <c r="G72" s="7">
        <f t="shared" si="3"/>
        <v>100</v>
      </c>
      <c r="H72" s="7">
        <f t="shared" si="4"/>
        <v>0</v>
      </c>
      <c r="I72" s="7">
        <f t="shared" si="5"/>
        <v>150</v>
      </c>
      <c r="J72" s="7">
        <f t="shared" si="6"/>
        <v>0</v>
      </c>
      <c r="K72" s="7">
        <f t="shared" si="7"/>
        <v>200</v>
      </c>
      <c r="L72" s="7">
        <f t="shared" si="8"/>
        <v>0</v>
      </c>
      <c r="M72" s="7">
        <f t="shared" si="9"/>
        <v>300</v>
      </c>
      <c r="N72" s="7">
        <f t="shared" si="10"/>
        <v>0</v>
      </c>
      <c r="O72" s="7">
        <f t="shared" si="11"/>
        <v>400</v>
      </c>
      <c r="P72" s="7">
        <f t="shared" si="12"/>
        <v>0</v>
      </c>
      <c r="Q72" s="7">
        <f t="shared" si="13"/>
        <v>500</v>
      </c>
      <c r="R72" s="7">
        <f t="shared" si="14"/>
        <v>0</v>
      </c>
      <c r="S72" s="7">
        <f t="shared" si="15"/>
        <v>600</v>
      </c>
      <c r="T72" s="7">
        <f t="shared" si="16"/>
        <v>0</v>
      </c>
      <c r="U72" s="7">
        <f t="shared" si="17"/>
        <v>700</v>
      </c>
      <c r="V72" s="7">
        <f t="shared" si="18"/>
        <v>0</v>
      </c>
      <c r="W72" s="7">
        <f t="shared" si="19"/>
        <v>800</v>
      </c>
      <c r="X72" s="7">
        <f t="shared" si="20"/>
        <v>0</v>
      </c>
      <c r="Y72" s="7">
        <f t="shared" si="21"/>
        <v>900</v>
      </c>
      <c r="Z72" s="7">
        <f t="shared" si="22"/>
        <v>0</v>
      </c>
    </row>
    <row r="73"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0</v>
      </c>
      <c r="G73" s="7">
        <f t="shared" si="3"/>
        <v>100</v>
      </c>
      <c r="H73" s="7">
        <f t="shared" si="4"/>
        <v>0</v>
      </c>
      <c r="I73" s="7">
        <f t="shared" si="5"/>
        <v>150</v>
      </c>
      <c r="J73" s="7">
        <f t="shared" si="6"/>
        <v>0</v>
      </c>
      <c r="K73" s="7">
        <f t="shared" si="7"/>
        <v>200</v>
      </c>
      <c r="L73" s="7">
        <f t="shared" si="8"/>
        <v>0</v>
      </c>
      <c r="M73" s="7">
        <f t="shared" si="9"/>
        <v>300</v>
      </c>
      <c r="N73" s="7">
        <f t="shared" si="10"/>
        <v>0</v>
      </c>
      <c r="O73" s="7">
        <f t="shared" si="11"/>
        <v>400</v>
      </c>
      <c r="P73" s="7">
        <f t="shared" si="12"/>
        <v>0</v>
      </c>
      <c r="Q73" s="7">
        <f t="shared" si="13"/>
        <v>500</v>
      </c>
      <c r="R73" s="7">
        <f t="shared" si="14"/>
        <v>0</v>
      </c>
      <c r="S73" s="7">
        <f t="shared" si="15"/>
        <v>600</v>
      </c>
      <c r="T73" s="7">
        <f t="shared" si="16"/>
        <v>0</v>
      </c>
      <c r="U73" s="7">
        <f t="shared" si="17"/>
        <v>700</v>
      </c>
      <c r="V73" s="7">
        <f t="shared" si="18"/>
        <v>0</v>
      </c>
      <c r="W73" s="7">
        <f t="shared" si="19"/>
        <v>800</v>
      </c>
      <c r="X73" s="7">
        <f t="shared" si="20"/>
        <v>0</v>
      </c>
      <c r="Y73" s="7">
        <f t="shared" si="21"/>
        <v>900</v>
      </c>
      <c r="Z73" s="7">
        <f t="shared" si="22"/>
        <v>0</v>
      </c>
    </row>
    <row r="74"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0</v>
      </c>
      <c r="G74" s="7">
        <f t="shared" si="3"/>
        <v>100</v>
      </c>
      <c r="H74" s="7">
        <f t="shared" si="4"/>
        <v>0</v>
      </c>
      <c r="I74" s="7">
        <f t="shared" si="5"/>
        <v>150</v>
      </c>
      <c r="J74" s="7">
        <f t="shared" si="6"/>
        <v>0</v>
      </c>
      <c r="K74" s="7">
        <f t="shared" si="7"/>
        <v>200</v>
      </c>
      <c r="L74" s="7">
        <f t="shared" si="8"/>
        <v>0</v>
      </c>
      <c r="M74" s="7">
        <f t="shared" si="9"/>
        <v>300</v>
      </c>
      <c r="N74" s="7">
        <f t="shared" si="10"/>
        <v>0</v>
      </c>
      <c r="O74" s="7">
        <f t="shared" si="11"/>
        <v>400</v>
      </c>
      <c r="P74" s="7">
        <f t="shared" si="12"/>
        <v>0</v>
      </c>
      <c r="Q74" s="7">
        <f t="shared" si="13"/>
        <v>500</v>
      </c>
      <c r="R74" s="7">
        <f t="shared" si="14"/>
        <v>0</v>
      </c>
      <c r="S74" s="7">
        <f t="shared" si="15"/>
        <v>600</v>
      </c>
      <c r="T74" s="7">
        <f t="shared" si="16"/>
        <v>0</v>
      </c>
      <c r="U74" s="7">
        <f t="shared" si="17"/>
        <v>700</v>
      </c>
      <c r="V74" s="7">
        <f t="shared" si="18"/>
        <v>0</v>
      </c>
      <c r="W74" s="7">
        <f t="shared" si="19"/>
        <v>800</v>
      </c>
      <c r="X74" s="7">
        <f t="shared" si="20"/>
        <v>0</v>
      </c>
      <c r="Y74" s="7">
        <f t="shared" si="21"/>
        <v>900</v>
      </c>
      <c r="Z74" s="7">
        <f t="shared" si="22"/>
        <v>0</v>
      </c>
    </row>
    <row r="75"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0</v>
      </c>
      <c r="G75" s="7">
        <f t="shared" si="3"/>
        <v>100</v>
      </c>
      <c r="H75" s="7">
        <f t="shared" si="4"/>
        <v>0</v>
      </c>
      <c r="I75" s="7">
        <f t="shared" si="5"/>
        <v>150</v>
      </c>
      <c r="J75" s="7">
        <f t="shared" si="6"/>
        <v>0</v>
      </c>
      <c r="K75" s="7">
        <f t="shared" si="7"/>
        <v>200</v>
      </c>
      <c r="L75" s="7">
        <f t="shared" si="8"/>
        <v>0</v>
      </c>
      <c r="M75" s="7">
        <f t="shared" si="9"/>
        <v>300</v>
      </c>
      <c r="N75" s="7">
        <f t="shared" si="10"/>
        <v>0</v>
      </c>
      <c r="O75" s="7">
        <f t="shared" si="11"/>
        <v>400</v>
      </c>
      <c r="P75" s="7">
        <f t="shared" si="12"/>
        <v>0</v>
      </c>
      <c r="Q75" s="7">
        <f t="shared" si="13"/>
        <v>500</v>
      </c>
      <c r="R75" s="7">
        <f t="shared" si="14"/>
        <v>0</v>
      </c>
      <c r="S75" s="7">
        <f t="shared" si="15"/>
        <v>600</v>
      </c>
      <c r="T75" s="7">
        <f t="shared" si="16"/>
        <v>0</v>
      </c>
      <c r="U75" s="7">
        <f t="shared" si="17"/>
        <v>700</v>
      </c>
      <c r="V75" s="7">
        <f t="shared" si="18"/>
        <v>0</v>
      </c>
      <c r="W75" s="7">
        <f t="shared" si="19"/>
        <v>800</v>
      </c>
      <c r="X75" s="7">
        <f t="shared" si="20"/>
        <v>0</v>
      </c>
      <c r="Y75" s="7">
        <f t="shared" si="21"/>
        <v>900</v>
      </c>
      <c r="Z75" s="7">
        <f t="shared" si="22"/>
        <v>0</v>
      </c>
    </row>
    <row r="76"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0</v>
      </c>
      <c r="G76" s="7">
        <f t="shared" si="3"/>
        <v>100</v>
      </c>
      <c r="H76" s="7">
        <f t="shared" si="4"/>
        <v>0</v>
      </c>
      <c r="I76" s="7">
        <f t="shared" si="5"/>
        <v>150</v>
      </c>
      <c r="J76" s="7">
        <f t="shared" si="6"/>
        <v>0</v>
      </c>
      <c r="K76" s="7">
        <f t="shared" si="7"/>
        <v>200</v>
      </c>
      <c r="L76" s="7">
        <f t="shared" si="8"/>
        <v>0</v>
      </c>
      <c r="M76" s="7">
        <f t="shared" si="9"/>
        <v>300</v>
      </c>
      <c r="N76" s="7">
        <f t="shared" si="10"/>
        <v>0</v>
      </c>
      <c r="O76" s="7">
        <f t="shared" si="11"/>
        <v>400</v>
      </c>
      <c r="P76" s="7">
        <f t="shared" si="12"/>
        <v>0</v>
      </c>
      <c r="Q76" s="7">
        <f t="shared" si="13"/>
        <v>500</v>
      </c>
      <c r="R76" s="7">
        <f t="shared" si="14"/>
        <v>0</v>
      </c>
      <c r="S76" s="7">
        <f t="shared" si="15"/>
        <v>600</v>
      </c>
      <c r="T76" s="7">
        <f t="shared" si="16"/>
        <v>0</v>
      </c>
      <c r="U76" s="7">
        <f t="shared" si="17"/>
        <v>700</v>
      </c>
      <c r="V76" s="7">
        <f t="shared" si="18"/>
        <v>0</v>
      </c>
      <c r="W76" s="7">
        <f t="shared" si="19"/>
        <v>800</v>
      </c>
      <c r="X76" s="7">
        <f t="shared" si="20"/>
        <v>0</v>
      </c>
      <c r="Y76" s="7">
        <f t="shared" si="21"/>
        <v>900</v>
      </c>
      <c r="Z76" s="7">
        <f t="shared" si="22"/>
        <v>0</v>
      </c>
    </row>
    <row r="77"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0</v>
      </c>
      <c r="G77" s="7">
        <f t="shared" si="3"/>
        <v>100</v>
      </c>
      <c r="H77" s="7">
        <f t="shared" si="4"/>
        <v>0</v>
      </c>
      <c r="I77" s="7">
        <f t="shared" si="5"/>
        <v>150</v>
      </c>
      <c r="J77" s="7">
        <f t="shared" si="6"/>
        <v>0</v>
      </c>
      <c r="K77" s="7">
        <f t="shared" si="7"/>
        <v>200</v>
      </c>
      <c r="L77" s="7">
        <f t="shared" si="8"/>
        <v>0</v>
      </c>
      <c r="M77" s="7">
        <f t="shared" si="9"/>
        <v>300</v>
      </c>
      <c r="N77" s="7">
        <f t="shared" si="10"/>
        <v>0</v>
      </c>
      <c r="O77" s="7">
        <f t="shared" si="11"/>
        <v>400</v>
      </c>
      <c r="P77" s="7">
        <f t="shared" si="12"/>
        <v>0</v>
      </c>
      <c r="Q77" s="7">
        <f t="shared" si="13"/>
        <v>500</v>
      </c>
      <c r="R77" s="7">
        <f t="shared" si="14"/>
        <v>0</v>
      </c>
      <c r="S77" s="7">
        <f t="shared" si="15"/>
        <v>600</v>
      </c>
      <c r="T77" s="7">
        <f t="shared" si="16"/>
        <v>0</v>
      </c>
      <c r="U77" s="7">
        <f t="shared" si="17"/>
        <v>700</v>
      </c>
      <c r="V77" s="7">
        <f t="shared" si="18"/>
        <v>0</v>
      </c>
      <c r="W77" s="7">
        <f t="shared" si="19"/>
        <v>800</v>
      </c>
      <c r="X77" s="7">
        <f t="shared" si="20"/>
        <v>0</v>
      </c>
      <c r="Y77" s="7">
        <f t="shared" si="21"/>
        <v>900</v>
      </c>
      <c r="Z77" s="7">
        <f t="shared" si="22"/>
        <v>0</v>
      </c>
    </row>
    <row r="78"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0</v>
      </c>
      <c r="G78" s="7">
        <f t="shared" si="3"/>
        <v>100</v>
      </c>
      <c r="H78" s="7">
        <f t="shared" si="4"/>
        <v>0</v>
      </c>
      <c r="I78" s="7">
        <f t="shared" si="5"/>
        <v>150</v>
      </c>
      <c r="J78" s="7">
        <f t="shared" si="6"/>
        <v>0</v>
      </c>
      <c r="K78" s="7">
        <f t="shared" si="7"/>
        <v>200</v>
      </c>
      <c r="L78" s="7">
        <f t="shared" si="8"/>
        <v>0</v>
      </c>
      <c r="M78" s="7">
        <f t="shared" si="9"/>
        <v>300</v>
      </c>
      <c r="N78" s="7">
        <f t="shared" si="10"/>
        <v>0</v>
      </c>
      <c r="O78" s="7">
        <f t="shared" si="11"/>
        <v>400</v>
      </c>
      <c r="P78" s="7">
        <f t="shared" si="12"/>
        <v>0</v>
      </c>
      <c r="Q78" s="7">
        <f t="shared" si="13"/>
        <v>500</v>
      </c>
      <c r="R78" s="7">
        <f t="shared" si="14"/>
        <v>0</v>
      </c>
      <c r="S78" s="7">
        <f t="shared" si="15"/>
        <v>600</v>
      </c>
      <c r="T78" s="7">
        <f t="shared" si="16"/>
        <v>0</v>
      </c>
      <c r="U78" s="7">
        <f t="shared" si="17"/>
        <v>700</v>
      </c>
      <c r="V78" s="7">
        <f t="shared" si="18"/>
        <v>0</v>
      </c>
      <c r="W78" s="7">
        <f t="shared" si="19"/>
        <v>800</v>
      </c>
      <c r="X78" s="7">
        <f t="shared" si="20"/>
        <v>0</v>
      </c>
      <c r="Y78" s="7">
        <f t="shared" si="21"/>
        <v>900</v>
      </c>
      <c r="Z78" s="7">
        <f t="shared" si="22"/>
        <v>0</v>
      </c>
    </row>
    <row r="79"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0</v>
      </c>
      <c r="G79" s="7">
        <f t="shared" si="3"/>
        <v>100</v>
      </c>
      <c r="H79" s="7">
        <f t="shared" si="4"/>
        <v>0</v>
      </c>
      <c r="I79" s="7">
        <f t="shared" si="5"/>
        <v>150</v>
      </c>
      <c r="J79" s="7">
        <f t="shared" si="6"/>
        <v>0</v>
      </c>
      <c r="K79" s="7">
        <f t="shared" si="7"/>
        <v>200</v>
      </c>
      <c r="L79" s="7">
        <f t="shared" si="8"/>
        <v>0</v>
      </c>
      <c r="M79" s="7">
        <f t="shared" si="9"/>
        <v>300</v>
      </c>
      <c r="N79" s="7">
        <f t="shared" si="10"/>
        <v>0</v>
      </c>
      <c r="O79" s="7">
        <f t="shared" si="11"/>
        <v>400</v>
      </c>
      <c r="P79" s="7">
        <f t="shared" si="12"/>
        <v>0</v>
      </c>
      <c r="Q79" s="7">
        <f t="shared" si="13"/>
        <v>500</v>
      </c>
      <c r="R79" s="7">
        <f t="shared" si="14"/>
        <v>0</v>
      </c>
      <c r="S79" s="7">
        <f t="shared" si="15"/>
        <v>600</v>
      </c>
      <c r="T79" s="7">
        <f t="shared" si="16"/>
        <v>0</v>
      </c>
      <c r="U79" s="7">
        <f t="shared" si="17"/>
        <v>700</v>
      </c>
      <c r="V79" s="7">
        <f t="shared" si="18"/>
        <v>0</v>
      </c>
      <c r="W79" s="7">
        <f t="shared" si="19"/>
        <v>800</v>
      </c>
      <c r="X79" s="7">
        <f t="shared" si="20"/>
        <v>0</v>
      </c>
      <c r="Y79" s="7">
        <f t="shared" si="21"/>
        <v>900</v>
      </c>
      <c r="Z79" s="7">
        <f t="shared" si="22"/>
        <v>0</v>
      </c>
    </row>
    <row r="80">
      <c r="A80" s="29" t="str">
        <f>IFERROR(__xludf.DUMMYFUNCTION("ARRAYFORMULA(SORTN(TEXT(GOOGLEFINANCE(CONCAT(""ASX:"",A2), ""price"", DATE(2012,1,1), DATE(2030,12,1), ""daily""), 
 {""yyyy mm"", ""@""}), 9^9, 2, 1, 1))"),"2018 05")</f>
        <v>2018 05</v>
      </c>
      <c r="B80" s="30" t="str">
        <f>IFERROR(__xludf.DUMMYFUNCTION("""COMPUTED_VALUE"""),"100.74")</f>
        <v>100.74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0.4963271789</v>
      </c>
      <c r="G80" s="7">
        <f t="shared" si="3"/>
        <v>100</v>
      </c>
      <c r="H80" s="7">
        <f t="shared" si="4"/>
        <v>0.9926543578</v>
      </c>
      <c r="I80" s="7">
        <f t="shared" si="5"/>
        <v>150</v>
      </c>
      <c r="J80" s="7">
        <f t="shared" si="6"/>
        <v>1.488981537</v>
      </c>
      <c r="K80" s="7">
        <f t="shared" si="7"/>
        <v>200</v>
      </c>
      <c r="L80" s="7">
        <f t="shared" si="8"/>
        <v>1.985308716</v>
      </c>
      <c r="M80" s="7">
        <f t="shared" si="9"/>
        <v>300</v>
      </c>
      <c r="N80" s="7">
        <f t="shared" si="10"/>
        <v>2.977963073</v>
      </c>
      <c r="O80" s="7">
        <f t="shared" si="11"/>
        <v>400</v>
      </c>
      <c r="P80" s="7">
        <f t="shared" si="12"/>
        <v>3.970617431</v>
      </c>
      <c r="Q80" s="7">
        <f t="shared" si="13"/>
        <v>500</v>
      </c>
      <c r="R80" s="7">
        <f t="shared" si="14"/>
        <v>4.963271789</v>
      </c>
      <c r="S80" s="7">
        <f t="shared" si="15"/>
        <v>600</v>
      </c>
      <c r="T80" s="7">
        <f t="shared" si="16"/>
        <v>5.955926147</v>
      </c>
      <c r="U80" s="7">
        <f t="shared" si="17"/>
        <v>700</v>
      </c>
      <c r="V80" s="7">
        <f t="shared" si="18"/>
        <v>6.948580504</v>
      </c>
      <c r="W80" s="7">
        <f t="shared" si="19"/>
        <v>800</v>
      </c>
      <c r="X80" s="7">
        <f t="shared" si="20"/>
        <v>7.941234862</v>
      </c>
      <c r="Y80" s="7">
        <f t="shared" si="21"/>
        <v>900</v>
      </c>
      <c r="Z80" s="7">
        <f t="shared" si="22"/>
        <v>8.93388922</v>
      </c>
    </row>
    <row r="81">
      <c r="A81" s="30" t="str">
        <f>IFERROR(__xludf.DUMMYFUNCTION("""COMPUTED_VALUE"""),"2018 06")</f>
        <v>2018 06</v>
      </c>
      <c r="B81" s="30" t="str">
        <f>IFERROR(__xludf.DUMMYFUNCTION("""COMPUTED_VALUE"""),"99.31")</f>
        <v>99.31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0.5034739704</v>
      </c>
      <c r="G81" s="7">
        <f t="shared" si="3"/>
        <v>100</v>
      </c>
      <c r="H81" s="7">
        <f t="shared" si="4"/>
        <v>1.006947941</v>
      </c>
      <c r="I81" s="7">
        <f t="shared" si="5"/>
        <v>150</v>
      </c>
      <c r="J81" s="7">
        <f t="shared" si="6"/>
        <v>1.510421911</v>
      </c>
      <c r="K81" s="7">
        <f t="shared" si="7"/>
        <v>200</v>
      </c>
      <c r="L81" s="7">
        <f t="shared" si="8"/>
        <v>2.013895882</v>
      </c>
      <c r="M81" s="7">
        <f t="shared" si="9"/>
        <v>300</v>
      </c>
      <c r="N81" s="7">
        <f t="shared" si="10"/>
        <v>3.020843822</v>
      </c>
      <c r="O81" s="7">
        <f t="shared" si="11"/>
        <v>400</v>
      </c>
      <c r="P81" s="7">
        <f t="shared" si="12"/>
        <v>4.027791763</v>
      </c>
      <c r="Q81" s="7">
        <f t="shared" si="13"/>
        <v>500</v>
      </c>
      <c r="R81" s="7">
        <f t="shared" si="14"/>
        <v>5.034739704</v>
      </c>
      <c r="S81" s="7">
        <f t="shared" si="15"/>
        <v>600</v>
      </c>
      <c r="T81" s="7">
        <f t="shared" si="16"/>
        <v>6.041687645</v>
      </c>
      <c r="U81" s="7">
        <f t="shared" si="17"/>
        <v>700</v>
      </c>
      <c r="V81" s="7">
        <f t="shared" si="18"/>
        <v>7.048635586</v>
      </c>
      <c r="W81" s="7">
        <f t="shared" si="19"/>
        <v>800</v>
      </c>
      <c r="X81" s="7">
        <f t="shared" si="20"/>
        <v>8.055583526</v>
      </c>
      <c r="Y81" s="7">
        <f t="shared" si="21"/>
        <v>900</v>
      </c>
      <c r="Z81" s="7">
        <f t="shared" si="22"/>
        <v>9.062531467</v>
      </c>
    </row>
    <row r="82">
      <c r="A82" s="30" t="str">
        <f>IFERROR(__xludf.DUMMYFUNCTION("""COMPUTED_VALUE"""),"2018 07")</f>
        <v>2018 07</v>
      </c>
      <c r="B82" s="30" t="str">
        <f>IFERROR(__xludf.DUMMYFUNCTION("""COMPUTED_VALUE"""),"102.6")</f>
        <v>102.6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0.4873294347</v>
      </c>
      <c r="G82" s="7">
        <f t="shared" si="3"/>
        <v>100</v>
      </c>
      <c r="H82" s="7">
        <f t="shared" si="4"/>
        <v>0.9746588694</v>
      </c>
      <c r="I82" s="7">
        <f t="shared" si="5"/>
        <v>150</v>
      </c>
      <c r="J82" s="7">
        <f t="shared" si="6"/>
        <v>1.461988304</v>
      </c>
      <c r="K82" s="7">
        <f t="shared" si="7"/>
        <v>200</v>
      </c>
      <c r="L82" s="7">
        <f t="shared" si="8"/>
        <v>1.949317739</v>
      </c>
      <c r="M82" s="7">
        <f t="shared" si="9"/>
        <v>300</v>
      </c>
      <c r="N82" s="7">
        <f t="shared" si="10"/>
        <v>2.923976608</v>
      </c>
      <c r="O82" s="7">
        <f t="shared" si="11"/>
        <v>400</v>
      </c>
      <c r="P82" s="7">
        <f t="shared" si="12"/>
        <v>3.898635478</v>
      </c>
      <c r="Q82" s="7">
        <f t="shared" si="13"/>
        <v>500</v>
      </c>
      <c r="R82" s="7">
        <f t="shared" si="14"/>
        <v>4.873294347</v>
      </c>
      <c r="S82" s="7">
        <f t="shared" si="15"/>
        <v>600</v>
      </c>
      <c r="T82" s="7">
        <f t="shared" si="16"/>
        <v>5.847953216</v>
      </c>
      <c r="U82" s="7">
        <f t="shared" si="17"/>
        <v>700</v>
      </c>
      <c r="V82" s="7">
        <f t="shared" si="18"/>
        <v>6.822612086</v>
      </c>
      <c r="W82" s="7">
        <f t="shared" si="19"/>
        <v>800</v>
      </c>
      <c r="X82" s="7">
        <f t="shared" si="20"/>
        <v>7.797270955</v>
      </c>
      <c r="Y82" s="7">
        <f t="shared" si="21"/>
        <v>900</v>
      </c>
      <c r="Z82" s="7">
        <f t="shared" si="22"/>
        <v>8.771929825</v>
      </c>
    </row>
    <row r="83">
      <c r="A83" s="30" t="str">
        <f>IFERROR(__xludf.DUMMYFUNCTION("""COMPUTED_VALUE"""),"2018 08")</f>
        <v>2018 08</v>
      </c>
      <c r="B83" s="30" t="str">
        <f>IFERROR(__xludf.DUMMYFUNCTION("""COMPUTED_VALUE"""),"104.27")</f>
        <v>104.27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0.4795243119</v>
      </c>
      <c r="G83" s="7">
        <f t="shared" si="3"/>
        <v>100</v>
      </c>
      <c r="H83" s="7">
        <f t="shared" si="4"/>
        <v>0.9590486238</v>
      </c>
      <c r="I83" s="7">
        <f t="shared" si="5"/>
        <v>150</v>
      </c>
      <c r="J83" s="7">
        <f t="shared" si="6"/>
        <v>1.438572936</v>
      </c>
      <c r="K83" s="7">
        <f t="shared" si="7"/>
        <v>200</v>
      </c>
      <c r="L83" s="7">
        <f t="shared" si="8"/>
        <v>1.918097248</v>
      </c>
      <c r="M83" s="7">
        <f t="shared" si="9"/>
        <v>300</v>
      </c>
      <c r="N83" s="7">
        <f t="shared" si="10"/>
        <v>2.877145871</v>
      </c>
      <c r="O83" s="7">
        <f t="shared" si="11"/>
        <v>400</v>
      </c>
      <c r="P83" s="7">
        <f t="shared" si="12"/>
        <v>3.836194495</v>
      </c>
      <c r="Q83" s="7">
        <f t="shared" si="13"/>
        <v>500</v>
      </c>
      <c r="R83" s="7">
        <f t="shared" si="14"/>
        <v>4.795243119</v>
      </c>
      <c r="S83" s="7">
        <f t="shared" si="15"/>
        <v>600</v>
      </c>
      <c r="T83" s="7">
        <f t="shared" si="16"/>
        <v>5.754291743</v>
      </c>
      <c r="U83" s="7">
        <f t="shared" si="17"/>
        <v>700</v>
      </c>
      <c r="V83" s="7">
        <f t="shared" si="18"/>
        <v>6.713340366</v>
      </c>
      <c r="W83" s="7">
        <f t="shared" si="19"/>
        <v>800</v>
      </c>
      <c r="X83" s="7">
        <f t="shared" si="20"/>
        <v>7.67238899</v>
      </c>
      <c r="Y83" s="7">
        <f t="shared" si="21"/>
        <v>900</v>
      </c>
      <c r="Z83" s="7">
        <f t="shared" si="22"/>
        <v>8.631437614</v>
      </c>
    </row>
    <row r="84">
      <c r="A84" s="30" t="str">
        <f>IFERROR(__xludf.DUMMYFUNCTION("""COMPUTED_VALUE"""),"2018 09")</f>
        <v>2018 09</v>
      </c>
      <c r="B84" s="30" t="str">
        <f>IFERROR(__xludf.DUMMYFUNCTION("""COMPUTED_VALUE"""),"105.86")</f>
        <v>105.86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0.4723219346</v>
      </c>
      <c r="G84" s="7">
        <f t="shared" si="3"/>
        <v>100</v>
      </c>
      <c r="H84" s="7">
        <f t="shared" si="4"/>
        <v>0.9446438693</v>
      </c>
      <c r="I84" s="7">
        <f t="shared" si="5"/>
        <v>150</v>
      </c>
      <c r="J84" s="7">
        <f t="shared" si="6"/>
        <v>1.416965804</v>
      </c>
      <c r="K84" s="7">
        <f t="shared" si="7"/>
        <v>200</v>
      </c>
      <c r="L84" s="7">
        <f t="shared" si="8"/>
        <v>1.889287739</v>
      </c>
      <c r="M84" s="7">
        <f t="shared" si="9"/>
        <v>300</v>
      </c>
      <c r="N84" s="7">
        <f t="shared" si="10"/>
        <v>2.833931608</v>
      </c>
      <c r="O84" s="7">
        <f t="shared" si="11"/>
        <v>400</v>
      </c>
      <c r="P84" s="7">
        <f t="shared" si="12"/>
        <v>3.778575477</v>
      </c>
      <c r="Q84" s="7">
        <f t="shared" si="13"/>
        <v>500</v>
      </c>
      <c r="R84" s="7">
        <f t="shared" si="14"/>
        <v>4.723219346</v>
      </c>
      <c r="S84" s="7">
        <f t="shared" si="15"/>
        <v>600</v>
      </c>
      <c r="T84" s="7">
        <f t="shared" si="16"/>
        <v>5.667863216</v>
      </c>
      <c r="U84" s="7">
        <f t="shared" si="17"/>
        <v>700</v>
      </c>
      <c r="V84" s="7">
        <f t="shared" si="18"/>
        <v>6.612507085</v>
      </c>
      <c r="W84" s="7">
        <f t="shared" si="19"/>
        <v>800</v>
      </c>
      <c r="X84" s="7">
        <f t="shared" si="20"/>
        <v>7.557150954</v>
      </c>
      <c r="Y84" s="7">
        <f t="shared" si="21"/>
        <v>900</v>
      </c>
      <c r="Z84" s="7">
        <f t="shared" si="22"/>
        <v>8.501794823</v>
      </c>
    </row>
    <row r="85">
      <c r="A85" s="30" t="str">
        <f>IFERROR(__xludf.DUMMYFUNCTION("""COMPUTED_VALUE"""),"2018 10")</f>
        <v>2018 10</v>
      </c>
      <c r="B85" s="30" t="str">
        <f>IFERROR(__xludf.DUMMYFUNCTION("""COMPUTED_VALUE"""),"102.63")</f>
        <v>102.63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0.4871869824</v>
      </c>
      <c r="G85" s="7">
        <f t="shared" si="3"/>
        <v>100</v>
      </c>
      <c r="H85" s="7">
        <f t="shared" si="4"/>
        <v>0.9743739647</v>
      </c>
      <c r="I85" s="7">
        <f t="shared" si="5"/>
        <v>150</v>
      </c>
      <c r="J85" s="7">
        <f t="shared" si="6"/>
        <v>1.461560947</v>
      </c>
      <c r="K85" s="7">
        <f t="shared" si="7"/>
        <v>200</v>
      </c>
      <c r="L85" s="7">
        <f t="shared" si="8"/>
        <v>1.948747929</v>
      </c>
      <c r="M85" s="7">
        <f t="shared" si="9"/>
        <v>300</v>
      </c>
      <c r="N85" s="7">
        <f t="shared" si="10"/>
        <v>2.923121894</v>
      </c>
      <c r="O85" s="7">
        <f t="shared" si="11"/>
        <v>400</v>
      </c>
      <c r="P85" s="7">
        <f t="shared" si="12"/>
        <v>3.897495859</v>
      </c>
      <c r="Q85" s="7">
        <f t="shared" si="13"/>
        <v>500</v>
      </c>
      <c r="R85" s="7">
        <f t="shared" si="14"/>
        <v>4.871869824</v>
      </c>
      <c r="S85" s="7">
        <f t="shared" si="15"/>
        <v>600</v>
      </c>
      <c r="T85" s="7">
        <f t="shared" si="16"/>
        <v>5.846243788</v>
      </c>
      <c r="U85" s="7">
        <f t="shared" si="17"/>
        <v>700</v>
      </c>
      <c r="V85" s="7">
        <f t="shared" si="18"/>
        <v>6.820617753</v>
      </c>
      <c r="W85" s="7">
        <f t="shared" si="19"/>
        <v>800</v>
      </c>
      <c r="X85" s="7">
        <f t="shared" si="20"/>
        <v>7.794991718</v>
      </c>
      <c r="Y85" s="7">
        <f t="shared" si="21"/>
        <v>900</v>
      </c>
      <c r="Z85" s="7">
        <f t="shared" si="22"/>
        <v>8.769365683</v>
      </c>
    </row>
    <row r="86">
      <c r="A86" s="30" t="str">
        <f>IFERROR(__xludf.DUMMYFUNCTION("""COMPUTED_VALUE"""),"2018 11")</f>
        <v>2018 11</v>
      </c>
      <c r="B86" s="30" t="str">
        <f>IFERROR(__xludf.DUMMYFUNCTION("""COMPUTED_VALUE"""),"97.1")</f>
        <v>97.1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0.5149330587</v>
      </c>
      <c r="G86" s="7">
        <f t="shared" si="3"/>
        <v>100</v>
      </c>
      <c r="H86" s="7">
        <f t="shared" si="4"/>
        <v>1.029866117</v>
      </c>
      <c r="I86" s="7">
        <f t="shared" si="5"/>
        <v>150</v>
      </c>
      <c r="J86" s="7">
        <f t="shared" si="6"/>
        <v>1.544799176</v>
      </c>
      <c r="K86" s="7">
        <f t="shared" si="7"/>
        <v>200</v>
      </c>
      <c r="L86" s="7">
        <f t="shared" si="8"/>
        <v>2.059732235</v>
      </c>
      <c r="M86" s="7">
        <f t="shared" si="9"/>
        <v>300</v>
      </c>
      <c r="N86" s="7">
        <f t="shared" si="10"/>
        <v>3.089598352</v>
      </c>
      <c r="O86" s="7">
        <f t="shared" si="11"/>
        <v>400</v>
      </c>
      <c r="P86" s="7">
        <f t="shared" si="12"/>
        <v>4.11946447</v>
      </c>
      <c r="Q86" s="7">
        <f t="shared" si="13"/>
        <v>500</v>
      </c>
      <c r="R86" s="7">
        <f t="shared" si="14"/>
        <v>5.149330587</v>
      </c>
      <c r="S86" s="7">
        <f t="shared" si="15"/>
        <v>600</v>
      </c>
      <c r="T86" s="7">
        <f t="shared" si="16"/>
        <v>6.179196704</v>
      </c>
      <c r="U86" s="7">
        <f t="shared" si="17"/>
        <v>700</v>
      </c>
      <c r="V86" s="7">
        <f t="shared" si="18"/>
        <v>7.209062822</v>
      </c>
      <c r="W86" s="7">
        <f t="shared" si="19"/>
        <v>800</v>
      </c>
      <c r="X86" s="7">
        <f t="shared" si="20"/>
        <v>8.238928939</v>
      </c>
      <c r="Y86" s="7">
        <f t="shared" si="21"/>
        <v>900</v>
      </c>
      <c r="Z86" s="7">
        <f t="shared" si="22"/>
        <v>9.268795057</v>
      </c>
    </row>
    <row r="87">
      <c r="A87" s="30" t="str">
        <f>IFERROR(__xludf.DUMMYFUNCTION("""COMPUTED_VALUE"""),"2018 12")</f>
        <v>2018 12</v>
      </c>
      <c r="B87" s="30" t="str">
        <f>IFERROR(__xludf.DUMMYFUNCTION("""COMPUTED_VALUE"""),"96.68")</f>
        <v>96.68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0.5171700455</v>
      </c>
      <c r="G87" s="7">
        <f t="shared" si="3"/>
        <v>100</v>
      </c>
      <c r="H87" s="7">
        <f t="shared" si="4"/>
        <v>1.034340091</v>
      </c>
      <c r="I87" s="7">
        <f t="shared" si="5"/>
        <v>150</v>
      </c>
      <c r="J87" s="7">
        <f t="shared" si="6"/>
        <v>1.551510137</v>
      </c>
      <c r="K87" s="7">
        <f t="shared" si="7"/>
        <v>200</v>
      </c>
      <c r="L87" s="7">
        <f t="shared" si="8"/>
        <v>2.068680182</v>
      </c>
      <c r="M87" s="7">
        <f t="shared" si="9"/>
        <v>300</v>
      </c>
      <c r="N87" s="7">
        <f t="shared" si="10"/>
        <v>3.103020273</v>
      </c>
      <c r="O87" s="7">
        <f t="shared" si="11"/>
        <v>400</v>
      </c>
      <c r="P87" s="7">
        <f t="shared" si="12"/>
        <v>4.137360364</v>
      </c>
      <c r="Q87" s="7">
        <f t="shared" si="13"/>
        <v>500</v>
      </c>
      <c r="R87" s="7">
        <f t="shared" si="14"/>
        <v>5.171700455</v>
      </c>
      <c r="S87" s="7">
        <f t="shared" si="15"/>
        <v>600</v>
      </c>
      <c r="T87" s="7">
        <f t="shared" si="16"/>
        <v>6.206040546</v>
      </c>
      <c r="U87" s="7">
        <f t="shared" si="17"/>
        <v>700</v>
      </c>
      <c r="V87" s="7">
        <f t="shared" si="18"/>
        <v>7.240380637</v>
      </c>
      <c r="W87" s="7">
        <f t="shared" si="19"/>
        <v>800</v>
      </c>
      <c r="X87" s="7">
        <f t="shared" si="20"/>
        <v>8.274720728</v>
      </c>
      <c r="Y87" s="7">
        <f t="shared" si="21"/>
        <v>900</v>
      </c>
      <c r="Z87" s="7">
        <f t="shared" si="22"/>
        <v>9.309060819</v>
      </c>
    </row>
    <row r="88">
      <c r="A88" s="30" t="str">
        <f>IFERROR(__xludf.DUMMYFUNCTION("""COMPUTED_VALUE"""),"2019 01")</f>
        <v>2019 01</v>
      </c>
      <c r="B88" s="30" t="str">
        <f>IFERROR(__xludf.DUMMYFUNCTION("""COMPUTED_VALUE"""),"92.79")</f>
        <v>92.79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0.5388511693</v>
      </c>
      <c r="G88" s="7">
        <f t="shared" si="3"/>
        <v>100</v>
      </c>
      <c r="H88" s="7">
        <f t="shared" si="4"/>
        <v>1.077702339</v>
      </c>
      <c r="I88" s="7">
        <f t="shared" si="5"/>
        <v>150</v>
      </c>
      <c r="J88" s="7">
        <f t="shared" si="6"/>
        <v>1.616553508</v>
      </c>
      <c r="K88" s="7">
        <f t="shared" si="7"/>
        <v>200</v>
      </c>
      <c r="L88" s="7">
        <f t="shared" si="8"/>
        <v>2.155404677</v>
      </c>
      <c r="M88" s="7">
        <f t="shared" si="9"/>
        <v>300</v>
      </c>
      <c r="N88" s="7">
        <f t="shared" si="10"/>
        <v>3.233107016</v>
      </c>
      <c r="O88" s="7">
        <f t="shared" si="11"/>
        <v>400</v>
      </c>
      <c r="P88" s="7">
        <f t="shared" si="12"/>
        <v>4.310809354</v>
      </c>
      <c r="Q88" s="7">
        <f t="shared" si="13"/>
        <v>500</v>
      </c>
      <c r="R88" s="7">
        <f t="shared" si="14"/>
        <v>5.388511693</v>
      </c>
      <c r="S88" s="7">
        <f t="shared" si="15"/>
        <v>600</v>
      </c>
      <c r="T88" s="7">
        <f t="shared" si="16"/>
        <v>6.466214032</v>
      </c>
      <c r="U88" s="7">
        <f t="shared" si="17"/>
        <v>700</v>
      </c>
      <c r="V88" s="7">
        <f t="shared" si="18"/>
        <v>7.54391637</v>
      </c>
      <c r="W88" s="7">
        <f t="shared" si="19"/>
        <v>800</v>
      </c>
      <c r="X88" s="7">
        <f t="shared" si="20"/>
        <v>8.621618709</v>
      </c>
      <c r="Y88" s="7">
        <f t="shared" si="21"/>
        <v>900</v>
      </c>
      <c r="Z88" s="7">
        <f t="shared" si="22"/>
        <v>9.699321048</v>
      </c>
    </row>
    <row r="89">
      <c r="A89" s="30" t="str">
        <f>IFERROR(__xludf.DUMMYFUNCTION("""COMPUTED_VALUE"""),"2019 02")</f>
        <v>2019 02</v>
      </c>
      <c r="B89" s="30" t="str">
        <f>IFERROR(__xludf.DUMMYFUNCTION("""COMPUTED_VALUE"""),"97.8")</f>
        <v>97.8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0.5112474438</v>
      </c>
      <c r="G89" s="7">
        <f t="shared" si="3"/>
        <v>100</v>
      </c>
      <c r="H89" s="7">
        <f t="shared" si="4"/>
        <v>1.022494888</v>
      </c>
      <c r="I89" s="7">
        <f t="shared" si="5"/>
        <v>150</v>
      </c>
      <c r="J89" s="7">
        <f t="shared" si="6"/>
        <v>1.533742331</v>
      </c>
      <c r="K89" s="7">
        <f t="shared" si="7"/>
        <v>200</v>
      </c>
      <c r="L89" s="7">
        <f t="shared" si="8"/>
        <v>2.044989775</v>
      </c>
      <c r="M89" s="7">
        <f t="shared" si="9"/>
        <v>300</v>
      </c>
      <c r="N89" s="7">
        <f t="shared" si="10"/>
        <v>3.067484663</v>
      </c>
      <c r="O89" s="7">
        <f t="shared" si="11"/>
        <v>400</v>
      </c>
      <c r="P89" s="7">
        <f t="shared" si="12"/>
        <v>4.08997955</v>
      </c>
      <c r="Q89" s="7">
        <f t="shared" si="13"/>
        <v>500</v>
      </c>
      <c r="R89" s="7">
        <f t="shared" si="14"/>
        <v>5.112474438</v>
      </c>
      <c r="S89" s="7">
        <f t="shared" si="15"/>
        <v>600</v>
      </c>
      <c r="T89" s="7">
        <f t="shared" si="16"/>
        <v>6.134969325</v>
      </c>
      <c r="U89" s="7">
        <f t="shared" si="17"/>
        <v>700</v>
      </c>
      <c r="V89" s="7">
        <f t="shared" si="18"/>
        <v>7.157464213</v>
      </c>
      <c r="W89" s="7">
        <f t="shared" si="19"/>
        <v>800</v>
      </c>
      <c r="X89" s="7">
        <f t="shared" si="20"/>
        <v>8.1799591</v>
      </c>
      <c r="Y89" s="7">
        <f t="shared" si="21"/>
        <v>900</v>
      </c>
      <c r="Z89" s="7">
        <f t="shared" si="22"/>
        <v>9.202453988</v>
      </c>
    </row>
    <row r="90">
      <c r="A90" s="30" t="str">
        <f>IFERROR(__xludf.DUMMYFUNCTION("""COMPUTED_VALUE"""),"2019 03")</f>
        <v>2019 03</v>
      </c>
      <c r="B90" s="30" t="str">
        <f>IFERROR(__xludf.DUMMYFUNCTION("""COMPUTED_VALUE"""),"104.33")</f>
        <v>104.33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0.4792485383</v>
      </c>
      <c r="G90" s="7">
        <f t="shared" si="3"/>
        <v>100</v>
      </c>
      <c r="H90" s="7">
        <f t="shared" si="4"/>
        <v>0.9584970766</v>
      </c>
      <c r="I90" s="7">
        <f t="shared" si="5"/>
        <v>150</v>
      </c>
      <c r="J90" s="7">
        <f t="shared" si="6"/>
        <v>1.437745615</v>
      </c>
      <c r="K90" s="7">
        <f t="shared" si="7"/>
        <v>200</v>
      </c>
      <c r="L90" s="7">
        <f t="shared" si="8"/>
        <v>1.916994153</v>
      </c>
      <c r="M90" s="7">
        <f t="shared" si="9"/>
        <v>300</v>
      </c>
      <c r="N90" s="7">
        <f t="shared" si="10"/>
        <v>2.87549123</v>
      </c>
      <c r="O90" s="7">
        <f t="shared" si="11"/>
        <v>400</v>
      </c>
      <c r="P90" s="7">
        <f t="shared" si="12"/>
        <v>3.833988306</v>
      </c>
      <c r="Q90" s="7">
        <f t="shared" si="13"/>
        <v>500</v>
      </c>
      <c r="R90" s="7">
        <f t="shared" si="14"/>
        <v>4.792485383</v>
      </c>
      <c r="S90" s="7">
        <f t="shared" si="15"/>
        <v>600</v>
      </c>
      <c r="T90" s="7">
        <f t="shared" si="16"/>
        <v>5.75098246</v>
      </c>
      <c r="U90" s="7">
        <f t="shared" si="17"/>
        <v>700</v>
      </c>
      <c r="V90" s="7">
        <f t="shared" si="18"/>
        <v>6.709479536</v>
      </c>
      <c r="W90" s="7">
        <f t="shared" si="19"/>
        <v>800</v>
      </c>
      <c r="X90" s="7">
        <f t="shared" si="20"/>
        <v>7.667976613</v>
      </c>
      <c r="Y90" s="7">
        <f t="shared" si="21"/>
        <v>900</v>
      </c>
      <c r="Z90" s="7">
        <f t="shared" si="22"/>
        <v>8.626473689</v>
      </c>
    </row>
    <row r="91">
      <c r="A91" s="30" t="str">
        <f>IFERROR(__xludf.DUMMYFUNCTION("""COMPUTED_VALUE"""),"2019 04")</f>
        <v>2019 04</v>
      </c>
      <c r="B91" s="30" t="str">
        <f>IFERROR(__xludf.DUMMYFUNCTION("""COMPUTED_VALUE"""),"104.04")</f>
        <v>104.04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0.4805843906</v>
      </c>
      <c r="G91" s="7">
        <f t="shared" si="3"/>
        <v>100</v>
      </c>
      <c r="H91" s="7">
        <f t="shared" si="4"/>
        <v>0.9611687812</v>
      </c>
      <c r="I91" s="7">
        <f t="shared" si="5"/>
        <v>150</v>
      </c>
      <c r="J91" s="7">
        <f t="shared" si="6"/>
        <v>1.441753172</v>
      </c>
      <c r="K91" s="7">
        <f t="shared" si="7"/>
        <v>200</v>
      </c>
      <c r="L91" s="7">
        <f t="shared" si="8"/>
        <v>1.922337562</v>
      </c>
      <c r="M91" s="7">
        <f t="shared" si="9"/>
        <v>300</v>
      </c>
      <c r="N91" s="7">
        <f t="shared" si="10"/>
        <v>2.883506344</v>
      </c>
      <c r="O91" s="7">
        <f t="shared" si="11"/>
        <v>400</v>
      </c>
      <c r="P91" s="7">
        <f t="shared" si="12"/>
        <v>3.844675125</v>
      </c>
      <c r="Q91" s="7">
        <f t="shared" si="13"/>
        <v>500</v>
      </c>
      <c r="R91" s="7">
        <f t="shared" si="14"/>
        <v>4.805843906</v>
      </c>
      <c r="S91" s="7">
        <f t="shared" si="15"/>
        <v>600</v>
      </c>
      <c r="T91" s="7">
        <f t="shared" si="16"/>
        <v>5.767012687</v>
      </c>
      <c r="U91" s="7">
        <f t="shared" si="17"/>
        <v>700</v>
      </c>
      <c r="V91" s="7">
        <f t="shared" si="18"/>
        <v>6.728181469</v>
      </c>
      <c r="W91" s="7">
        <f t="shared" si="19"/>
        <v>800</v>
      </c>
      <c r="X91" s="7">
        <f t="shared" si="20"/>
        <v>7.68935025</v>
      </c>
      <c r="Y91" s="7">
        <f t="shared" si="21"/>
        <v>900</v>
      </c>
      <c r="Z91" s="7">
        <f t="shared" si="22"/>
        <v>8.650519031</v>
      </c>
    </row>
    <row r="92">
      <c r="A92" s="30" t="str">
        <f>IFERROR(__xludf.DUMMYFUNCTION("""COMPUTED_VALUE"""),"2019 05")</f>
        <v>2019 05</v>
      </c>
      <c r="B92" s="30" t="str">
        <f>IFERROR(__xludf.DUMMYFUNCTION("""COMPUTED_VALUE"""),"106.65")</f>
        <v>106.65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0.4688232536</v>
      </c>
      <c r="G92" s="7">
        <f t="shared" si="3"/>
        <v>100</v>
      </c>
      <c r="H92" s="7">
        <f t="shared" si="4"/>
        <v>0.9376465073</v>
      </c>
      <c r="I92" s="7">
        <f t="shared" si="5"/>
        <v>150</v>
      </c>
      <c r="J92" s="7">
        <f t="shared" si="6"/>
        <v>1.406469761</v>
      </c>
      <c r="K92" s="7">
        <f t="shared" si="7"/>
        <v>200</v>
      </c>
      <c r="L92" s="7">
        <f t="shared" si="8"/>
        <v>1.875293015</v>
      </c>
      <c r="M92" s="7">
        <f t="shared" si="9"/>
        <v>300</v>
      </c>
      <c r="N92" s="7">
        <f t="shared" si="10"/>
        <v>2.812939522</v>
      </c>
      <c r="O92" s="7">
        <f t="shared" si="11"/>
        <v>400</v>
      </c>
      <c r="P92" s="7">
        <f t="shared" si="12"/>
        <v>3.750586029</v>
      </c>
      <c r="Q92" s="7">
        <f t="shared" si="13"/>
        <v>500</v>
      </c>
      <c r="R92" s="7">
        <f t="shared" si="14"/>
        <v>4.688232536</v>
      </c>
      <c r="S92" s="7">
        <f t="shared" si="15"/>
        <v>600</v>
      </c>
      <c r="T92" s="7">
        <f t="shared" si="16"/>
        <v>5.625879044</v>
      </c>
      <c r="U92" s="7">
        <f t="shared" si="17"/>
        <v>700</v>
      </c>
      <c r="V92" s="7">
        <f t="shared" si="18"/>
        <v>6.563525551</v>
      </c>
      <c r="W92" s="7">
        <f t="shared" si="19"/>
        <v>800</v>
      </c>
      <c r="X92" s="7">
        <f t="shared" si="20"/>
        <v>7.501172058</v>
      </c>
      <c r="Y92" s="7">
        <f t="shared" si="21"/>
        <v>900</v>
      </c>
      <c r="Z92" s="7">
        <f t="shared" si="22"/>
        <v>8.438818565</v>
      </c>
    </row>
    <row r="93">
      <c r="A93" s="30" t="str">
        <f>IFERROR(__xludf.DUMMYFUNCTION("""COMPUTED_VALUE"""),"2019 06")</f>
        <v>2019 06</v>
      </c>
      <c r="B93" s="30" t="str">
        <f>IFERROR(__xludf.DUMMYFUNCTION("""COMPUTED_VALUE"""),"106.57")</f>
        <v>106.57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0.46917519</v>
      </c>
      <c r="G93" s="7">
        <f t="shared" si="3"/>
        <v>100</v>
      </c>
      <c r="H93" s="7">
        <f t="shared" si="4"/>
        <v>0.93835038</v>
      </c>
      <c r="I93" s="7">
        <f t="shared" si="5"/>
        <v>150</v>
      </c>
      <c r="J93" s="7">
        <f t="shared" si="6"/>
        <v>1.40752557</v>
      </c>
      <c r="K93" s="7">
        <f t="shared" si="7"/>
        <v>200</v>
      </c>
      <c r="L93" s="7">
        <f t="shared" si="8"/>
        <v>1.87670076</v>
      </c>
      <c r="M93" s="7">
        <f t="shared" si="9"/>
        <v>300</v>
      </c>
      <c r="N93" s="7">
        <f t="shared" si="10"/>
        <v>2.81505114</v>
      </c>
      <c r="O93" s="7">
        <f t="shared" si="11"/>
        <v>400</v>
      </c>
      <c r="P93" s="7">
        <f t="shared" si="12"/>
        <v>3.75340152</v>
      </c>
      <c r="Q93" s="7">
        <f t="shared" si="13"/>
        <v>500</v>
      </c>
      <c r="R93" s="7">
        <f t="shared" si="14"/>
        <v>4.6917519</v>
      </c>
      <c r="S93" s="7">
        <f t="shared" si="15"/>
        <v>600</v>
      </c>
      <c r="T93" s="7">
        <f t="shared" si="16"/>
        <v>5.63010228</v>
      </c>
      <c r="U93" s="7">
        <f t="shared" si="17"/>
        <v>700</v>
      </c>
      <c r="V93" s="7">
        <f t="shared" si="18"/>
        <v>6.56845266</v>
      </c>
      <c r="W93" s="7">
        <f t="shared" si="19"/>
        <v>800</v>
      </c>
      <c r="X93" s="7">
        <f t="shared" si="20"/>
        <v>7.50680304</v>
      </c>
      <c r="Y93" s="7">
        <f t="shared" si="21"/>
        <v>900</v>
      </c>
      <c r="Z93" s="7">
        <f t="shared" si="22"/>
        <v>8.44515342</v>
      </c>
    </row>
    <row r="94">
      <c r="A94" s="30" t="str">
        <f>IFERROR(__xludf.DUMMYFUNCTION("""COMPUTED_VALUE"""),"2019 07")</f>
        <v>2019 07</v>
      </c>
      <c r="B94" s="30" t="str">
        <f>IFERROR(__xludf.DUMMYFUNCTION("""COMPUTED_VALUE"""),"111.17")</f>
        <v>111.17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0.4497616263</v>
      </c>
      <c r="G94" s="7">
        <f t="shared" si="3"/>
        <v>100</v>
      </c>
      <c r="H94" s="7">
        <f t="shared" si="4"/>
        <v>0.8995232527</v>
      </c>
      <c r="I94" s="7">
        <f t="shared" si="5"/>
        <v>150</v>
      </c>
      <c r="J94" s="7">
        <f t="shared" si="6"/>
        <v>1.349284879</v>
      </c>
      <c r="K94" s="7">
        <f t="shared" si="7"/>
        <v>200</v>
      </c>
      <c r="L94" s="7">
        <f t="shared" si="8"/>
        <v>1.799046505</v>
      </c>
      <c r="M94" s="7">
        <f t="shared" si="9"/>
        <v>300</v>
      </c>
      <c r="N94" s="7">
        <f t="shared" si="10"/>
        <v>2.698569758</v>
      </c>
      <c r="O94" s="7">
        <f t="shared" si="11"/>
        <v>400</v>
      </c>
      <c r="P94" s="7">
        <f t="shared" si="12"/>
        <v>3.598093011</v>
      </c>
      <c r="Q94" s="7">
        <f t="shared" si="13"/>
        <v>500</v>
      </c>
      <c r="R94" s="7">
        <f t="shared" si="14"/>
        <v>4.497616263</v>
      </c>
      <c r="S94" s="7">
        <f t="shared" si="15"/>
        <v>600</v>
      </c>
      <c r="T94" s="7">
        <f t="shared" si="16"/>
        <v>5.397139516</v>
      </c>
      <c r="U94" s="7">
        <f t="shared" si="17"/>
        <v>700</v>
      </c>
      <c r="V94" s="7">
        <f t="shared" si="18"/>
        <v>6.296662769</v>
      </c>
      <c r="W94" s="7">
        <f t="shared" si="19"/>
        <v>800</v>
      </c>
      <c r="X94" s="7">
        <f t="shared" si="20"/>
        <v>7.196186021</v>
      </c>
      <c r="Y94" s="7">
        <f t="shared" si="21"/>
        <v>900</v>
      </c>
      <c r="Z94" s="7">
        <f t="shared" si="22"/>
        <v>8.095709274</v>
      </c>
    </row>
    <row r="95">
      <c r="A95" s="30" t="str">
        <f>IFERROR(__xludf.DUMMYFUNCTION("""COMPUTED_VALUE"""),"2019 08")</f>
        <v>2019 08</v>
      </c>
      <c r="B95" s="30" t="str">
        <f>IFERROR(__xludf.DUMMYFUNCTION("""COMPUTED_VALUE"""),"113.45")</f>
        <v>113.45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0.4407227854</v>
      </c>
      <c r="G95" s="7">
        <f t="shared" si="3"/>
        <v>100</v>
      </c>
      <c r="H95" s="7">
        <f t="shared" si="4"/>
        <v>0.8814455707</v>
      </c>
      <c r="I95" s="7">
        <f t="shared" si="5"/>
        <v>150</v>
      </c>
      <c r="J95" s="7">
        <f t="shared" si="6"/>
        <v>1.322168356</v>
      </c>
      <c r="K95" s="7">
        <f t="shared" si="7"/>
        <v>200</v>
      </c>
      <c r="L95" s="7">
        <f t="shared" si="8"/>
        <v>1.762891141</v>
      </c>
      <c r="M95" s="7">
        <f t="shared" si="9"/>
        <v>300</v>
      </c>
      <c r="N95" s="7">
        <f t="shared" si="10"/>
        <v>2.644336712</v>
      </c>
      <c r="O95" s="7">
        <f t="shared" si="11"/>
        <v>400</v>
      </c>
      <c r="P95" s="7">
        <f t="shared" si="12"/>
        <v>3.525782283</v>
      </c>
      <c r="Q95" s="7">
        <f t="shared" si="13"/>
        <v>500</v>
      </c>
      <c r="R95" s="7">
        <f t="shared" si="14"/>
        <v>4.407227854</v>
      </c>
      <c r="S95" s="7">
        <f t="shared" si="15"/>
        <v>600</v>
      </c>
      <c r="T95" s="7">
        <f t="shared" si="16"/>
        <v>5.288673424</v>
      </c>
      <c r="U95" s="7">
        <f t="shared" si="17"/>
        <v>700</v>
      </c>
      <c r="V95" s="7">
        <f t="shared" si="18"/>
        <v>6.170118995</v>
      </c>
      <c r="W95" s="7">
        <f t="shared" si="19"/>
        <v>800</v>
      </c>
      <c r="X95" s="7">
        <f t="shared" si="20"/>
        <v>7.051564566</v>
      </c>
      <c r="Y95" s="7">
        <f t="shared" si="21"/>
        <v>900</v>
      </c>
      <c r="Z95" s="7">
        <f t="shared" si="22"/>
        <v>7.933010137</v>
      </c>
    </row>
    <row r="96">
      <c r="A96" s="30" t="str">
        <f>IFERROR(__xludf.DUMMYFUNCTION("""COMPUTED_VALUE"""),"2019 09")</f>
        <v>2019 09</v>
      </c>
      <c r="B96" s="30" t="str">
        <f>IFERROR(__xludf.DUMMYFUNCTION("""COMPUTED_VALUE"""),"110.71")</f>
        <v>110.71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0.4516303857</v>
      </c>
      <c r="G96" s="7">
        <f t="shared" si="3"/>
        <v>100</v>
      </c>
      <c r="H96" s="7">
        <f t="shared" si="4"/>
        <v>0.9032607714</v>
      </c>
      <c r="I96" s="7">
        <f t="shared" si="5"/>
        <v>150</v>
      </c>
      <c r="J96" s="7">
        <f t="shared" si="6"/>
        <v>1.354891157</v>
      </c>
      <c r="K96" s="7">
        <f t="shared" si="7"/>
        <v>200</v>
      </c>
      <c r="L96" s="7">
        <f t="shared" si="8"/>
        <v>1.806521543</v>
      </c>
      <c r="M96" s="7">
        <f t="shared" si="9"/>
        <v>300</v>
      </c>
      <c r="N96" s="7">
        <f t="shared" si="10"/>
        <v>2.709782314</v>
      </c>
      <c r="O96" s="7">
        <f t="shared" si="11"/>
        <v>400</v>
      </c>
      <c r="P96" s="7">
        <f t="shared" si="12"/>
        <v>3.613043086</v>
      </c>
      <c r="Q96" s="7">
        <f t="shared" si="13"/>
        <v>500</v>
      </c>
      <c r="R96" s="7">
        <f t="shared" si="14"/>
        <v>4.516303857</v>
      </c>
      <c r="S96" s="7">
        <f t="shared" si="15"/>
        <v>600</v>
      </c>
      <c r="T96" s="7">
        <f t="shared" si="16"/>
        <v>5.419564628</v>
      </c>
      <c r="U96" s="7">
        <f t="shared" si="17"/>
        <v>700</v>
      </c>
      <c r="V96" s="7">
        <f t="shared" si="18"/>
        <v>6.3228254</v>
      </c>
      <c r="W96" s="7">
        <f t="shared" si="19"/>
        <v>800</v>
      </c>
      <c r="X96" s="7">
        <f t="shared" si="20"/>
        <v>7.226086171</v>
      </c>
      <c r="Y96" s="7">
        <f t="shared" si="21"/>
        <v>900</v>
      </c>
      <c r="Z96" s="7">
        <f t="shared" si="22"/>
        <v>8.129346942</v>
      </c>
    </row>
    <row r="97">
      <c r="A97" s="30" t="str">
        <f>IFERROR(__xludf.DUMMYFUNCTION("""COMPUTED_VALUE"""),"2019 10")</f>
        <v>2019 10</v>
      </c>
      <c r="B97" s="30" t="str">
        <f>IFERROR(__xludf.DUMMYFUNCTION("""COMPUTED_VALUE"""),"112.85")</f>
        <v>112.85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0.4430660168</v>
      </c>
      <c r="G97" s="7">
        <f t="shared" si="3"/>
        <v>100</v>
      </c>
      <c r="H97" s="7">
        <f t="shared" si="4"/>
        <v>0.8861320337</v>
      </c>
      <c r="I97" s="7">
        <f t="shared" si="5"/>
        <v>150</v>
      </c>
      <c r="J97" s="7">
        <f t="shared" si="6"/>
        <v>1.329198051</v>
      </c>
      <c r="K97" s="7">
        <f t="shared" si="7"/>
        <v>200</v>
      </c>
      <c r="L97" s="7">
        <f t="shared" si="8"/>
        <v>1.772264067</v>
      </c>
      <c r="M97" s="7">
        <f t="shared" si="9"/>
        <v>300</v>
      </c>
      <c r="N97" s="7">
        <f t="shared" si="10"/>
        <v>2.658396101</v>
      </c>
      <c r="O97" s="7">
        <f t="shared" si="11"/>
        <v>400</v>
      </c>
      <c r="P97" s="7">
        <f t="shared" si="12"/>
        <v>3.544528135</v>
      </c>
      <c r="Q97" s="7">
        <f t="shared" si="13"/>
        <v>500</v>
      </c>
      <c r="R97" s="7">
        <f t="shared" si="14"/>
        <v>4.430660168</v>
      </c>
      <c r="S97" s="7">
        <f t="shared" si="15"/>
        <v>600</v>
      </c>
      <c r="T97" s="7">
        <f t="shared" si="16"/>
        <v>5.316792202</v>
      </c>
      <c r="U97" s="7">
        <f t="shared" si="17"/>
        <v>700</v>
      </c>
      <c r="V97" s="7">
        <f t="shared" si="18"/>
        <v>6.202924236</v>
      </c>
      <c r="W97" s="7">
        <f t="shared" si="19"/>
        <v>800</v>
      </c>
      <c r="X97" s="7">
        <f t="shared" si="20"/>
        <v>7.089056269</v>
      </c>
      <c r="Y97" s="7">
        <f t="shared" si="21"/>
        <v>900</v>
      </c>
      <c r="Z97" s="7">
        <f t="shared" si="22"/>
        <v>7.975188303</v>
      </c>
    </row>
    <row r="98">
      <c r="A98" s="30" t="str">
        <f>IFERROR(__xludf.DUMMYFUNCTION("""COMPUTED_VALUE"""),"2019 11")</f>
        <v>2019 11</v>
      </c>
      <c r="B98" s="30" t="str">
        <f>IFERROR(__xludf.DUMMYFUNCTION("""COMPUTED_VALUE"""),"111.62")</f>
        <v>111.62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0.4479483963</v>
      </c>
      <c r="G98" s="7">
        <f t="shared" si="3"/>
        <v>100</v>
      </c>
      <c r="H98" s="7">
        <f t="shared" si="4"/>
        <v>0.8958967927</v>
      </c>
      <c r="I98" s="7">
        <f t="shared" si="5"/>
        <v>150</v>
      </c>
      <c r="J98" s="7">
        <f t="shared" si="6"/>
        <v>1.343845189</v>
      </c>
      <c r="K98" s="7">
        <f t="shared" si="7"/>
        <v>200</v>
      </c>
      <c r="L98" s="7">
        <f t="shared" si="8"/>
        <v>1.791793585</v>
      </c>
      <c r="M98" s="7">
        <f t="shared" si="9"/>
        <v>300</v>
      </c>
      <c r="N98" s="7">
        <f t="shared" si="10"/>
        <v>2.687690378</v>
      </c>
      <c r="O98" s="7">
        <f t="shared" si="11"/>
        <v>400</v>
      </c>
      <c r="P98" s="7">
        <f t="shared" si="12"/>
        <v>3.583587171</v>
      </c>
      <c r="Q98" s="7">
        <f t="shared" si="13"/>
        <v>500</v>
      </c>
      <c r="R98" s="7">
        <f t="shared" si="14"/>
        <v>4.479483963</v>
      </c>
      <c r="S98" s="7">
        <f t="shared" si="15"/>
        <v>600</v>
      </c>
      <c r="T98" s="7">
        <f t="shared" si="16"/>
        <v>5.375380756</v>
      </c>
      <c r="U98" s="7">
        <f t="shared" si="17"/>
        <v>700</v>
      </c>
      <c r="V98" s="7">
        <f t="shared" si="18"/>
        <v>6.271277549</v>
      </c>
      <c r="W98" s="7">
        <f t="shared" si="19"/>
        <v>800</v>
      </c>
      <c r="X98" s="7">
        <f t="shared" si="20"/>
        <v>7.167174342</v>
      </c>
      <c r="Y98" s="7">
        <f t="shared" si="21"/>
        <v>900</v>
      </c>
      <c r="Z98" s="7">
        <f t="shared" si="22"/>
        <v>8.063071134</v>
      </c>
    </row>
    <row r="99">
      <c r="A99" s="30" t="str">
        <f>IFERROR(__xludf.DUMMYFUNCTION("""COMPUTED_VALUE"""),"2019 12")</f>
        <v>2019 12</v>
      </c>
      <c r="B99" s="30" t="str">
        <f>IFERROR(__xludf.DUMMYFUNCTION("""COMPUTED_VALUE"""),"115.48")</f>
        <v>115.48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0.432975407</v>
      </c>
      <c r="G99" s="7">
        <f t="shared" si="3"/>
        <v>100</v>
      </c>
      <c r="H99" s="7">
        <f t="shared" si="4"/>
        <v>0.865950814</v>
      </c>
      <c r="I99" s="7">
        <f t="shared" si="5"/>
        <v>150</v>
      </c>
      <c r="J99" s="7">
        <f t="shared" si="6"/>
        <v>1.298926221</v>
      </c>
      <c r="K99" s="7">
        <f t="shared" si="7"/>
        <v>200</v>
      </c>
      <c r="L99" s="7">
        <f t="shared" si="8"/>
        <v>1.731901628</v>
      </c>
      <c r="M99" s="7">
        <f t="shared" si="9"/>
        <v>300</v>
      </c>
      <c r="N99" s="7">
        <f t="shared" si="10"/>
        <v>2.597852442</v>
      </c>
      <c r="O99" s="7">
        <f t="shared" si="11"/>
        <v>400</v>
      </c>
      <c r="P99" s="7">
        <f t="shared" si="12"/>
        <v>3.463803256</v>
      </c>
      <c r="Q99" s="7">
        <f t="shared" si="13"/>
        <v>500</v>
      </c>
      <c r="R99" s="7">
        <f t="shared" si="14"/>
        <v>4.32975407</v>
      </c>
      <c r="S99" s="7">
        <f t="shared" si="15"/>
        <v>600</v>
      </c>
      <c r="T99" s="7">
        <f t="shared" si="16"/>
        <v>5.195704884</v>
      </c>
      <c r="U99" s="7">
        <f t="shared" si="17"/>
        <v>700</v>
      </c>
      <c r="V99" s="7">
        <f t="shared" si="18"/>
        <v>6.061655698</v>
      </c>
      <c r="W99" s="7">
        <f t="shared" si="19"/>
        <v>800</v>
      </c>
      <c r="X99" s="7">
        <f t="shared" si="20"/>
        <v>6.927606512</v>
      </c>
      <c r="Y99" s="7">
        <f t="shared" si="21"/>
        <v>900</v>
      </c>
      <c r="Z99" s="7">
        <f t="shared" si="22"/>
        <v>7.793557326</v>
      </c>
    </row>
    <row r="100">
      <c r="A100" s="30" t="str">
        <f>IFERROR(__xludf.DUMMYFUNCTION("""COMPUTED_VALUE"""),"2020 01")</f>
        <v>2020 01</v>
      </c>
      <c r="B100" s="30" t="str">
        <f>IFERROR(__xludf.DUMMYFUNCTION("""COMPUTED_VALUE"""),"111.6")</f>
        <v>111.6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0.4480286738</v>
      </c>
      <c r="G100" s="7">
        <f t="shared" si="3"/>
        <v>100</v>
      </c>
      <c r="H100" s="7">
        <f t="shared" si="4"/>
        <v>0.8960573477</v>
      </c>
      <c r="I100" s="7">
        <f t="shared" si="5"/>
        <v>150</v>
      </c>
      <c r="J100" s="7">
        <f t="shared" si="6"/>
        <v>1.344086022</v>
      </c>
      <c r="K100" s="7">
        <f t="shared" si="7"/>
        <v>200</v>
      </c>
      <c r="L100" s="7">
        <f t="shared" si="8"/>
        <v>1.792114695</v>
      </c>
      <c r="M100" s="7">
        <f t="shared" si="9"/>
        <v>300</v>
      </c>
      <c r="N100" s="7">
        <f t="shared" si="10"/>
        <v>2.688172043</v>
      </c>
      <c r="O100" s="7">
        <f t="shared" si="11"/>
        <v>400</v>
      </c>
      <c r="P100" s="7">
        <f t="shared" si="12"/>
        <v>3.584229391</v>
      </c>
      <c r="Q100" s="7">
        <f t="shared" si="13"/>
        <v>500</v>
      </c>
      <c r="R100" s="7">
        <f t="shared" si="14"/>
        <v>4.480286738</v>
      </c>
      <c r="S100" s="7">
        <f t="shared" si="15"/>
        <v>600</v>
      </c>
      <c r="T100" s="7">
        <f t="shared" si="16"/>
        <v>5.376344086</v>
      </c>
      <c r="U100" s="7">
        <f t="shared" si="17"/>
        <v>700</v>
      </c>
      <c r="V100" s="7">
        <f t="shared" si="18"/>
        <v>6.272401434</v>
      </c>
      <c r="W100" s="7">
        <f t="shared" si="19"/>
        <v>800</v>
      </c>
      <c r="X100" s="7">
        <f t="shared" si="20"/>
        <v>7.168458781</v>
      </c>
      <c r="Y100" s="7">
        <f t="shared" si="21"/>
        <v>900</v>
      </c>
      <c r="Z100" s="7">
        <f t="shared" si="22"/>
        <v>8.064516129</v>
      </c>
    </row>
    <row r="101">
      <c r="A101" s="30" t="str">
        <f>IFERROR(__xludf.DUMMYFUNCTION("""COMPUTED_VALUE"""),"2020 02")</f>
        <v>2020 02</v>
      </c>
      <c r="B101" s="30" t="str">
        <f>IFERROR(__xludf.DUMMYFUNCTION("""COMPUTED_VALUE"""),"115.5")</f>
        <v>115.5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0.4329004329</v>
      </c>
      <c r="G101" s="7">
        <f t="shared" si="3"/>
        <v>100</v>
      </c>
      <c r="H101" s="7">
        <f t="shared" si="4"/>
        <v>0.8658008658</v>
      </c>
      <c r="I101" s="7">
        <f t="shared" si="5"/>
        <v>150</v>
      </c>
      <c r="J101" s="7">
        <f t="shared" si="6"/>
        <v>1.298701299</v>
      </c>
      <c r="K101" s="7">
        <f t="shared" si="7"/>
        <v>200</v>
      </c>
      <c r="L101" s="7">
        <f t="shared" si="8"/>
        <v>1.731601732</v>
      </c>
      <c r="M101" s="7">
        <f t="shared" si="9"/>
        <v>300</v>
      </c>
      <c r="N101" s="7">
        <f t="shared" si="10"/>
        <v>2.597402597</v>
      </c>
      <c r="O101" s="7">
        <f t="shared" si="11"/>
        <v>400</v>
      </c>
      <c r="P101" s="7">
        <f t="shared" si="12"/>
        <v>3.463203463</v>
      </c>
      <c r="Q101" s="7">
        <f t="shared" si="13"/>
        <v>500</v>
      </c>
      <c r="R101" s="7">
        <f t="shared" si="14"/>
        <v>4.329004329</v>
      </c>
      <c r="S101" s="7">
        <f t="shared" si="15"/>
        <v>600</v>
      </c>
      <c r="T101" s="7">
        <f t="shared" si="16"/>
        <v>5.194805195</v>
      </c>
      <c r="U101" s="7">
        <f t="shared" si="17"/>
        <v>700</v>
      </c>
      <c r="V101" s="7">
        <f t="shared" si="18"/>
        <v>6.060606061</v>
      </c>
      <c r="W101" s="7">
        <f t="shared" si="19"/>
        <v>800</v>
      </c>
      <c r="X101" s="7">
        <f t="shared" si="20"/>
        <v>6.926406926</v>
      </c>
      <c r="Y101" s="7">
        <f t="shared" si="21"/>
        <v>900</v>
      </c>
      <c r="Z101" s="7">
        <f t="shared" si="22"/>
        <v>7.792207792</v>
      </c>
    </row>
    <row r="102">
      <c r="A102" s="30" t="str">
        <f>IFERROR(__xludf.DUMMYFUNCTION("""COMPUTED_VALUE"""),"2020 03")</f>
        <v>2020 03</v>
      </c>
      <c r="B102" s="30" t="str">
        <f>IFERROR(__xludf.DUMMYFUNCTION("""COMPUTED_VALUE"""),"107.25")</f>
        <v>107.25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0.4662004662</v>
      </c>
      <c r="G102" s="7">
        <f t="shared" si="3"/>
        <v>100</v>
      </c>
      <c r="H102" s="7">
        <f t="shared" si="4"/>
        <v>0.9324009324</v>
      </c>
      <c r="I102" s="7">
        <f t="shared" si="5"/>
        <v>150</v>
      </c>
      <c r="J102" s="7">
        <f t="shared" si="6"/>
        <v>1.398601399</v>
      </c>
      <c r="K102" s="7">
        <f t="shared" si="7"/>
        <v>200</v>
      </c>
      <c r="L102" s="7">
        <f t="shared" si="8"/>
        <v>1.864801865</v>
      </c>
      <c r="M102" s="7">
        <f t="shared" si="9"/>
        <v>300</v>
      </c>
      <c r="N102" s="7">
        <f t="shared" si="10"/>
        <v>2.797202797</v>
      </c>
      <c r="O102" s="7">
        <f t="shared" si="11"/>
        <v>400</v>
      </c>
      <c r="P102" s="7">
        <f t="shared" si="12"/>
        <v>3.72960373</v>
      </c>
      <c r="Q102" s="7">
        <f t="shared" si="13"/>
        <v>500</v>
      </c>
      <c r="R102" s="7">
        <f t="shared" si="14"/>
        <v>4.662004662</v>
      </c>
      <c r="S102" s="7">
        <f t="shared" si="15"/>
        <v>600</v>
      </c>
      <c r="T102" s="7">
        <f t="shared" si="16"/>
        <v>5.594405594</v>
      </c>
      <c r="U102" s="7">
        <f t="shared" si="17"/>
        <v>700</v>
      </c>
      <c r="V102" s="7">
        <f t="shared" si="18"/>
        <v>6.526806527</v>
      </c>
      <c r="W102" s="7">
        <f t="shared" si="19"/>
        <v>800</v>
      </c>
      <c r="X102" s="7">
        <f t="shared" si="20"/>
        <v>7.459207459</v>
      </c>
      <c r="Y102" s="7">
        <f t="shared" si="21"/>
        <v>900</v>
      </c>
      <c r="Z102" s="7">
        <f t="shared" si="22"/>
        <v>8.391608392</v>
      </c>
    </row>
    <row r="103">
      <c r="A103" s="30" t="str">
        <f>IFERROR(__xludf.DUMMYFUNCTION("""COMPUTED_VALUE"""),"2020 04")</f>
        <v>2020 04</v>
      </c>
      <c r="B103" s="30" t="str">
        <f>IFERROR(__xludf.DUMMYFUNCTION("""COMPUTED_VALUE"""),"88.09")</f>
        <v>88.09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0.5676013168</v>
      </c>
      <c r="G103" s="7">
        <f t="shared" si="3"/>
        <v>100</v>
      </c>
      <c r="H103" s="7">
        <f t="shared" si="4"/>
        <v>1.135202634</v>
      </c>
      <c r="I103" s="7">
        <f t="shared" si="5"/>
        <v>150</v>
      </c>
      <c r="J103" s="7">
        <f t="shared" si="6"/>
        <v>1.702803951</v>
      </c>
      <c r="K103" s="7">
        <f t="shared" si="7"/>
        <v>200</v>
      </c>
      <c r="L103" s="7">
        <f t="shared" si="8"/>
        <v>2.270405267</v>
      </c>
      <c r="M103" s="7">
        <f t="shared" si="9"/>
        <v>300</v>
      </c>
      <c r="N103" s="7">
        <f t="shared" si="10"/>
        <v>3.405607901</v>
      </c>
      <c r="O103" s="7">
        <f t="shared" si="11"/>
        <v>400</v>
      </c>
      <c r="P103" s="7">
        <f t="shared" si="12"/>
        <v>4.540810535</v>
      </c>
      <c r="Q103" s="7">
        <f t="shared" si="13"/>
        <v>500</v>
      </c>
      <c r="R103" s="7">
        <f t="shared" si="14"/>
        <v>5.676013168</v>
      </c>
      <c r="S103" s="7">
        <f t="shared" si="15"/>
        <v>600</v>
      </c>
      <c r="T103" s="7">
        <f t="shared" si="16"/>
        <v>6.811215802</v>
      </c>
      <c r="U103" s="7">
        <f t="shared" si="17"/>
        <v>700</v>
      </c>
      <c r="V103" s="7">
        <f t="shared" si="18"/>
        <v>7.946418436</v>
      </c>
      <c r="W103" s="7">
        <f t="shared" si="19"/>
        <v>800</v>
      </c>
      <c r="X103" s="7">
        <f t="shared" si="20"/>
        <v>9.081621069</v>
      </c>
      <c r="Y103" s="7">
        <f t="shared" si="21"/>
        <v>900</v>
      </c>
      <c r="Z103" s="7">
        <f t="shared" si="22"/>
        <v>10.2168237</v>
      </c>
    </row>
    <row r="104">
      <c r="A104" s="30" t="str">
        <f>IFERROR(__xludf.DUMMYFUNCTION("""COMPUTED_VALUE"""),"2020 05")</f>
        <v>2020 05</v>
      </c>
      <c r="B104" s="30" t="str">
        <f>IFERROR(__xludf.DUMMYFUNCTION("""COMPUTED_VALUE"""),"88.24")</f>
        <v>88.24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0.5666364461</v>
      </c>
      <c r="G104" s="7">
        <f t="shared" si="3"/>
        <v>100</v>
      </c>
      <c r="H104" s="7">
        <f t="shared" si="4"/>
        <v>1.133272892</v>
      </c>
      <c r="I104" s="7">
        <f t="shared" si="5"/>
        <v>150</v>
      </c>
      <c r="J104" s="7">
        <f t="shared" si="6"/>
        <v>1.699909338</v>
      </c>
      <c r="K104" s="7">
        <f t="shared" si="7"/>
        <v>200</v>
      </c>
      <c r="L104" s="7">
        <f t="shared" si="8"/>
        <v>2.266545784</v>
      </c>
      <c r="M104" s="7">
        <f t="shared" si="9"/>
        <v>300</v>
      </c>
      <c r="N104" s="7">
        <f t="shared" si="10"/>
        <v>3.399818676</v>
      </c>
      <c r="O104" s="7">
        <f t="shared" si="11"/>
        <v>400</v>
      </c>
      <c r="P104" s="7">
        <f t="shared" si="12"/>
        <v>4.533091568</v>
      </c>
      <c r="Q104" s="7">
        <f t="shared" si="13"/>
        <v>500</v>
      </c>
      <c r="R104" s="7">
        <f t="shared" si="14"/>
        <v>5.666364461</v>
      </c>
      <c r="S104" s="7">
        <f t="shared" si="15"/>
        <v>600</v>
      </c>
      <c r="T104" s="7">
        <f t="shared" si="16"/>
        <v>6.799637353</v>
      </c>
      <c r="U104" s="7">
        <f t="shared" si="17"/>
        <v>700</v>
      </c>
      <c r="V104" s="7">
        <f t="shared" si="18"/>
        <v>7.932910245</v>
      </c>
      <c r="W104" s="7">
        <f t="shared" si="19"/>
        <v>800</v>
      </c>
      <c r="X104" s="7">
        <f t="shared" si="20"/>
        <v>9.066183137</v>
      </c>
      <c r="Y104" s="7">
        <f t="shared" si="21"/>
        <v>900</v>
      </c>
      <c r="Z104" s="7">
        <f t="shared" si="22"/>
        <v>10.19945603</v>
      </c>
    </row>
    <row r="105">
      <c r="A105" s="30" t="str">
        <f>IFERROR(__xludf.DUMMYFUNCTION("""COMPUTED_VALUE"""),"2020 06")</f>
        <v>2020 06</v>
      </c>
      <c r="B105" s="30" t="str">
        <f>IFERROR(__xludf.DUMMYFUNCTION("""COMPUTED_VALUE"""),"97.35")</f>
        <v>97.35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0.5136106831</v>
      </c>
      <c r="G105" s="7">
        <f t="shared" si="3"/>
        <v>100</v>
      </c>
      <c r="H105" s="7">
        <f t="shared" si="4"/>
        <v>1.027221366</v>
      </c>
      <c r="I105" s="7">
        <f t="shared" si="5"/>
        <v>150</v>
      </c>
      <c r="J105" s="7">
        <f t="shared" si="6"/>
        <v>1.540832049</v>
      </c>
      <c r="K105" s="7">
        <f t="shared" si="7"/>
        <v>200</v>
      </c>
      <c r="L105" s="7">
        <f t="shared" si="8"/>
        <v>2.054442732</v>
      </c>
      <c r="M105" s="7">
        <f t="shared" si="9"/>
        <v>300</v>
      </c>
      <c r="N105" s="7">
        <f t="shared" si="10"/>
        <v>3.081664099</v>
      </c>
      <c r="O105" s="7">
        <f t="shared" si="11"/>
        <v>400</v>
      </c>
      <c r="P105" s="7">
        <f t="shared" si="12"/>
        <v>4.108885465</v>
      </c>
      <c r="Q105" s="7">
        <f t="shared" si="13"/>
        <v>500</v>
      </c>
      <c r="R105" s="7">
        <f t="shared" si="14"/>
        <v>5.136106831</v>
      </c>
      <c r="S105" s="7">
        <f t="shared" si="15"/>
        <v>600</v>
      </c>
      <c r="T105" s="7">
        <f t="shared" si="16"/>
        <v>6.163328197</v>
      </c>
      <c r="U105" s="7">
        <f t="shared" si="17"/>
        <v>700</v>
      </c>
      <c r="V105" s="7">
        <f t="shared" si="18"/>
        <v>7.190549563</v>
      </c>
      <c r="W105" s="7">
        <f t="shared" si="19"/>
        <v>800</v>
      </c>
      <c r="X105" s="7">
        <f t="shared" si="20"/>
        <v>8.21777093</v>
      </c>
      <c r="Y105" s="7">
        <f t="shared" si="21"/>
        <v>900</v>
      </c>
      <c r="Z105" s="7">
        <f t="shared" si="22"/>
        <v>9.244992296</v>
      </c>
    </row>
    <row r="106">
      <c r="A106" s="30" t="str">
        <f>IFERROR(__xludf.DUMMYFUNCTION("""COMPUTED_VALUE"""),"2020 07")</f>
        <v>2020 07</v>
      </c>
      <c r="B106" s="30" t="str">
        <f>IFERROR(__xludf.DUMMYFUNCTION("""COMPUTED_VALUE"""),"99.01")</f>
        <v>99.01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0.504999495</v>
      </c>
      <c r="G106" s="7">
        <f t="shared" si="3"/>
        <v>100</v>
      </c>
      <c r="H106" s="7">
        <f t="shared" si="4"/>
        <v>1.00999899</v>
      </c>
      <c r="I106" s="7">
        <f t="shared" si="5"/>
        <v>150</v>
      </c>
      <c r="J106" s="7">
        <f t="shared" si="6"/>
        <v>1.514998485</v>
      </c>
      <c r="K106" s="7">
        <f t="shared" si="7"/>
        <v>200</v>
      </c>
      <c r="L106" s="7">
        <f t="shared" si="8"/>
        <v>2.01999798</v>
      </c>
      <c r="M106" s="7">
        <f t="shared" si="9"/>
        <v>300</v>
      </c>
      <c r="N106" s="7">
        <f t="shared" si="10"/>
        <v>3.02999697</v>
      </c>
      <c r="O106" s="7">
        <f t="shared" si="11"/>
        <v>400</v>
      </c>
      <c r="P106" s="7">
        <f t="shared" si="12"/>
        <v>4.03999596</v>
      </c>
      <c r="Q106" s="7">
        <f t="shared" si="13"/>
        <v>500</v>
      </c>
      <c r="R106" s="7">
        <f t="shared" si="14"/>
        <v>5.04999495</v>
      </c>
      <c r="S106" s="7">
        <f t="shared" si="15"/>
        <v>600</v>
      </c>
      <c r="T106" s="7">
        <f t="shared" si="16"/>
        <v>6.05999394</v>
      </c>
      <c r="U106" s="7">
        <f t="shared" si="17"/>
        <v>700</v>
      </c>
      <c r="V106" s="7">
        <f t="shared" si="18"/>
        <v>7.06999293</v>
      </c>
      <c r="W106" s="7">
        <f t="shared" si="19"/>
        <v>800</v>
      </c>
      <c r="X106" s="7">
        <f t="shared" si="20"/>
        <v>8.07999192</v>
      </c>
      <c r="Y106" s="7">
        <f t="shared" si="21"/>
        <v>900</v>
      </c>
      <c r="Z106" s="7">
        <f t="shared" si="22"/>
        <v>9.08999091</v>
      </c>
    </row>
    <row r="107">
      <c r="A107" s="30" t="str">
        <f>IFERROR(__xludf.DUMMYFUNCTION("""COMPUTED_VALUE"""),"2020 08")</f>
        <v>2020 08</v>
      </c>
      <c r="B107" s="30" t="str">
        <f>IFERROR(__xludf.DUMMYFUNCTION("""COMPUTED_VALUE"""),"99.07")</f>
        <v>99.07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0.504693651</v>
      </c>
      <c r="G107" s="7">
        <f t="shared" si="3"/>
        <v>100</v>
      </c>
      <c r="H107" s="7">
        <f t="shared" si="4"/>
        <v>1.009387302</v>
      </c>
      <c r="I107" s="7">
        <f t="shared" si="5"/>
        <v>150</v>
      </c>
      <c r="J107" s="7">
        <f t="shared" si="6"/>
        <v>1.514080953</v>
      </c>
      <c r="K107" s="7">
        <f t="shared" si="7"/>
        <v>200</v>
      </c>
      <c r="L107" s="7">
        <f t="shared" si="8"/>
        <v>2.018774604</v>
      </c>
      <c r="M107" s="7">
        <f t="shared" si="9"/>
        <v>300</v>
      </c>
      <c r="N107" s="7">
        <f t="shared" si="10"/>
        <v>3.028161906</v>
      </c>
      <c r="O107" s="7">
        <f t="shared" si="11"/>
        <v>400</v>
      </c>
      <c r="P107" s="7">
        <f t="shared" si="12"/>
        <v>4.037549208</v>
      </c>
      <c r="Q107" s="7">
        <f t="shared" si="13"/>
        <v>500</v>
      </c>
      <c r="R107" s="7">
        <f t="shared" si="14"/>
        <v>5.04693651</v>
      </c>
      <c r="S107" s="7">
        <f t="shared" si="15"/>
        <v>600</v>
      </c>
      <c r="T107" s="7">
        <f t="shared" si="16"/>
        <v>6.056323811</v>
      </c>
      <c r="U107" s="7">
        <f t="shared" si="17"/>
        <v>700</v>
      </c>
      <c r="V107" s="7">
        <f t="shared" si="18"/>
        <v>7.065711113</v>
      </c>
      <c r="W107" s="7">
        <f t="shared" si="19"/>
        <v>800</v>
      </c>
      <c r="X107" s="7">
        <f t="shared" si="20"/>
        <v>8.075098415</v>
      </c>
      <c r="Y107" s="7">
        <f t="shared" si="21"/>
        <v>900</v>
      </c>
      <c r="Z107" s="7">
        <f t="shared" si="22"/>
        <v>9.084485717</v>
      </c>
    </row>
    <row r="108">
      <c r="A108" s="30" t="str">
        <f>IFERROR(__xludf.DUMMYFUNCTION("""COMPUTED_VALUE"""),"2020 09")</f>
        <v>2020 09</v>
      </c>
      <c r="B108" s="30" t="str">
        <f>IFERROR(__xludf.DUMMYFUNCTION("""COMPUTED_VALUE"""),"100.17")</f>
        <v>100.17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0.4991514425</v>
      </c>
      <c r="G108" s="7">
        <f t="shared" si="3"/>
        <v>100</v>
      </c>
      <c r="H108" s="7">
        <f t="shared" si="4"/>
        <v>0.9983028851</v>
      </c>
      <c r="I108" s="7">
        <f t="shared" si="5"/>
        <v>150</v>
      </c>
      <c r="J108" s="7">
        <f t="shared" si="6"/>
        <v>1.497454328</v>
      </c>
      <c r="K108" s="7">
        <f t="shared" si="7"/>
        <v>200</v>
      </c>
      <c r="L108" s="7">
        <f t="shared" si="8"/>
        <v>1.99660577</v>
      </c>
      <c r="M108" s="7">
        <f t="shared" si="9"/>
        <v>300</v>
      </c>
      <c r="N108" s="7">
        <f t="shared" si="10"/>
        <v>2.994908655</v>
      </c>
      <c r="O108" s="7">
        <f t="shared" si="11"/>
        <v>400</v>
      </c>
      <c r="P108" s="7">
        <f t="shared" si="12"/>
        <v>3.99321154</v>
      </c>
      <c r="Q108" s="7">
        <f t="shared" si="13"/>
        <v>500</v>
      </c>
      <c r="R108" s="7">
        <f t="shared" si="14"/>
        <v>4.991514425</v>
      </c>
      <c r="S108" s="7">
        <f t="shared" si="15"/>
        <v>600</v>
      </c>
      <c r="T108" s="7">
        <f t="shared" si="16"/>
        <v>5.989817311</v>
      </c>
      <c r="U108" s="7">
        <f t="shared" si="17"/>
        <v>700</v>
      </c>
      <c r="V108" s="7">
        <f t="shared" si="18"/>
        <v>6.988120196</v>
      </c>
      <c r="W108" s="7">
        <f t="shared" si="19"/>
        <v>800</v>
      </c>
      <c r="X108" s="7">
        <f t="shared" si="20"/>
        <v>7.986423081</v>
      </c>
      <c r="Y108" s="7">
        <f t="shared" si="21"/>
        <v>900</v>
      </c>
      <c r="Z108" s="7">
        <f t="shared" si="22"/>
        <v>8.984725966</v>
      </c>
    </row>
    <row r="109">
      <c r="A109" s="30" t="str">
        <f>IFERROR(__xludf.DUMMYFUNCTION("""COMPUTED_VALUE"""),"2020 10")</f>
        <v>2020 10</v>
      </c>
      <c r="B109" s="30" t="str">
        <f>IFERROR(__xludf.DUMMYFUNCTION("""COMPUTED_VALUE"""),"98.48")</f>
        <v>98.48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0.507717303</v>
      </c>
      <c r="G109" s="7">
        <f t="shared" si="3"/>
        <v>100</v>
      </c>
      <c r="H109" s="7">
        <f t="shared" si="4"/>
        <v>1.015434606</v>
      </c>
      <c r="I109" s="7">
        <f t="shared" si="5"/>
        <v>150</v>
      </c>
      <c r="J109" s="7">
        <f t="shared" si="6"/>
        <v>1.523151909</v>
      </c>
      <c r="K109" s="7">
        <f t="shared" si="7"/>
        <v>200</v>
      </c>
      <c r="L109" s="7">
        <f t="shared" si="8"/>
        <v>2.030869212</v>
      </c>
      <c r="M109" s="7">
        <f t="shared" si="9"/>
        <v>300</v>
      </c>
      <c r="N109" s="7">
        <f t="shared" si="10"/>
        <v>3.046303818</v>
      </c>
      <c r="O109" s="7">
        <f t="shared" si="11"/>
        <v>400</v>
      </c>
      <c r="P109" s="7">
        <f t="shared" si="12"/>
        <v>4.061738424</v>
      </c>
      <c r="Q109" s="7">
        <f t="shared" si="13"/>
        <v>500</v>
      </c>
      <c r="R109" s="7">
        <f t="shared" si="14"/>
        <v>5.07717303</v>
      </c>
      <c r="S109" s="7">
        <f t="shared" si="15"/>
        <v>600</v>
      </c>
      <c r="T109" s="7">
        <f t="shared" si="16"/>
        <v>6.092607636</v>
      </c>
      <c r="U109" s="7">
        <f t="shared" si="17"/>
        <v>700</v>
      </c>
      <c r="V109" s="7">
        <f t="shared" si="18"/>
        <v>7.108042242</v>
      </c>
      <c r="W109" s="7">
        <f t="shared" si="19"/>
        <v>800</v>
      </c>
      <c r="X109" s="7">
        <f t="shared" si="20"/>
        <v>8.123476848</v>
      </c>
      <c r="Y109" s="7">
        <f t="shared" si="21"/>
        <v>900</v>
      </c>
      <c r="Z109" s="7">
        <f t="shared" si="22"/>
        <v>9.138911454</v>
      </c>
    </row>
    <row r="110">
      <c r="A110" s="30" t="str">
        <f>IFERROR(__xludf.DUMMYFUNCTION("""COMPUTED_VALUE"""),"2020 11")</f>
        <v>2020 11</v>
      </c>
      <c r="B110" s="30" t="str">
        <f>IFERROR(__xludf.DUMMYFUNCTION("""COMPUTED_VALUE"""),"99.74")</f>
        <v>99.74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0.5013033888</v>
      </c>
      <c r="G110" s="7">
        <f t="shared" si="3"/>
        <v>100</v>
      </c>
      <c r="H110" s="7">
        <f t="shared" si="4"/>
        <v>1.002606778</v>
      </c>
      <c r="I110" s="7">
        <f t="shared" si="5"/>
        <v>150</v>
      </c>
      <c r="J110" s="7">
        <f t="shared" si="6"/>
        <v>1.503910166</v>
      </c>
      <c r="K110" s="7">
        <f t="shared" si="7"/>
        <v>200</v>
      </c>
      <c r="L110" s="7">
        <f t="shared" si="8"/>
        <v>2.005213555</v>
      </c>
      <c r="M110" s="7">
        <f t="shared" si="9"/>
        <v>300</v>
      </c>
      <c r="N110" s="7">
        <f t="shared" si="10"/>
        <v>3.007820333</v>
      </c>
      <c r="O110" s="7">
        <f t="shared" si="11"/>
        <v>400</v>
      </c>
      <c r="P110" s="7">
        <f t="shared" si="12"/>
        <v>4.01042711</v>
      </c>
      <c r="Q110" s="7">
        <f t="shared" si="13"/>
        <v>500</v>
      </c>
      <c r="R110" s="7">
        <f t="shared" si="14"/>
        <v>5.013033888</v>
      </c>
      <c r="S110" s="7">
        <f t="shared" si="15"/>
        <v>600</v>
      </c>
      <c r="T110" s="7">
        <f t="shared" si="16"/>
        <v>6.015640666</v>
      </c>
      <c r="U110" s="7">
        <f t="shared" si="17"/>
        <v>700</v>
      </c>
      <c r="V110" s="7">
        <f t="shared" si="18"/>
        <v>7.018247443</v>
      </c>
      <c r="W110" s="7">
        <f t="shared" si="19"/>
        <v>800</v>
      </c>
      <c r="X110" s="7">
        <f t="shared" si="20"/>
        <v>8.020854221</v>
      </c>
      <c r="Y110" s="7">
        <f t="shared" si="21"/>
        <v>900</v>
      </c>
      <c r="Z110" s="7">
        <f t="shared" si="22"/>
        <v>9.023460999</v>
      </c>
    </row>
    <row r="111">
      <c r="A111" s="30" t="str">
        <f>IFERROR(__xludf.DUMMYFUNCTION("""COMPUTED_VALUE"""),"2020 12")</f>
        <v>2020 12</v>
      </c>
      <c r="B111" s="30" t="str">
        <f>IFERROR(__xludf.DUMMYFUNCTION("""COMPUTED_VALUE"""),"110.7")</f>
        <v>110.7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0.4516711834</v>
      </c>
      <c r="G111" s="7">
        <f t="shared" si="3"/>
        <v>100</v>
      </c>
      <c r="H111" s="7">
        <f t="shared" si="4"/>
        <v>0.9033423668</v>
      </c>
      <c r="I111" s="7">
        <f t="shared" si="5"/>
        <v>150</v>
      </c>
      <c r="J111" s="7">
        <f t="shared" si="6"/>
        <v>1.35501355</v>
      </c>
      <c r="K111" s="7">
        <f t="shared" si="7"/>
        <v>200</v>
      </c>
      <c r="L111" s="7">
        <f t="shared" si="8"/>
        <v>1.806684734</v>
      </c>
      <c r="M111" s="7">
        <f t="shared" si="9"/>
        <v>300</v>
      </c>
      <c r="N111" s="7">
        <f t="shared" si="10"/>
        <v>2.7100271</v>
      </c>
      <c r="O111" s="7">
        <f t="shared" si="11"/>
        <v>400</v>
      </c>
      <c r="P111" s="7">
        <f t="shared" si="12"/>
        <v>3.613369467</v>
      </c>
      <c r="Q111" s="7">
        <f t="shared" si="13"/>
        <v>500</v>
      </c>
      <c r="R111" s="7">
        <f t="shared" si="14"/>
        <v>4.516711834</v>
      </c>
      <c r="S111" s="7">
        <f t="shared" si="15"/>
        <v>600</v>
      </c>
      <c r="T111" s="7">
        <f t="shared" si="16"/>
        <v>5.420054201</v>
      </c>
      <c r="U111" s="7">
        <f t="shared" si="17"/>
        <v>700</v>
      </c>
      <c r="V111" s="7">
        <f t="shared" si="18"/>
        <v>6.323396567</v>
      </c>
      <c r="W111" s="7">
        <f t="shared" si="19"/>
        <v>800</v>
      </c>
      <c r="X111" s="7">
        <f t="shared" si="20"/>
        <v>7.226738934</v>
      </c>
      <c r="Y111" s="7">
        <f t="shared" si="21"/>
        <v>900</v>
      </c>
      <c r="Z111" s="7">
        <f t="shared" si="22"/>
        <v>8.130081301</v>
      </c>
    </row>
    <row r="112">
      <c r="A112" s="30" t="str">
        <f>IFERROR(__xludf.DUMMYFUNCTION("""COMPUTED_VALUE"""),"2021 01")</f>
        <v>2021 01</v>
      </c>
      <c r="B112" s="30" t="str">
        <f>IFERROR(__xludf.DUMMYFUNCTION("""COMPUTED_VALUE"""),"111.66")</f>
        <v>111.66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0.4477879276</v>
      </c>
      <c r="G112" s="7">
        <f t="shared" si="3"/>
        <v>100</v>
      </c>
      <c r="H112" s="7">
        <f t="shared" si="4"/>
        <v>0.8955758553</v>
      </c>
      <c r="I112" s="7">
        <f t="shared" si="5"/>
        <v>150</v>
      </c>
      <c r="J112" s="7">
        <f t="shared" si="6"/>
        <v>1.343363783</v>
      </c>
      <c r="K112" s="7">
        <f t="shared" si="7"/>
        <v>200</v>
      </c>
      <c r="L112" s="7">
        <f t="shared" si="8"/>
        <v>1.791151711</v>
      </c>
      <c r="M112" s="7">
        <f t="shared" si="9"/>
        <v>300</v>
      </c>
      <c r="N112" s="7">
        <f t="shared" si="10"/>
        <v>2.686727566</v>
      </c>
      <c r="O112" s="7">
        <f t="shared" si="11"/>
        <v>400</v>
      </c>
      <c r="P112" s="7">
        <f t="shared" si="12"/>
        <v>3.582303421</v>
      </c>
      <c r="Q112" s="7">
        <f t="shared" si="13"/>
        <v>500</v>
      </c>
      <c r="R112" s="7">
        <f t="shared" si="14"/>
        <v>4.477879276</v>
      </c>
      <c r="S112" s="7">
        <f t="shared" si="15"/>
        <v>600</v>
      </c>
      <c r="T112" s="7">
        <f t="shared" si="16"/>
        <v>5.373455132</v>
      </c>
      <c r="U112" s="7">
        <f t="shared" si="17"/>
        <v>700</v>
      </c>
      <c r="V112" s="7">
        <f t="shared" si="18"/>
        <v>6.269030987</v>
      </c>
      <c r="W112" s="7">
        <f t="shared" si="19"/>
        <v>800</v>
      </c>
      <c r="X112" s="7">
        <f t="shared" si="20"/>
        <v>7.164606842</v>
      </c>
      <c r="Y112" s="7">
        <f t="shared" si="21"/>
        <v>900</v>
      </c>
      <c r="Z112" s="7">
        <f t="shared" si="22"/>
        <v>8.060182697</v>
      </c>
    </row>
    <row r="113">
      <c r="A113" s="30" t="str">
        <f>IFERROR(__xludf.DUMMYFUNCTION("""COMPUTED_VALUE"""),"2021 02")</f>
        <v>2021 02</v>
      </c>
      <c r="B113" s="30" t="str">
        <f>IFERROR(__xludf.DUMMYFUNCTION("""COMPUTED_VALUE"""),"111.5")</f>
        <v>111.5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0.4484304933</v>
      </c>
      <c r="G113" s="7">
        <f t="shared" si="3"/>
        <v>100</v>
      </c>
      <c r="H113" s="7">
        <f t="shared" si="4"/>
        <v>0.8968609865</v>
      </c>
      <c r="I113" s="7">
        <f t="shared" si="5"/>
        <v>150</v>
      </c>
      <c r="J113" s="7">
        <f t="shared" si="6"/>
        <v>1.34529148</v>
      </c>
      <c r="K113" s="7">
        <f t="shared" si="7"/>
        <v>200</v>
      </c>
      <c r="L113" s="7">
        <f t="shared" si="8"/>
        <v>1.793721973</v>
      </c>
      <c r="M113" s="7">
        <f t="shared" si="9"/>
        <v>300</v>
      </c>
      <c r="N113" s="7">
        <f t="shared" si="10"/>
        <v>2.69058296</v>
      </c>
      <c r="O113" s="7">
        <f t="shared" si="11"/>
        <v>400</v>
      </c>
      <c r="P113" s="7">
        <f t="shared" si="12"/>
        <v>3.587443946</v>
      </c>
      <c r="Q113" s="7">
        <f t="shared" si="13"/>
        <v>500</v>
      </c>
      <c r="R113" s="7">
        <f t="shared" si="14"/>
        <v>4.484304933</v>
      </c>
      <c r="S113" s="7">
        <f t="shared" si="15"/>
        <v>600</v>
      </c>
      <c r="T113" s="7">
        <f t="shared" si="16"/>
        <v>5.381165919</v>
      </c>
      <c r="U113" s="7">
        <f t="shared" si="17"/>
        <v>700</v>
      </c>
      <c r="V113" s="7">
        <f t="shared" si="18"/>
        <v>6.278026906</v>
      </c>
      <c r="W113" s="7">
        <f t="shared" si="19"/>
        <v>800</v>
      </c>
      <c r="X113" s="7">
        <f t="shared" si="20"/>
        <v>7.174887892</v>
      </c>
      <c r="Y113" s="7">
        <f t="shared" si="21"/>
        <v>900</v>
      </c>
      <c r="Z113" s="7">
        <f t="shared" si="22"/>
        <v>8.071748879</v>
      </c>
    </row>
    <row r="114">
      <c r="A114" s="30" t="str">
        <f>IFERROR(__xludf.DUMMYFUNCTION("""COMPUTED_VALUE"""),"2021 03")</f>
        <v>2021 03</v>
      </c>
      <c r="B114" s="30" t="str">
        <f>IFERROR(__xludf.DUMMYFUNCTION("""COMPUTED_VALUE"""),"114.35")</f>
        <v>114.35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0.4372540446</v>
      </c>
      <c r="G114" s="7">
        <f t="shared" si="3"/>
        <v>100</v>
      </c>
      <c r="H114" s="7">
        <f t="shared" si="4"/>
        <v>0.8745080892</v>
      </c>
      <c r="I114" s="7">
        <f t="shared" si="5"/>
        <v>150</v>
      </c>
      <c r="J114" s="7">
        <f t="shared" si="6"/>
        <v>1.311762134</v>
      </c>
      <c r="K114" s="7">
        <f t="shared" si="7"/>
        <v>200</v>
      </c>
      <c r="L114" s="7">
        <f t="shared" si="8"/>
        <v>1.749016178</v>
      </c>
      <c r="M114" s="7">
        <f t="shared" si="9"/>
        <v>300</v>
      </c>
      <c r="N114" s="7">
        <f t="shared" si="10"/>
        <v>2.623524268</v>
      </c>
      <c r="O114" s="7">
        <f t="shared" si="11"/>
        <v>400</v>
      </c>
      <c r="P114" s="7">
        <f t="shared" si="12"/>
        <v>3.498032357</v>
      </c>
      <c r="Q114" s="7">
        <f t="shared" si="13"/>
        <v>500</v>
      </c>
      <c r="R114" s="7">
        <f t="shared" si="14"/>
        <v>4.372540446</v>
      </c>
      <c r="S114" s="7">
        <f t="shared" si="15"/>
        <v>600</v>
      </c>
      <c r="T114" s="7">
        <f t="shared" si="16"/>
        <v>5.247048535</v>
      </c>
      <c r="U114" s="7">
        <f t="shared" si="17"/>
        <v>700</v>
      </c>
      <c r="V114" s="7">
        <f t="shared" si="18"/>
        <v>6.121556624</v>
      </c>
      <c r="W114" s="7">
        <f t="shared" si="19"/>
        <v>800</v>
      </c>
      <c r="X114" s="7">
        <f t="shared" si="20"/>
        <v>6.996064714</v>
      </c>
      <c r="Y114" s="7">
        <f t="shared" si="21"/>
        <v>900</v>
      </c>
      <c r="Z114" s="7">
        <f t="shared" si="22"/>
        <v>7.870572803</v>
      </c>
    </row>
    <row r="115">
      <c r="A115" s="30" t="str">
        <f>IFERROR(__xludf.DUMMYFUNCTION("""COMPUTED_VALUE"""),"2021 04")</f>
        <v>2021 04</v>
      </c>
      <c r="B115" s="30" t="str">
        <f>IFERROR(__xludf.DUMMYFUNCTION("""COMPUTED_VALUE"""),"115")</f>
        <v>115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0.4347826087</v>
      </c>
      <c r="G115" s="7">
        <f t="shared" si="3"/>
        <v>100</v>
      </c>
      <c r="H115" s="7">
        <f t="shared" si="4"/>
        <v>0.8695652174</v>
      </c>
      <c r="I115" s="7">
        <f t="shared" si="5"/>
        <v>150</v>
      </c>
      <c r="J115" s="7">
        <f t="shared" si="6"/>
        <v>1.304347826</v>
      </c>
      <c r="K115" s="7">
        <f t="shared" si="7"/>
        <v>200</v>
      </c>
      <c r="L115" s="7">
        <f t="shared" si="8"/>
        <v>1.739130435</v>
      </c>
      <c r="M115" s="7">
        <f t="shared" si="9"/>
        <v>300</v>
      </c>
      <c r="N115" s="7">
        <f t="shared" si="10"/>
        <v>2.608695652</v>
      </c>
      <c r="O115" s="7">
        <f t="shared" si="11"/>
        <v>400</v>
      </c>
      <c r="P115" s="7">
        <f t="shared" si="12"/>
        <v>3.47826087</v>
      </c>
      <c r="Q115" s="7">
        <f t="shared" si="13"/>
        <v>500</v>
      </c>
      <c r="R115" s="7">
        <f t="shared" si="14"/>
        <v>4.347826087</v>
      </c>
      <c r="S115" s="7">
        <f t="shared" si="15"/>
        <v>600</v>
      </c>
      <c r="T115" s="7">
        <f t="shared" si="16"/>
        <v>5.217391304</v>
      </c>
      <c r="U115" s="7">
        <f t="shared" si="17"/>
        <v>700</v>
      </c>
      <c r="V115" s="7">
        <f t="shared" si="18"/>
        <v>6.086956522</v>
      </c>
      <c r="W115" s="7">
        <f t="shared" si="19"/>
        <v>800</v>
      </c>
      <c r="X115" s="7">
        <f t="shared" si="20"/>
        <v>6.956521739</v>
      </c>
      <c r="Y115" s="7">
        <f t="shared" si="21"/>
        <v>900</v>
      </c>
      <c r="Z115" s="7">
        <f t="shared" si="22"/>
        <v>7.826086957</v>
      </c>
    </row>
    <row r="116">
      <c r="A116" s="30" t="str">
        <f>IFERROR(__xludf.DUMMYFUNCTION("""COMPUTED_VALUE"""),"2021 05")</f>
        <v>2021 05</v>
      </c>
      <c r="B116" s="30" t="str">
        <f>IFERROR(__xludf.DUMMYFUNCTION("""COMPUTED_VALUE"""),"118.52")</f>
        <v>118.52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0.4218697266</v>
      </c>
      <c r="G116" s="7">
        <f t="shared" si="3"/>
        <v>100</v>
      </c>
      <c r="H116" s="7">
        <f t="shared" si="4"/>
        <v>0.8437394533</v>
      </c>
      <c r="I116" s="7">
        <f t="shared" si="5"/>
        <v>150</v>
      </c>
      <c r="J116" s="7">
        <f t="shared" si="6"/>
        <v>1.26560918</v>
      </c>
      <c r="K116" s="7">
        <f t="shared" si="7"/>
        <v>200</v>
      </c>
      <c r="L116" s="7">
        <f t="shared" si="8"/>
        <v>1.687478907</v>
      </c>
      <c r="M116" s="7">
        <f t="shared" si="9"/>
        <v>300</v>
      </c>
      <c r="N116" s="7">
        <f t="shared" si="10"/>
        <v>2.53121836</v>
      </c>
      <c r="O116" s="7">
        <f t="shared" si="11"/>
        <v>400</v>
      </c>
      <c r="P116" s="7">
        <f t="shared" si="12"/>
        <v>3.374957813</v>
      </c>
      <c r="Q116" s="7">
        <f t="shared" si="13"/>
        <v>500</v>
      </c>
      <c r="R116" s="7">
        <f t="shared" si="14"/>
        <v>4.218697266</v>
      </c>
      <c r="S116" s="7">
        <f t="shared" si="15"/>
        <v>600</v>
      </c>
      <c r="T116" s="7">
        <f t="shared" si="16"/>
        <v>5.06243672</v>
      </c>
      <c r="U116" s="7">
        <f t="shared" si="17"/>
        <v>700</v>
      </c>
      <c r="V116" s="7">
        <f t="shared" si="18"/>
        <v>5.906176173</v>
      </c>
      <c r="W116" s="7">
        <f t="shared" si="19"/>
        <v>800</v>
      </c>
      <c r="X116" s="7">
        <f t="shared" si="20"/>
        <v>6.749915626</v>
      </c>
      <c r="Y116" s="7">
        <f t="shared" si="21"/>
        <v>900</v>
      </c>
      <c r="Z116" s="7">
        <f t="shared" si="22"/>
        <v>7.593655079</v>
      </c>
    </row>
    <row r="117">
      <c r="A117" s="30" t="str">
        <f>IFERROR(__xludf.DUMMYFUNCTION("""COMPUTED_VALUE"""),"2021 06")</f>
        <v>2021 06</v>
      </c>
      <c r="B117" s="30" t="str">
        <f>IFERROR(__xludf.DUMMYFUNCTION("""COMPUTED_VALUE"""),"121.07")</f>
        <v>121.07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0.412984224</v>
      </c>
      <c r="G117" s="7">
        <f t="shared" si="3"/>
        <v>100</v>
      </c>
      <c r="H117" s="7">
        <f t="shared" si="4"/>
        <v>0.825968448</v>
      </c>
      <c r="I117" s="7">
        <f t="shared" si="5"/>
        <v>150</v>
      </c>
      <c r="J117" s="7">
        <f t="shared" si="6"/>
        <v>1.238952672</v>
      </c>
      <c r="K117" s="7">
        <f t="shared" si="7"/>
        <v>200</v>
      </c>
      <c r="L117" s="7">
        <f t="shared" si="8"/>
        <v>1.651936896</v>
      </c>
      <c r="M117" s="7">
        <f t="shared" si="9"/>
        <v>300</v>
      </c>
      <c r="N117" s="7">
        <f t="shared" si="10"/>
        <v>2.477905344</v>
      </c>
      <c r="O117" s="7">
        <f t="shared" si="11"/>
        <v>400</v>
      </c>
      <c r="P117" s="7">
        <f t="shared" si="12"/>
        <v>3.303873792</v>
      </c>
      <c r="Q117" s="7">
        <f t="shared" si="13"/>
        <v>500</v>
      </c>
      <c r="R117" s="7">
        <f t="shared" si="14"/>
        <v>4.12984224</v>
      </c>
      <c r="S117" s="7">
        <f t="shared" si="15"/>
        <v>600</v>
      </c>
      <c r="T117" s="7">
        <f t="shared" si="16"/>
        <v>4.955810688</v>
      </c>
      <c r="U117" s="7">
        <f t="shared" si="17"/>
        <v>700</v>
      </c>
      <c r="V117" s="7">
        <f t="shared" si="18"/>
        <v>5.781779136</v>
      </c>
      <c r="W117" s="7">
        <f t="shared" si="19"/>
        <v>800</v>
      </c>
      <c r="X117" s="7">
        <f t="shared" si="20"/>
        <v>6.607747584</v>
      </c>
      <c r="Y117" s="7">
        <f t="shared" si="21"/>
        <v>900</v>
      </c>
      <c r="Z117" s="7">
        <f t="shared" si="22"/>
        <v>7.433716032</v>
      </c>
    </row>
    <row r="118">
      <c r="A118" s="30" t="str">
        <f>IFERROR(__xludf.DUMMYFUNCTION("""COMPUTED_VALUE"""),"2021 07")</f>
        <v>2021 07</v>
      </c>
      <c r="B118" s="30" t="str">
        <f>IFERROR(__xludf.DUMMYFUNCTION("""COMPUTED_VALUE"""),"122.74")</f>
        <v>122.74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0.4073651621</v>
      </c>
      <c r="G118" s="7">
        <f t="shared" si="3"/>
        <v>100</v>
      </c>
      <c r="H118" s="7">
        <f t="shared" si="4"/>
        <v>0.8147303243</v>
      </c>
      <c r="I118" s="7">
        <f t="shared" si="5"/>
        <v>150</v>
      </c>
      <c r="J118" s="7">
        <f t="shared" si="6"/>
        <v>1.222095486</v>
      </c>
      <c r="K118" s="7">
        <f t="shared" si="7"/>
        <v>200</v>
      </c>
      <c r="L118" s="7">
        <f t="shared" si="8"/>
        <v>1.629460649</v>
      </c>
      <c r="M118" s="7">
        <f t="shared" si="9"/>
        <v>300</v>
      </c>
      <c r="N118" s="7">
        <f t="shared" si="10"/>
        <v>2.444190973</v>
      </c>
      <c r="O118" s="7">
        <f t="shared" si="11"/>
        <v>400</v>
      </c>
      <c r="P118" s="7">
        <f t="shared" si="12"/>
        <v>3.258921297</v>
      </c>
      <c r="Q118" s="7">
        <f t="shared" si="13"/>
        <v>500</v>
      </c>
      <c r="R118" s="7">
        <f t="shared" si="14"/>
        <v>4.073651621</v>
      </c>
      <c r="S118" s="7">
        <f t="shared" si="15"/>
        <v>600</v>
      </c>
      <c r="T118" s="7">
        <f t="shared" si="16"/>
        <v>4.888381946</v>
      </c>
      <c r="U118" s="7">
        <f t="shared" si="17"/>
        <v>700</v>
      </c>
      <c r="V118" s="7">
        <f t="shared" si="18"/>
        <v>5.70311227</v>
      </c>
      <c r="W118" s="7">
        <f t="shared" si="19"/>
        <v>800</v>
      </c>
      <c r="X118" s="7">
        <f t="shared" si="20"/>
        <v>6.517842594</v>
      </c>
      <c r="Y118" s="7">
        <f t="shared" si="21"/>
        <v>900</v>
      </c>
      <c r="Z118" s="7">
        <f t="shared" si="22"/>
        <v>7.332572918</v>
      </c>
    </row>
    <row r="119">
      <c r="A119" s="30" t="str">
        <f>IFERROR(__xludf.DUMMYFUNCTION("""COMPUTED_VALUE"""),"2021 08")</f>
        <v>2021 08</v>
      </c>
      <c r="B119" s="30" t="str">
        <f>IFERROR(__xludf.DUMMYFUNCTION("""COMPUTED_VALUE"""),"126.5")</f>
        <v>126.5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0.395256917</v>
      </c>
      <c r="G119" s="7">
        <f t="shared" si="3"/>
        <v>100</v>
      </c>
      <c r="H119" s="7">
        <f t="shared" si="4"/>
        <v>0.790513834</v>
      </c>
      <c r="I119" s="7">
        <f t="shared" si="5"/>
        <v>150</v>
      </c>
      <c r="J119" s="7">
        <f t="shared" si="6"/>
        <v>1.185770751</v>
      </c>
      <c r="K119" s="7">
        <f t="shared" si="7"/>
        <v>200</v>
      </c>
      <c r="L119" s="7">
        <f t="shared" si="8"/>
        <v>1.581027668</v>
      </c>
      <c r="M119" s="7">
        <f t="shared" si="9"/>
        <v>300</v>
      </c>
      <c r="N119" s="7">
        <f t="shared" si="10"/>
        <v>2.371541502</v>
      </c>
      <c r="O119" s="7">
        <f t="shared" si="11"/>
        <v>400</v>
      </c>
      <c r="P119" s="7">
        <f t="shared" si="12"/>
        <v>3.162055336</v>
      </c>
      <c r="Q119" s="7">
        <f t="shared" si="13"/>
        <v>500</v>
      </c>
      <c r="R119" s="7">
        <f t="shared" si="14"/>
        <v>3.95256917</v>
      </c>
      <c r="S119" s="7">
        <f t="shared" si="15"/>
        <v>600</v>
      </c>
      <c r="T119" s="7">
        <f t="shared" si="16"/>
        <v>4.743083004</v>
      </c>
      <c r="U119" s="7">
        <f t="shared" si="17"/>
        <v>700</v>
      </c>
      <c r="V119" s="7">
        <f t="shared" si="18"/>
        <v>5.533596838</v>
      </c>
      <c r="W119" s="7">
        <f t="shared" si="19"/>
        <v>800</v>
      </c>
      <c r="X119" s="7">
        <f t="shared" si="20"/>
        <v>6.324110672</v>
      </c>
      <c r="Y119" s="7">
        <f t="shared" si="21"/>
        <v>900</v>
      </c>
      <c r="Z119" s="7">
        <f t="shared" si="22"/>
        <v>7.114624506</v>
      </c>
    </row>
    <row r="120">
      <c r="A120" s="30" t="str">
        <f>IFERROR(__xludf.DUMMYFUNCTION("""COMPUTED_VALUE"""),"2021 09")</f>
        <v>2021 09</v>
      </c>
      <c r="B120" s="30" t="str">
        <f>IFERROR(__xludf.DUMMYFUNCTION("""COMPUTED_VALUE"""),"127.77")</f>
        <v>127.77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0.3913281678</v>
      </c>
      <c r="G120" s="7">
        <f t="shared" si="3"/>
        <v>100</v>
      </c>
      <c r="H120" s="7">
        <f t="shared" si="4"/>
        <v>0.7826563356</v>
      </c>
      <c r="I120" s="7">
        <f t="shared" si="5"/>
        <v>150</v>
      </c>
      <c r="J120" s="7">
        <f t="shared" si="6"/>
        <v>1.173984503</v>
      </c>
      <c r="K120" s="7">
        <f t="shared" si="7"/>
        <v>200</v>
      </c>
      <c r="L120" s="7">
        <f t="shared" si="8"/>
        <v>1.565312671</v>
      </c>
      <c r="M120" s="7">
        <f t="shared" si="9"/>
        <v>300</v>
      </c>
      <c r="N120" s="7">
        <f t="shared" si="10"/>
        <v>2.347969007</v>
      </c>
      <c r="O120" s="7">
        <f t="shared" si="11"/>
        <v>400</v>
      </c>
      <c r="P120" s="7">
        <f t="shared" si="12"/>
        <v>3.130625342</v>
      </c>
      <c r="Q120" s="7">
        <f t="shared" si="13"/>
        <v>500</v>
      </c>
      <c r="R120" s="7">
        <f t="shared" si="14"/>
        <v>3.913281678</v>
      </c>
      <c r="S120" s="7">
        <f t="shared" si="15"/>
        <v>600</v>
      </c>
      <c r="T120" s="7">
        <f t="shared" si="16"/>
        <v>4.695938014</v>
      </c>
      <c r="U120" s="7">
        <f t="shared" si="17"/>
        <v>700</v>
      </c>
      <c r="V120" s="7">
        <f t="shared" si="18"/>
        <v>5.478594349</v>
      </c>
      <c r="W120" s="7">
        <f t="shared" si="19"/>
        <v>800</v>
      </c>
      <c r="X120" s="7">
        <f t="shared" si="20"/>
        <v>6.261250685</v>
      </c>
      <c r="Y120" s="7">
        <f t="shared" si="21"/>
        <v>900</v>
      </c>
      <c r="Z120" s="7">
        <f t="shared" si="22"/>
        <v>7.04390702</v>
      </c>
    </row>
    <row r="121">
      <c r="A121" s="30" t="str">
        <f>IFERROR(__xludf.DUMMYFUNCTION("""COMPUTED_VALUE"""),"2021 10")</f>
        <v>2021 10</v>
      </c>
      <c r="B121" s="30" t="str">
        <f>IFERROR(__xludf.DUMMYFUNCTION("""COMPUTED_VALUE"""),"121.4")</f>
        <v>121.4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0.4118616145</v>
      </c>
      <c r="G121" s="7">
        <f t="shared" si="3"/>
        <v>100</v>
      </c>
      <c r="H121" s="7">
        <f t="shared" si="4"/>
        <v>0.823723229</v>
      </c>
      <c r="I121" s="7">
        <f t="shared" si="5"/>
        <v>150</v>
      </c>
      <c r="J121" s="7">
        <f t="shared" si="6"/>
        <v>1.235584843</v>
      </c>
      <c r="K121" s="7">
        <f t="shared" si="7"/>
        <v>200</v>
      </c>
      <c r="L121" s="7">
        <f t="shared" si="8"/>
        <v>1.647446458</v>
      </c>
      <c r="M121" s="7">
        <f t="shared" si="9"/>
        <v>300</v>
      </c>
      <c r="N121" s="7">
        <f t="shared" si="10"/>
        <v>2.471169687</v>
      </c>
      <c r="O121" s="7">
        <f t="shared" si="11"/>
        <v>400</v>
      </c>
      <c r="P121" s="7">
        <f t="shared" si="12"/>
        <v>3.294892916</v>
      </c>
      <c r="Q121" s="7">
        <f t="shared" si="13"/>
        <v>500</v>
      </c>
      <c r="R121" s="7">
        <f t="shared" si="14"/>
        <v>4.118616145</v>
      </c>
      <c r="S121" s="7">
        <f t="shared" si="15"/>
        <v>600</v>
      </c>
      <c r="T121" s="7">
        <f t="shared" si="16"/>
        <v>4.942339374</v>
      </c>
      <c r="U121" s="7">
        <f t="shared" si="17"/>
        <v>700</v>
      </c>
      <c r="V121" s="7">
        <f t="shared" si="18"/>
        <v>5.766062603</v>
      </c>
      <c r="W121" s="7">
        <f t="shared" si="19"/>
        <v>800</v>
      </c>
      <c r="X121" s="7">
        <f t="shared" si="20"/>
        <v>6.589785832</v>
      </c>
      <c r="Y121" s="7">
        <f t="shared" si="21"/>
        <v>900</v>
      </c>
      <c r="Z121" s="7">
        <f t="shared" si="22"/>
        <v>7.413509061</v>
      </c>
    </row>
    <row r="122">
      <c r="A122" s="30" t="str">
        <f>IFERROR(__xludf.DUMMYFUNCTION("""COMPUTED_VALUE"""),"2021 11")</f>
        <v>2021 11</v>
      </c>
      <c r="B122" s="30" t="str">
        <f>IFERROR(__xludf.DUMMYFUNCTION("""COMPUTED_VALUE"""),"124.87")</f>
        <v>124.87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0.4004164331</v>
      </c>
      <c r="G122" s="7">
        <f t="shared" si="3"/>
        <v>100</v>
      </c>
      <c r="H122" s="7">
        <f t="shared" si="4"/>
        <v>0.8008328662</v>
      </c>
      <c r="I122" s="7">
        <f t="shared" si="5"/>
        <v>150</v>
      </c>
      <c r="J122" s="7">
        <f t="shared" si="6"/>
        <v>1.201249299</v>
      </c>
      <c r="K122" s="7">
        <f t="shared" si="7"/>
        <v>200</v>
      </c>
      <c r="L122" s="7">
        <f t="shared" si="8"/>
        <v>1.601665732</v>
      </c>
      <c r="M122" s="7">
        <f t="shared" si="9"/>
        <v>300</v>
      </c>
      <c r="N122" s="7">
        <f t="shared" si="10"/>
        <v>2.402498599</v>
      </c>
      <c r="O122" s="7">
        <f t="shared" si="11"/>
        <v>400</v>
      </c>
      <c r="P122" s="7">
        <f t="shared" si="12"/>
        <v>3.203331465</v>
      </c>
      <c r="Q122" s="7">
        <f t="shared" si="13"/>
        <v>500</v>
      </c>
      <c r="R122" s="7">
        <f t="shared" si="14"/>
        <v>4.004164331</v>
      </c>
      <c r="S122" s="7">
        <f t="shared" si="15"/>
        <v>600</v>
      </c>
      <c r="T122" s="7">
        <f t="shared" si="16"/>
        <v>4.804997197</v>
      </c>
      <c r="U122" s="7">
        <f t="shared" si="17"/>
        <v>700</v>
      </c>
      <c r="V122" s="7">
        <f t="shared" si="18"/>
        <v>5.605830063</v>
      </c>
      <c r="W122" s="7">
        <f t="shared" si="19"/>
        <v>800</v>
      </c>
      <c r="X122" s="7">
        <f t="shared" si="20"/>
        <v>6.406662929</v>
      </c>
      <c r="Y122" s="7">
        <f t="shared" si="21"/>
        <v>900</v>
      </c>
      <c r="Z122" s="7">
        <f t="shared" si="22"/>
        <v>7.207495796</v>
      </c>
    </row>
    <row r="123">
      <c r="A123" s="30" t="str">
        <f>IFERROR(__xludf.DUMMYFUNCTION("""COMPUTED_VALUE"""),"2021 12")</f>
        <v>2021 12</v>
      </c>
      <c r="B123" s="30" t="str">
        <f>IFERROR(__xludf.DUMMYFUNCTION("""COMPUTED_VALUE"""),"122.94")</f>
        <v>122.94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0.4067024565</v>
      </c>
      <c r="G123" s="7">
        <f t="shared" si="3"/>
        <v>100</v>
      </c>
      <c r="H123" s="7">
        <f t="shared" si="4"/>
        <v>0.813404913</v>
      </c>
      <c r="I123" s="7">
        <f t="shared" si="5"/>
        <v>150</v>
      </c>
      <c r="J123" s="7">
        <f t="shared" si="6"/>
        <v>1.220107369</v>
      </c>
      <c r="K123" s="7">
        <f t="shared" si="7"/>
        <v>200</v>
      </c>
      <c r="L123" s="7">
        <f t="shared" si="8"/>
        <v>1.626809826</v>
      </c>
      <c r="M123" s="7">
        <f t="shared" si="9"/>
        <v>300</v>
      </c>
      <c r="N123" s="7">
        <f t="shared" si="10"/>
        <v>2.440214739</v>
      </c>
      <c r="O123" s="7">
        <f t="shared" si="11"/>
        <v>400</v>
      </c>
      <c r="P123" s="7">
        <f t="shared" si="12"/>
        <v>3.253619652</v>
      </c>
      <c r="Q123" s="7">
        <f t="shared" si="13"/>
        <v>500</v>
      </c>
      <c r="R123" s="7">
        <f t="shared" si="14"/>
        <v>4.067024565</v>
      </c>
      <c r="S123" s="7">
        <f t="shared" si="15"/>
        <v>600</v>
      </c>
      <c r="T123" s="7">
        <f t="shared" si="16"/>
        <v>4.880429478</v>
      </c>
      <c r="U123" s="7">
        <f t="shared" si="17"/>
        <v>700</v>
      </c>
      <c r="V123" s="7">
        <f t="shared" si="18"/>
        <v>5.693834391</v>
      </c>
      <c r="W123" s="7">
        <f t="shared" si="19"/>
        <v>800</v>
      </c>
      <c r="X123" s="7">
        <f t="shared" si="20"/>
        <v>6.507239304</v>
      </c>
      <c r="Y123" s="7">
        <f t="shared" si="21"/>
        <v>900</v>
      </c>
      <c r="Z123" s="7">
        <f t="shared" si="22"/>
        <v>7.320644217</v>
      </c>
    </row>
    <row r="124">
      <c r="A124" s="30" t="str">
        <f>IFERROR(__xludf.DUMMYFUNCTION("""COMPUTED_VALUE"""),"2022 01")</f>
        <v>2022 01</v>
      </c>
      <c r="B124" s="30" t="str">
        <f>IFERROR(__xludf.DUMMYFUNCTION("""COMPUTED_VALUE"""),"128.37")</f>
        <v>128.37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0.3894991042</v>
      </c>
      <c r="G124" s="7">
        <f t="shared" si="3"/>
        <v>100</v>
      </c>
      <c r="H124" s="7">
        <f t="shared" si="4"/>
        <v>0.7789982083</v>
      </c>
      <c r="I124" s="7">
        <f t="shared" si="5"/>
        <v>150</v>
      </c>
      <c r="J124" s="7">
        <f t="shared" si="6"/>
        <v>1.168497312</v>
      </c>
      <c r="K124" s="7">
        <f t="shared" si="7"/>
        <v>200</v>
      </c>
      <c r="L124" s="7">
        <f t="shared" si="8"/>
        <v>1.557996417</v>
      </c>
      <c r="M124" s="7">
        <f t="shared" si="9"/>
        <v>300</v>
      </c>
      <c r="N124" s="7">
        <f t="shared" si="10"/>
        <v>2.336994625</v>
      </c>
      <c r="O124" s="7">
        <f t="shared" si="11"/>
        <v>400</v>
      </c>
      <c r="P124" s="7">
        <f t="shared" si="12"/>
        <v>3.115992833</v>
      </c>
      <c r="Q124" s="7">
        <f t="shared" si="13"/>
        <v>500</v>
      </c>
      <c r="R124" s="7">
        <f t="shared" si="14"/>
        <v>3.894991042</v>
      </c>
      <c r="S124" s="7">
        <f t="shared" si="15"/>
        <v>600</v>
      </c>
      <c r="T124" s="7">
        <f t="shared" si="16"/>
        <v>4.67398925</v>
      </c>
      <c r="U124" s="7">
        <f t="shared" si="17"/>
        <v>700</v>
      </c>
      <c r="V124" s="7">
        <f t="shared" si="18"/>
        <v>5.452987458</v>
      </c>
      <c r="W124" s="7">
        <f t="shared" si="19"/>
        <v>800</v>
      </c>
      <c r="X124" s="7">
        <f t="shared" si="20"/>
        <v>6.231985666</v>
      </c>
      <c r="Y124" s="7">
        <f t="shared" si="21"/>
        <v>900</v>
      </c>
      <c r="Z124" s="7">
        <f t="shared" si="22"/>
        <v>7.010983875</v>
      </c>
    </row>
    <row r="125">
      <c r="A125" s="30" t="str">
        <f>IFERROR(__xludf.DUMMYFUNCTION("""COMPUTED_VALUE"""),"2022 02")</f>
        <v>2022 02</v>
      </c>
      <c r="B125" s="30" t="str">
        <f>IFERROR(__xludf.DUMMYFUNCTION("""COMPUTED_VALUE"""),"118.57")</f>
        <v>118.57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0.4216918276</v>
      </c>
      <c r="G125" s="7">
        <f t="shared" si="3"/>
        <v>100</v>
      </c>
      <c r="H125" s="7">
        <f t="shared" si="4"/>
        <v>0.8433836552</v>
      </c>
      <c r="I125" s="7">
        <f t="shared" si="5"/>
        <v>150</v>
      </c>
      <c r="J125" s="7">
        <f t="shared" si="6"/>
        <v>1.265075483</v>
      </c>
      <c r="K125" s="7">
        <f t="shared" si="7"/>
        <v>200</v>
      </c>
      <c r="L125" s="7">
        <f t="shared" si="8"/>
        <v>1.68676731</v>
      </c>
      <c r="M125" s="7">
        <f t="shared" si="9"/>
        <v>300</v>
      </c>
      <c r="N125" s="7">
        <f t="shared" si="10"/>
        <v>2.530150966</v>
      </c>
      <c r="O125" s="7">
        <f t="shared" si="11"/>
        <v>400</v>
      </c>
      <c r="P125" s="7">
        <f t="shared" si="12"/>
        <v>3.373534621</v>
      </c>
      <c r="Q125" s="7">
        <f t="shared" si="13"/>
        <v>500</v>
      </c>
      <c r="R125" s="7">
        <f t="shared" si="14"/>
        <v>4.216918276</v>
      </c>
      <c r="S125" s="7">
        <f t="shared" si="15"/>
        <v>600</v>
      </c>
      <c r="T125" s="7">
        <f t="shared" si="16"/>
        <v>5.060301931</v>
      </c>
      <c r="U125" s="7">
        <f t="shared" si="17"/>
        <v>700</v>
      </c>
      <c r="V125" s="7">
        <f t="shared" si="18"/>
        <v>5.903685587</v>
      </c>
      <c r="W125" s="7">
        <f t="shared" si="19"/>
        <v>800</v>
      </c>
      <c r="X125" s="7">
        <f t="shared" si="20"/>
        <v>6.747069242</v>
      </c>
      <c r="Y125" s="7">
        <f t="shared" si="21"/>
        <v>900</v>
      </c>
      <c r="Z125" s="7">
        <f t="shared" si="22"/>
        <v>7.590452897</v>
      </c>
    </row>
    <row r="126">
      <c r="A126" s="30" t="str">
        <f>IFERROR(__xludf.DUMMYFUNCTION("""COMPUTED_VALUE"""),"2022 03")</f>
        <v>2022 03</v>
      </c>
      <c r="B126" s="30" t="str">
        <f>IFERROR(__xludf.DUMMYFUNCTION("""COMPUTED_VALUE"""),"121.31")</f>
        <v>121.31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0.412167175</v>
      </c>
      <c r="G126" s="7">
        <f t="shared" si="3"/>
        <v>100</v>
      </c>
      <c r="H126" s="7">
        <f t="shared" si="4"/>
        <v>0.82433435</v>
      </c>
      <c r="I126" s="7">
        <f t="shared" si="5"/>
        <v>150</v>
      </c>
      <c r="J126" s="7">
        <f t="shared" si="6"/>
        <v>1.236501525</v>
      </c>
      <c r="K126" s="7">
        <f t="shared" si="7"/>
        <v>200</v>
      </c>
      <c r="L126" s="7">
        <f t="shared" si="8"/>
        <v>1.6486687</v>
      </c>
      <c r="M126" s="7">
        <f t="shared" si="9"/>
        <v>300</v>
      </c>
      <c r="N126" s="7">
        <f t="shared" si="10"/>
        <v>2.47300305</v>
      </c>
      <c r="O126" s="7">
        <f t="shared" si="11"/>
        <v>400</v>
      </c>
      <c r="P126" s="7">
        <f t="shared" si="12"/>
        <v>3.2973374</v>
      </c>
      <c r="Q126" s="7">
        <f t="shared" si="13"/>
        <v>500</v>
      </c>
      <c r="R126" s="7">
        <f t="shared" si="14"/>
        <v>4.12167175</v>
      </c>
      <c r="S126" s="7">
        <f t="shared" si="15"/>
        <v>600</v>
      </c>
      <c r="T126" s="7">
        <f t="shared" si="16"/>
        <v>4.9460061</v>
      </c>
      <c r="U126" s="7">
        <f t="shared" si="17"/>
        <v>700</v>
      </c>
      <c r="V126" s="7">
        <f t="shared" si="18"/>
        <v>5.77034045</v>
      </c>
      <c r="W126" s="7">
        <f t="shared" si="19"/>
        <v>800</v>
      </c>
      <c r="X126" s="7">
        <f t="shared" si="20"/>
        <v>6.5946748</v>
      </c>
      <c r="Y126" s="7">
        <f t="shared" si="21"/>
        <v>900</v>
      </c>
      <c r="Z126" s="7">
        <f t="shared" si="22"/>
        <v>7.41900915</v>
      </c>
    </row>
    <row r="127">
      <c r="A127" s="30" t="str">
        <f>IFERROR(__xludf.DUMMYFUNCTION("""COMPUTED_VALUE"""),"2022 04")</f>
        <v>2022 04</v>
      </c>
      <c r="B127" s="30" t="str">
        <f>IFERROR(__xludf.DUMMYFUNCTION("""COMPUTED_VALUE"""),"127.48")</f>
        <v>127.48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0.3922183872</v>
      </c>
      <c r="G127" s="7">
        <f t="shared" si="3"/>
        <v>100</v>
      </c>
      <c r="H127" s="7">
        <f t="shared" si="4"/>
        <v>0.7844367744</v>
      </c>
      <c r="I127" s="7">
        <f t="shared" si="5"/>
        <v>150</v>
      </c>
      <c r="J127" s="7">
        <f t="shared" si="6"/>
        <v>1.176655162</v>
      </c>
      <c r="K127" s="7">
        <f t="shared" si="7"/>
        <v>200</v>
      </c>
      <c r="L127" s="7">
        <f t="shared" si="8"/>
        <v>1.568873549</v>
      </c>
      <c r="M127" s="7">
        <f t="shared" si="9"/>
        <v>300</v>
      </c>
      <c r="N127" s="7">
        <f t="shared" si="10"/>
        <v>2.353310323</v>
      </c>
      <c r="O127" s="7">
        <f t="shared" si="11"/>
        <v>400</v>
      </c>
      <c r="P127" s="7">
        <f t="shared" si="12"/>
        <v>3.137747098</v>
      </c>
      <c r="Q127" s="7">
        <f t="shared" si="13"/>
        <v>500</v>
      </c>
      <c r="R127" s="7">
        <f t="shared" si="14"/>
        <v>3.922183872</v>
      </c>
      <c r="S127" s="7">
        <f t="shared" si="15"/>
        <v>600</v>
      </c>
      <c r="T127" s="7">
        <f t="shared" si="16"/>
        <v>4.706620646</v>
      </c>
      <c r="U127" s="7">
        <f t="shared" si="17"/>
        <v>700</v>
      </c>
      <c r="V127" s="7">
        <f t="shared" si="18"/>
        <v>5.491057421</v>
      </c>
      <c r="W127" s="7">
        <f t="shared" si="19"/>
        <v>800</v>
      </c>
      <c r="X127" s="7">
        <f t="shared" si="20"/>
        <v>6.275494195</v>
      </c>
      <c r="Y127" s="7">
        <f t="shared" si="21"/>
        <v>900</v>
      </c>
      <c r="Z127" s="7">
        <f t="shared" si="22"/>
        <v>7.05993097</v>
      </c>
    </row>
    <row r="128">
      <c r="A128" s="30" t="str">
        <f>IFERROR(__xludf.DUMMYFUNCTION("""COMPUTED_VALUE"""),"2022 05")</f>
        <v>2022 05</v>
      </c>
      <c r="B128" s="30" t="str">
        <f>IFERROR(__xludf.DUMMYFUNCTION("""COMPUTED_VALUE"""),"125.18")</f>
        <v>125.18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0.3994248282</v>
      </c>
      <c r="G128" s="7">
        <f t="shared" si="3"/>
        <v>100</v>
      </c>
      <c r="H128" s="7">
        <f t="shared" si="4"/>
        <v>0.7988496565</v>
      </c>
      <c r="I128" s="7">
        <f t="shared" si="5"/>
        <v>150</v>
      </c>
      <c r="J128" s="7">
        <f t="shared" si="6"/>
        <v>1.198274485</v>
      </c>
      <c r="K128" s="7">
        <f t="shared" si="7"/>
        <v>200</v>
      </c>
      <c r="L128" s="7">
        <f t="shared" si="8"/>
        <v>1.597699313</v>
      </c>
      <c r="M128" s="7">
        <f t="shared" si="9"/>
        <v>300</v>
      </c>
      <c r="N128" s="7">
        <f t="shared" si="10"/>
        <v>2.396548969</v>
      </c>
      <c r="O128" s="7">
        <f t="shared" si="11"/>
        <v>400</v>
      </c>
      <c r="P128" s="7">
        <f t="shared" si="12"/>
        <v>3.195398626</v>
      </c>
      <c r="Q128" s="7">
        <f t="shared" si="13"/>
        <v>500</v>
      </c>
      <c r="R128" s="7">
        <f t="shared" si="14"/>
        <v>3.994248282</v>
      </c>
      <c r="S128" s="7">
        <f t="shared" si="15"/>
        <v>600</v>
      </c>
      <c r="T128" s="7">
        <f t="shared" si="16"/>
        <v>4.793097939</v>
      </c>
      <c r="U128" s="7">
        <f t="shared" si="17"/>
        <v>700</v>
      </c>
      <c r="V128" s="7">
        <f t="shared" si="18"/>
        <v>5.591947595</v>
      </c>
      <c r="W128" s="7">
        <f t="shared" si="19"/>
        <v>800</v>
      </c>
      <c r="X128" s="7">
        <f t="shared" si="20"/>
        <v>6.390797252</v>
      </c>
      <c r="Y128" s="7">
        <f t="shared" si="21"/>
        <v>900</v>
      </c>
      <c r="Z128" s="7">
        <f t="shared" si="22"/>
        <v>7.189646908</v>
      </c>
    </row>
    <row r="129">
      <c r="A129" s="30" t="str">
        <f>IFERROR(__xludf.DUMMYFUNCTION("""COMPUTED_VALUE"""),"2022 06")</f>
        <v>2022 06</v>
      </c>
      <c r="B129" s="30" t="str">
        <f>IFERROR(__xludf.DUMMYFUNCTION("""COMPUTED_VALUE"""),"123.86")</f>
        <v>123.86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0.403681576</v>
      </c>
      <c r="G129" s="7">
        <f t="shared" si="3"/>
        <v>100</v>
      </c>
      <c r="H129" s="7">
        <f t="shared" si="4"/>
        <v>0.8073631519</v>
      </c>
      <c r="I129" s="7">
        <f t="shared" si="5"/>
        <v>150</v>
      </c>
      <c r="J129" s="7">
        <f t="shared" si="6"/>
        <v>1.211044728</v>
      </c>
      <c r="K129" s="7">
        <f t="shared" si="7"/>
        <v>200</v>
      </c>
      <c r="L129" s="7">
        <f t="shared" si="8"/>
        <v>1.614726304</v>
      </c>
      <c r="M129" s="7">
        <f t="shared" si="9"/>
        <v>300</v>
      </c>
      <c r="N129" s="7">
        <f t="shared" si="10"/>
        <v>2.422089456</v>
      </c>
      <c r="O129" s="7">
        <f t="shared" si="11"/>
        <v>400</v>
      </c>
      <c r="P129" s="7">
        <f t="shared" si="12"/>
        <v>3.229452608</v>
      </c>
      <c r="Q129" s="7">
        <f t="shared" si="13"/>
        <v>500</v>
      </c>
      <c r="R129" s="7">
        <f t="shared" si="14"/>
        <v>4.03681576</v>
      </c>
      <c r="S129" s="7">
        <f t="shared" si="15"/>
        <v>600</v>
      </c>
      <c r="T129" s="7">
        <f t="shared" si="16"/>
        <v>4.844178912</v>
      </c>
      <c r="U129" s="7">
        <f t="shared" si="17"/>
        <v>700</v>
      </c>
      <c r="V129" s="7">
        <f t="shared" si="18"/>
        <v>5.651542064</v>
      </c>
      <c r="W129" s="7">
        <f t="shared" si="19"/>
        <v>800</v>
      </c>
      <c r="X129" s="7">
        <f t="shared" si="20"/>
        <v>6.458905216</v>
      </c>
      <c r="Y129" s="7">
        <f t="shared" si="21"/>
        <v>900</v>
      </c>
      <c r="Z129" s="7">
        <f t="shared" si="22"/>
        <v>7.266268368</v>
      </c>
    </row>
    <row r="130">
      <c r="A130" s="30" t="str">
        <f>IFERROR(__xludf.DUMMYFUNCTION("""COMPUTED_VALUE"""),"2022 07")</f>
        <v>2022 07</v>
      </c>
      <c r="B130" s="30" t="str">
        <f>IFERROR(__xludf.DUMMYFUNCTION("""COMPUTED_VALUE"""),"108.85")</f>
        <v>108.85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0.4593477262</v>
      </c>
      <c r="G130" s="7">
        <f t="shared" si="3"/>
        <v>100</v>
      </c>
      <c r="H130" s="7">
        <f t="shared" si="4"/>
        <v>0.9186954525</v>
      </c>
      <c r="I130" s="7">
        <f t="shared" si="5"/>
        <v>150</v>
      </c>
      <c r="J130" s="7">
        <f t="shared" si="6"/>
        <v>1.378043179</v>
      </c>
      <c r="K130" s="7">
        <f t="shared" si="7"/>
        <v>200</v>
      </c>
      <c r="L130" s="7">
        <f t="shared" si="8"/>
        <v>1.837390905</v>
      </c>
      <c r="M130" s="7">
        <f t="shared" si="9"/>
        <v>300</v>
      </c>
      <c r="N130" s="7">
        <f t="shared" si="10"/>
        <v>2.756086357</v>
      </c>
      <c r="O130" s="7">
        <f t="shared" si="11"/>
        <v>400</v>
      </c>
      <c r="P130" s="7">
        <f t="shared" si="12"/>
        <v>3.67478181</v>
      </c>
      <c r="Q130" s="7">
        <f t="shared" si="13"/>
        <v>500</v>
      </c>
      <c r="R130" s="7">
        <f t="shared" si="14"/>
        <v>4.593477262</v>
      </c>
      <c r="S130" s="7">
        <f t="shared" si="15"/>
        <v>600</v>
      </c>
      <c r="T130" s="7">
        <f t="shared" si="16"/>
        <v>5.512172715</v>
      </c>
      <c r="U130" s="7">
        <f t="shared" si="17"/>
        <v>700</v>
      </c>
      <c r="V130" s="7">
        <f t="shared" si="18"/>
        <v>6.430868167</v>
      </c>
      <c r="W130" s="7">
        <f t="shared" si="19"/>
        <v>800</v>
      </c>
      <c r="X130" s="7">
        <f t="shared" si="20"/>
        <v>7.34956362</v>
      </c>
      <c r="Y130" s="7">
        <f t="shared" si="21"/>
        <v>900</v>
      </c>
      <c r="Z130" s="7">
        <f t="shared" si="22"/>
        <v>8.268259072</v>
      </c>
    </row>
    <row r="131">
      <c r="A131" s="30" t="str">
        <f>IFERROR(__xludf.DUMMYFUNCTION("""COMPUTED_VALUE"""),"2022 08")</f>
        <v>2022 08</v>
      </c>
      <c r="B131" s="30" t="str">
        <f>IFERROR(__xludf.DUMMYFUNCTION("""COMPUTED_VALUE"""),"116.21")</f>
        <v>116.21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0.4302555718</v>
      </c>
      <c r="G131" s="7">
        <f t="shared" si="3"/>
        <v>100</v>
      </c>
      <c r="H131" s="7">
        <f t="shared" si="4"/>
        <v>0.8605111436</v>
      </c>
      <c r="I131" s="7">
        <f t="shared" si="5"/>
        <v>150</v>
      </c>
      <c r="J131" s="7">
        <f t="shared" si="6"/>
        <v>1.290766715</v>
      </c>
      <c r="K131" s="7">
        <f t="shared" si="7"/>
        <v>200</v>
      </c>
      <c r="L131" s="7">
        <f t="shared" si="8"/>
        <v>1.721022287</v>
      </c>
      <c r="M131" s="7">
        <f t="shared" si="9"/>
        <v>300</v>
      </c>
      <c r="N131" s="7">
        <f t="shared" si="10"/>
        <v>2.581533431</v>
      </c>
      <c r="O131" s="7">
        <f t="shared" si="11"/>
        <v>400</v>
      </c>
      <c r="P131" s="7">
        <f t="shared" si="12"/>
        <v>3.442044574</v>
      </c>
      <c r="Q131" s="7">
        <f t="shared" si="13"/>
        <v>500</v>
      </c>
      <c r="R131" s="7">
        <f t="shared" si="14"/>
        <v>4.302555718</v>
      </c>
      <c r="S131" s="7">
        <f t="shared" si="15"/>
        <v>600</v>
      </c>
      <c r="T131" s="7">
        <f t="shared" si="16"/>
        <v>5.163066862</v>
      </c>
      <c r="U131" s="7">
        <f t="shared" si="17"/>
        <v>700</v>
      </c>
      <c r="V131" s="7">
        <f t="shared" si="18"/>
        <v>6.023578005</v>
      </c>
      <c r="W131" s="7">
        <f t="shared" si="19"/>
        <v>800</v>
      </c>
      <c r="X131" s="7">
        <f t="shared" si="20"/>
        <v>6.884089149</v>
      </c>
      <c r="Y131" s="7">
        <f t="shared" si="21"/>
        <v>900</v>
      </c>
      <c r="Z131" s="7">
        <f t="shared" si="22"/>
        <v>7.744600293</v>
      </c>
    </row>
    <row r="132">
      <c r="A132" s="30" t="str">
        <f>IFERROR(__xludf.DUMMYFUNCTION("""COMPUTED_VALUE"""),"2022 09")</f>
        <v>2022 09</v>
      </c>
      <c r="B132" s="30" t="str">
        <f>IFERROR(__xludf.DUMMYFUNCTION("""COMPUTED_VALUE"""),"115.03")</f>
        <v>115.03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0.4346692167</v>
      </c>
      <c r="G132" s="7">
        <f t="shared" si="3"/>
        <v>100</v>
      </c>
      <c r="H132" s="7">
        <f t="shared" si="4"/>
        <v>0.8693384335</v>
      </c>
      <c r="I132" s="7">
        <f t="shared" si="5"/>
        <v>150</v>
      </c>
      <c r="J132" s="7">
        <f t="shared" si="6"/>
        <v>1.30400765</v>
      </c>
      <c r="K132" s="7">
        <f t="shared" si="7"/>
        <v>200</v>
      </c>
      <c r="L132" s="7">
        <f t="shared" si="8"/>
        <v>1.738676867</v>
      </c>
      <c r="M132" s="7">
        <f t="shared" si="9"/>
        <v>300</v>
      </c>
      <c r="N132" s="7">
        <f t="shared" si="10"/>
        <v>2.6080153</v>
      </c>
      <c r="O132" s="7">
        <f t="shared" si="11"/>
        <v>400</v>
      </c>
      <c r="P132" s="7">
        <f t="shared" si="12"/>
        <v>3.477353734</v>
      </c>
      <c r="Q132" s="7">
        <f t="shared" si="13"/>
        <v>500</v>
      </c>
      <c r="R132" s="7">
        <f t="shared" si="14"/>
        <v>4.346692167</v>
      </c>
      <c r="S132" s="7">
        <f t="shared" si="15"/>
        <v>600</v>
      </c>
      <c r="T132" s="7">
        <f t="shared" si="16"/>
        <v>5.216030601</v>
      </c>
      <c r="U132" s="7">
        <f t="shared" si="17"/>
        <v>700</v>
      </c>
      <c r="V132" s="7">
        <f t="shared" si="18"/>
        <v>6.085369034</v>
      </c>
      <c r="W132" s="7">
        <f t="shared" si="19"/>
        <v>800</v>
      </c>
      <c r="X132" s="7">
        <f t="shared" si="20"/>
        <v>6.954707468</v>
      </c>
      <c r="Y132" s="7">
        <f t="shared" si="21"/>
        <v>900</v>
      </c>
      <c r="Z132" s="7">
        <f t="shared" si="22"/>
        <v>7.824045901</v>
      </c>
    </row>
    <row r="133">
      <c r="A133" s="30" t="str">
        <f>IFERROR(__xludf.DUMMYFUNCTION("""COMPUTED_VALUE"""),"2022 10")</f>
        <v>2022 10</v>
      </c>
      <c r="B133" s="30" t="str">
        <f>IFERROR(__xludf.DUMMYFUNCTION("""COMPUTED_VALUE"""),"107.32")</f>
        <v>107.32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0.4658963846</v>
      </c>
      <c r="G133" s="7">
        <f t="shared" si="3"/>
        <v>100</v>
      </c>
      <c r="H133" s="7">
        <f t="shared" si="4"/>
        <v>0.9317927693</v>
      </c>
      <c r="I133" s="7">
        <f t="shared" si="5"/>
        <v>150</v>
      </c>
      <c r="J133" s="7">
        <f t="shared" si="6"/>
        <v>1.397689154</v>
      </c>
      <c r="K133" s="7">
        <f t="shared" si="7"/>
        <v>200</v>
      </c>
      <c r="L133" s="7">
        <f t="shared" si="8"/>
        <v>1.863585539</v>
      </c>
      <c r="M133" s="7">
        <f t="shared" si="9"/>
        <v>300</v>
      </c>
      <c r="N133" s="7">
        <f t="shared" si="10"/>
        <v>2.795378308</v>
      </c>
      <c r="O133" s="7">
        <f t="shared" si="11"/>
        <v>400</v>
      </c>
      <c r="P133" s="7">
        <f t="shared" si="12"/>
        <v>3.727171077</v>
      </c>
      <c r="Q133" s="7">
        <f t="shared" si="13"/>
        <v>500</v>
      </c>
      <c r="R133" s="7">
        <f t="shared" si="14"/>
        <v>4.658963846</v>
      </c>
      <c r="S133" s="7">
        <f t="shared" si="15"/>
        <v>600</v>
      </c>
      <c r="T133" s="7">
        <f t="shared" si="16"/>
        <v>5.590756616</v>
      </c>
      <c r="U133" s="7">
        <f t="shared" si="17"/>
        <v>700</v>
      </c>
      <c r="V133" s="7">
        <f t="shared" si="18"/>
        <v>6.522549385</v>
      </c>
      <c r="W133" s="7">
        <f t="shared" si="19"/>
        <v>800</v>
      </c>
      <c r="X133" s="7">
        <f t="shared" si="20"/>
        <v>7.454342154</v>
      </c>
      <c r="Y133" s="7">
        <f t="shared" si="21"/>
        <v>900</v>
      </c>
      <c r="Z133" s="7">
        <f t="shared" si="22"/>
        <v>8.386134924</v>
      </c>
    </row>
    <row r="134">
      <c r="A134" s="30" t="str">
        <f>IFERROR(__xludf.DUMMYFUNCTION("""COMPUTED_VALUE"""),"2022 11")</f>
        <v>2022 11</v>
      </c>
      <c r="B134" s="30" t="str">
        <f>IFERROR(__xludf.DUMMYFUNCTION("""COMPUTED_VALUE"""),"116.01")</f>
        <v>116.01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0.4309973278</v>
      </c>
      <c r="G134" s="7">
        <f t="shared" si="3"/>
        <v>100</v>
      </c>
      <c r="H134" s="7">
        <f t="shared" si="4"/>
        <v>0.8619946556</v>
      </c>
      <c r="I134" s="7">
        <f t="shared" si="5"/>
        <v>150</v>
      </c>
      <c r="J134" s="7">
        <f t="shared" si="6"/>
        <v>1.292991983</v>
      </c>
      <c r="K134" s="7">
        <f t="shared" si="7"/>
        <v>200</v>
      </c>
      <c r="L134" s="7">
        <f t="shared" si="8"/>
        <v>1.723989311</v>
      </c>
      <c r="M134" s="7">
        <f t="shared" si="9"/>
        <v>300</v>
      </c>
      <c r="N134" s="7">
        <f t="shared" si="10"/>
        <v>2.585983967</v>
      </c>
      <c r="O134" s="7">
        <f t="shared" si="11"/>
        <v>400</v>
      </c>
      <c r="P134" s="7">
        <f t="shared" si="12"/>
        <v>3.447978623</v>
      </c>
      <c r="Q134" s="7">
        <f t="shared" si="13"/>
        <v>500</v>
      </c>
      <c r="R134" s="7">
        <f t="shared" si="14"/>
        <v>4.309973278</v>
      </c>
      <c r="S134" s="7">
        <f t="shared" si="15"/>
        <v>600</v>
      </c>
      <c r="T134" s="7">
        <f t="shared" si="16"/>
        <v>5.171967934</v>
      </c>
      <c r="U134" s="7">
        <f t="shared" si="17"/>
        <v>700</v>
      </c>
      <c r="V134" s="7">
        <f t="shared" si="18"/>
        <v>6.033962589</v>
      </c>
      <c r="W134" s="7">
        <f t="shared" si="19"/>
        <v>800</v>
      </c>
      <c r="X134" s="7">
        <f t="shared" si="20"/>
        <v>6.895957245</v>
      </c>
      <c r="Y134" s="7">
        <f t="shared" si="21"/>
        <v>900</v>
      </c>
      <c r="Z134" s="7">
        <f t="shared" si="22"/>
        <v>7.757951901</v>
      </c>
    </row>
    <row r="135">
      <c r="A135" s="30" t="str">
        <f>IFERROR(__xludf.DUMMYFUNCTION("""COMPUTED_VALUE"""),"2022 12")</f>
        <v>2022 12</v>
      </c>
      <c r="B135" s="30" t="str">
        <f>IFERROR(__xludf.DUMMYFUNCTION("""COMPUTED_VALUE"""),"122.63")</f>
        <v>122.63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0.4077305716</v>
      </c>
      <c r="G135" s="7">
        <f t="shared" si="3"/>
        <v>100</v>
      </c>
      <c r="H135" s="7">
        <f t="shared" si="4"/>
        <v>0.8154611433</v>
      </c>
      <c r="I135" s="7">
        <f t="shared" si="5"/>
        <v>150</v>
      </c>
      <c r="J135" s="7">
        <f t="shared" si="6"/>
        <v>1.223191715</v>
      </c>
      <c r="K135" s="7">
        <f t="shared" si="7"/>
        <v>200</v>
      </c>
      <c r="L135" s="7">
        <f t="shared" si="8"/>
        <v>1.630922287</v>
      </c>
      <c r="M135" s="7">
        <f t="shared" si="9"/>
        <v>300</v>
      </c>
      <c r="N135" s="7">
        <f t="shared" si="10"/>
        <v>2.44638343</v>
      </c>
      <c r="O135" s="7">
        <f t="shared" si="11"/>
        <v>400</v>
      </c>
      <c r="P135" s="7">
        <f t="shared" si="12"/>
        <v>3.261844573</v>
      </c>
      <c r="Q135" s="7">
        <f t="shared" si="13"/>
        <v>500</v>
      </c>
      <c r="R135" s="7">
        <f t="shared" si="14"/>
        <v>4.077305716</v>
      </c>
      <c r="S135" s="7">
        <f t="shared" si="15"/>
        <v>600</v>
      </c>
      <c r="T135" s="7">
        <f t="shared" si="16"/>
        <v>4.89276686</v>
      </c>
      <c r="U135" s="7">
        <f t="shared" si="17"/>
        <v>700</v>
      </c>
      <c r="V135" s="7">
        <f t="shared" si="18"/>
        <v>5.708228003</v>
      </c>
      <c r="W135" s="7">
        <f t="shared" si="19"/>
        <v>800</v>
      </c>
      <c r="X135" s="7">
        <f t="shared" si="20"/>
        <v>6.523689146</v>
      </c>
      <c r="Y135" s="7">
        <f t="shared" si="21"/>
        <v>900</v>
      </c>
      <c r="Z135" s="7">
        <f t="shared" si="22"/>
        <v>7.339150289</v>
      </c>
    </row>
    <row r="136">
      <c r="A136" s="30" t="str">
        <f>IFERROR(__xludf.DUMMYFUNCTION("""COMPUTED_VALUE"""),"2023 01")</f>
        <v>2023 01</v>
      </c>
      <c r="B136" s="30" t="str">
        <f>IFERROR(__xludf.DUMMYFUNCTION("""COMPUTED_VALUE"""),"114.98")</f>
        <v>114.98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0.4348582362</v>
      </c>
      <c r="G136" s="7">
        <f t="shared" si="3"/>
        <v>100</v>
      </c>
      <c r="H136" s="7">
        <f t="shared" si="4"/>
        <v>0.8697164724</v>
      </c>
      <c r="I136" s="7">
        <f t="shared" si="5"/>
        <v>150</v>
      </c>
      <c r="J136" s="7">
        <f t="shared" si="6"/>
        <v>1.304574709</v>
      </c>
      <c r="K136" s="7">
        <f t="shared" si="7"/>
        <v>200</v>
      </c>
      <c r="L136" s="7">
        <f t="shared" si="8"/>
        <v>1.739432945</v>
      </c>
      <c r="M136" s="7">
        <f t="shared" si="9"/>
        <v>300</v>
      </c>
      <c r="N136" s="7">
        <f t="shared" si="10"/>
        <v>2.609149417</v>
      </c>
      <c r="O136" s="7">
        <f t="shared" si="11"/>
        <v>400</v>
      </c>
      <c r="P136" s="7">
        <f t="shared" si="12"/>
        <v>3.47886589</v>
      </c>
      <c r="Q136" s="7">
        <f t="shared" si="13"/>
        <v>500</v>
      </c>
      <c r="R136" s="7">
        <f t="shared" si="14"/>
        <v>4.348582362</v>
      </c>
      <c r="S136" s="7">
        <f t="shared" si="15"/>
        <v>600</v>
      </c>
      <c r="T136" s="7">
        <f t="shared" si="16"/>
        <v>5.218298835</v>
      </c>
      <c r="U136" s="7">
        <f t="shared" si="17"/>
        <v>700</v>
      </c>
      <c r="V136" s="7">
        <f t="shared" si="18"/>
        <v>6.088015307</v>
      </c>
      <c r="W136" s="7">
        <f t="shared" si="19"/>
        <v>800</v>
      </c>
      <c r="X136" s="7">
        <f t="shared" si="20"/>
        <v>6.957731779</v>
      </c>
      <c r="Y136" s="7">
        <f t="shared" si="21"/>
        <v>900</v>
      </c>
      <c r="Z136" s="7">
        <f t="shared" si="22"/>
        <v>7.827448252</v>
      </c>
    </row>
    <row r="137">
      <c r="A137" s="30" t="str">
        <f>IFERROR(__xludf.DUMMYFUNCTION("""COMPUTED_VALUE"""),"2023 02")</f>
        <v>2023 02</v>
      </c>
      <c r="B137" s="30" t="str">
        <f>IFERROR(__xludf.DUMMYFUNCTION("""COMPUTED_VALUE"""),"124.24")</f>
        <v>124.24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0.402446877</v>
      </c>
      <c r="G137" s="7">
        <f t="shared" si="3"/>
        <v>100</v>
      </c>
      <c r="H137" s="7">
        <f t="shared" si="4"/>
        <v>0.804893754</v>
      </c>
      <c r="I137" s="7">
        <f t="shared" si="5"/>
        <v>150</v>
      </c>
      <c r="J137" s="7">
        <f t="shared" si="6"/>
        <v>1.207340631</v>
      </c>
      <c r="K137" s="7">
        <f t="shared" si="7"/>
        <v>200</v>
      </c>
      <c r="L137" s="7">
        <f t="shared" si="8"/>
        <v>1.609787508</v>
      </c>
      <c r="M137" s="7">
        <f t="shared" si="9"/>
        <v>300</v>
      </c>
      <c r="N137" s="7">
        <f t="shared" si="10"/>
        <v>2.414681262</v>
      </c>
      <c r="O137" s="7">
        <f t="shared" si="11"/>
        <v>400</v>
      </c>
      <c r="P137" s="7">
        <f t="shared" si="12"/>
        <v>3.219575016</v>
      </c>
      <c r="Q137" s="7">
        <f t="shared" si="13"/>
        <v>500</v>
      </c>
      <c r="R137" s="7">
        <f t="shared" si="14"/>
        <v>4.02446877</v>
      </c>
      <c r="S137" s="7">
        <f t="shared" si="15"/>
        <v>600</v>
      </c>
      <c r="T137" s="7">
        <f t="shared" si="16"/>
        <v>4.829362524</v>
      </c>
      <c r="U137" s="7">
        <f t="shared" si="17"/>
        <v>700</v>
      </c>
      <c r="V137" s="7">
        <f t="shared" si="18"/>
        <v>5.634256278</v>
      </c>
      <c r="W137" s="7">
        <f t="shared" si="19"/>
        <v>800</v>
      </c>
      <c r="X137" s="7">
        <f t="shared" si="20"/>
        <v>6.439150032</v>
      </c>
      <c r="Y137" s="7">
        <f t="shared" si="21"/>
        <v>900</v>
      </c>
      <c r="Z137" s="7">
        <f t="shared" si="22"/>
        <v>7.244043786</v>
      </c>
    </row>
    <row r="138">
      <c r="A138" s="30" t="str">
        <f>IFERROR(__xludf.DUMMYFUNCTION("""COMPUTED_VALUE"""),"2023 03")</f>
        <v>2023 03</v>
      </c>
      <c r="B138" s="30" t="str">
        <f>IFERROR(__xludf.DUMMYFUNCTION("""COMPUTED_VALUE"""),"120.72")</f>
        <v>120.72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0.4141815772</v>
      </c>
      <c r="G138" s="7">
        <f t="shared" si="3"/>
        <v>100</v>
      </c>
      <c r="H138" s="7">
        <f t="shared" si="4"/>
        <v>0.8283631544</v>
      </c>
      <c r="I138" s="7">
        <f t="shared" si="5"/>
        <v>150</v>
      </c>
      <c r="J138" s="7">
        <f t="shared" si="6"/>
        <v>1.242544732</v>
      </c>
      <c r="K138" s="7">
        <f t="shared" si="7"/>
        <v>200</v>
      </c>
      <c r="L138" s="7">
        <f t="shared" si="8"/>
        <v>1.656726309</v>
      </c>
      <c r="M138" s="7">
        <f t="shared" si="9"/>
        <v>300</v>
      </c>
      <c r="N138" s="7">
        <f t="shared" si="10"/>
        <v>2.485089463</v>
      </c>
      <c r="O138" s="7">
        <f t="shared" si="11"/>
        <v>400</v>
      </c>
      <c r="P138" s="7">
        <f t="shared" si="12"/>
        <v>3.313452618</v>
      </c>
      <c r="Q138" s="7">
        <f t="shared" si="13"/>
        <v>500</v>
      </c>
      <c r="R138" s="7">
        <f t="shared" si="14"/>
        <v>4.141815772</v>
      </c>
      <c r="S138" s="7">
        <f t="shared" si="15"/>
        <v>600</v>
      </c>
      <c r="T138" s="7">
        <f t="shared" si="16"/>
        <v>4.970178926</v>
      </c>
      <c r="U138" s="7">
        <f t="shared" si="17"/>
        <v>700</v>
      </c>
      <c r="V138" s="7">
        <f t="shared" si="18"/>
        <v>5.798542081</v>
      </c>
      <c r="W138" s="7">
        <f t="shared" si="19"/>
        <v>800</v>
      </c>
      <c r="X138" s="7">
        <f t="shared" si="20"/>
        <v>6.626905235</v>
      </c>
      <c r="Y138" s="7">
        <f t="shared" si="21"/>
        <v>900</v>
      </c>
      <c r="Z138" s="7">
        <f t="shared" si="22"/>
        <v>7.45526839</v>
      </c>
    </row>
    <row r="139">
      <c r="A139" s="30" t="str">
        <f>IFERROR(__xludf.DUMMYFUNCTION("""COMPUTED_VALUE"""),"2023 04")</f>
        <v>2023 04</v>
      </c>
      <c r="B139" s="30" t="str">
        <f>IFERROR(__xludf.DUMMYFUNCTION("""COMPUTED_VALUE"""),"120.1")</f>
        <v>120.1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0.4163197336</v>
      </c>
      <c r="G139" s="7">
        <f t="shared" si="3"/>
        <v>100</v>
      </c>
      <c r="H139" s="7">
        <f t="shared" si="4"/>
        <v>0.8326394671</v>
      </c>
      <c r="I139" s="7">
        <f t="shared" si="5"/>
        <v>150</v>
      </c>
      <c r="J139" s="7">
        <f t="shared" si="6"/>
        <v>1.248959201</v>
      </c>
      <c r="K139" s="7">
        <f t="shared" si="7"/>
        <v>200</v>
      </c>
      <c r="L139" s="7">
        <f t="shared" si="8"/>
        <v>1.665278934</v>
      </c>
      <c r="M139" s="7">
        <f t="shared" si="9"/>
        <v>300</v>
      </c>
      <c r="N139" s="7">
        <f t="shared" si="10"/>
        <v>2.497918401</v>
      </c>
      <c r="O139" s="7">
        <f t="shared" si="11"/>
        <v>400</v>
      </c>
      <c r="P139" s="7">
        <f t="shared" si="12"/>
        <v>3.330557868</v>
      </c>
      <c r="Q139" s="7">
        <f t="shared" si="13"/>
        <v>500</v>
      </c>
      <c r="R139" s="7">
        <f t="shared" si="14"/>
        <v>4.163197336</v>
      </c>
      <c r="S139" s="7">
        <f t="shared" si="15"/>
        <v>600</v>
      </c>
      <c r="T139" s="7">
        <f t="shared" si="16"/>
        <v>4.995836803</v>
      </c>
      <c r="U139" s="7">
        <f t="shared" si="17"/>
        <v>700</v>
      </c>
      <c r="V139" s="7">
        <f t="shared" si="18"/>
        <v>5.82847627</v>
      </c>
      <c r="W139" s="7">
        <f t="shared" si="19"/>
        <v>800</v>
      </c>
      <c r="X139" s="7">
        <f t="shared" si="20"/>
        <v>6.661115737</v>
      </c>
      <c r="Y139" s="7">
        <f t="shared" si="21"/>
        <v>900</v>
      </c>
      <c r="Z139" s="7">
        <f t="shared" si="22"/>
        <v>7.493755204</v>
      </c>
    </row>
    <row r="140">
      <c r="A140" s="30" t="str">
        <f>IFERROR(__xludf.DUMMYFUNCTION("""COMPUTED_VALUE"""),"2023 05")</f>
        <v>2023 05</v>
      </c>
      <c r="B140" s="30" t="str">
        <f>IFERROR(__xludf.DUMMYFUNCTION("""COMPUTED_VALUE"""),"122.01")</f>
        <v>122.01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0.4098024752</v>
      </c>
      <c r="G140" s="7">
        <f t="shared" si="3"/>
        <v>100</v>
      </c>
      <c r="H140" s="7">
        <f t="shared" si="4"/>
        <v>0.8196049504</v>
      </c>
      <c r="I140" s="7">
        <f t="shared" si="5"/>
        <v>150</v>
      </c>
      <c r="J140" s="7">
        <f t="shared" si="6"/>
        <v>1.229407426</v>
      </c>
      <c r="K140" s="7">
        <f t="shared" si="7"/>
        <v>200</v>
      </c>
      <c r="L140" s="7">
        <f t="shared" si="8"/>
        <v>1.639209901</v>
      </c>
      <c r="M140" s="7">
        <f t="shared" si="9"/>
        <v>300</v>
      </c>
      <c r="N140" s="7">
        <f t="shared" si="10"/>
        <v>2.458814851</v>
      </c>
      <c r="O140" s="7">
        <f t="shared" si="11"/>
        <v>400</v>
      </c>
      <c r="P140" s="7">
        <f t="shared" si="12"/>
        <v>3.278419802</v>
      </c>
      <c r="Q140" s="7">
        <f t="shared" si="13"/>
        <v>500</v>
      </c>
      <c r="R140" s="7">
        <f t="shared" si="14"/>
        <v>4.098024752</v>
      </c>
      <c r="S140" s="7">
        <f t="shared" si="15"/>
        <v>600</v>
      </c>
      <c r="T140" s="7">
        <f t="shared" si="16"/>
        <v>4.917629702</v>
      </c>
      <c r="U140" s="7">
        <f t="shared" si="17"/>
        <v>700</v>
      </c>
      <c r="V140" s="7">
        <f t="shared" si="18"/>
        <v>5.737234653</v>
      </c>
      <c r="W140" s="7">
        <f t="shared" si="19"/>
        <v>800</v>
      </c>
      <c r="X140" s="7">
        <f t="shared" si="20"/>
        <v>6.556839603</v>
      </c>
      <c r="Y140" s="7">
        <f t="shared" si="21"/>
        <v>900</v>
      </c>
      <c r="Z140" s="7">
        <f t="shared" si="22"/>
        <v>7.376444554</v>
      </c>
    </row>
    <row r="141">
      <c r="A141" s="30" t="str">
        <f>IFERROR(__xludf.DUMMYFUNCTION("""COMPUTED_VALUE"""),"2023 06")</f>
        <v>2023 06</v>
      </c>
      <c r="B141" s="30" t="str">
        <f>IFERROR(__xludf.DUMMYFUNCTION("""COMPUTED_VALUE"""),"118.82")</f>
        <v>118.82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0.4208045784</v>
      </c>
      <c r="G141" s="7">
        <f t="shared" si="3"/>
        <v>100</v>
      </c>
      <c r="H141" s="7">
        <f t="shared" si="4"/>
        <v>0.8416091567</v>
      </c>
      <c r="I141" s="7">
        <f t="shared" si="5"/>
        <v>150</v>
      </c>
      <c r="J141" s="7">
        <f t="shared" si="6"/>
        <v>1.262413735</v>
      </c>
      <c r="K141" s="7">
        <f t="shared" si="7"/>
        <v>200</v>
      </c>
      <c r="L141" s="7">
        <f t="shared" si="8"/>
        <v>1.683218313</v>
      </c>
      <c r="M141" s="7">
        <f t="shared" si="9"/>
        <v>300</v>
      </c>
      <c r="N141" s="7">
        <f t="shared" si="10"/>
        <v>2.52482747</v>
      </c>
      <c r="O141" s="7">
        <f t="shared" si="11"/>
        <v>400</v>
      </c>
      <c r="P141" s="7">
        <f t="shared" si="12"/>
        <v>3.366436627</v>
      </c>
      <c r="Q141" s="7">
        <f t="shared" si="13"/>
        <v>500</v>
      </c>
      <c r="R141" s="7">
        <f t="shared" si="14"/>
        <v>4.208045784</v>
      </c>
      <c r="S141" s="7">
        <f t="shared" si="15"/>
        <v>600</v>
      </c>
      <c r="T141" s="7">
        <f t="shared" si="16"/>
        <v>5.04965494</v>
      </c>
      <c r="U141" s="7">
        <f t="shared" si="17"/>
        <v>700</v>
      </c>
      <c r="V141" s="7">
        <f t="shared" si="18"/>
        <v>5.891264097</v>
      </c>
      <c r="W141" s="7">
        <f t="shared" si="19"/>
        <v>800</v>
      </c>
      <c r="X141" s="7">
        <f t="shared" si="20"/>
        <v>6.732873254</v>
      </c>
      <c r="Y141" s="7">
        <f t="shared" si="21"/>
        <v>900</v>
      </c>
      <c r="Z141" s="7">
        <f t="shared" si="22"/>
        <v>7.57448241</v>
      </c>
    </row>
    <row r="142">
      <c r="A142" s="30" t="str">
        <f>IFERROR(__xludf.DUMMYFUNCTION("""COMPUTED_VALUE"""),"2023 07")</f>
        <v>2023 07</v>
      </c>
      <c r="B142" s="30" t="str">
        <f>IFERROR(__xludf.DUMMYFUNCTION("""COMPUTED_VALUE"""),"120.41")</f>
        <v>120.41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0.415247903</v>
      </c>
      <c r="G142" s="7">
        <f t="shared" si="3"/>
        <v>100</v>
      </c>
      <c r="H142" s="7">
        <f t="shared" si="4"/>
        <v>0.830495806</v>
      </c>
      <c r="I142" s="7">
        <f t="shared" si="5"/>
        <v>150</v>
      </c>
      <c r="J142" s="7">
        <f t="shared" si="6"/>
        <v>1.245743709</v>
      </c>
      <c r="K142" s="7">
        <f t="shared" si="7"/>
        <v>200</v>
      </c>
      <c r="L142" s="7">
        <f t="shared" si="8"/>
        <v>1.660991612</v>
      </c>
      <c r="M142" s="7">
        <f t="shared" si="9"/>
        <v>300</v>
      </c>
      <c r="N142" s="7">
        <f t="shared" si="10"/>
        <v>2.491487418</v>
      </c>
      <c r="O142" s="7">
        <f t="shared" si="11"/>
        <v>400</v>
      </c>
      <c r="P142" s="7">
        <f t="shared" si="12"/>
        <v>3.321983224</v>
      </c>
      <c r="Q142" s="7">
        <f t="shared" si="13"/>
        <v>500</v>
      </c>
      <c r="R142" s="7">
        <f t="shared" si="14"/>
        <v>4.15247903</v>
      </c>
      <c r="S142" s="7">
        <f t="shared" si="15"/>
        <v>600</v>
      </c>
      <c r="T142" s="7">
        <f t="shared" si="16"/>
        <v>4.982974836</v>
      </c>
      <c r="U142" s="7">
        <f t="shared" si="17"/>
        <v>700</v>
      </c>
      <c r="V142" s="7">
        <f t="shared" si="18"/>
        <v>5.813470642</v>
      </c>
      <c r="W142" s="7">
        <f t="shared" si="19"/>
        <v>800</v>
      </c>
      <c r="X142" s="7">
        <f t="shared" si="20"/>
        <v>6.643966448</v>
      </c>
      <c r="Y142" s="7">
        <f t="shared" si="21"/>
        <v>900</v>
      </c>
      <c r="Z142" s="7">
        <f t="shared" si="22"/>
        <v>7.474462254</v>
      </c>
    </row>
    <row r="143">
      <c r="A143" s="30" t="str">
        <f>IFERROR(__xludf.DUMMYFUNCTION("""COMPUTED_VALUE"""),"2023 08")</f>
        <v>2023 08</v>
      </c>
      <c r="B143" s="30" t="str">
        <f>IFERROR(__xludf.DUMMYFUNCTION("""COMPUTED_VALUE"""),"123.83")</f>
        <v>123.83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0.4037793749</v>
      </c>
      <c r="G143" s="7">
        <f t="shared" si="3"/>
        <v>100</v>
      </c>
      <c r="H143" s="7">
        <f t="shared" si="4"/>
        <v>0.8075587499</v>
      </c>
      <c r="I143" s="7">
        <f t="shared" si="5"/>
        <v>150</v>
      </c>
      <c r="J143" s="7">
        <f t="shared" si="6"/>
        <v>1.211338125</v>
      </c>
      <c r="K143" s="7">
        <f t="shared" si="7"/>
        <v>200</v>
      </c>
      <c r="L143" s="7">
        <f t="shared" si="8"/>
        <v>1.6151175</v>
      </c>
      <c r="M143" s="7">
        <f t="shared" si="9"/>
        <v>300</v>
      </c>
      <c r="N143" s="7">
        <f t="shared" si="10"/>
        <v>2.42267625</v>
      </c>
      <c r="O143" s="7">
        <f t="shared" si="11"/>
        <v>400</v>
      </c>
      <c r="P143" s="7">
        <f t="shared" si="12"/>
        <v>3.230235</v>
      </c>
      <c r="Q143" s="7">
        <f t="shared" si="13"/>
        <v>500</v>
      </c>
      <c r="R143" s="7">
        <f t="shared" si="14"/>
        <v>4.037793749</v>
      </c>
      <c r="S143" s="7">
        <f t="shared" si="15"/>
        <v>600</v>
      </c>
      <c r="T143" s="7">
        <f t="shared" si="16"/>
        <v>4.845352499</v>
      </c>
      <c r="U143" s="7">
        <f t="shared" si="17"/>
        <v>700</v>
      </c>
      <c r="V143" s="7">
        <f t="shared" si="18"/>
        <v>5.652911249</v>
      </c>
      <c r="W143" s="7">
        <f t="shared" si="19"/>
        <v>800</v>
      </c>
      <c r="X143" s="7">
        <f t="shared" si="20"/>
        <v>6.460469999</v>
      </c>
      <c r="Y143" s="7">
        <f t="shared" si="21"/>
        <v>900</v>
      </c>
      <c r="Z143" s="7">
        <f t="shared" si="22"/>
        <v>7.268028749</v>
      </c>
    </row>
    <row r="144">
      <c r="A144" s="30" t="str">
        <f>IFERROR(__xludf.DUMMYFUNCTION("""COMPUTED_VALUE"""),"2023 09")</f>
        <v>2023 09</v>
      </c>
      <c r="B144" s="30" t="str">
        <f>IFERROR(__xludf.DUMMYFUNCTION("""COMPUTED_VALUE"""),"121.85")</f>
        <v>121.85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0.4103405827</v>
      </c>
      <c r="G144" s="7">
        <f t="shared" si="3"/>
        <v>100</v>
      </c>
      <c r="H144" s="7">
        <f t="shared" si="4"/>
        <v>0.8206811654</v>
      </c>
      <c r="I144" s="7">
        <f t="shared" si="5"/>
        <v>150</v>
      </c>
      <c r="J144" s="7">
        <f t="shared" si="6"/>
        <v>1.231021748</v>
      </c>
      <c r="K144" s="7">
        <f t="shared" si="7"/>
        <v>200</v>
      </c>
      <c r="L144" s="7">
        <f t="shared" si="8"/>
        <v>1.641362331</v>
      </c>
      <c r="M144" s="7">
        <f t="shared" si="9"/>
        <v>300</v>
      </c>
      <c r="N144" s="7">
        <f t="shared" si="10"/>
        <v>2.462043496</v>
      </c>
      <c r="O144" s="7">
        <f t="shared" si="11"/>
        <v>400</v>
      </c>
      <c r="P144" s="7">
        <f t="shared" si="12"/>
        <v>3.282724661</v>
      </c>
      <c r="Q144" s="7">
        <f t="shared" si="13"/>
        <v>500</v>
      </c>
      <c r="R144" s="7">
        <f t="shared" si="14"/>
        <v>4.103405827</v>
      </c>
      <c r="S144" s="7">
        <f t="shared" si="15"/>
        <v>600</v>
      </c>
      <c r="T144" s="7">
        <f t="shared" si="16"/>
        <v>4.924086992</v>
      </c>
      <c r="U144" s="7">
        <f t="shared" si="17"/>
        <v>700</v>
      </c>
      <c r="V144" s="7">
        <f t="shared" si="18"/>
        <v>5.744768158</v>
      </c>
      <c r="W144" s="7">
        <f t="shared" si="19"/>
        <v>800</v>
      </c>
      <c r="X144" s="7">
        <f t="shared" si="20"/>
        <v>6.565449323</v>
      </c>
      <c r="Y144" s="7">
        <f t="shared" si="21"/>
        <v>900</v>
      </c>
      <c r="Z144" s="7">
        <f t="shared" si="22"/>
        <v>7.386130488</v>
      </c>
    </row>
    <row r="145">
      <c r="A145" s="30" t="str">
        <f>IFERROR(__xludf.DUMMYFUNCTION("""COMPUTED_VALUE"""),"2023 10")</f>
        <v>2023 10</v>
      </c>
      <c r="B145" s="30" t="str">
        <f>IFERROR(__xludf.DUMMYFUNCTION("""COMPUTED_VALUE"""),"116.8")</f>
        <v>116.8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0.4280821918</v>
      </c>
      <c r="G145" s="7">
        <f t="shared" si="3"/>
        <v>100</v>
      </c>
      <c r="H145" s="7">
        <f t="shared" si="4"/>
        <v>0.8561643836</v>
      </c>
      <c r="I145" s="7">
        <f t="shared" si="5"/>
        <v>150</v>
      </c>
      <c r="J145" s="7">
        <f t="shared" si="6"/>
        <v>1.284246575</v>
      </c>
      <c r="K145" s="7">
        <f t="shared" si="7"/>
        <v>200</v>
      </c>
      <c r="L145" s="7">
        <f t="shared" si="8"/>
        <v>1.712328767</v>
      </c>
      <c r="M145" s="7">
        <f t="shared" si="9"/>
        <v>300</v>
      </c>
      <c r="N145" s="7">
        <f t="shared" si="10"/>
        <v>2.568493151</v>
      </c>
      <c r="O145" s="7">
        <f t="shared" si="11"/>
        <v>400</v>
      </c>
      <c r="P145" s="7">
        <f t="shared" si="12"/>
        <v>3.424657534</v>
      </c>
      <c r="Q145" s="7">
        <f t="shared" si="13"/>
        <v>500</v>
      </c>
      <c r="R145" s="7">
        <f t="shared" si="14"/>
        <v>4.280821918</v>
      </c>
      <c r="S145" s="7">
        <f t="shared" si="15"/>
        <v>600</v>
      </c>
      <c r="T145" s="7">
        <f t="shared" si="16"/>
        <v>5.136986301</v>
      </c>
      <c r="U145" s="7">
        <f t="shared" si="17"/>
        <v>700</v>
      </c>
      <c r="V145" s="7">
        <f t="shared" si="18"/>
        <v>5.993150685</v>
      </c>
      <c r="W145" s="7">
        <f t="shared" si="19"/>
        <v>800</v>
      </c>
      <c r="X145" s="7">
        <f t="shared" si="20"/>
        <v>6.849315068</v>
      </c>
      <c r="Y145" s="7">
        <f t="shared" si="21"/>
        <v>900</v>
      </c>
      <c r="Z145" s="7">
        <f t="shared" si="22"/>
        <v>7.705479452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29.75629901</v>
      </c>
      <c r="G352" s="33"/>
      <c r="H352" s="34">
        <f>SUMIF(H3:H351,"&lt;&gt;#DIV/0!")</f>
        <v>59.51259801</v>
      </c>
      <c r="I352" s="33"/>
      <c r="J352" s="34">
        <f>SUMIF(J3:J351,"&lt;&gt;#DIV/0!")</f>
        <v>89.26889702</v>
      </c>
      <c r="K352" s="33"/>
      <c r="L352" s="34">
        <f>SUMIF(L3:L351,"&lt;&gt;#DIV/0!")</f>
        <v>119.025196</v>
      </c>
      <c r="M352" s="33"/>
      <c r="N352" s="34">
        <f>SUMIF(N3:N351,"&lt;&gt;#DIV/0!")</f>
        <v>178.537794</v>
      </c>
      <c r="O352" s="33"/>
      <c r="P352" s="34">
        <f>SUMIF(P3:P351,"&lt;&gt;#DIV/0!")</f>
        <v>238.050392</v>
      </c>
      <c r="Q352" s="33"/>
      <c r="R352" s="34">
        <f>SUMIF(R3:R351,"&lt;&gt;#DIV/0!")</f>
        <v>297.5629901</v>
      </c>
      <c r="S352" s="33"/>
      <c r="T352" s="34">
        <f>SUMIF(T3:T351,"&lt;&gt;#DIV/0!")</f>
        <v>357.0755881</v>
      </c>
      <c r="U352" s="33"/>
      <c r="V352" s="34">
        <f>SUMIF(V3:V351,"&lt;&gt;#DIV/0!")</f>
        <v>416.5881861</v>
      </c>
      <c r="W352" s="33"/>
      <c r="X352" s="34">
        <f>SUMIF(X3:X351,"&lt;&gt;#DIV/0!")</f>
        <v>476.1007841</v>
      </c>
      <c r="Y352" s="33"/>
      <c r="Z352" s="34">
        <f>SUMIF(Z3:Z351,"&lt;&gt;#DIV/0!")</f>
        <v>535.6133821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75"/>
    <col customWidth="1" min="3" max="3" width="12.5"/>
    <col customWidth="1" min="5" max="5" width="5.63"/>
    <col customWidth="1" min="6" max="6" width="7.25"/>
    <col customWidth="1" min="7" max="7" width="6.88"/>
    <col customWidth="1" min="8" max="8" width="8.13"/>
    <col customWidth="1" min="9" max="9" width="6.88"/>
    <col customWidth="1" min="10" max="10" width="8.13"/>
    <col customWidth="1" min="11" max="11" width="6.88"/>
    <col customWidth="1" min="12" max="12" width="8.13"/>
    <col customWidth="1" min="13" max="13" width="6.88"/>
    <col customWidth="1" min="14" max="14" width="8.13"/>
    <col customWidth="1" min="15" max="15" width="8.5"/>
    <col customWidth="1" min="16" max="16" width="8.13"/>
    <col customWidth="1" min="17" max="17" width="6.88"/>
    <col customWidth="1" min="18" max="18" width="8.13"/>
    <col customWidth="1" min="19" max="19" width="6.88"/>
    <col customWidth="1" min="20" max="20" width="8.13"/>
    <col customWidth="1" min="21" max="21" width="6.88"/>
    <col customWidth="1" min="22" max="22" width="8.13"/>
    <col customWidth="1" min="23" max="23" width="7.63"/>
    <col customWidth="1" min="24" max="24" width="8.13"/>
    <col customWidth="1" min="25" max="25" width="7.63"/>
    <col customWidth="1" min="26" max="26" width="8.13"/>
  </cols>
  <sheetData>
    <row r="1">
      <c r="A1" s="1"/>
      <c r="B1" s="1"/>
      <c r="C1" s="1"/>
      <c r="D1" s="1"/>
      <c r="E1" s="3" t="s">
        <v>27</v>
      </c>
      <c r="F1" s="3" t="s">
        <v>28</v>
      </c>
      <c r="G1" s="3" t="s">
        <v>27</v>
      </c>
      <c r="H1" s="3" t="s">
        <v>28</v>
      </c>
      <c r="I1" s="3" t="s">
        <v>27</v>
      </c>
      <c r="J1" s="3" t="s">
        <v>28</v>
      </c>
      <c r="K1" s="3" t="s">
        <v>27</v>
      </c>
      <c r="L1" s="3" t="s">
        <v>28</v>
      </c>
      <c r="M1" s="3" t="s">
        <v>27</v>
      </c>
      <c r="N1" s="3" t="s">
        <v>28</v>
      </c>
      <c r="O1" s="3" t="s">
        <v>27</v>
      </c>
      <c r="P1" s="3" t="s">
        <v>28</v>
      </c>
      <c r="Q1" s="3" t="s">
        <v>27</v>
      </c>
      <c r="R1" s="3" t="s">
        <v>28</v>
      </c>
      <c r="S1" s="3" t="s">
        <v>27</v>
      </c>
      <c r="T1" s="3" t="s">
        <v>28</v>
      </c>
      <c r="U1" s="3" t="s">
        <v>27</v>
      </c>
      <c r="V1" s="3" t="s">
        <v>28</v>
      </c>
      <c r="W1" s="3" t="s">
        <v>27</v>
      </c>
      <c r="X1" s="3" t="s">
        <v>28</v>
      </c>
      <c r="Y1" s="3" t="s">
        <v>27</v>
      </c>
      <c r="Z1" s="3" t="s">
        <v>28</v>
      </c>
    </row>
    <row r="2">
      <c r="A2" s="1" t="s">
        <v>12</v>
      </c>
      <c r="B2" s="1"/>
      <c r="C2" s="1" t="s">
        <v>23</v>
      </c>
      <c r="D2" s="1" t="s">
        <v>24</v>
      </c>
      <c r="E2" s="4">
        <v>0.05</v>
      </c>
      <c r="F2" s="3"/>
      <c r="G2" s="4">
        <v>0.1</v>
      </c>
      <c r="H2" s="4"/>
      <c r="I2" s="4">
        <v>0.15</v>
      </c>
      <c r="J2" s="4"/>
      <c r="K2" s="4">
        <v>0.2</v>
      </c>
      <c r="L2" s="4"/>
      <c r="M2" s="4">
        <v>0.3</v>
      </c>
      <c r="N2" s="4"/>
      <c r="O2" s="4">
        <v>0.4</v>
      </c>
      <c r="P2" s="4"/>
      <c r="Q2" s="4">
        <v>0.5</v>
      </c>
      <c r="R2" s="4"/>
      <c r="S2" s="4">
        <v>0.6</v>
      </c>
      <c r="T2" s="4"/>
      <c r="U2" s="4">
        <v>0.7</v>
      </c>
      <c r="V2" s="4"/>
      <c r="W2" s="4">
        <v>0.8</v>
      </c>
      <c r="X2" s="4"/>
      <c r="Y2" s="4">
        <v>0.9</v>
      </c>
      <c r="Z2" s="4"/>
    </row>
    <row r="3">
      <c r="C3" s="11" t="s">
        <v>25</v>
      </c>
      <c r="D3" s="12">
        <f>'Income per month'!B3</f>
        <v>1000</v>
      </c>
      <c r="E3" s="7">
        <f t="shared" ref="E3:E351" si="1">$D3*E$2</f>
        <v>50</v>
      </c>
      <c r="F3" s="7">
        <f t="shared" ref="F3:F351" si="2">IFERROR(E3/$B3,0)</f>
        <v>0</v>
      </c>
      <c r="G3" s="7">
        <f t="shared" ref="G3:G351" si="3">$D3*G$2</f>
        <v>100</v>
      </c>
      <c r="H3" s="7">
        <f t="shared" ref="H3:H351" si="4">IFERROR(G3/$B3,0)</f>
        <v>0</v>
      </c>
      <c r="I3" s="7">
        <f t="shared" ref="I3:I351" si="5">$D3*I$2</f>
        <v>150</v>
      </c>
      <c r="J3" s="7">
        <f t="shared" ref="J3:J351" si="6">IFERROR(I3/$B3,0)</f>
        <v>0</v>
      </c>
      <c r="K3" s="7">
        <f t="shared" ref="K3:K351" si="7">$D3*K$2</f>
        <v>200</v>
      </c>
      <c r="L3" s="7">
        <f t="shared" ref="L3:L351" si="8">IFERROR(K3/$B3,0)</f>
        <v>0</v>
      </c>
      <c r="M3" s="7">
        <f t="shared" ref="M3:M351" si="9">$D3*M$2</f>
        <v>300</v>
      </c>
      <c r="N3" s="7">
        <f t="shared" ref="N3:N351" si="10">IFERROR(M3/$B3,0)</f>
        <v>0</v>
      </c>
      <c r="O3" s="7">
        <f t="shared" ref="O3:O351" si="11">$D3*O$2</f>
        <v>400</v>
      </c>
      <c r="P3" s="7">
        <f t="shared" ref="P3:P351" si="12">IFERROR(O3/$B3,0)</f>
        <v>0</v>
      </c>
      <c r="Q3" s="7">
        <f t="shared" ref="Q3:Q351" si="13">$D3*Q$2</f>
        <v>500</v>
      </c>
      <c r="R3" s="7">
        <f t="shared" ref="R3:R351" si="14">IFERROR(Q3/$B3,0)</f>
        <v>0</v>
      </c>
      <c r="S3" s="7">
        <f t="shared" ref="S3:S351" si="15">$D3*S$2</f>
        <v>600</v>
      </c>
      <c r="T3" s="7">
        <f t="shared" ref="T3:T351" si="16">IFERROR(S3/$B3,0)</f>
        <v>0</v>
      </c>
      <c r="U3" s="7">
        <f t="shared" ref="U3:U351" si="17">$D3*U$2</f>
        <v>700</v>
      </c>
      <c r="V3" s="7">
        <f t="shared" ref="V3:V351" si="18">IFERROR(U3/$B3,0)</f>
        <v>0</v>
      </c>
      <c r="W3" s="7">
        <f t="shared" ref="W3:W351" si="19">$D3*W$2</f>
        <v>800</v>
      </c>
      <c r="X3" s="7">
        <f t="shared" ref="X3:X351" si="20">IFERROR(W3/$B3,0)</f>
        <v>0</v>
      </c>
      <c r="Y3" s="7">
        <f t="shared" ref="Y3:Y351" si="21">$D3*Y$2</f>
        <v>900</v>
      </c>
      <c r="Z3" s="7">
        <f t="shared" ref="Z3:Z351" si="22">IFERROR(Y3/$B3,0)</f>
        <v>0</v>
      </c>
    </row>
    <row r="4">
      <c r="A4" s="29" t="str">
        <f>IFERROR(__xludf.DUMMYFUNCTION("ARRAYFORMULA(SORTN(TEXT(GOOGLEFINANCE(CONCAT(""ASX:"",A2), ""price"", DATE(2012,1,1), DATE(2030,12,1), ""daily""), 
 {""yyyy mm"", ""@""}), 9^9, 2, 1, 1))"),"2012 01")</f>
        <v>2012 01</v>
      </c>
      <c r="B4" s="30" t="str">
        <f>IFERROR(__xludf.DUMMYFUNCTION("""COMPUTED_VALUE"""),"38.7")</f>
        <v>38.7</v>
      </c>
      <c r="C4" s="13">
        <v>40909.0</v>
      </c>
      <c r="D4" s="12">
        <f>'Income per month'!B4</f>
        <v>1000</v>
      </c>
      <c r="E4" s="7">
        <f t="shared" si="1"/>
        <v>50</v>
      </c>
      <c r="F4" s="7">
        <f t="shared" si="2"/>
        <v>1.291989664</v>
      </c>
      <c r="G4" s="7">
        <f t="shared" si="3"/>
        <v>100</v>
      </c>
      <c r="H4" s="7">
        <f t="shared" si="4"/>
        <v>2.583979328</v>
      </c>
      <c r="I4" s="7">
        <f t="shared" si="5"/>
        <v>150</v>
      </c>
      <c r="J4" s="7">
        <f t="shared" si="6"/>
        <v>3.875968992</v>
      </c>
      <c r="K4" s="7">
        <f t="shared" si="7"/>
        <v>200</v>
      </c>
      <c r="L4" s="7">
        <f t="shared" si="8"/>
        <v>5.167958656</v>
      </c>
      <c r="M4" s="7">
        <f t="shared" si="9"/>
        <v>300</v>
      </c>
      <c r="N4" s="7">
        <f t="shared" si="10"/>
        <v>7.751937984</v>
      </c>
      <c r="O4" s="7">
        <f t="shared" si="11"/>
        <v>400</v>
      </c>
      <c r="P4" s="7">
        <f t="shared" si="12"/>
        <v>10.33591731</v>
      </c>
      <c r="Q4" s="7">
        <f t="shared" si="13"/>
        <v>500</v>
      </c>
      <c r="R4" s="7">
        <f t="shared" si="14"/>
        <v>12.91989664</v>
      </c>
      <c r="S4" s="7">
        <f t="shared" si="15"/>
        <v>600</v>
      </c>
      <c r="T4" s="7">
        <f t="shared" si="16"/>
        <v>15.50387597</v>
      </c>
      <c r="U4" s="7">
        <f t="shared" si="17"/>
        <v>700</v>
      </c>
      <c r="V4" s="7">
        <f t="shared" si="18"/>
        <v>18.0878553</v>
      </c>
      <c r="W4" s="7">
        <f t="shared" si="19"/>
        <v>800</v>
      </c>
      <c r="X4" s="7">
        <f t="shared" si="20"/>
        <v>20.67183463</v>
      </c>
      <c r="Y4" s="7">
        <f t="shared" si="21"/>
        <v>900</v>
      </c>
      <c r="Z4" s="7">
        <f t="shared" si="22"/>
        <v>23.25581395</v>
      </c>
    </row>
    <row r="5">
      <c r="A5" s="30" t="str">
        <f>IFERROR(__xludf.DUMMYFUNCTION("""COMPUTED_VALUE"""),"2012 02")</f>
        <v>2012 02</v>
      </c>
      <c r="B5" s="30" t="str">
        <f>IFERROR(__xludf.DUMMYFUNCTION("""COMPUTED_VALUE"""),"39.99")</f>
        <v>39.99</v>
      </c>
      <c r="C5" s="13">
        <v>40940.0</v>
      </c>
      <c r="D5" s="12">
        <f>'Income per month'!B5</f>
        <v>1000</v>
      </c>
      <c r="E5" s="7">
        <f t="shared" si="1"/>
        <v>50</v>
      </c>
      <c r="F5" s="7">
        <f t="shared" si="2"/>
        <v>1.250312578</v>
      </c>
      <c r="G5" s="7">
        <f t="shared" si="3"/>
        <v>100</v>
      </c>
      <c r="H5" s="7">
        <f t="shared" si="4"/>
        <v>2.500625156</v>
      </c>
      <c r="I5" s="7">
        <f t="shared" si="5"/>
        <v>150</v>
      </c>
      <c r="J5" s="7">
        <f t="shared" si="6"/>
        <v>3.750937734</v>
      </c>
      <c r="K5" s="7">
        <f t="shared" si="7"/>
        <v>200</v>
      </c>
      <c r="L5" s="7">
        <f t="shared" si="8"/>
        <v>5.001250313</v>
      </c>
      <c r="M5" s="7">
        <f t="shared" si="9"/>
        <v>300</v>
      </c>
      <c r="N5" s="7">
        <f t="shared" si="10"/>
        <v>7.501875469</v>
      </c>
      <c r="O5" s="7">
        <f t="shared" si="11"/>
        <v>400</v>
      </c>
      <c r="P5" s="7">
        <f t="shared" si="12"/>
        <v>10.00250063</v>
      </c>
      <c r="Q5" s="7">
        <f t="shared" si="13"/>
        <v>500</v>
      </c>
      <c r="R5" s="7">
        <f t="shared" si="14"/>
        <v>12.50312578</v>
      </c>
      <c r="S5" s="7">
        <f t="shared" si="15"/>
        <v>600</v>
      </c>
      <c r="T5" s="7">
        <f t="shared" si="16"/>
        <v>15.00375094</v>
      </c>
      <c r="U5" s="7">
        <f t="shared" si="17"/>
        <v>700</v>
      </c>
      <c r="V5" s="7">
        <f t="shared" si="18"/>
        <v>17.50437609</v>
      </c>
      <c r="W5" s="7">
        <f t="shared" si="19"/>
        <v>800</v>
      </c>
      <c r="X5" s="7">
        <f t="shared" si="20"/>
        <v>20.00500125</v>
      </c>
      <c r="Y5" s="7">
        <f t="shared" si="21"/>
        <v>900</v>
      </c>
      <c r="Z5" s="7">
        <f t="shared" si="22"/>
        <v>22.50562641</v>
      </c>
    </row>
    <row r="6">
      <c r="A6" s="30" t="str">
        <f>IFERROR(__xludf.DUMMYFUNCTION("""COMPUTED_VALUE"""),"2012 03")</f>
        <v>2012 03</v>
      </c>
      <c r="B6" s="30" t="str">
        <f>IFERROR(__xludf.DUMMYFUNCTION("""COMPUTED_VALUE"""),"41.54")</f>
        <v>41.54</v>
      </c>
      <c r="C6" s="13">
        <v>40969.0</v>
      </c>
      <c r="D6" s="12">
        <f>'Income per month'!B6</f>
        <v>1000</v>
      </c>
      <c r="E6" s="7">
        <f t="shared" si="1"/>
        <v>50</v>
      </c>
      <c r="F6" s="7">
        <f t="shared" si="2"/>
        <v>1.203659124</v>
      </c>
      <c r="G6" s="7">
        <f t="shared" si="3"/>
        <v>100</v>
      </c>
      <c r="H6" s="7">
        <f t="shared" si="4"/>
        <v>2.407318247</v>
      </c>
      <c r="I6" s="7">
        <f t="shared" si="5"/>
        <v>150</v>
      </c>
      <c r="J6" s="7">
        <f t="shared" si="6"/>
        <v>3.610977371</v>
      </c>
      <c r="K6" s="7">
        <f t="shared" si="7"/>
        <v>200</v>
      </c>
      <c r="L6" s="7">
        <f t="shared" si="8"/>
        <v>4.814636495</v>
      </c>
      <c r="M6" s="7">
        <f t="shared" si="9"/>
        <v>300</v>
      </c>
      <c r="N6" s="7">
        <f t="shared" si="10"/>
        <v>7.221954742</v>
      </c>
      <c r="O6" s="7">
        <f t="shared" si="11"/>
        <v>400</v>
      </c>
      <c r="P6" s="7">
        <f t="shared" si="12"/>
        <v>9.62927299</v>
      </c>
      <c r="Q6" s="7">
        <f t="shared" si="13"/>
        <v>500</v>
      </c>
      <c r="R6" s="7">
        <f t="shared" si="14"/>
        <v>12.03659124</v>
      </c>
      <c r="S6" s="7">
        <f t="shared" si="15"/>
        <v>600</v>
      </c>
      <c r="T6" s="7">
        <f t="shared" si="16"/>
        <v>14.44390948</v>
      </c>
      <c r="U6" s="7">
        <f t="shared" si="17"/>
        <v>700</v>
      </c>
      <c r="V6" s="7">
        <f t="shared" si="18"/>
        <v>16.85122773</v>
      </c>
      <c r="W6" s="7">
        <f t="shared" si="19"/>
        <v>800</v>
      </c>
      <c r="X6" s="7">
        <f t="shared" si="20"/>
        <v>19.25854598</v>
      </c>
      <c r="Y6" s="7">
        <f t="shared" si="21"/>
        <v>900</v>
      </c>
      <c r="Z6" s="7">
        <f t="shared" si="22"/>
        <v>21.66586423</v>
      </c>
    </row>
    <row r="7">
      <c r="A7" s="30" t="str">
        <f>IFERROR(__xludf.DUMMYFUNCTION("""COMPUTED_VALUE"""),"2012 04")</f>
        <v>2012 04</v>
      </c>
      <c r="B7" s="30" t="str">
        <f>IFERROR(__xludf.DUMMYFUNCTION("""COMPUTED_VALUE"""),"42.76")</f>
        <v>42.76</v>
      </c>
      <c r="C7" s="13">
        <v>41000.0</v>
      </c>
      <c r="D7" s="12">
        <f>'Income per month'!B7</f>
        <v>1000</v>
      </c>
      <c r="E7" s="7">
        <f t="shared" si="1"/>
        <v>50</v>
      </c>
      <c r="F7" s="7">
        <f t="shared" si="2"/>
        <v>1.169317119</v>
      </c>
      <c r="G7" s="7">
        <f t="shared" si="3"/>
        <v>100</v>
      </c>
      <c r="H7" s="7">
        <f t="shared" si="4"/>
        <v>2.338634238</v>
      </c>
      <c r="I7" s="7">
        <f t="shared" si="5"/>
        <v>150</v>
      </c>
      <c r="J7" s="7">
        <f t="shared" si="6"/>
        <v>3.507951356</v>
      </c>
      <c r="K7" s="7">
        <f t="shared" si="7"/>
        <v>200</v>
      </c>
      <c r="L7" s="7">
        <f t="shared" si="8"/>
        <v>4.677268475</v>
      </c>
      <c r="M7" s="7">
        <f t="shared" si="9"/>
        <v>300</v>
      </c>
      <c r="N7" s="7">
        <f t="shared" si="10"/>
        <v>7.015902713</v>
      </c>
      <c r="O7" s="7">
        <f t="shared" si="11"/>
        <v>400</v>
      </c>
      <c r="P7" s="7">
        <f t="shared" si="12"/>
        <v>9.35453695</v>
      </c>
      <c r="Q7" s="7">
        <f t="shared" si="13"/>
        <v>500</v>
      </c>
      <c r="R7" s="7">
        <f t="shared" si="14"/>
        <v>11.69317119</v>
      </c>
      <c r="S7" s="7">
        <f t="shared" si="15"/>
        <v>600</v>
      </c>
      <c r="T7" s="7">
        <f t="shared" si="16"/>
        <v>14.03180543</v>
      </c>
      <c r="U7" s="7">
        <f t="shared" si="17"/>
        <v>700</v>
      </c>
      <c r="V7" s="7">
        <f t="shared" si="18"/>
        <v>16.37043966</v>
      </c>
      <c r="W7" s="7">
        <f t="shared" si="19"/>
        <v>800</v>
      </c>
      <c r="X7" s="7">
        <f t="shared" si="20"/>
        <v>18.7090739</v>
      </c>
      <c r="Y7" s="7">
        <f t="shared" si="21"/>
        <v>900</v>
      </c>
      <c r="Z7" s="7">
        <f t="shared" si="22"/>
        <v>21.04770814</v>
      </c>
    </row>
    <row r="8">
      <c r="A8" s="30" t="str">
        <f>IFERROR(__xludf.DUMMYFUNCTION("""COMPUTED_VALUE"""),"2012 05")</f>
        <v>2012 05</v>
      </c>
      <c r="B8" s="30" t="str">
        <f>IFERROR(__xludf.DUMMYFUNCTION("""COMPUTED_VALUE"""),"42.31")</f>
        <v>42.31</v>
      </c>
      <c r="C8" s="13">
        <v>41030.0</v>
      </c>
      <c r="D8" s="12">
        <f>'Income per month'!B8</f>
        <v>1000</v>
      </c>
      <c r="E8" s="7">
        <f t="shared" si="1"/>
        <v>50</v>
      </c>
      <c r="F8" s="7">
        <f t="shared" si="2"/>
        <v>1.181753723</v>
      </c>
      <c r="G8" s="7">
        <f t="shared" si="3"/>
        <v>100</v>
      </c>
      <c r="H8" s="7">
        <f t="shared" si="4"/>
        <v>2.363507445</v>
      </c>
      <c r="I8" s="7">
        <f t="shared" si="5"/>
        <v>150</v>
      </c>
      <c r="J8" s="7">
        <f t="shared" si="6"/>
        <v>3.545261168</v>
      </c>
      <c r="K8" s="7">
        <f t="shared" si="7"/>
        <v>200</v>
      </c>
      <c r="L8" s="7">
        <f t="shared" si="8"/>
        <v>4.72701489</v>
      </c>
      <c r="M8" s="7">
        <f t="shared" si="9"/>
        <v>300</v>
      </c>
      <c r="N8" s="7">
        <f t="shared" si="10"/>
        <v>7.090522335</v>
      </c>
      <c r="O8" s="7">
        <f t="shared" si="11"/>
        <v>400</v>
      </c>
      <c r="P8" s="7">
        <f t="shared" si="12"/>
        <v>9.45402978</v>
      </c>
      <c r="Q8" s="7">
        <f t="shared" si="13"/>
        <v>500</v>
      </c>
      <c r="R8" s="7">
        <f t="shared" si="14"/>
        <v>11.81753723</v>
      </c>
      <c r="S8" s="7">
        <f t="shared" si="15"/>
        <v>600</v>
      </c>
      <c r="T8" s="7">
        <f t="shared" si="16"/>
        <v>14.18104467</v>
      </c>
      <c r="U8" s="7">
        <f t="shared" si="17"/>
        <v>700</v>
      </c>
      <c r="V8" s="7">
        <f t="shared" si="18"/>
        <v>16.54455212</v>
      </c>
      <c r="W8" s="7">
        <f t="shared" si="19"/>
        <v>800</v>
      </c>
      <c r="X8" s="7">
        <f t="shared" si="20"/>
        <v>18.90805956</v>
      </c>
      <c r="Y8" s="7">
        <f t="shared" si="21"/>
        <v>900</v>
      </c>
      <c r="Z8" s="7">
        <f t="shared" si="22"/>
        <v>21.27156701</v>
      </c>
    </row>
    <row r="9">
      <c r="A9" s="30" t="str">
        <f>IFERROR(__xludf.DUMMYFUNCTION("""COMPUTED_VALUE"""),"2012 06")</f>
        <v>2012 06</v>
      </c>
      <c r="B9" s="30" t="str">
        <f>IFERROR(__xludf.DUMMYFUNCTION("""COMPUTED_VALUE"""),"39.45")</f>
        <v>39.45</v>
      </c>
      <c r="C9" s="13">
        <v>41061.0</v>
      </c>
      <c r="D9" s="12">
        <f>'Income per month'!B9</f>
        <v>1000</v>
      </c>
      <c r="E9" s="7">
        <f t="shared" si="1"/>
        <v>50</v>
      </c>
      <c r="F9" s="7">
        <f t="shared" si="2"/>
        <v>1.267427123</v>
      </c>
      <c r="G9" s="7">
        <f t="shared" si="3"/>
        <v>100</v>
      </c>
      <c r="H9" s="7">
        <f t="shared" si="4"/>
        <v>2.534854246</v>
      </c>
      <c r="I9" s="7">
        <f t="shared" si="5"/>
        <v>150</v>
      </c>
      <c r="J9" s="7">
        <f t="shared" si="6"/>
        <v>3.802281369</v>
      </c>
      <c r="K9" s="7">
        <f t="shared" si="7"/>
        <v>200</v>
      </c>
      <c r="L9" s="7">
        <f t="shared" si="8"/>
        <v>5.069708492</v>
      </c>
      <c r="M9" s="7">
        <f t="shared" si="9"/>
        <v>300</v>
      </c>
      <c r="N9" s="7">
        <f t="shared" si="10"/>
        <v>7.604562738</v>
      </c>
      <c r="O9" s="7">
        <f t="shared" si="11"/>
        <v>400</v>
      </c>
      <c r="P9" s="7">
        <f t="shared" si="12"/>
        <v>10.13941698</v>
      </c>
      <c r="Q9" s="7">
        <f t="shared" si="13"/>
        <v>500</v>
      </c>
      <c r="R9" s="7">
        <f t="shared" si="14"/>
        <v>12.67427123</v>
      </c>
      <c r="S9" s="7">
        <f t="shared" si="15"/>
        <v>600</v>
      </c>
      <c r="T9" s="7">
        <f t="shared" si="16"/>
        <v>15.20912548</v>
      </c>
      <c r="U9" s="7">
        <f t="shared" si="17"/>
        <v>700</v>
      </c>
      <c r="V9" s="7">
        <f t="shared" si="18"/>
        <v>17.74397972</v>
      </c>
      <c r="W9" s="7">
        <f t="shared" si="19"/>
        <v>800</v>
      </c>
      <c r="X9" s="7">
        <f t="shared" si="20"/>
        <v>20.27883397</v>
      </c>
      <c r="Y9" s="7">
        <f t="shared" si="21"/>
        <v>900</v>
      </c>
      <c r="Z9" s="7">
        <f t="shared" si="22"/>
        <v>22.81368821</v>
      </c>
    </row>
    <row r="10">
      <c r="A10" s="30" t="str">
        <f>IFERROR(__xludf.DUMMYFUNCTION("""COMPUTED_VALUE"""),"2012 07")</f>
        <v>2012 07</v>
      </c>
      <c r="B10" s="30" t="str">
        <f>IFERROR(__xludf.DUMMYFUNCTION("""COMPUTED_VALUE"""),"39.85")</f>
        <v>39.85</v>
      </c>
      <c r="C10" s="13">
        <v>41091.0</v>
      </c>
      <c r="D10" s="12">
        <f>'Income per month'!B10</f>
        <v>1000</v>
      </c>
      <c r="E10" s="7">
        <f t="shared" si="1"/>
        <v>50</v>
      </c>
      <c r="F10" s="7">
        <f t="shared" si="2"/>
        <v>1.254705144</v>
      </c>
      <c r="G10" s="7">
        <f t="shared" si="3"/>
        <v>100</v>
      </c>
      <c r="H10" s="7">
        <f t="shared" si="4"/>
        <v>2.509410289</v>
      </c>
      <c r="I10" s="7">
        <f t="shared" si="5"/>
        <v>150</v>
      </c>
      <c r="J10" s="7">
        <f t="shared" si="6"/>
        <v>3.764115433</v>
      </c>
      <c r="K10" s="7">
        <f t="shared" si="7"/>
        <v>200</v>
      </c>
      <c r="L10" s="7">
        <f t="shared" si="8"/>
        <v>5.018820577</v>
      </c>
      <c r="M10" s="7">
        <f t="shared" si="9"/>
        <v>300</v>
      </c>
      <c r="N10" s="7">
        <f t="shared" si="10"/>
        <v>7.528230866</v>
      </c>
      <c r="O10" s="7">
        <f t="shared" si="11"/>
        <v>400</v>
      </c>
      <c r="P10" s="7">
        <f t="shared" si="12"/>
        <v>10.03764115</v>
      </c>
      <c r="Q10" s="7">
        <f t="shared" si="13"/>
        <v>500</v>
      </c>
      <c r="R10" s="7">
        <f t="shared" si="14"/>
        <v>12.54705144</v>
      </c>
      <c r="S10" s="7">
        <f t="shared" si="15"/>
        <v>600</v>
      </c>
      <c r="T10" s="7">
        <f t="shared" si="16"/>
        <v>15.05646173</v>
      </c>
      <c r="U10" s="7">
        <f t="shared" si="17"/>
        <v>700</v>
      </c>
      <c r="V10" s="7">
        <f t="shared" si="18"/>
        <v>17.56587202</v>
      </c>
      <c r="W10" s="7">
        <f t="shared" si="19"/>
        <v>800</v>
      </c>
      <c r="X10" s="7">
        <f t="shared" si="20"/>
        <v>20.07528231</v>
      </c>
      <c r="Y10" s="7">
        <f t="shared" si="21"/>
        <v>900</v>
      </c>
      <c r="Z10" s="7">
        <f t="shared" si="22"/>
        <v>22.5846926</v>
      </c>
    </row>
    <row r="11">
      <c r="A11" s="30" t="str">
        <f>IFERROR(__xludf.DUMMYFUNCTION("""COMPUTED_VALUE"""),"2012 08")</f>
        <v>2012 08</v>
      </c>
      <c r="B11" s="30" t="str">
        <f>IFERROR(__xludf.DUMMYFUNCTION("""COMPUTED_VALUE"""),"39.29")</f>
        <v>39.29</v>
      </c>
      <c r="C11" s="13">
        <v>41122.0</v>
      </c>
      <c r="D11" s="12">
        <f>'Income per month'!B11</f>
        <v>1000</v>
      </c>
      <c r="E11" s="7">
        <f t="shared" si="1"/>
        <v>50</v>
      </c>
      <c r="F11" s="7">
        <f t="shared" si="2"/>
        <v>1.272588445</v>
      </c>
      <c r="G11" s="7">
        <f t="shared" si="3"/>
        <v>100</v>
      </c>
      <c r="H11" s="7">
        <f t="shared" si="4"/>
        <v>2.54517689</v>
      </c>
      <c r="I11" s="7">
        <f t="shared" si="5"/>
        <v>150</v>
      </c>
      <c r="J11" s="7">
        <f t="shared" si="6"/>
        <v>3.817765335</v>
      </c>
      <c r="K11" s="7">
        <f t="shared" si="7"/>
        <v>200</v>
      </c>
      <c r="L11" s="7">
        <f t="shared" si="8"/>
        <v>5.09035378</v>
      </c>
      <c r="M11" s="7">
        <f t="shared" si="9"/>
        <v>300</v>
      </c>
      <c r="N11" s="7">
        <f t="shared" si="10"/>
        <v>7.635530669</v>
      </c>
      <c r="O11" s="7">
        <f t="shared" si="11"/>
        <v>400</v>
      </c>
      <c r="P11" s="7">
        <f t="shared" si="12"/>
        <v>10.18070756</v>
      </c>
      <c r="Q11" s="7">
        <f t="shared" si="13"/>
        <v>500</v>
      </c>
      <c r="R11" s="7">
        <f t="shared" si="14"/>
        <v>12.72588445</v>
      </c>
      <c r="S11" s="7">
        <f t="shared" si="15"/>
        <v>600</v>
      </c>
      <c r="T11" s="7">
        <f t="shared" si="16"/>
        <v>15.27106134</v>
      </c>
      <c r="U11" s="7">
        <f t="shared" si="17"/>
        <v>700</v>
      </c>
      <c r="V11" s="7">
        <f t="shared" si="18"/>
        <v>17.81623823</v>
      </c>
      <c r="W11" s="7">
        <f t="shared" si="19"/>
        <v>800</v>
      </c>
      <c r="X11" s="7">
        <f t="shared" si="20"/>
        <v>20.36141512</v>
      </c>
      <c r="Y11" s="7">
        <f t="shared" si="21"/>
        <v>900</v>
      </c>
      <c r="Z11" s="7">
        <f t="shared" si="22"/>
        <v>22.90659201</v>
      </c>
    </row>
    <row r="12">
      <c r="A12" s="30" t="str">
        <f>IFERROR(__xludf.DUMMYFUNCTION("""COMPUTED_VALUE"""),"2012 09")</f>
        <v>2012 09</v>
      </c>
      <c r="B12" s="30" t="str">
        <f>IFERROR(__xludf.DUMMYFUNCTION("""COMPUTED_VALUE"""),"41")</f>
        <v>41</v>
      </c>
      <c r="C12" s="13">
        <v>41153.0</v>
      </c>
      <c r="D12" s="12">
        <f>'Income per month'!B12</f>
        <v>1000</v>
      </c>
      <c r="E12" s="7">
        <f t="shared" si="1"/>
        <v>50</v>
      </c>
      <c r="F12" s="7">
        <f t="shared" si="2"/>
        <v>1.219512195</v>
      </c>
      <c r="G12" s="7">
        <f t="shared" si="3"/>
        <v>100</v>
      </c>
      <c r="H12" s="7">
        <f t="shared" si="4"/>
        <v>2.43902439</v>
      </c>
      <c r="I12" s="7">
        <f t="shared" si="5"/>
        <v>150</v>
      </c>
      <c r="J12" s="7">
        <f t="shared" si="6"/>
        <v>3.658536585</v>
      </c>
      <c r="K12" s="7">
        <f t="shared" si="7"/>
        <v>200</v>
      </c>
      <c r="L12" s="7">
        <f t="shared" si="8"/>
        <v>4.87804878</v>
      </c>
      <c r="M12" s="7">
        <f t="shared" si="9"/>
        <v>300</v>
      </c>
      <c r="N12" s="7">
        <f t="shared" si="10"/>
        <v>7.317073171</v>
      </c>
      <c r="O12" s="7">
        <f t="shared" si="11"/>
        <v>400</v>
      </c>
      <c r="P12" s="7">
        <f t="shared" si="12"/>
        <v>9.756097561</v>
      </c>
      <c r="Q12" s="7">
        <f t="shared" si="13"/>
        <v>500</v>
      </c>
      <c r="R12" s="7">
        <f t="shared" si="14"/>
        <v>12.19512195</v>
      </c>
      <c r="S12" s="7">
        <f t="shared" si="15"/>
        <v>600</v>
      </c>
      <c r="T12" s="7">
        <f t="shared" si="16"/>
        <v>14.63414634</v>
      </c>
      <c r="U12" s="7">
        <f t="shared" si="17"/>
        <v>700</v>
      </c>
      <c r="V12" s="7">
        <f t="shared" si="18"/>
        <v>17.07317073</v>
      </c>
      <c r="W12" s="7">
        <f t="shared" si="19"/>
        <v>800</v>
      </c>
      <c r="X12" s="7">
        <f t="shared" si="20"/>
        <v>19.51219512</v>
      </c>
      <c r="Y12" s="7">
        <f t="shared" si="21"/>
        <v>900</v>
      </c>
      <c r="Z12" s="7">
        <f t="shared" si="22"/>
        <v>21.95121951</v>
      </c>
    </row>
    <row r="13">
      <c r="A13" s="30" t="str">
        <f>IFERROR(__xludf.DUMMYFUNCTION("""COMPUTED_VALUE"""),"2012 10")</f>
        <v>2012 10</v>
      </c>
      <c r="B13" s="30" t="str">
        <f>IFERROR(__xludf.DUMMYFUNCTION("""COMPUTED_VALUE"""),"41.5")</f>
        <v>41.5</v>
      </c>
      <c r="C13" s="13">
        <v>41183.0</v>
      </c>
      <c r="D13" s="12">
        <f>'Income per month'!B13</f>
        <v>1000</v>
      </c>
      <c r="E13" s="7">
        <f t="shared" si="1"/>
        <v>50</v>
      </c>
      <c r="F13" s="7">
        <f t="shared" si="2"/>
        <v>1.204819277</v>
      </c>
      <c r="G13" s="7">
        <f t="shared" si="3"/>
        <v>100</v>
      </c>
      <c r="H13" s="7">
        <f t="shared" si="4"/>
        <v>2.409638554</v>
      </c>
      <c r="I13" s="7">
        <f t="shared" si="5"/>
        <v>150</v>
      </c>
      <c r="J13" s="7">
        <f t="shared" si="6"/>
        <v>3.614457831</v>
      </c>
      <c r="K13" s="7">
        <f t="shared" si="7"/>
        <v>200</v>
      </c>
      <c r="L13" s="7">
        <f t="shared" si="8"/>
        <v>4.819277108</v>
      </c>
      <c r="M13" s="7">
        <f t="shared" si="9"/>
        <v>300</v>
      </c>
      <c r="N13" s="7">
        <f t="shared" si="10"/>
        <v>7.228915663</v>
      </c>
      <c r="O13" s="7">
        <f t="shared" si="11"/>
        <v>400</v>
      </c>
      <c r="P13" s="7">
        <f t="shared" si="12"/>
        <v>9.638554217</v>
      </c>
      <c r="Q13" s="7">
        <f t="shared" si="13"/>
        <v>500</v>
      </c>
      <c r="R13" s="7">
        <f t="shared" si="14"/>
        <v>12.04819277</v>
      </c>
      <c r="S13" s="7">
        <f t="shared" si="15"/>
        <v>600</v>
      </c>
      <c r="T13" s="7">
        <f t="shared" si="16"/>
        <v>14.45783133</v>
      </c>
      <c r="U13" s="7">
        <f t="shared" si="17"/>
        <v>700</v>
      </c>
      <c r="V13" s="7">
        <f t="shared" si="18"/>
        <v>16.86746988</v>
      </c>
      <c r="W13" s="7">
        <f t="shared" si="19"/>
        <v>800</v>
      </c>
      <c r="X13" s="7">
        <f t="shared" si="20"/>
        <v>19.27710843</v>
      </c>
      <c r="Y13" s="7">
        <f t="shared" si="21"/>
        <v>900</v>
      </c>
      <c r="Z13" s="7">
        <f t="shared" si="22"/>
        <v>21.68674699</v>
      </c>
    </row>
    <row r="14">
      <c r="A14" s="30" t="str">
        <f>IFERROR(__xludf.DUMMYFUNCTION("""COMPUTED_VALUE"""),"2012 11")</f>
        <v>2012 11</v>
      </c>
      <c r="B14" s="30" t="str">
        <f>IFERROR(__xludf.DUMMYFUNCTION("""COMPUTED_VALUE"""),"41.59")</f>
        <v>41.59</v>
      </c>
      <c r="C14" s="13">
        <v>41214.0</v>
      </c>
      <c r="D14" s="12">
        <f>'Income per month'!B14</f>
        <v>1000</v>
      </c>
      <c r="E14" s="7">
        <f t="shared" si="1"/>
        <v>50</v>
      </c>
      <c r="F14" s="7">
        <f t="shared" si="2"/>
        <v>1.20221207</v>
      </c>
      <c r="G14" s="7">
        <f t="shared" si="3"/>
        <v>100</v>
      </c>
      <c r="H14" s="7">
        <f t="shared" si="4"/>
        <v>2.40442414</v>
      </c>
      <c r="I14" s="7">
        <f t="shared" si="5"/>
        <v>150</v>
      </c>
      <c r="J14" s="7">
        <f t="shared" si="6"/>
        <v>3.606636211</v>
      </c>
      <c r="K14" s="7">
        <f t="shared" si="7"/>
        <v>200</v>
      </c>
      <c r="L14" s="7">
        <f t="shared" si="8"/>
        <v>4.808848281</v>
      </c>
      <c r="M14" s="7">
        <f t="shared" si="9"/>
        <v>300</v>
      </c>
      <c r="N14" s="7">
        <f t="shared" si="10"/>
        <v>7.213272421</v>
      </c>
      <c r="O14" s="7">
        <f t="shared" si="11"/>
        <v>400</v>
      </c>
      <c r="P14" s="7">
        <f t="shared" si="12"/>
        <v>9.617696562</v>
      </c>
      <c r="Q14" s="7">
        <f t="shared" si="13"/>
        <v>500</v>
      </c>
      <c r="R14" s="7">
        <f t="shared" si="14"/>
        <v>12.0221207</v>
      </c>
      <c r="S14" s="7">
        <f t="shared" si="15"/>
        <v>600</v>
      </c>
      <c r="T14" s="7">
        <f t="shared" si="16"/>
        <v>14.42654484</v>
      </c>
      <c r="U14" s="7">
        <f t="shared" si="17"/>
        <v>700</v>
      </c>
      <c r="V14" s="7">
        <f t="shared" si="18"/>
        <v>16.83096898</v>
      </c>
      <c r="W14" s="7">
        <f t="shared" si="19"/>
        <v>800</v>
      </c>
      <c r="X14" s="7">
        <f t="shared" si="20"/>
        <v>19.23539312</v>
      </c>
      <c r="Y14" s="7">
        <f t="shared" si="21"/>
        <v>900</v>
      </c>
      <c r="Z14" s="7">
        <f t="shared" si="22"/>
        <v>21.63981726</v>
      </c>
    </row>
    <row r="15">
      <c r="A15" s="30" t="str">
        <f>IFERROR(__xludf.DUMMYFUNCTION("""COMPUTED_VALUE"""),"2012 12")</f>
        <v>2012 12</v>
      </c>
      <c r="B15" s="30" t="str">
        <f>IFERROR(__xludf.DUMMYFUNCTION("""COMPUTED_VALUE"""),"42.74")</f>
        <v>42.74</v>
      </c>
      <c r="C15" s="14">
        <v>41244.0</v>
      </c>
      <c r="D15" s="12">
        <f>'Income per month'!B15</f>
        <v>1000</v>
      </c>
      <c r="E15" s="7">
        <f t="shared" si="1"/>
        <v>50</v>
      </c>
      <c r="F15" s="7">
        <f t="shared" si="2"/>
        <v>1.169864296</v>
      </c>
      <c r="G15" s="7">
        <f t="shared" si="3"/>
        <v>100</v>
      </c>
      <c r="H15" s="7">
        <f t="shared" si="4"/>
        <v>2.339728591</v>
      </c>
      <c r="I15" s="7">
        <f t="shared" si="5"/>
        <v>150</v>
      </c>
      <c r="J15" s="7">
        <f t="shared" si="6"/>
        <v>3.509592887</v>
      </c>
      <c r="K15" s="7">
        <f t="shared" si="7"/>
        <v>200</v>
      </c>
      <c r="L15" s="7">
        <f t="shared" si="8"/>
        <v>4.679457183</v>
      </c>
      <c r="M15" s="7">
        <f t="shared" si="9"/>
        <v>300</v>
      </c>
      <c r="N15" s="7">
        <f t="shared" si="10"/>
        <v>7.019185774</v>
      </c>
      <c r="O15" s="7">
        <f t="shared" si="11"/>
        <v>400</v>
      </c>
      <c r="P15" s="7">
        <f t="shared" si="12"/>
        <v>9.358914366</v>
      </c>
      <c r="Q15" s="7">
        <f t="shared" si="13"/>
        <v>500</v>
      </c>
      <c r="R15" s="7">
        <f t="shared" si="14"/>
        <v>11.69864296</v>
      </c>
      <c r="S15" s="7">
        <f t="shared" si="15"/>
        <v>600</v>
      </c>
      <c r="T15" s="7">
        <f t="shared" si="16"/>
        <v>14.03837155</v>
      </c>
      <c r="U15" s="7">
        <f t="shared" si="17"/>
        <v>700</v>
      </c>
      <c r="V15" s="7">
        <f t="shared" si="18"/>
        <v>16.37810014</v>
      </c>
      <c r="W15" s="7">
        <f t="shared" si="19"/>
        <v>800</v>
      </c>
      <c r="X15" s="7">
        <f t="shared" si="20"/>
        <v>18.71782873</v>
      </c>
      <c r="Y15" s="7">
        <f t="shared" si="21"/>
        <v>900</v>
      </c>
      <c r="Z15" s="7">
        <f t="shared" si="22"/>
        <v>21.05755732</v>
      </c>
    </row>
    <row r="16">
      <c r="A16" s="30" t="str">
        <f>IFERROR(__xludf.DUMMYFUNCTION("""COMPUTED_VALUE"""),"2013 01")</f>
        <v>2013 01</v>
      </c>
      <c r="B16" s="30" t="str">
        <f>IFERROR(__xludf.DUMMYFUNCTION("""COMPUTED_VALUE"""),"43.8")</f>
        <v>43.8</v>
      </c>
      <c r="C16" s="13">
        <v>41275.0</v>
      </c>
      <c r="D16" s="12">
        <f>'Income per month'!B16</f>
        <v>1000</v>
      </c>
      <c r="E16" s="7">
        <f t="shared" si="1"/>
        <v>50</v>
      </c>
      <c r="F16" s="7">
        <f t="shared" si="2"/>
        <v>1.141552511</v>
      </c>
      <c r="G16" s="7">
        <f t="shared" si="3"/>
        <v>100</v>
      </c>
      <c r="H16" s="7">
        <f t="shared" si="4"/>
        <v>2.283105023</v>
      </c>
      <c r="I16" s="7">
        <f t="shared" si="5"/>
        <v>150</v>
      </c>
      <c r="J16" s="7">
        <f t="shared" si="6"/>
        <v>3.424657534</v>
      </c>
      <c r="K16" s="7">
        <f t="shared" si="7"/>
        <v>200</v>
      </c>
      <c r="L16" s="7">
        <f t="shared" si="8"/>
        <v>4.566210046</v>
      </c>
      <c r="M16" s="7">
        <f t="shared" si="9"/>
        <v>300</v>
      </c>
      <c r="N16" s="7">
        <f t="shared" si="10"/>
        <v>6.849315068</v>
      </c>
      <c r="O16" s="7">
        <f t="shared" si="11"/>
        <v>400</v>
      </c>
      <c r="P16" s="7">
        <f t="shared" si="12"/>
        <v>9.132420091</v>
      </c>
      <c r="Q16" s="7">
        <f t="shared" si="13"/>
        <v>500</v>
      </c>
      <c r="R16" s="7">
        <f t="shared" si="14"/>
        <v>11.41552511</v>
      </c>
      <c r="S16" s="7">
        <f t="shared" si="15"/>
        <v>600</v>
      </c>
      <c r="T16" s="7">
        <f t="shared" si="16"/>
        <v>13.69863014</v>
      </c>
      <c r="U16" s="7">
        <f t="shared" si="17"/>
        <v>700</v>
      </c>
      <c r="V16" s="7">
        <f t="shared" si="18"/>
        <v>15.98173516</v>
      </c>
      <c r="W16" s="7">
        <f t="shared" si="19"/>
        <v>800</v>
      </c>
      <c r="X16" s="7">
        <f t="shared" si="20"/>
        <v>18.26484018</v>
      </c>
      <c r="Y16" s="7">
        <f t="shared" si="21"/>
        <v>900</v>
      </c>
      <c r="Z16" s="7">
        <f t="shared" si="22"/>
        <v>20.54794521</v>
      </c>
    </row>
    <row r="17">
      <c r="A17" s="30" t="str">
        <f>IFERROR(__xludf.DUMMYFUNCTION("""COMPUTED_VALUE"""),"2013 02")</f>
        <v>2013 02</v>
      </c>
      <c r="B17" s="30" t="str">
        <f>IFERROR(__xludf.DUMMYFUNCTION("""COMPUTED_VALUE"""),"45.7")</f>
        <v>45.7</v>
      </c>
      <c r="C17" s="13">
        <v>41306.0</v>
      </c>
      <c r="D17" s="12">
        <f>'Income per month'!B17</f>
        <v>1000</v>
      </c>
      <c r="E17" s="7">
        <f t="shared" si="1"/>
        <v>50</v>
      </c>
      <c r="F17" s="7">
        <f t="shared" si="2"/>
        <v>1.094091904</v>
      </c>
      <c r="G17" s="7">
        <f t="shared" si="3"/>
        <v>100</v>
      </c>
      <c r="H17" s="7">
        <f t="shared" si="4"/>
        <v>2.188183807</v>
      </c>
      <c r="I17" s="7">
        <f t="shared" si="5"/>
        <v>150</v>
      </c>
      <c r="J17" s="7">
        <f t="shared" si="6"/>
        <v>3.282275711</v>
      </c>
      <c r="K17" s="7">
        <f t="shared" si="7"/>
        <v>200</v>
      </c>
      <c r="L17" s="7">
        <f t="shared" si="8"/>
        <v>4.376367615</v>
      </c>
      <c r="M17" s="7">
        <f t="shared" si="9"/>
        <v>300</v>
      </c>
      <c r="N17" s="7">
        <f t="shared" si="10"/>
        <v>6.564551422</v>
      </c>
      <c r="O17" s="7">
        <f t="shared" si="11"/>
        <v>400</v>
      </c>
      <c r="P17" s="7">
        <f t="shared" si="12"/>
        <v>8.75273523</v>
      </c>
      <c r="Q17" s="7">
        <f t="shared" si="13"/>
        <v>500</v>
      </c>
      <c r="R17" s="7">
        <f t="shared" si="14"/>
        <v>10.94091904</v>
      </c>
      <c r="S17" s="7">
        <f t="shared" si="15"/>
        <v>600</v>
      </c>
      <c r="T17" s="7">
        <f t="shared" si="16"/>
        <v>13.12910284</v>
      </c>
      <c r="U17" s="7">
        <f t="shared" si="17"/>
        <v>700</v>
      </c>
      <c r="V17" s="7">
        <f t="shared" si="18"/>
        <v>15.31728665</v>
      </c>
      <c r="W17" s="7">
        <f t="shared" si="19"/>
        <v>800</v>
      </c>
      <c r="X17" s="7">
        <f t="shared" si="20"/>
        <v>17.50547046</v>
      </c>
      <c r="Y17" s="7">
        <f t="shared" si="21"/>
        <v>900</v>
      </c>
      <c r="Z17" s="7">
        <f t="shared" si="22"/>
        <v>19.69365427</v>
      </c>
    </row>
    <row r="18">
      <c r="A18" s="30" t="str">
        <f>IFERROR(__xludf.DUMMYFUNCTION("""COMPUTED_VALUE"""),"2013 03")</f>
        <v>2013 03</v>
      </c>
      <c r="B18" s="30" t="str">
        <f>IFERROR(__xludf.DUMMYFUNCTION("""COMPUTED_VALUE"""),"45.4")</f>
        <v>45.4</v>
      </c>
      <c r="C18" s="13">
        <v>41334.0</v>
      </c>
      <c r="D18" s="12">
        <f>'Income per month'!B18</f>
        <v>1000</v>
      </c>
      <c r="E18" s="7">
        <f t="shared" si="1"/>
        <v>50</v>
      </c>
      <c r="F18" s="7">
        <f t="shared" si="2"/>
        <v>1.101321586</v>
      </c>
      <c r="G18" s="7">
        <f t="shared" si="3"/>
        <v>100</v>
      </c>
      <c r="H18" s="7">
        <f t="shared" si="4"/>
        <v>2.202643172</v>
      </c>
      <c r="I18" s="7">
        <f t="shared" si="5"/>
        <v>150</v>
      </c>
      <c r="J18" s="7">
        <f t="shared" si="6"/>
        <v>3.303964758</v>
      </c>
      <c r="K18" s="7">
        <f t="shared" si="7"/>
        <v>200</v>
      </c>
      <c r="L18" s="7">
        <f t="shared" si="8"/>
        <v>4.405286344</v>
      </c>
      <c r="M18" s="7">
        <f t="shared" si="9"/>
        <v>300</v>
      </c>
      <c r="N18" s="7">
        <f t="shared" si="10"/>
        <v>6.607929515</v>
      </c>
      <c r="O18" s="7">
        <f t="shared" si="11"/>
        <v>400</v>
      </c>
      <c r="P18" s="7">
        <f t="shared" si="12"/>
        <v>8.810572687</v>
      </c>
      <c r="Q18" s="7">
        <f t="shared" si="13"/>
        <v>500</v>
      </c>
      <c r="R18" s="7">
        <f t="shared" si="14"/>
        <v>11.01321586</v>
      </c>
      <c r="S18" s="7">
        <f t="shared" si="15"/>
        <v>600</v>
      </c>
      <c r="T18" s="7">
        <f t="shared" si="16"/>
        <v>13.21585903</v>
      </c>
      <c r="U18" s="7">
        <f t="shared" si="17"/>
        <v>700</v>
      </c>
      <c r="V18" s="7">
        <f t="shared" si="18"/>
        <v>15.4185022</v>
      </c>
      <c r="W18" s="7">
        <f t="shared" si="19"/>
        <v>800</v>
      </c>
      <c r="X18" s="7">
        <f t="shared" si="20"/>
        <v>17.62114537</v>
      </c>
      <c r="Y18" s="7">
        <f t="shared" si="21"/>
        <v>900</v>
      </c>
      <c r="Z18" s="7">
        <f t="shared" si="22"/>
        <v>19.82378855</v>
      </c>
    </row>
    <row r="19">
      <c r="A19" s="30" t="str">
        <f>IFERROR(__xludf.DUMMYFUNCTION("""COMPUTED_VALUE"""),"2013 04")</f>
        <v>2013 04</v>
      </c>
      <c r="B19" s="30" t="str">
        <f>IFERROR(__xludf.DUMMYFUNCTION("""COMPUTED_VALUE"""),"44.31")</f>
        <v>44.31</v>
      </c>
      <c r="C19" s="13">
        <v>41365.0</v>
      </c>
      <c r="D19" s="12">
        <f>'Income per month'!B19</f>
        <v>1000</v>
      </c>
      <c r="E19" s="7">
        <f t="shared" si="1"/>
        <v>50</v>
      </c>
      <c r="F19" s="7">
        <f t="shared" si="2"/>
        <v>1.128413451</v>
      </c>
      <c r="G19" s="7">
        <f t="shared" si="3"/>
        <v>100</v>
      </c>
      <c r="H19" s="7">
        <f t="shared" si="4"/>
        <v>2.256826901</v>
      </c>
      <c r="I19" s="7">
        <f t="shared" si="5"/>
        <v>150</v>
      </c>
      <c r="J19" s="7">
        <f t="shared" si="6"/>
        <v>3.385240352</v>
      </c>
      <c r="K19" s="7">
        <f t="shared" si="7"/>
        <v>200</v>
      </c>
      <c r="L19" s="7">
        <f t="shared" si="8"/>
        <v>4.513653803</v>
      </c>
      <c r="M19" s="7">
        <f t="shared" si="9"/>
        <v>300</v>
      </c>
      <c r="N19" s="7">
        <f t="shared" si="10"/>
        <v>6.770480704</v>
      </c>
      <c r="O19" s="7">
        <f t="shared" si="11"/>
        <v>400</v>
      </c>
      <c r="P19" s="7">
        <f t="shared" si="12"/>
        <v>9.027307606</v>
      </c>
      <c r="Q19" s="7">
        <f t="shared" si="13"/>
        <v>500</v>
      </c>
      <c r="R19" s="7">
        <f t="shared" si="14"/>
        <v>11.28413451</v>
      </c>
      <c r="S19" s="7">
        <f t="shared" si="15"/>
        <v>600</v>
      </c>
      <c r="T19" s="7">
        <f t="shared" si="16"/>
        <v>13.54096141</v>
      </c>
      <c r="U19" s="7">
        <f t="shared" si="17"/>
        <v>700</v>
      </c>
      <c r="V19" s="7">
        <f t="shared" si="18"/>
        <v>15.79778831</v>
      </c>
      <c r="W19" s="7">
        <f t="shared" si="19"/>
        <v>800</v>
      </c>
      <c r="X19" s="7">
        <f t="shared" si="20"/>
        <v>18.05461521</v>
      </c>
      <c r="Y19" s="7">
        <f t="shared" si="21"/>
        <v>900</v>
      </c>
      <c r="Z19" s="7">
        <f t="shared" si="22"/>
        <v>20.31144211</v>
      </c>
    </row>
    <row r="20">
      <c r="A20" s="30" t="str">
        <f>IFERROR(__xludf.DUMMYFUNCTION("""COMPUTED_VALUE"""),"2013 05")</f>
        <v>2013 05</v>
      </c>
      <c r="B20" s="30" t="str">
        <f>IFERROR(__xludf.DUMMYFUNCTION("""COMPUTED_VALUE"""),"46.5")</f>
        <v>46.5</v>
      </c>
      <c r="C20" s="13">
        <v>41395.0</v>
      </c>
      <c r="D20" s="12">
        <f>'Income per month'!B20</f>
        <v>1000</v>
      </c>
      <c r="E20" s="7">
        <f t="shared" si="1"/>
        <v>50</v>
      </c>
      <c r="F20" s="7">
        <f t="shared" si="2"/>
        <v>1.075268817</v>
      </c>
      <c r="G20" s="7">
        <f t="shared" si="3"/>
        <v>100</v>
      </c>
      <c r="H20" s="7">
        <f t="shared" si="4"/>
        <v>2.150537634</v>
      </c>
      <c r="I20" s="7">
        <f t="shared" si="5"/>
        <v>150</v>
      </c>
      <c r="J20" s="7">
        <f t="shared" si="6"/>
        <v>3.225806452</v>
      </c>
      <c r="K20" s="7">
        <f t="shared" si="7"/>
        <v>200</v>
      </c>
      <c r="L20" s="7">
        <f t="shared" si="8"/>
        <v>4.301075269</v>
      </c>
      <c r="M20" s="7">
        <f t="shared" si="9"/>
        <v>300</v>
      </c>
      <c r="N20" s="7">
        <f t="shared" si="10"/>
        <v>6.451612903</v>
      </c>
      <c r="O20" s="7">
        <f t="shared" si="11"/>
        <v>400</v>
      </c>
      <c r="P20" s="7">
        <f t="shared" si="12"/>
        <v>8.602150538</v>
      </c>
      <c r="Q20" s="7">
        <f t="shared" si="13"/>
        <v>500</v>
      </c>
      <c r="R20" s="7">
        <f t="shared" si="14"/>
        <v>10.75268817</v>
      </c>
      <c r="S20" s="7">
        <f t="shared" si="15"/>
        <v>600</v>
      </c>
      <c r="T20" s="7">
        <f t="shared" si="16"/>
        <v>12.90322581</v>
      </c>
      <c r="U20" s="7">
        <f t="shared" si="17"/>
        <v>700</v>
      </c>
      <c r="V20" s="7">
        <f t="shared" si="18"/>
        <v>15.05376344</v>
      </c>
      <c r="W20" s="7">
        <f t="shared" si="19"/>
        <v>800</v>
      </c>
      <c r="X20" s="7">
        <f t="shared" si="20"/>
        <v>17.20430108</v>
      </c>
      <c r="Y20" s="7">
        <f t="shared" si="21"/>
        <v>900</v>
      </c>
      <c r="Z20" s="7">
        <f t="shared" si="22"/>
        <v>19.35483871</v>
      </c>
    </row>
    <row r="21">
      <c r="A21" s="30" t="str">
        <f>IFERROR(__xludf.DUMMYFUNCTION("""COMPUTED_VALUE"""),"2013 06")</f>
        <v>2013 06</v>
      </c>
      <c r="B21" s="30" t="str">
        <f>IFERROR(__xludf.DUMMYFUNCTION("""COMPUTED_VALUE"""),"48.64")</f>
        <v>48.64</v>
      </c>
      <c r="C21" s="13">
        <v>41426.0</v>
      </c>
      <c r="D21" s="12">
        <f>'Income per month'!B21</f>
        <v>1000</v>
      </c>
      <c r="E21" s="7">
        <f t="shared" si="1"/>
        <v>50</v>
      </c>
      <c r="F21" s="7">
        <f t="shared" si="2"/>
        <v>1.027960526</v>
      </c>
      <c r="G21" s="7">
        <f t="shared" si="3"/>
        <v>100</v>
      </c>
      <c r="H21" s="7">
        <f t="shared" si="4"/>
        <v>2.055921053</v>
      </c>
      <c r="I21" s="7">
        <f t="shared" si="5"/>
        <v>150</v>
      </c>
      <c r="J21" s="7">
        <f t="shared" si="6"/>
        <v>3.083881579</v>
      </c>
      <c r="K21" s="7">
        <f t="shared" si="7"/>
        <v>200</v>
      </c>
      <c r="L21" s="7">
        <f t="shared" si="8"/>
        <v>4.111842105</v>
      </c>
      <c r="M21" s="7">
        <f t="shared" si="9"/>
        <v>300</v>
      </c>
      <c r="N21" s="7">
        <f t="shared" si="10"/>
        <v>6.167763158</v>
      </c>
      <c r="O21" s="7">
        <f t="shared" si="11"/>
        <v>400</v>
      </c>
      <c r="P21" s="7">
        <f t="shared" si="12"/>
        <v>8.223684211</v>
      </c>
      <c r="Q21" s="7">
        <f t="shared" si="13"/>
        <v>500</v>
      </c>
      <c r="R21" s="7">
        <f t="shared" si="14"/>
        <v>10.27960526</v>
      </c>
      <c r="S21" s="7">
        <f t="shared" si="15"/>
        <v>600</v>
      </c>
      <c r="T21" s="7">
        <f t="shared" si="16"/>
        <v>12.33552632</v>
      </c>
      <c r="U21" s="7">
        <f t="shared" si="17"/>
        <v>700</v>
      </c>
      <c r="V21" s="7">
        <f t="shared" si="18"/>
        <v>14.39144737</v>
      </c>
      <c r="W21" s="7">
        <f t="shared" si="19"/>
        <v>800</v>
      </c>
      <c r="X21" s="7">
        <f t="shared" si="20"/>
        <v>16.44736842</v>
      </c>
      <c r="Y21" s="7">
        <f t="shared" si="21"/>
        <v>900</v>
      </c>
      <c r="Z21" s="7">
        <f t="shared" si="22"/>
        <v>18.50328947</v>
      </c>
    </row>
    <row r="22">
      <c r="A22" s="30" t="str">
        <f>IFERROR(__xludf.DUMMYFUNCTION("""COMPUTED_VALUE"""),"2013 07")</f>
        <v>2013 07</v>
      </c>
      <c r="B22" s="30" t="str">
        <f>IFERROR(__xludf.DUMMYFUNCTION("""COMPUTED_VALUE"""),"48.54")</f>
        <v>48.54</v>
      </c>
      <c r="C22" s="13">
        <v>41456.0</v>
      </c>
      <c r="D22" s="12">
        <f>'Income per month'!B22</f>
        <v>1000</v>
      </c>
      <c r="E22" s="7">
        <f t="shared" si="1"/>
        <v>50</v>
      </c>
      <c r="F22" s="7">
        <f t="shared" si="2"/>
        <v>1.030078286</v>
      </c>
      <c r="G22" s="7">
        <f t="shared" si="3"/>
        <v>100</v>
      </c>
      <c r="H22" s="7">
        <f t="shared" si="4"/>
        <v>2.060156572</v>
      </c>
      <c r="I22" s="7">
        <f t="shared" si="5"/>
        <v>150</v>
      </c>
      <c r="J22" s="7">
        <f t="shared" si="6"/>
        <v>3.090234858</v>
      </c>
      <c r="K22" s="7">
        <f t="shared" si="7"/>
        <v>200</v>
      </c>
      <c r="L22" s="7">
        <f t="shared" si="8"/>
        <v>4.120313144</v>
      </c>
      <c r="M22" s="7">
        <f t="shared" si="9"/>
        <v>300</v>
      </c>
      <c r="N22" s="7">
        <f t="shared" si="10"/>
        <v>6.180469716</v>
      </c>
      <c r="O22" s="7">
        <f t="shared" si="11"/>
        <v>400</v>
      </c>
      <c r="P22" s="7">
        <f t="shared" si="12"/>
        <v>8.240626288</v>
      </c>
      <c r="Q22" s="7">
        <f t="shared" si="13"/>
        <v>500</v>
      </c>
      <c r="R22" s="7">
        <f t="shared" si="14"/>
        <v>10.30078286</v>
      </c>
      <c r="S22" s="7">
        <f t="shared" si="15"/>
        <v>600</v>
      </c>
      <c r="T22" s="7">
        <f t="shared" si="16"/>
        <v>12.36093943</v>
      </c>
      <c r="U22" s="7">
        <f t="shared" si="17"/>
        <v>700</v>
      </c>
      <c r="V22" s="7">
        <f t="shared" si="18"/>
        <v>14.421096</v>
      </c>
      <c r="W22" s="7">
        <f t="shared" si="19"/>
        <v>800</v>
      </c>
      <c r="X22" s="7">
        <f t="shared" si="20"/>
        <v>16.48125258</v>
      </c>
      <c r="Y22" s="7">
        <f t="shared" si="21"/>
        <v>900</v>
      </c>
      <c r="Z22" s="7">
        <f t="shared" si="22"/>
        <v>18.54140915</v>
      </c>
    </row>
    <row r="23">
      <c r="A23" s="30" t="str">
        <f>IFERROR(__xludf.DUMMYFUNCTION("""COMPUTED_VALUE"""),"2013 08")</f>
        <v>2013 08</v>
      </c>
      <c r="B23" s="30" t="str">
        <f>IFERROR(__xludf.DUMMYFUNCTION("""COMPUTED_VALUE"""),"52.1")</f>
        <v>52.1</v>
      </c>
      <c r="C23" s="13">
        <v>41487.0</v>
      </c>
      <c r="D23" s="12">
        <f>'Income per month'!B23</f>
        <v>1000</v>
      </c>
      <c r="E23" s="7">
        <f t="shared" si="1"/>
        <v>50</v>
      </c>
      <c r="F23" s="7">
        <f t="shared" si="2"/>
        <v>0.9596928983</v>
      </c>
      <c r="G23" s="7">
        <f t="shared" si="3"/>
        <v>100</v>
      </c>
      <c r="H23" s="7">
        <f t="shared" si="4"/>
        <v>1.919385797</v>
      </c>
      <c r="I23" s="7">
        <f t="shared" si="5"/>
        <v>150</v>
      </c>
      <c r="J23" s="7">
        <f t="shared" si="6"/>
        <v>2.879078695</v>
      </c>
      <c r="K23" s="7">
        <f t="shared" si="7"/>
        <v>200</v>
      </c>
      <c r="L23" s="7">
        <f t="shared" si="8"/>
        <v>3.838771593</v>
      </c>
      <c r="M23" s="7">
        <f t="shared" si="9"/>
        <v>300</v>
      </c>
      <c r="N23" s="7">
        <f t="shared" si="10"/>
        <v>5.75815739</v>
      </c>
      <c r="O23" s="7">
        <f t="shared" si="11"/>
        <v>400</v>
      </c>
      <c r="P23" s="7">
        <f t="shared" si="12"/>
        <v>7.677543186</v>
      </c>
      <c r="Q23" s="7">
        <f t="shared" si="13"/>
        <v>500</v>
      </c>
      <c r="R23" s="7">
        <f t="shared" si="14"/>
        <v>9.596928983</v>
      </c>
      <c r="S23" s="7">
        <f t="shared" si="15"/>
        <v>600</v>
      </c>
      <c r="T23" s="7">
        <f t="shared" si="16"/>
        <v>11.51631478</v>
      </c>
      <c r="U23" s="7">
        <f t="shared" si="17"/>
        <v>700</v>
      </c>
      <c r="V23" s="7">
        <f t="shared" si="18"/>
        <v>13.43570058</v>
      </c>
      <c r="W23" s="7">
        <f t="shared" si="19"/>
        <v>800</v>
      </c>
      <c r="X23" s="7">
        <f t="shared" si="20"/>
        <v>15.35508637</v>
      </c>
      <c r="Y23" s="7">
        <f t="shared" si="21"/>
        <v>900</v>
      </c>
      <c r="Z23" s="7">
        <f t="shared" si="22"/>
        <v>17.27447217</v>
      </c>
    </row>
    <row r="24">
      <c r="A24" s="30" t="str">
        <f>IFERROR(__xludf.DUMMYFUNCTION("""COMPUTED_VALUE"""),"2013 09")</f>
        <v>2013 09</v>
      </c>
      <c r="B24" s="30" t="str">
        <f>IFERROR(__xludf.DUMMYFUNCTION("""COMPUTED_VALUE"""),"51.32")</f>
        <v>51.32</v>
      </c>
      <c r="C24" s="13">
        <v>41518.0</v>
      </c>
      <c r="D24" s="12">
        <f>'Income per month'!B24</f>
        <v>1000</v>
      </c>
      <c r="E24" s="7">
        <f t="shared" si="1"/>
        <v>50</v>
      </c>
      <c r="F24" s="7">
        <f t="shared" si="2"/>
        <v>0.9742790335</v>
      </c>
      <c r="G24" s="7">
        <f t="shared" si="3"/>
        <v>100</v>
      </c>
      <c r="H24" s="7">
        <f t="shared" si="4"/>
        <v>1.948558067</v>
      </c>
      <c r="I24" s="7">
        <f t="shared" si="5"/>
        <v>150</v>
      </c>
      <c r="J24" s="7">
        <f t="shared" si="6"/>
        <v>2.922837101</v>
      </c>
      <c r="K24" s="7">
        <f t="shared" si="7"/>
        <v>200</v>
      </c>
      <c r="L24" s="7">
        <f t="shared" si="8"/>
        <v>3.897116134</v>
      </c>
      <c r="M24" s="7">
        <f t="shared" si="9"/>
        <v>300</v>
      </c>
      <c r="N24" s="7">
        <f t="shared" si="10"/>
        <v>5.845674201</v>
      </c>
      <c r="O24" s="7">
        <f t="shared" si="11"/>
        <v>400</v>
      </c>
      <c r="P24" s="7">
        <f t="shared" si="12"/>
        <v>7.794232268</v>
      </c>
      <c r="Q24" s="7">
        <f t="shared" si="13"/>
        <v>500</v>
      </c>
      <c r="R24" s="7">
        <f t="shared" si="14"/>
        <v>9.742790335</v>
      </c>
      <c r="S24" s="7">
        <f t="shared" si="15"/>
        <v>600</v>
      </c>
      <c r="T24" s="7">
        <f t="shared" si="16"/>
        <v>11.6913484</v>
      </c>
      <c r="U24" s="7">
        <f t="shared" si="17"/>
        <v>700</v>
      </c>
      <c r="V24" s="7">
        <f t="shared" si="18"/>
        <v>13.63990647</v>
      </c>
      <c r="W24" s="7">
        <f t="shared" si="19"/>
        <v>800</v>
      </c>
      <c r="X24" s="7">
        <f t="shared" si="20"/>
        <v>15.58846454</v>
      </c>
      <c r="Y24" s="7">
        <f t="shared" si="21"/>
        <v>900</v>
      </c>
      <c r="Z24" s="7">
        <f t="shared" si="22"/>
        <v>17.5370226</v>
      </c>
    </row>
    <row r="25">
      <c r="A25" s="30" t="str">
        <f>IFERROR(__xludf.DUMMYFUNCTION("""COMPUTED_VALUE"""),"2013 10")</f>
        <v>2013 10</v>
      </c>
      <c r="B25" s="30" t="str">
        <f>IFERROR(__xludf.DUMMYFUNCTION("""COMPUTED_VALUE"""),"52")</f>
        <v>52</v>
      </c>
      <c r="C25" s="13">
        <v>41548.0</v>
      </c>
      <c r="D25" s="12">
        <f>'Income per month'!B25</f>
        <v>1000</v>
      </c>
      <c r="E25" s="7">
        <f t="shared" si="1"/>
        <v>50</v>
      </c>
      <c r="F25" s="7">
        <f t="shared" si="2"/>
        <v>0.9615384615</v>
      </c>
      <c r="G25" s="7">
        <f t="shared" si="3"/>
        <v>100</v>
      </c>
      <c r="H25" s="7">
        <f t="shared" si="4"/>
        <v>1.923076923</v>
      </c>
      <c r="I25" s="7">
        <f t="shared" si="5"/>
        <v>150</v>
      </c>
      <c r="J25" s="7">
        <f t="shared" si="6"/>
        <v>2.884615385</v>
      </c>
      <c r="K25" s="7">
        <f t="shared" si="7"/>
        <v>200</v>
      </c>
      <c r="L25" s="7">
        <f t="shared" si="8"/>
        <v>3.846153846</v>
      </c>
      <c r="M25" s="7">
        <f t="shared" si="9"/>
        <v>300</v>
      </c>
      <c r="N25" s="7">
        <f t="shared" si="10"/>
        <v>5.769230769</v>
      </c>
      <c r="O25" s="7">
        <f t="shared" si="11"/>
        <v>400</v>
      </c>
      <c r="P25" s="7">
        <f t="shared" si="12"/>
        <v>7.692307692</v>
      </c>
      <c r="Q25" s="7">
        <f t="shared" si="13"/>
        <v>500</v>
      </c>
      <c r="R25" s="7">
        <f t="shared" si="14"/>
        <v>9.615384615</v>
      </c>
      <c r="S25" s="7">
        <f t="shared" si="15"/>
        <v>600</v>
      </c>
      <c r="T25" s="7">
        <f t="shared" si="16"/>
        <v>11.53846154</v>
      </c>
      <c r="U25" s="7">
        <f t="shared" si="17"/>
        <v>700</v>
      </c>
      <c r="V25" s="7">
        <f t="shared" si="18"/>
        <v>13.46153846</v>
      </c>
      <c r="W25" s="7">
        <f t="shared" si="19"/>
        <v>800</v>
      </c>
      <c r="X25" s="7">
        <f t="shared" si="20"/>
        <v>15.38461538</v>
      </c>
      <c r="Y25" s="7">
        <f t="shared" si="21"/>
        <v>900</v>
      </c>
      <c r="Z25" s="7">
        <f t="shared" si="22"/>
        <v>17.30769231</v>
      </c>
    </row>
    <row r="26">
      <c r="A26" s="30" t="str">
        <f>IFERROR(__xludf.DUMMYFUNCTION("""COMPUTED_VALUE"""),"2013 11")</f>
        <v>2013 11</v>
      </c>
      <c r="B26" s="30" t="str">
        <f>IFERROR(__xludf.DUMMYFUNCTION("""COMPUTED_VALUE"""),"52.95")</f>
        <v>52.95</v>
      </c>
      <c r="C26" s="13">
        <v>41579.0</v>
      </c>
      <c r="D26" s="12">
        <f>'Income per month'!B26</f>
        <v>1000</v>
      </c>
      <c r="E26" s="7">
        <f t="shared" si="1"/>
        <v>50</v>
      </c>
      <c r="F26" s="7">
        <f t="shared" si="2"/>
        <v>0.9442870633</v>
      </c>
      <c r="G26" s="7">
        <f t="shared" si="3"/>
        <v>100</v>
      </c>
      <c r="H26" s="7">
        <f t="shared" si="4"/>
        <v>1.888574127</v>
      </c>
      <c r="I26" s="7">
        <f t="shared" si="5"/>
        <v>150</v>
      </c>
      <c r="J26" s="7">
        <f t="shared" si="6"/>
        <v>2.83286119</v>
      </c>
      <c r="K26" s="7">
        <f t="shared" si="7"/>
        <v>200</v>
      </c>
      <c r="L26" s="7">
        <f t="shared" si="8"/>
        <v>3.777148253</v>
      </c>
      <c r="M26" s="7">
        <f t="shared" si="9"/>
        <v>300</v>
      </c>
      <c r="N26" s="7">
        <f t="shared" si="10"/>
        <v>5.66572238</v>
      </c>
      <c r="O26" s="7">
        <f t="shared" si="11"/>
        <v>400</v>
      </c>
      <c r="P26" s="7">
        <f t="shared" si="12"/>
        <v>7.554296506</v>
      </c>
      <c r="Q26" s="7">
        <f t="shared" si="13"/>
        <v>500</v>
      </c>
      <c r="R26" s="7">
        <f t="shared" si="14"/>
        <v>9.442870633</v>
      </c>
      <c r="S26" s="7">
        <f t="shared" si="15"/>
        <v>600</v>
      </c>
      <c r="T26" s="7">
        <f t="shared" si="16"/>
        <v>11.33144476</v>
      </c>
      <c r="U26" s="7">
        <f t="shared" si="17"/>
        <v>700</v>
      </c>
      <c r="V26" s="7">
        <f t="shared" si="18"/>
        <v>13.22001889</v>
      </c>
      <c r="W26" s="7">
        <f t="shared" si="19"/>
        <v>800</v>
      </c>
      <c r="X26" s="7">
        <f t="shared" si="20"/>
        <v>15.10859301</v>
      </c>
      <c r="Y26" s="7">
        <f t="shared" si="21"/>
        <v>900</v>
      </c>
      <c r="Z26" s="7">
        <f t="shared" si="22"/>
        <v>16.99716714</v>
      </c>
    </row>
    <row r="27">
      <c r="A27" s="30" t="str">
        <f>IFERROR(__xludf.DUMMYFUNCTION("""COMPUTED_VALUE"""),"2013 12")</f>
        <v>2013 12</v>
      </c>
      <c r="B27" s="30" t="str">
        <f>IFERROR(__xludf.DUMMYFUNCTION("""COMPUTED_VALUE"""),"55.1")</f>
        <v>55.1</v>
      </c>
      <c r="C27" s="14">
        <v>41609.0</v>
      </c>
      <c r="D27" s="12">
        <f>'Income per month'!B27</f>
        <v>1000</v>
      </c>
      <c r="E27" s="7">
        <f t="shared" si="1"/>
        <v>50</v>
      </c>
      <c r="F27" s="7">
        <f t="shared" si="2"/>
        <v>0.9074410163</v>
      </c>
      <c r="G27" s="7">
        <f t="shared" si="3"/>
        <v>100</v>
      </c>
      <c r="H27" s="7">
        <f t="shared" si="4"/>
        <v>1.814882033</v>
      </c>
      <c r="I27" s="7">
        <f t="shared" si="5"/>
        <v>150</v>
      </c>
      <c r="J27" s="7">
        <f t="shared" si="6"/>
        <v>2.722323049</v>
      </c>
      <c r="K27" s="7">
        <f t="shared" si="7"/>
        <v>200</v>
      </c>
      <c r="L27" s="7">
        <f t="shared" si="8"/>
        <v>3.629764065</v>
      </c>
      <c r="M27" s="7">
        <f t="shared" si="9"/>
        <v>300</v>
      </c>
      <c r="N27" s="7">
        <f t="shared" si="10"/>
        <v>5.444646098</v>
      </c>
      <c r="O27" s="7">
        <f t="shared" si="11"/>
        <v>400</v>
      </c>
      <c r="P27" s="7">
        <f t="shared" si="12"/>
        <v>7.259528131</v>
      </c>
      <c r="Q27" s="7">
        <f t="shared" si="13"/>
        <v>500</v>
      </c>
      <c r="R27" s="7">
        <f t="shared" si="14"/>
        <v>9.074410163</v>
      </c>
      <c r="S27" s="7">
        <f t="shared" si="15"/>
        <v>600</v>
      </c>
      <c r="T27" s="7">
        <f t="shared" si="16"/>
        <v>10.8892922</v>
      </c>
      <c r="U27" s="7">
        <f t="shared" si="17"/>
        <v>700</v>
      </c>
      <c r="V27" s="7">
        <f t="shared" si="18"/>
        <v>12.70417423</v>
      </c>
      <c r="W27" s="7">
        <f t="shared" si="19"/>
        <v>800</v>
      </c>
      <c r="X27" s="7">
        <f t="shared" si="20"/>
        <v>14.51905626</v>
      </c>
      <c r="Y27" s="7">
        <f t="shared" si="21"/>
        <v>900</v>
      </c>
      <c r="Z27" s="7">
        <f t="shared" si="22"/>
        <v>16.33393829</v>
      </c>
    </row>
    <row r="28">
      <c r="A28" s="30" t="str">
        <f>IFERROR(__xludf.DUMMYFUNCTION("""COMPUTED_VALUE"""),"2014 01")</f>
        <v>2014 01</v>
      </c>
      <c r="B28" s="30" t="str">
        <f>IFERROR(__xludf.DUMMYFUNCTION("""COMPUTED_VALUE"""),"56.73")</f>
        <v>56.73</v>
      </c>
      <c r="C28" s="13">
        <v>41640.0</v>
      </c>
      <c r="D28" s="12">
        <f>'Income per month'!B28</f>
        <v>1000</v>
      </c>
      <c r="E28" s="7">
        <f t="shared" si="1"/>
        <v>50</v>
      </c>
      <c r="F28" s="7">
        <f t="shared" si="2"/>
        <v>0.881367883</v>
      </c>
      <c r="G28" s="7">
        <f t="shared" si="3"/>
        <v>100</v>
      </c>
      <c r="H28" s="7">
        <f t="shared" si="4"/>
        <v>1.762735766</v>
      </c>
      <c r="I28" s="7">
        <f t="shared" si="5"/>
        <v>150</v>
      </c>
      <c r="J28" s="7">
        <f t="shared" si="6"/>
        <v>2.644103649</v>
      </c>
      <c r="K28" s="7">
        <f t="shared" si="7"/>
        <v>200</v>
      </c>
      <c r="L28" s="7">
        <f t="shared" si="8"/>
        <v>3.525471532</v>
      </c>
      <c r="M28" s="7">
        <f t="shared" si="9"/>
        <v>300</v>
      </c>
      <c r="N28" s="7">
        <f t="shared" si="10"/>
        <v>5.288207298</v>
      </c>
      <c r="O28" s="7">
        <f t="shared" si="11"/>
        <v>400</v>
      </c>
      <c r="P28" s="7">
        <f t="shared" si="12"/>
        <v>7.050943064</v>
      </c>
      <c r="Q28" s="7">
        <f t="shared" si="13"/>
        <v>500</v>
      </c>
      <c r="R28" s="7">
        <f t="shared" si="14"/>
        <v>8.81367883</v>
      </c>
      <c r="S28" s="7">
        <f t="shared" si="15"/>
        <v>600</v>
      </c>
      <c r="T28" s="7">
        <f t="shared" si="16"/>
        <v>10.5764146</v>
      </c>
      <c r="U28" s="7">
        <f t="shared" si="17"/>
        <v>700</v>
      </c>
      <c r="V28" s="7">
        <f t="shared" si="18"/>
        <v>12.33915036</v>
      </c>
      <c r="W28" s="7">
        <f t="shared" si="19"/>
        <v>800</v>
      </c>
      <c r="X28" s="7">
        <f t="shared" si="20"/>
        <v>14.10188613</v>
      </c>
      <c r="Y28" s="7">
        <f t="shared" si="21"/>
        <v>900</v>
      </c>
      <c r="Z28" s="7">
        <f t="shared" si="22"/>
        <v>15.86462189</v>
      </c>
    </row>
    <row r="29">
      <c r="A29" s="30" t="str">
        <f>IFERROR(__xludf.DUMMYFUNCTION("""COMPUTED_VALUE"""),"2014 02")</f>
        <v>2014 02</v>
      </c>
      <c r="B29" s="30" t="str">
        <f>IFERROR(__xludf.DUMMYFUNCTION("""COMPUTED_VALUE"""),"53.9")</f>
        <v>53.9</v>
      </c>
      <c r="C29" s="13">
        <v>41671.0</v>
      </c>
      <c r="D29" s="12">
        <f>'Income per month'!B29</f>
        <v>1000</v>
      </c>
      <c r="E29" s="7">
        <f t="shared" si="1"/>
        <v>50</v>
      </c>
      <c r="F29" s="7">
        <f t="shared" si="2"/>
        <v>0.9276437848</v>
      </c>
      <c r="G29" s="7">
        <f t="shared" si="3"/>
        <v>100</v>
      </c>
      <c r="H29" s="7">
        <f t="shared" si="4"/>
        <v>1.85528757</v>
      </c>
      <c r="I29" s="7">
        <f t="shared" si="5"/>
        <v>150</v>
      </c>
      <c r="J29" s="7">
        <f t="shared" si="6"/>
        <v>2.782931354</v>
      </c>
      <c r="K29" s="7">
        <f t="shared" si="7"/>
        <v>200</v>
      </c>
      <c r="L29" s="7">
        <f t="shared" si="8"/>
        <v>3.710575139</v>
      </c>
      <c r="M29" s="7">
        <f t="shared" si="9"/>
        <v>300</v>
      </c>
      <c r="N29" s="7">
        <f t="shared" si="10"/>
        <v>5.565862709</v>
      </c>
      <c r="O29" s="7">
        <f t="shared" si="11"/>
        <v>400</v>
      </c>
      <c r="P29" s="7">
        <f t="shared" si="12"/>
        <v>7.421150278</v>
      </c>
      <c r="Q29" s="7">
        <f t="shared" si="13"/>
        <v>500</v>
      </c>
      <c r="R29" s="7">
        <f t="shared" si="14"/>
        <v>9.276437848</v>
      </c>
      <c r="S29" s="7">
        <f t="shared" si="15"/>
        <v>600</v>
      </c>
      <c r="T29" s="7">
        <f t="shared" si="16"/>
        <v>11.13172542</v>
      </c>
      <c r="U29" s="7">
        <f t="shared" si="17"/>
        <v>700</v>
      </c>
      <c r="V29" s="7">
        <f t="shared" si="18"/>
        <v>12.98701299</v>
      </c>
      <c r="W29" s="7">
        <f t="shared" si="19"/>
        <v>800</v>
      </c>
      <c r="X29" s="7">
        <f t="shared" si="20"/>
        <v>14.84230056</v>
      </c>
      <c r="Y29" s="7">
        <f t="shared" si="21"/>
        <v>900</v>
      </c>
      <c r="Z29" s="7">
        <f t="shared" si="22"/>
        <v>16.69758813</v>
      </c>
    </row>
    <row r="30">
      <c r="A30" s="30" t="str">
        <f>IFERROR(__xludf.DUMMYFUNCTION("""COMPUTED_VALUE"""),"2014 03")</f>
        <v>2014 03</v>
      </c>
      <c r="B30" s="30" t="str">
        <f>IFERROR(__xludf.DUMMYFUNCTION("""COMPUTED_VALUE"""),"55.5")</f>
        <v>55.5</v>
      </c>
      <c r="C30" s="13">
        <v>41699.0</v>
      </c>
      <c r="D30" s="12">
        <f>'Income per month'!B30</f>
        <v>1000</v>
      </c>
      <c r="E30" s="7">
        <f t="shared" si="1"/>
        <v>50</v>
      </c>
      <c r="F30" s="7">
        <f t="shared" si="2"/>
        <v>0.9009009009</v>
      </c>
      <c r="G30" s="7">
        <f t="shared" si="3"/>
        <v>100</v>
      </c>
      <c r="H30" s="7">
        <f t="shared" si="4"/>
        <v>1.801801802</v>
      </c>
      <c r="I30" s="7">
        <f t="shared" si="5"/>
        <v>150</v>
      </c>
      <c r="J30" s="7">
        <f t="shared" si="6"/>
        <v>2.702702703</v>
      </c>
      <c r="K30" s="7">
        <f t="shared" si="7"/>
        <v>200</v>
      </c>
      <c r="L30" s="7">
        <f t="shared" si="8"/>
        <v>3.603603604</v>
      </c>
      <c r="M30" s="7">
        <f t="shared" si="9"/>
        <v>300</v>
      </c>
      <c r="N30" s="7">
        <f t="shared" si="10"/>
        <v>5.405405405</v>
      </c>
      <c r="O30" s="7">
        <f t="shared" si="11"/>
        <v>400</v>
      </c>
      <c r="P30" s="7">
        <f t="shared" si="12"/>
        <v>7.207207207</v>
      </c>
      <c r="Q30" s="7">
        <f t="shared" si="13"/>
        <v>500</v>
      </c>
      <c r="R30" s="7">
        <f t="shared" si="14"/>
        <v>9.009009009</v>
      </c>
      <c r="S30" s="7">
        <f t="shared" si="15"/>
        <v>600</v>
      </c>
      <c r="T30" s="7">
        <f t="shared" si="16"/>
        <v>10.81081081</v>
      </c>
      <c r="U30" s="7">
        <f t="shared" si="17"/>
        <v>700</v>
      </c>
      <c r="V30" s="7">
        <f t="shared" si="18"/>
        <v>12.61261261</v>
      </c>
      <c r="W30" s="7">
        <f t="shared" si="19"/>
        <v>800</v>
      </c>
      <c r="X30" s="7">
        <f t="shared" si="20"/>
        <v>14.41441441</v>
      </c>
      <c r="Y30" s="7">
        <f t="shared" si="21"/>
        <v>900</v>
      </c>
      <c r="Z30" s="7">
        <f t="shared" si="22"/>
        <v>16.21621622</v>
      </c>
    </row>
    <row r="31">
      <c r="A31" s="30" t="str">
        <f>IFERROR(__xludf.DUMMYFUNCTION("""COMPUTED_VALUE"""),"2014 04")</f>
        <v>2014 04</v>
      </c>
      <c r="B31" s="30" t="str">
        <f>IFERROR(__xludf.DUMMYFUNCTION("""COMPUTED_VALUE"""),"55.11")</f>
        <v>55.11</v>
      </c>
      <c r="C31" s="13">
        <v>41730.0</v>
      </c>
      <c r="D31" s="12">
        <f>'Income per month'!B31</f>
        <v>1000</v>
      </c>
      <c r="E31" s="7">
        <f t="shared" si="1"/>
        <v>50</v>
      </c>
      <c r="F31" s="7">
        <f t="shared" si="2"/>
        <v>0.9072763564</v>
      </c>
      <c r="G31" s="7">
        <f t="shared" si="3"/>
        <v>100</v>
      </c>
      <c r="H31" s="7">
        <f t="shared" si="4"/>
        <v>1.814552713</v>
      </c>
      <c r="I31" s="7">
        <f t="shared" si="5"/>
        <v>150</v>
      </c>
      <c r="J31" s="7">
        <f t="shared" si="6"/>
        <v>2.721829069</v>
      </c>
      <c r="K31" s="7">
        <f t="shared" si="7"/>
        <v>200</v>
      </c>
      <c r="L31" s="7">
        <f t="shared" si="8"/>
        <v>3.629105426</v>
      </c>
      <c r="M31" s="7">
        <f t="shared" si="9"/>
        <v>300</v>
      </c>
      <c r="N31" s="7">
        <f t="shared" si="10"/>
        <v>5.443658138</v>
      </c>
      <c r="O31" s="7">
        <f t="shared" si="11"/>
        <v>400</v>
      </c>
      <c r="P31" s="7">
        <f t="shared" si="12"/>
        <v>7.258210851</v>
      </c>
      <c r="Q31" s="7">
        <f t="shared" si="13"/>
        <v>500</v>
      </c>
      <c r="R31" s="7">
        <f t="shared" si="14"/>
        <v>9.072763564</v>
      </c>
      <c r="S31" s="7">
        <f t="shared" si="15"/>
        <v>600</v>
      </c>
      <c r="T31" s="7">
        <f t="shared" si="16"/>
        <v>10.88731628</v>
      </c>
      <c r="U31" s="7">
        <f t="shared" si="17"/>
        <v>700</v>
      </c>
      <c r="V31" s="7">
        <f t="shared" si="18"/>
        <v>12.70186899</v>
      </c>
      <c r="W31" s="7">
        <f t="shared" si="19"/>
        <v>800</v>
      </c>
      <c r="X31" s="7">
        <f t="shared" si="20"/>
        <v>14.5164217</v>
      </c>
      <c r="Y31" s="7">
        <f t="shared" si="21"/>
        <v>900</v>
      </c>
      <c r="Z31" s="7">
        <f t="shared" si="22"/>
        <v>16.33097441</v>
      </c>
    </row>
    <row r="32">
      <c r="A32" s="30" t="str">
        <f>IFERROR(__xludf.DUMMYFUNCTION("""COMPUTED_VALUE"""),"2014 05")</f>
        <v>2014 05</v>
      </c>
      <c r="B32" s="30" t="str">
        <f>IFERROR(__xludf.DUMMYFUNCTION("""COMPUTED_VALUE"""),"55.15")</f>
        <v>55.15</v>
      </c>
      <c r="C32" s="13">
        <v>41760.0</v>
      </c>
      <c r="D32" s="12">
        <f>'Income per month'!B32</f>
        <v>1000</v>
      </c>
      <c r="E32" s="7">
        <f t="shared" si="1"/>
        <v>50</v>
      </c>
      <c r="F32" s="7">
        <f t="shared" si="2"/>
        <v>0.9066183137</v>
      </c>
      <c r="G32" s="7">
        <f t="shared" si="3"/>
        <v>100</v>
      </c>
      <c r="H32" s="7">
        <f t="shared" si="4"/>
        <v>1.813236627</v>
      </c>
      <c r="I32" s="7">
        <f t="shared" si="5"/>
        <v>150</v>
      </c>
      <c r="J32" s="7">
        <f t="shared" si="6"/>
        <v>2.719854941</v>
      </c>
      <c r="K32" s="7">
        <f t="shared" si="7"/>
        <v>200</v>
      </c>
      <c r="L32" s="7">
        <f t="shared" si="8"/>
        <v>3.626473255</v>
      </c>
      <c r="M32" s="7">
        <f t="shared" si="9"/>
        <v>300</v>
      </c>
      <c r="N32" s="7">
        <f t="shared" si="10"/>
        <v>5.439709882</v>
      </c>
      <c r="O32" s="7">
        <f t="shared" si="11"/>
        <v>400</v>
      </c>
      <c r="P32" s="7">
        <f t="shared" si="12"/>
        <v>7.25294651</v>
      </c>
      <c r="Q32" s="7">
        <f t="shared" si="13"/>
        <v>500</v>
      </c>
      <c r="R32" s="7">
        <f t="shared" si="14"/>
        <v>9.066183137</v>
      </c>
      <c r="S32" s="7">
        <f t="shared" si="15"/>
        <v>600</v>
      </c>
      <c r="T32" s="7">
        <f t="shared" si="16"/>
        <v>10.87941976</v>
      </c>
      <c r="U32" s="7">
        <f t="shared" si="17"/>
        <v>700</v>
      </c>
      <c r="V32" s="7">
        <f t="shared" si="18"/>
        <v>12.69265639</v>
      </c>
      <c r="W32" s="7">
        <f t="shared" si="19"/>
        <v>800</v>
      </c>
      <c r="X32" s="7">
        <f t="shared" si="20"/>
        <v>14.50589302</v>
      </c>
      <c r="Y32" s="7">
        <f t="shared" si="21"/>
        <v>900</v>
      </c>
      <c r="Z32" s="7">
        <f t="shared" si="22"/>
        <v>16.31912965</v>
      </c>
    </row>
    <row r="33">
      <c r="A33" s="30" t="str">
        <f>IFERROR(__xludf.DUMMYFUNCTION("""COMPUTED_VALUE"""),"2014 06")</f>
        <v>2014 06</v>
      </c>
      <c r="B33" s="30" t="str">
        <f>IFERROR(__xludf.DUMMYFUNCTION("""COMPUTED_VALUE"""),"56.62")</f>
        <v>56.62</v>
      </c>
      <c r="C33" s="13">
        <v>41791.0</v>
      </c>
      <c r="D33" s="12">
        <f>'Income per month'!B33</f>
        <v>1000</v>
      </c>
      <c r="E33" s="7">
        <f t="shared" si="1"/>
        <v>50</v>
      </c>
      <c r="F33" s="7">
        <f t="shared" si="2"/>
        <v>0.8830801837</v>
      </c>
      <c r="G33" s="7">
        <f t="shared" si="3"/>
        <v>100</v>
      </c>
      <c r="H33" s="7">
        <f t="shared" si="4"/>
        <v>1.766160367</v>
      </c>
      <c r="I33" s="7">
        <f t="shared" si="5"/>
        <v>150</v>
      </c>
      <c r="J33" s="7">
        <f t="shared" si="6"/>
        <v>2.649240551</v>
      </c>
      <c r="K33" s="7">
        <f t="shared" si="7"/>
        <v>200</v>
      </c>
      <c r="L33" s="7">
        <f t="shared" si="8"/>
        <v>3.532320735</v>
      </c>
      <c r="M33" s="7">
        <f t="shared" si="9"/>
        <v>300</v>
      </c>
      <c r="N33" s="7">
        <f t="shared" si="10"/>
        <v>5.298481102</v>
      </c>
      <c r="O33" s="7">
        <f t="shared" si="11"/>
        <v>400</v>
      </c>
      <c r="P33" s="7">
        <f t="shared" si="12"/>
        <v>7.064641469</v>
      </c>
      <c r="Q33" s="7">
        <f t="shared" si="13"/>
        <v>500</v>
      </c>
      <c r="R33" s="7">
        <f t="shared" si="14"/>
        <v>8.830801837</v>
      </c>
      <c r="S33" s="7">
        <f t="shared" si="15"/>
        <v>600</v>
      </c>
      <c r="T33" s="7">
        <f t="shared" si="16"/>
        <v>10.5969622</v>
      </c>
      <c r="U33" s="7">
        <f t="shared" si="17"/>
        <v>700</v>
      </c>
      <c r="V33" s="7">
        <f t="shared" si="18"/>
        <v>12.36312257</v>
      </c>
      <c r="W33" s="7">
        <f t="shared" si="19"/>
        <v>800</v>
      </c>
      <c r="X33" s="7">
        <f t="shared" si="20"/>
        <v>14.12928294</v>
      </c>
      <c r="Y33" s="7">
        <f t="shared" si="21"/>
        <v>900</v>
      </c>
      <c r="Z33" s="7">
        <f t="shared" si="22"/>
        <v>15.89544331</v>
      </c>
    </row>
    <row r="34">
      <c r="A34" s="30" t="str">
        <f>IFERROR(__xludf.DUMMYFUNCTION("""COMPUTED_VALUE"""),"2014 07")</f>
        <v>2014 07</v>
      </c>
      <c r="B34" s="30" t="str">
        <f>IFERROR(__xludf.DUMMYFUNCTION("""COMPUTED_VALUE"""),"55.47")</f>
        <v>55.47</v>
      </c>
      <c r="C34" s="13">
        <v>41821.0</v>
      </c>
      <c r="D34" s="12">
        <f>'Income per month'!B34</f>
        <v>1000</v>
      </c>
      <c r="E34" s="7">
        <f t="shared" si="1"/>
        <v>50</v>
      </c>
      <c r="F34" s="7">
        <f t="shared" si="2"/>
        <v>0.9013881377</v>
      </c>
      <c r="G34" s="7">
        <f t="shared" si="3"/>
        <v>100</v>
      </c>
      <c r="H34" s="7">
        <f t="shared" si="4"/>
        <v>1.802776275</v>
      </c>
      <c r="I34" s="7">
        <f t="shared" si="5"/>
        <v>150</v>
      </c>
      <c r="J34" s="7">
        <f t="shared" si="6"/>
        <v>2.704164413</v>
      </c>
      <c r="K34" s="7">
        <f t="shared" si="7"/>
        <v>200</v>
      </c>
      <c r="L34" s="7">
        <f t="shared" si="8"/>
        <v>3.605552551</v>
      </c>
      <c r="M34" s="7">
        <f t="shared" si="9"/>
        <v>300</v>
      </c>
      <c r="N34" s="7">
        <f t="shared" si="10"/>
        <v>5.408328826</v>
      </c>
      <c r="O34" s="7">
        <f t="shared" si="11"/>
        <v>400</v>
      </c>
      <c r="P34" s="7">
        <f t="shared" si="12"/>
        <v>7.211105102</v>
      </c>
      <c r="Q34" s="7">
        <f t="shared" si="13"/>
        <v>500</v>
      </c>
      <c r="R34" s="7">
        <f t="shared" si="14"/>
        <v>9.013881377</v>
      </c>
      <c r="S34" s="7">
        <f t="shared" si="15"/>
        <v>600</v>
      </c>
      <c r="T34" s="7">
        <f t="shared" si="16"/>
        <v>10.81665765</v>
      </c>
      <c r="U34" s="7">
        <f t="shared" si="17"/>
        <v>700</v>
      </c>
      <c r="V34" s="7">
        <f t="shared" si="18"/>
        <v>12.61943393</v>
      </c>
      <c r="W34" s="7">
        <f t="shared" si="19"/>
        <v>800</v>
      </c>
      <c r="X34" s="7">
        <f t="shared" si="20"/>
        <v>14.4222102</v>
      </c>
      <c r="Y34" s="7">
        <f t="shared" si="21"/>
        <v>900</v>
      </c>
      <c r="Z34" s="7">
        <f t="shared" si="22"/>
        <v>16.22498648</v>
      </c>
    </row>
    <row r="35">
      <c r="A35" s="30" t="str">
        <f>IFERROR(__xludf.DUMMYFUNCTION("""COMPUTED_VALUE"""),"2014 08")</f>
        <v>2014 08</v>
      </c>
      <c r="B35" s="30" t="str">
        <f>IFERROR(__xludf.DUMMYFUNCTION("""COMPUTED_VALUE"""),"55.6")</f>
        <v>55.6</v>
      </c>
      <c r="C35" s="13">
        <v>41852.0</v>
      </c>
      <c r="D35" s="12">
        <f>'Income per month'!B35</f>
        <v>1000</v>
      </c>
      <c r="E35" s="7">
        <f t="shared" si="1"/>
        <v>50</v>
      </c>
      <c r="F35" s="7">
        <f t="shared" si="2"/>
        <v>0.8992805755</v>
      </c>
      <c r="G35" s="7">
        <f t="shared" si="3"/>
        <v>100</v>
      </c>
      <c r="H35" s="7">
        <f t="shared" si="4"/>
        <v>1.798561151</v>
      </c>
      <c r="I35" s="7">
        <f t="shared" si="5"/>
        <v>150</v>
      </c>
      <c r="J35" s="7">
        <f t="shared" si="6"/>
        <v>2.697841727</v>
      </c>
      <c r="K35" s="7">
        <f t="shared" si="7"/>
        <v>200</v>
      </c>
      <c r="L35" s="7">
        <f t="shared" si="8"/>
        <v>3.597122302</v>
      </c>
      <c r="M35" s="7">
        <f t="shared" si="9"/>
        <v>300</v>
      </c>
      <c r="N35" s="7">
        <f t="shared" si="10"/>
        <v>5.395683453</v>
      </c>
      <c r="O35" s="7">
        <f t="shared" si="11"/>
        <v>400</v>
      </c>
      <c r="P35" s="7">
        <f t="shared" si="12"/>
        <v>7.194244604</v>
      </c>
      <c r="Q35" s="7">
        <f t="shared" si="13"/>
        <v>500</v>
      </c>
      <c r="R35" s="7">
        <f t="shared" si="14"/>
        <v>8.992805755</v>
      </c>
      <c r="S35" s="7">
        <f t="shared" si="15"/>
        <v>600</v>
      </c>
      <c r="T35" s="7">
        <f t="shared" si="16"/>
        <v>10.79136691</v>
      </c>
      <c r="U35" s="7">
        <f t="shared" si="17"/>
        <v>700</v>
      </c>
      <c r="V35" s="7">
        <f t="shared" si="18"/>
        <v>12.58992806</v>
      </c>
      <c r="W35" s="7">
        <f t="shared" si="19"/>
        <v>800</v>
      </c>
      <c r="X35" s="7">
        <f t="shared" si="20"/>
        <v>14.38848921</v>
      </c>
      <c r="Y35" s="7">
        <f t="shared" si="21"/>
        <v>900</v>
      </c>
      <c r="Z35" s="7">
        <f t="shared" si="22"/>
        <v>16.18705036</v>
      </c>
    </row>
    <row r="36">
      <c r="A36" s="30" t="str">
        <f>IFERROR(__xludf.DUMMYFUNCTION("""COMPUTED_VALUE"""),"2014 09")</f>
        <v>2014 09</v>
      </c>
      <c r="B36" s="30" t="str">
        <f>IFERROR(__xludf.DUMMYFUNCTION("""COMPUTED_VALUE"""),"55.92")</f>
        <v>55.92</v>
      </c>
      <c r="C36" s="13">
        <v>41883.0</v>
      </c>
      <c r="D36" s="12">
        <f>'Income per month'!B36</f>
        <v>1000</v>
      </c>
      <c r="E36" s="7">
        <f t="shared" si="1"/>
        <v>50</v>
      </c>
      <c r="F36" s="7">
        <f t="shared" si="2"/>
        <v>0.8941344778</v>
      </c>
      <c r="G36" s="7">
        <f t="shared" si="3"/>
        <v>100</v>
      </c>
      <c r="H36" s="7">
        <f t="shared" si="4"/>
        <v>1.788268956</v>
      </c>
      <c r="I36" s="7">
        <f t="shared" si="5"/>
        <v>150</v>
      </c>
      <c r="J36" s="7">
        <f t="shared" si="6"/>
        <v>2.682403433</v>
      </c>
      <c r="K36" s="7">
        <f t="shared" si="7"/>
        <v>200</v>
      </c>
      <c r="L36" s="7">
        <f t="shared" si="8"/>
        <v>3.576537911</v>
      </c>
      <c r="M36" s="7">
        <f t="shared" si="9"/>
        <v>300</v>
      </c>
      <c r="N36" s="7">
        <f t="shared" si="10"/>
        <v>5.364806867</v>
      </c>
      <c r="O36" s="7">
        <f t="shared" si="11"/>
        <v>400</v>
      </c>
      <c r="P36" s="7">
        <f t="shared" si="12"/>
        <v>7.153075823</v>
      </c>
      <c r="Q36" s="7">
        <f t="shared" si="13"/>
        <v>500</v>
      </c>
      <c r="R36" s="7">
        <f t="shared" si="14"/>
        <v>8.941344778</v>
      </c>
      <c r="S36" s="7">
        <f t="shared" si="15"/>
        <v>600</v>
      </c>
      <c r="T36" s="7">
        <f t="shared" si="16"/>
        <v>10.72961373</v>
      </c>
      <c r="U36" s="7">
        <f t="shared" si="17"/>
        <v>700</v>
      </c>
      <c r="V36" s="7">
        <f t="shared" si="18"/>
        <v>12.51788269</v>
      </c>
      <c r="W36" s="7">
        <f t="shared" si="19"/>
        <v>800</v>
      </c>
      <c r="X36" s="7">
        <f t="shared" si="20"/>
        <v>14.30615165</v>
      </c>
      <c r="Y36" s="7">
        <f t="shared" si="21"/>
        <v>900</v>
      </c>
      <c r="Z36" s="7">
        <f t="shared" si="22"/>
        <v>16.0944206</v>
      </c>
    </row>
    <row r="37">
      <c r="A37" s="30" t="str">
        <f>IFERROR(__xludf.DUMMYFUNCTION("""COMPUTED_VALUE"""),"2014 10")</f>
        <v>2014 10</v>
      </c>
      <c r="B37" s="30" t="str">
        <f>IFERROR(__xludf.DUMMYFUNCTION("""COMPUTED_VALUE"""),"56.19")</f>
        <v>56.19</v>
      </c>
      <c r="C37" s="13">
        <v>41913.0</v>
      </c>
      <c r="D37" s="12">
        <f>'Income per month'!B37</f>
        <v>1000</v>
      </c>
      <c r="E37" s="7">
        <f t="shared" si="1"/>
        <v>50</v>
      </c>
      <c r="F37" s="7">
        <f t="shared" si="2"/>
        <v>0.8898380495</v>
      </c>
      <c r="G37" s="7">
        <f t="shared" si="3"/>
        <v>100</v>
      </c>
      <c r="H37" s="7">
        <f t="shared" si="4"/>
        <v>1.779676099</v>
      </c>
      <c r="I37" s="7">
        <f t="shared" si="5"/>
        <v>150</v>
      </c>
      <c r="J37" s="7">
        <f t="shared" si="6"/>
        <v>2.669514148</v>
      </c>
      <c r="K37" s="7">
        <f t="shared" si="7"/>
        <v>200</v>
      </c>
      <c r="L37" s="7">
        <f t="shared" si="8"/>
        <v>3.559352198</v>
      </c>
      <c r="M37" s="7">
        <f t="shared" si="9"/>
        <v>300</v>
      </c>
      <c r="N37" s="7">
        <f t="shared" si="10"/>
        <v>5.339028297</v>
      </c>
      <c r="O37" s="7">
        <f t="shared" si="11"/>
        <v>400</v>
      </c>
      <c r="P37" s="7">
        <f t="shared" si="12"/>
        <v>7.118704396</v>
      </c>
      <c r="Q37" s="7">
        <f t="shared" si="13"/>
        <v>500</v>
      </c>
      <c r="R37" s="7">
        <f t="shared" si="14"/>
        <v>8.898380495</v>
      </c>
      <c r="S37" s="7">
        <f t="shared" si="15"/>
        <v>600</v>
      </c>
      <c r="T37" s="7">
        <f t="shared" si="16"/>
        <v>10.67805659</v>
      </c>
      <c r="U37" s="7">
        <f t="shared" si="17"/>
        <v>700</v>
      </c>
      <c r="V37" s="7">
        <f t="shared" si="18"/>
        <v>12.45773269</v>
      </c>
      <c r="W37" s="7">
        <f t="shared" si="19"/>
        <v>800</v>
      </c>
      <c r="X37" s="7">
        <f t="shared" si="20"/>
        <v>14.23740879</v>
      </c>
      <c r="Y37" s="7">
        <f t="shared" si="21"/>
        <v>900</v>
      </c>
      <c r="Z37" s="7">
        <f t="shared" si="22"/>
        <v>16.01708489</v>
      </c>
    </row>
    <row r="38">
      <c r="A38" s="30" t="str">
        <f>IFERROR(__xludf.DUMMYFUNCTION("""COMPUTED_VALUE"""),"2014 11")</f>
        <v>2014 11</v>
      </c>
      <c r="B38" s="30" t="str">
        <f>IFERROR(__xludf.DUMMYFUNCTION("""COMPUTED_VALUE"""),"56.36")</f>
        <v>56.36</v>
      </c>
      <c r="C38" s="13">
        <v>41944.0</v>
      </c>
      <c r="D38" s="12">
        <f>'Income per month'!B38</f>
        <v>1000</v>
      </c>
      <c r="E38" s="7">
        <f t="shared" si="1"/>
        <v>50</v>
      </c>
      <c r="F38" s="7">
        <f t="shared" si="2"/>
        <v>0.8871540099</v>
      </c>
      <c r="G38" s="7">
        <f t="shared" si="3"/>
        <v>100</v>
      </c>
      <c r="H38" s="7">
        <f t="shared" si="4"/>
        <v>1.77430802</v>
      </c>
      <c r="I38" s="7">
        <f t="shared" si="5"/>
        <v>150</v>
      </c>
      <c r="J38" s="7">
        <f t="shared" si="6"/>
        <v>2.66146203</v>
      </c>
      <c r="K38" s="7">
        <f t="shared" si="7"/>
        <v>200</v>
      </c>
      <c r="L38" s="7">
        <f t="shared" si="8"/>
        <v>3.54861604</v>
      </c>
      <c r="M38" s="7">
        <f t="shared" si="9"/>
        <v>300</v>
      </c>
      <c r="N38" s="7">
        <f t="shared" si="10"/>
        <v>5.32292406</v>
      </c>
      <c r="O38" s="7">
        <f t="shared" si="11"/>
        <v>400</v>
      </c>
      <c r="P38" s="7">
        <f t="shared" si="12"/>
        <v>7.097232079</v>
      </c>
      <c r="Q38" s="7">
        <f t="shared" si="13"/>
        <v>500</v>
      </c>
      <c r="R38" s="7">
        <f t="shared" si="14"/>
        <v>8.871540099</v>
      </c>
      <c r="S38" s="7">
        <f t="shared" si="15"/>
        <v>600</v>
      </c>
      <c r="T38" s="7">
        <f t="shared" si="16"/>
        <v>10.64584812</v>
      </c>
      <c r="U38" s="7">
        <f t="shared" si="17"/>
        <v>700</v>
      </c>
      <c r="V38" s="7">
        <f t="shared" si="18"/>
        <v>12.42015614</v>
      </c>
      <c r="W38" s="7">
        <f t="shared" si="19"/>
        <v>800</v>
      </c>
      <c r="X38" s="7">
        <f t="shared" si="20"/>
        <v>14.19446416</v>
      </c>
      <c r="Y38" s="7">
        <f t="shared" si="21"/>
        <v>900</v>
      </c>
      <c r="Z38" s="7">
        <f t="shared" si="22"/>
        <v>15.96877218</v>
      </c>
    </row>
    <row r="39">
      <c r="A39" s="30" t="str">
        <f>IFERROR(__xludf.DUMMYFUNCTION("""COMPUTED_VALUE"""),"2014 12")</f>
        <v>2014 12</v>
      </c>
      <c r="B39" s="30" t="str">
        <f>IFERROR(__xludf.DUMMYFUNCTION("""COMPUTED_VALUE"""),"57.8")</f>
        <v>57.8</v>
      </c>
      <c r="C39" s="14">
        <v>41974.0</v>
      </c>
      <c r="D39" s="12">
        <f>'Income per month'!B39</f>
        <v>1000</v>
      </c>
      <c r="E39" s="7">
        <f t="shared" si="1"/>
        <v>50</v>
      </c>
      <c r="F39" s="7">
        <f t="shared" si="2"/>
        <v>0.8650519031</v>
      </c>
      <c r="G39" s="7">
        <f t="shared" si="3"/>
        <v>100</v>
      </c>
      <c r="H39" s="7">
        <f t="shared" si="4"/>
        <v>1.730103806</v>
      </c>
      <c r="I39" s="7">
        <f t="shared" si="5"/>
        <v>150</v>
      </c>
      <c r="J39" s="7">
        <f t="shared" si="6"/>
        <v>2.595155709</v>
      </c>
      <c r="K39" s="7">
        <f t="shared" si="7"/>
        <v>200</v>
      </c>
      <c r="L39" s="7">
        <f t="shared" si="8"/>
        <v>3.460207612</v>
      </c>
      <c r="M39" s="7">
        <f t="shared" si="9"/>
        <v>300</v>
      </c>
      <c r="N39" s="7">
        <f t="shared" si="10"/>
        <v>5.190311419</v>
      </c>
      <c r="O39" s="7">
        <f t="shared" si="11"/>
        <v>400</v>
      </c>
      <c r="P39" s="7">
        <f t="shared" si="12"/>
        <v>6.920415225</v>
      </c>
      <c r="Q39" s="7">
        <f t="shared" si="13"/>
        <v>500</v>
      </c>
      <c r="R39" s="7">
        <f t="shared" si="14"/>
        <v>8.650519031</v>
      </c>
      <c r="S39" s="7">
        <f t="shared" si="15"/>
        <v>600</v>
      </c>
      <c r="T39" s="7">
        <f t="shared" si="16"/>
        <v>10.38062284</v>
      </c>
      <c r="U39" s="7">
        <f t="shared" si="17"/>
        <v>700</v>
      </c>
      <c r="V39" s="7">
        <f t="shared" si="18"/>
        <v>12.11072664</v>
      </c>
      <c r="W39" s="7">
        <f t="shared" si="19"/>
        <v>800</v>
      </c>
      <c r="X39" s="7">
        <f t="shared" si="20"/>
        <v>13.84083045</v>
      </c>
      <c r="Y39" s="7">
        <f t="shared" si="21"/>
        <v>900</v>
      </c>
      <c r="Z39" s="7">
        <f t="shared" si="22"/>
        <v>15.57093426</v>
      </c>
    </row>
    <row r="40">
      <c r="A40" s="30" t="str">
        <f>IFERROR(__xludf.DUMMYFUNCTION("""COMPUTED_VALUE"""),"2015 01")</f>
        <v>2015 01</v>
      </c>
      <c r="B40" s="30" t="str">
        <f>IFERROR(__xludf.DUMMYFUNCTION("""COMPUTED_VALUE"""),"57.9")</f>
        <v>57.9</v>
      </c>
      <c r="C40" s="13">
        <v>42005.0</v>
      </c>
      <c r="D40" s="12">
        <f>'Income per month'!B40</f>
        <v>1000</v>
      </c>
      <c r="E40" s="7">
        <f t="shared" si="1"/>
        <v>50</v>
      </c>
      <c r="F40" s="7">
        <f t="shared" si="2"/>
        <v>0.8635578584</v>
      </c>
      <c r="G40" s="7">
        <f t="shared" si="3"/>
        <v>100</v>
      </c>
      <c r="H40" s="7">
        <f t="shared" si="4"/>
        <v>1.727115717</v>
      </c>
      <c r="I40" s="7">
        <f t="shared" si="5"/>
        <v>150</v>
      </c>
      <c r="J40" s="7">
        <f t="shared" si="6"/>
        <v>2.590673575</v>
      </c>
      <c r="K40" s="7">
        <f t="shared" si="7"/>
        <v>200</v>
      </c>
      <c r="L40" s="7">
        <f t="shared" si="8"/>
        <v>3.454231434</v>
      </c>
      <c r="M40" s="7">
        <f t="shared" si="9"/>
        <v>300</v>
      </c>
      <c r="N40" s="7">
        <f t="shared" si="10"/>
        <v>5.18134715</v>
      </c>
      <c r="O40" s="7">
        <f t="shared" si="11"/>
        <v>400</v>
      </c>
      <c r="P40" s="7">
        <f t="shared" si="12"/>
        <v>6.908462867</v>
      </c>
      <c r="Q40" s="7">
        <f t="shared" si="13"/>
        <v>500</v>
      </c>
      <c r="R40" s="7">
        <f t="shared" si="14"/>
        <v>8.635578584</v>
      </c>
      <c r="S40" s="7">
        <f t="shared" si="15"/>
        <v>600</v>
      </c>
      <c r="T40" s="7">
        <f t="shared" si="16"/>
        <v>10.3626943</v>
      </c>
      <c r="U40" s="7">
        <f t="shared" si="17"/>
        <v>700</v>
      </c>
      <c r="V40" s="7">
        <f t="shared" si="18"/>
        <v>12.08981002</v>
      </c>
      <c r="W40" s="7">
        <f t="shared" si="19"/>
        <v>800</v>
      </c>
      <c r="X40" s="7">
        <f t="shared" si="20"/>
        <v>13.81692573</v>
      </c>
      <c r="Y40" s="7">
        <f t="shared" si="21"/>
        <v>900</v>
      </c>
      <c r="Z40" s="7">
        <f t="shared" si="22"/>
        <v>15.54404145</v>
      </c>
    </row>
    <row r="41">
      <c r="A41" s="30" t="str">
        <f>IFERROR(__xludf.DUMMYFUNCTION("""COMPUTED_VALUE"""),"2015 02")</f>
        <v>2015 02</v>
      </c>
      <c r="B41" s="30" t="str">
        <f>IFERROR(__xludf.DUMMYFUNCTION("""COMPUTED_VALUE"""),"60.6")</f>
        <v>60.6</v>
      </c>
      <c r="C41" s="13">
        <v>42036.0</v>
      </c>
      <c r="D41" s="12">
        <f>'Income per month'!B41</f>
        <v>1000</v>
      </c>
      <c r="E41" s="7">
        <f t="shared" si="1"/>
        <v>50</v>
      </c>
      <c r="F41" s="7">
        <f t="shared" si="2"/>
        <v>0.8250825083</v>
      </c>
      <c r="G41" s="7">
        <f t="shared" si="3"/>
        <v>100</v>
      </c>
      <c r="H41" s="7">
        <f t="shared" si="4"/>
        <v>1.650165017</v>
      </c>
      <c r="I41" s="7">
        <f t="shared" si="5"/>
        <v>150</v>
      </c>
      <c r="J41" s="7">
        <f t="shared" si="6"/>
        <v>2.475247525</v>
      </c>
      <c r="K41" s="7">
        <f t="shared" si="7"/>
        <v>200</v>
      </c>
      <c r="L41" s="7">
        <f t="shared" si="8"/>
        <v>3.300330033</v>
      </c>
      <c r="M41" s="7">
        <f t="shared" si="9"/>
        <v>300</v>
      </c>
      <c r="N41" s="7">
        <f t="shared" si="10"/>
        <v>4.95049505</v>
      </c>
      <c r="O41" s="7">
        <f t="shared" si="11"/>
        <v>400</v>
      </c>
      <c r="P41" s="7">
        <f t="shared" si="12"/>
        <v>6.600660066</v>
      </c>
      <c r="Q41" s="7">
        <f t="shared" si="13"/>
        <v>500</v>
      </c>
      <c r="R41" s="7">
        <f t="shared" si="14"/>
        <v>8.250825083</v>
      </c>
      <c r="S41" s="7">
        <f t="shared" si="15"/>
        <v>600</v>
      </c>
      <c r="T41" s="7">
        <f t="shared" si="16"/>
        <v>9.900990099</v>
      </c>
      <c r="U41" s="7">
        <f t="shared" si="17"/>
        <v>700</v>
      </c>
      <c r="V41" s="7">
        <f t="shared" si="18"/>
        <v>11.55115512</v>
      </c>
      <c r="W41" s="7">
        <f t="shared" si="19"/>
        <v>800</v>
      </c>
      <c r="X41" s="7">
        <f t="shared" si="20"/>
        <v>13.20132013</v>
      </c>
      <c r="Y41" s="7">
        <f t="shared" si="21"/>
        <v>900</v>
      </c>
      <c r="Z41" s="7">
        <f t="shared" si="22"/>
        <v>14.85148515</v>
      </c>
    </row>
    <row r="42">
      <c r="A42" s="30" t="str">
        <f>IFERROR(__xludf.DUMMYFUNCTION("""COMPUTED_VALUE"""),"2015 03")</f>
        <v>2015 03</v>
      </c>
      <c r="B42" s="30" t="str">
        <f>IFERROR(__xludf.DUMMYFUNCTION("""COMPUTED_VALUE"""),"63.66")</f>
        <v>63.66</v>
      </c>
      <c r="C42" s="13">
        <v>42064.0</v>
      </c>
      <c r="D42" s="12">
        <f>'Income per month'!B42</f>
        <v>1000</v>
      </c>
      <c r="E42" s="7">
        <f t="shared" si="1"/>
        <v>50</v>
      </c>
      <c r="F42" s="7">
        <f t="shared" si="2"/>
        <v>0.7854225573</v>
      </c>
      <c r="G42" s="7">
        <f t="shared" si="3"/>
        <v>100</v>
      </c>
      <c r="H42" s="7">
        <f t="shared" si="4"/>
        <v>1.570845115</v>
      </c>
      <c r="I42" s="7">
        <f t="shared" si="5"/>
        <v>150</v>
      </c>
      <c r="J42" s="7">
        <f t="shared" si="6"/>
        <v>2.356267672</v>
      </c>
      <c r="K42" s="7">
        <f t="shared" si="7"/>
        <v>200</v>
      </c>
      <c r="L42" s="7">
        <f t="shared" si="8"/>
        <v>3.141690229</v>
      </c>
      <c r="M42" s="7">
        <f t="shared" si="9"/>
        <v>300</v>
      </c>
      <c r="N42" s="7">
        <f t="shared" si="10"/>
        <v>4.712535344</v>
      </c>
      <c r="O42" s="7">
        <f t="shared" si="11"/>
        <v>400</v>
      </c>
      <c r="P42" s="7">
        <f t="shared" si="12"/>
        <v>6.283380459</v>
      </c>
      <c r="Q42" s="7">
        <f t="shared" si="13"/>
        <v>500</v>
      </c>
      <c r="R42" s="7">
        <f t="shared" si="14"/>
        <v>7.854225573</v>
      </c>
      <c r="S42" s="7">
        <f t="shared" si="15"/>
        <v>600</v>
      </c>
      <c r="T42" s="7">
        <f t="shared" si="16"/>
        <v>9.425070688</v>
      </c>
      <c r="U42" s="7">
        <f t="shared" si="17"/>
        <v>700</v>
      </c>
      <c r="V42" s="7">
        <f t="shared" si="18"/>
        <v>10.9959158</v>
      </c>
      <c r="W42" s="7">
        <f t="shared" si="19"/>
        <v>800</v>
      </c>
      <c r="X42" s="7">
        <f t="shared" si="20"/>
        <v>12.56676092</v>
      </c>
      <c r="Y42" s="7">
        <f t="shared" si="21"/>
        <v>900</v>
      </c>
      <c r="Z42" s="7">
        <f t="shared" si="22"/>
        <v>14.13760603</v>
      </c>
    </row>
    <row r="43">
      <c r="A43" s="30" t="str">
        <f>IFERROR(__xludf.DUMMYFUNCTION("""COMPUTED_VALUE"""),"2015 04")</f>
        <v>2015 04</v>
      </c>
      <c r="B43" s="30" t="str">
        <f>IFERROR(__xludf.DUMMYFUNCTION("""COMPUTED_VALUE"""),"63.66")</f>
        <v>63.66</v>
      </c>
      <c r="C43" s="13">
        <v>42095.0</v>
      </c>
      <c r="D43" s="12">
        <f>'Income per month'!B43</f>
        <v>1000</v>
      </c>
      <c r="E43" s="7">
        <f t="shared" si="1"/>
        <v>50</v>
      </c>
      <c r="F43" s="7">
        <f t="shared" si="2"/>
        <v>0.7854225573</v>
      </c>
      <c r="G43" s="7">
        <f t="shared" si="3"/>
        <v>100</v>
      </c>
      <c r="H43" s="7">
        <f t="shared" si="4"/>
        <v>1.570845115</v>
      </c>
      <c r="I43" s="7">
        <f t="shared" si="5"/>
        <v>150</v>
      </c>
      <c r="J43" s="7">
        <f t="shared" si="6"/>
        <v>2.356267672</v>
      </c>
      <c r="K43" s="7">
        <f t="shared" si="7"/>
        <v>200</v>
      </c>
      <c r="L43" s="7">
        <f t="shared" si="8"/>
        <v>3.141690229</v>
      </c>
      <c r="M43" s="7">
        <f t="shared" si="9"/>
        <v>300</v>
      </c>
      <c r="N43" s="7">
        <f t="shared" si="10"/>
        <v>4.712535344</v>
      </c>
      <c r="O43" s="7">
        <f t="shared" si="11"/>
        <v>400</v>
      </c>
      <c r="P43" s="7">
        <f t="shared" si="12"/>
        <v>6.283380459</v>
      </c>
      <c r="Q43" s="7">
        <f t="shared" si="13"/>
        <v>500</v>
      </c>
      <c r="R43" s="7">
        <f t="shared" si="14"/>
        <v>7.854225573</v>
      </c>
      <c r="S43" s="7">
        <f t="shared" si="15"/>
        <v>600</v>
      </c>
      <c r="T43" s="7">
        <f t="shared" si="16"/>
        <v>9.425070688</v>
      </c>
      <c r="U43" s="7">
        <f t="shared" si="17"/>
        <v>700</v>
      </c>
      <c r="V43" s="7">
        <f t="shared" si="18"/>
        <v>10.9959158</v>
      </c>
      <c r="W43" s="7">
        <f t="shared" si="19"/>
        <v>800</v>
      </c>
      <c r="X43" s="7">
        <f t="shared" si="20"/>
        <v>12.56676092</v>
      </c>
      <c r="Y43" s="7">
        <f t="shared" si="21"/>
        <v>900</v>
      </c>
      <c r="Z43" s="7">
        <f t="shared" si="22"/>
        <v>14.13760603</v>
      </c>
    </row>
    <row r="44">
      <c r="A44" s="30" t="str">
        <f>IFERROR(__xludf.DUMMYFUNCTION("""COMPUTED_VALUE"""),"2015 05")</f>
        <v>2015 05</v>
      </c>
      <c r="B44" s="30" t="str">
        <f>IFERROR(__xludf.DUMMYFUNCTION("""COMPUTED_VALUE"""),"64.98")</f>
        <v>64.98</v>
      </c>
      <c r="C44" s="13">
        <v>42125.0</v>
      </c>
      <c r="D44" s="12">
        <f>'Income per month'!B44</f>
        <v>1000</v>
      </c>
      <c r="E44" s="7">
        <f t="shared" si="1"/>
        <v>50</v>
      </c>
      <c r="F44" s="7">
        <f t="shared" si="2"/>
        <v>0.7694675285</v>
      </c>
      <c r="G44" s="7">
        <f t="shared" si="3"/>
        <v>100</v>
      </c>
      <c r="H44" s="7">
        <f t="shared" si="4"/>
        <v>1.538935057</v>
      </c>
      <c r="I44" s="7">
        <f t="shared" si="5"/>
        <v>150</v>
      </c>
      <c r="J44" s="7">
        <f t="shared" si="6"/>
        <v>2.308402585</v>
      </c>
      <c r="K44" s="7">
        <f t="shared" si="7"/>
        <v>200</v>
      </c>
      <c r="L44" s="7">
        <f t="shared" si="8"/>
        <v>3.077870114</v>
      </c>
      <c r="M44" s="7">
        <f t="shared" si="9"/>
        <v>300</v>
      </c>
      <c r="N44" s="7">
        <f t="shared" si="10"/>
        <v>4.616805171</v>
      </c>
      <c r="O44" s="7">
        <f t="shared" si="11"/>
        <v>400</v>
      </c>
      <c r="P44" s="7">
        <f t="shared" si="12"/>
        <v>6.155740228</v>
      </c>
      <c r="Q44" s="7">
        <f t="shared" si="13"/>
        <v>500</v>
      </c>
      <c r="R44" s="7">
        <f t="shared" si="14"/>
        <v>7.694675285</v>
      </c>
      <c r="S44" s="7">
        <f t="shared" si="15"/>
        <v>600</v>
      </c>
      <c r="T44" s="7">
        <f t="shared" si="16"/>
        <v>9.233610342</v>
      </c>
      <c r="U44" s="7">
        <f t="shared" si="17"/>
        <v>700</v>
      </c>
      <c r="V44" s="7">
        <f t="shared" si="18"/>
        <v>10.7725454</v>
      </c>
      <c r="W44" s="7">
        <f t="shared" si="19"/>
        <v>800</v>
      </c>
      <c r="X44" s="7">
        <f t="shared" si="20"/>
        <v>12.31148046</v>
      </c>
      <c r="Y44" s="7">
        <f t="shared" si="21"/>
        <v>900</v>
      </c>
      <c r="Z44" s="7">
        <f t="shared" si="22"/>
        <v>13.85041551</v>
      </c>
    </row>
    <row r="45">
      <c r="A45" s="30" t="str">
        <f>IFERROR(__xludf.DUMMYFUNCTION("""COMPUTED_VALUE"""),"2015 06")</f>
        <v>2015 06</v>
      </c>
      <c r="B45" s="30" t="str">
        <f>IFERROR(__xludf.DUMMYFUNCTION("""COMPUTED_VALUE"""),"66.4")</f>
        <v>66.4</v>
      </c>
      <c r="C45" s="13">
        <v>42156.0</v>
      </c>
      <c r="D45" s="12">
        <f>'Income per month'!B45</f>
        <v>1000</v>
      </c>
      <c r="E45" s="7">
        <f t="shared" si="1"/>
        <v>50</v>
      </c>
      <c r="F45" s="7">
        <f t="shared" si="2"/>
        <v>0.7530120482</v>
      </c>
      <c r="G45" s="7">
        <f t="shared" si="3"/>
        <v>100</v>
      </c>
      <c r="H45" s="7">
        <f t="shared" si="4"/>
        <v>1.506024096</v>
      </c>
      <c r="I45" s="7">
        <f t="shared" si="5"/>
        <v>150</v>
      </c>
      <c r="J45" s="7">
        <f t="shared" si="6"/>
        <v>2.259036145</v>
      </c>
      <c r="K45" s="7">
        <f t="shared" si="7"/>
        <v>200</v>
      </c>
      <c r="L45" s="7">
        <f t="shared" si="8"/>
        <v>3.012048193</v>
      </c>
      <c r="M45" s="7">
        <f t="shared" si="9"/>
        <v>300</v>
      </c>
      <c r="N45" s="7">
        <f t="shared" si="10"/>
        <v>4.518072289</v>
      </c>
      <c r="O45" s="7">
        <f t="shared" si="11"/>
        <v>400</v>
      </c>
      <c r="P45" s="7">
        <f t="shared" si="12"/>
        <v>6.024096386</v>
      </c>
      <c r="Q45" s="7">
        <f t="shared" si="13"/>
        <v>500</v>
      </c>
      <c r="R45" s="7">
        <f t="shared" si="14"/>
        <v>7.530120482</v>
      </c>
      <c r="S45" s="7">
        <f t="shared" si="15"/>
        <v>600</v>
      </c>
      <c r="T45" s="7">
        <f t="shared" si="16"/>
        <v>9.036144578</v>
      </c>
      <c r="U45" s="7">
        <f t="shared" si="17"/>
        <v>700</v>
      </c>
      <c r="V45" s="7">
        <f t="shared" si="18"/>
        <v>10.54216867</v>
      </c>
      <c r="W45" s="7">
        <f t="shared" si="19"/>
        <v>800</v>
      </c>
      <c r="X45" s="7">
        <f t="shared" si="20"/>
        <v>12.04819277</v>
      </c>
      <c r="Y45" s="7">
        <f t="shared" si="21"/>
        <v>900</v>
      </c>
      <c r="Z45" s="7">
        <f t="shared" si="22"/>
        <v>13.55421687</v>
      </c>
    </row>
    <row r="46">
      <c r="A46" s="30" t="str">
        <f>IFERROR(__xludf.DUMMYFUNCTION("""COMPUTED_VALUE"""),"2015 07")</f>
        <v>2015 07</v>
      </c>
      <c r="B46" s="30" t="str">
        <f>IFERROR(__xludf.DUMMYFUNCTION("""COMPUTED_VALUE"""),"63.32")</f>
        <v>63.32</v>
      </c>
      <c r="C46" s="13">
        <v>42186.0</v>
      </c>
      <c r="D46" s="12">
        <f>'Income per month'!B46</f>
        <v>1000</v>
      </c>
      <c r="E46" s="7">
        <f t="shared" si="1"/>
        <v>50</v>
      </c>
      <c r="F46" s="7">
        <f t="shared" si="2"/>
        <v>0.7896399242</v>
      </c>
      <c r="G46" s="7">
        <f t="shared" si="3"/>
        <v>100</v>
      </c>
      <c r="H46" s="7">
        <f t="shared" si="4"/>
        <v>1.579279848</v>
      </c>
      <c r="I46" s="7">
        <f t="shared" si="5"/>
        <v>150</v>
      </c>
      <c r="J46" s="7">
        <f t="shared" si="6"/>
        <v>2.368919773</v>
      </c>
      <c r="K46" s="7">
        <f t="shared" si="7"/>
        <v>200</v>
      </c>
      <c r="L46" s="7">
        <f t="shared" si="8"/>
        <v>3.158559697</v>
      </c>
      <c r="M46" s="7">
        <f t="shared" si="9"/>
        <v>300</v>
      </c>
      <c r="N46" s="7">
        <f t="shared" si="10"/>
        <v>4.737839545</v>
      </c>
      <c r="O46" s="7">
        <f t="shared" si="11"/>
        <v>400</v>
      </c>
      <c r="P46" s="7">
        <f t="shared" si="12"/>
        <v>6.317119394</v>
      </c>
      <c r="Q46" s="7">
        <f t="shared" si="13"/>
        <v>500</v>
      </c>
      <c r="R46" s="7">
        <f t="shared" si="14"/>
        <v>7.896399242</v>
      </c>
      <c r="S46" s="7">
        <f t="shared" si="15"/>
        <v>600</v>
      </c>
      <c r="T46" s="7">
        <f t="shared" si="16"/>
        <v>9.47567909</v>
      </c>
      <c r="U46" s="7">
        <f t="shared" si="17"/>
        <v>700</v>
      </c>
      <c r="V46" s="7">
        <f t="shared" si="18"/>
        <v>11.05495894</v>
      </c>
      <c r="W46" s="7">
        <f t="shared" si="19"/>
        <v>800</v>
      </c>
      <c r="X46" s="7">
        <f t="shared" si="20"/>
        <v>12.63423879</v>
      </c>
      <c r="Y46" s="7">
        <f t="shared" si="21"/>
        <v>900</v>
      </c>
      <c r="Z46" s="7">
        <f t="shared" si="22"/>
        <v>14.21351864</v>
      </c>
    </row>
    <row r="47">
      <c r="A47" s="30" t="str">
        <f>IFERROR(__xludf.DUMMYFUNCTION("""COMPUTED_VALUE"""),"2015 08")</f>
        <v>2015 08</v>
      </c>
      <c r="B47" s="30" t="str">
        <f>IFERROR(__xludf.DUMMYFUNCTION("""COMPUTED_VALUE"""),"66.29")</f>
        <v>66.29</v>
      </c>
      <c r="C47" s="13">
        <v>42217.0</v>
      </c>
      <c r="D47" s="12">
        <f>'Income per month'!B47</f>
        <v>1000</v>
      </c>
      <c r="E47" s="7">
        <f t="shared" si="1"/>
        <v>50</v>
      </c>
      <c r="F47" s="7">
        <f t="shared" si="2"/>
        <v>0.7542615779</v>
      </c>
      <c r="G47" s="7">
        <f t="shared" si="3"/>
        <v>100</v>
      </c>
      <c r="H47" s="7">
        <f t="shared" si="4"/>
        <v>1.508523156</v>
      </c>
      <c r="I47" s="7">
        <f t="shared" si="5"/>
        <v>150</v>
      </c>
      <c r="J47" s="7">
        <f t="shared" si="6"/>
        <v>2.262784734</v>
      </c>
      <c r="K47" s="7">
        <f t="shared" si="7"/>
        <v>200</v>
      </c>
      <c r="L47" s="7">
        <f t="shared" si="8"/>
        <v>3.017046312</v>
      </c>
      <c r="M47" s="7">
        <f t="shared" si="9"/>
        <v>300</v>
      </c>
      <c r="N47" s="7">
        <f t="shared" si="10"/>
        <v>4.525569467</v>
      </c>
      <c r="O47" s="7">
        <f t="shared" si="11"/>
        <v>400</v>
      </c>
      <c r="P47" s="7">
        <f t="shared" si="12"/>
        <v>6.034092623</v>
      </c>
      <c r="Q47" s="7">
        <f t="shared" si="13"/>
        <v>500</v>
      </c>
      <c r="R47" s="7">
        <f t="shared" si="14"/>
        <v>7.542615779</v>
      </c>
      <c r="S47" s="7">
        <f t="shared" si="15"/>
        <v>600</v>
      </c>
      <c r="T47" s="7">
        <f t="shared" si="16"/>
        <v>9.051138935</v>
      </c>
      <c r="U47" s="7">
        <f t="shared" si="17"/>
        <v>700</v>
      </c>
      <c r="V47" s="7">
        <f t="shared" si="18"/>
        <v>10.55966209</v>
      </c>
      <c r="W47" s="7">
        <f t="shared" si="19"/>
        <v>800</v>
      </c>
      <c r="X47" s="7">
        <f t="shared" si="20"/>
        <v>12.06818525</v>
      </c>
      <c r="Y47" s="7">
        <f t="shared" si="21"/>
        <v>900</v>
      </c>
      <c r="Z47" s="7">
        <f t="shared" si="22"/>
        <v>13.5767084</v>
      </c>
    </row>
    <row r="48">
      <c r="A48" s="30" t="str">
        <f>IFERROR(__xludf.DUMMYFUNCTION("""COMPUTED_VALUE"""),"2015 09")</f>
        <v>2015 09</v>
      </c>
      <c r="B48" s="30" t="str">
        <f>IFERROR(__xludf.DUMMYFUNCTION("""COMPUTED_VALUE"""),"61.8")</f>
        <v>61.8</v>
      </c>
      <c r="C48" s="13">
        <v>42248.0</v>
      </c>
      <c r="D48" s="12">
        <f>'Income per month'!B48</f>
        <v>1000</v>
      </c>
      <c r="E48" s="7">
        <f t="shared" si="1"/>
        <v>50</v>
      </c>
      <c r="F48" s="7">
        <f t="shared" si="2"/>
        <v>0.8090614887</v>
      </c>
      <c r="G48" s="7">
        <f t="shared" si="3"/>
        <v>100</v>
      </c>
      <c r="H48" s="7">
        <f t="shared" si="4"/>
        <v>1.618122977</v>
      </c>
      <c r="I48" s="7">
        <f t="shared" si="5"/>
        <v>150</v>
      </c>
      <c r="J48" s="7">
        <f t="shared" si="6"/>
        <v>2.427184466</v>
      </c>
      <c r="K48" s="7">
        <f t="shared" si="7"/>
        <v>200</v>
      </c>
      <c r="L48" s="7">
        <f t="shared" si="8"/>
        <v>3.236245955</v>
      </c>
      <c r="M48" s="7">
        <f t="shared" si="9"/>
        <v>300</v>
      </c>
      <c r="N48" s="7">
        <f t="shared" si="10"/>
        <v>4.854368932</v>
      </c>
      <c r="O48" s="7">
        <f t="shared" si="11"/>
        <v>400</v>
      </c>
      <c r="P48" s="7">
        <f t="shared" si="12"/>
        <v>6.472491909</v>
      </c>
      <c r="Q48" s="7">
        <f t="shared" si="13"/>
        <v>500</v>
      </c>
      <c r="R48" s="7">
        <f t="shared" si="14"/>
        <v>8.090614887</v>
      </c>
      <c r="S48" s="7">
        <f t="shared" si="15"/>
        <v>600</v>
      </c>
      <c r="T48" s="7">
        <f t="shared" si="16"/>
        <v>9.708737864</v>
      </c>
      <c r="U48" s="7">
        <f t="shared" si="17"/>
        <v>700</v>
      </c>
      <c r="V48" s="7">
        <f t="shared" si="18"/>
        <v>11.32686084</v>
      </c>
      <c r="W48" s="7">
        <f t="shared" si="19"/>
        <v>800</v>
      </c>
      <c r="X48" s="7">
        <f t="shared" si="20"/>
        <v>12.94498382</v>
      </c>
      <c r="Y48" s="7">
        <f t="shared" si="21"/>
        <v>900</v>
      </c>
      <c r="Z48" s="7">
        <f t="shared" si="22"/>
        <v>14.5631068</v>
      </c>
    </row>
    <row r="49">
      <c r="A49" s="30" t="str">
        <f>IFERROR(__xludf.DUMMYFUNCTION("""COMPUTED_VALUE"""),"2015 10")</f>
        <v>2015 10</v>
      </c>
      <c r="B49" s="30" t="str">
        <f>IFERROR(__xludf.DUMMYFUNCTION("""COMPUTED_VALUE"""),"60.87")</f>
        <v>60.87</v>
      </c>
      <c r="C49" s="13">
        <v>42278.0</v>
      </c>
      <c r="D49" s="12">
        <f>'Income per month'!B49</f>
        <v>1000</v>
      </c>
      <c r="E49" s="7">
        <f t="shared" si="1"/>
        <v>50</v>
      </c>
      <c r="F49" s="7">
        <f t="shared" si="2"/>
        <v>0.8214227041</v>
      </c>
      <c r="G49" s="7">
        <f t="shared" si="3"/>
        <v>100</v>
      </c>
      <c r="H49" s="7">
        <f t="shared" si="4"/>
        <v>1.642845408</v>
      </c>
      <c r="I49" s="7">
        <f t="shared" si="5"/>
        <v>150</v>
      </c>
      <c r="J49" s="7">
        <f t="shared" si="6"/>
        <v>2.464268112</v>
      </c>
      <c r="K49" s="7">
        <f t="shared" si="7"/>
        <v>200</v>
      </c>
      <c r="L49" s="7">
        <f t="shared" si="8"/>
        <v>3.285690816</v>
      </c>
      <c r="M49" s="7">
        <f t="shared" si="9"/>
        <v>300</v>
      </c>
      <c r="N49" s="7">
        <f t="shared" si="10"/>
        <v>4.928536225</v>
      </c>
      <c r="O49" s="7">
        <f t="shared" si="11"/>
        <v>400</v>
      </c>
      <c r="P49" s="7">
        <f t="shared" si="12"/>
        <v>6.571381633</v>
      </c>
      <c r="Q49" s="7">
        <f t="shared" si="13"/>
        <v>500</v>
      </c>
      <c r="R49" s="7">
        <f t="shared" si="14"/>
        <v>8.214227041</v>
      </c>
      <c r="S49" s="7">
        <f t="shared" si="15"/>
        <v>600</v>
      </c>
      <c r="T49" s="7">
        <f t="shared" si="16"/>
        <v>9.857072449</v>
      </c>
      <c r="U49" s="7">
        <f t="shared" si="17"/>
        <v>700</v>
      </c>
      <c r="V49" s="7">
        <f t="shared" si="18"/>
        <v>11.49991786</v>
      </c>
      <c r="W49" s="7">
        <f t="shared" si="19"/>
        <v>800</v>
      </c>
      <c r="X49" s="7">
        <f t="shared" si="20"/>
        <v>13.14276327</v>
      </c>
      <c r="Y49" s="7">
        <f t="shared" si="21"/>
        <v>900</v>
      </c>
      <c r="Z49" s="7">
        <f t="shared" si="22"/>
        <v>14.78560867</v>
      </c>
    </row>
    <row r="50">
      <c r="A50" s="30" t="str">
        <f>IFERROR(__xludf.DUMMYFUNCTION("""COMPUTED_VALUE"""),"2015 11")</f>
        <v>2015 11</v>
      </c>
      <c r="B50" s="30" t="str">
        <f>IFERROR(__xludf.DUMMYFUNCTION("""COMPUTED_VALUE"""),"63.69")</f>
        <v>63.69</v>
      </c>
      <c r="C50" s="13">
        <v>42309.0</v>
      </c>
      <c r="D50" s="12">
        <f>'Income per month'!B50</f>
        <v>1000</v>
      </c>
      <c r="E50" s="7">
        <f t="shared" si="1"/>
        <v>50</v>
      </c>
      <c r="F50" s="7">
        <f t="shared" si="2"/>
        <v>0.7850525985</v>
      </c>
      <c r="G50" s="7">
        <f t="shared" si="3"/>
        <v>100</v>
      </c>
      <c r="H50" s="7">
        <f t="shared" si="4"/>
        <v>1.570105197</v>
      </c>
      <c r="I50" s="7">
        <f t="shared" si="5"/>
        <v>150</v>
      </c>
      <c r="J50" s="7">
        <f t="shared" si="6"/>
        <v>2.355157796</v>
      </c>
      <c r="K50" s="7">
        <f t="shared" si="7"/>
        <v>200</v>
      </c>
      <c r="L50" s="7">
        <f t="shared" si="8"/>
        <v>3.140210394</v>
      </c>
      <c r="M50" s="7">
        <f t="shared" si="9"/>
        <v>300</v>
      </c>
      <c r="N50" s="7">
        <f t="shared" si="10"/>
        <v>4.710315591</v>
      </c>
      <c r="O50" s="7">
        <f t="shared" si="11"/>
        <v>400</v>
      </c>
      <c r="P50" s="7">
        <f t="shared" si="12"/>
        <v>6.280420788</v>
      </c>
      <c r="Q50" s="7">
        <f t="shared" si="13"/>
        <v>500</v>
      </c>
      <c r="R50" s="7">
        <f t="shared" si="14"/>
        <v>7.850525985</v>
      </c>
      <c r="S50" s="7">
        <f t="shared" si="15"/>
        <v>600</v>
      </c>
      <c r="T50" s="7">
        <f t="shared" si="16"/>
        <v>9.420631182</v>
      </c>
      <c r="U50" s="7">
        <f t="shared" si="17"/>
        <v>700</v>
      </c>
      <c r="V50" s="7">
        <f t="shared" si="18"/>
        <v>10.99073638</v>
      </c>
      <c r="W50" s="7">
        <f t="shared" si="19"/>
        <v>800</v>
      </c>
      <c r="X50" s="7">
        <f t="shared" si="20"/>
        <v>12.56084158</v>
      </c>
      <c r="Y50" s="7">
        <f t="shared" si="21"/>
        <v>900</v>
      </c>
      <c r="Z50" s="7">
        <f t="shared" si="22"/>
        <v>14.13094677</v>
      </c>
    </row>
    <row r="51">
      <c r="A51" s="30" t="str">
        <f>IFERROR(__xludf.DUMMYFUNCTION("""COMPUTED_VALUE"""),"2015 12")</f>
        <v>2015 12</v>
      </c>
      <c r="B51" s="30" t="str">
        <f>IFERROR(__xludf.DUMMYFUNCTION("""COMPUTED_VALUE"""),"62.38")</f>
        <v>62.38</v>
      </c>
      <c r="C51" s="14">
        <v>42339.0</v>
      </c>
      <c r="D51" s="12">
        <f>'Income per month'!B51</f>
        <v>1000</v>
      </c>
      <c r="E51" s="7">
        <f t="shared" si="1"/>
        <v>50</v>
      </c>
      <c r="F51" s="7">
        <f t="shared" si="2"/>
        <v>0.8015389548</v>
      </c>
      <c r="G51" s="7">
        <f t="shared" si="3"/>
        <v>100</v>
      </c>
      <c r="H51" s="7">
        <f t="shared" si="4"/>
        <v>1.60307791</v>
      </c>
      <c r="I51" s="7">
        <f t="shared" si="5"/>
        <v>150</v>
      </c>
      <c r="J51" s="7">
        <f t="shared" si="6"/>
        <v>2.404616864</v>
      </c>
      <c r="K51" s="7">
        <f t="shared" si="7"/>
        <v>200</v>
      </c>
      <c r="L51" s="7">
        <f t="shared" si="8"/>
        <v>3.206155819</v>
      </c>
      <c r="M51" s="7">
        <f t="shared" si="9"/>
        <v>300</v>
      </c>
      <c r="N51" s="7">
        <f t="shared" si="10"/>
        <v>4.809233729</v>
      </c>
      <c r="O51" s="7">
        <f t="shared" si="11"/>
        <v>400</v>
      </c>
      <c r="P51" s="7">
        <f t="shared" si="12"/>
        <v>6.412311638</v>
      </c>
      <c r="Q51" s="7">
        <f t="shared" si="13"/>
        <v>500</v>
      </c>
      <c r="R51" s="7">
        <f t="shared" si="14"/>
        <v>8.015389548</v>
      </c>
      <c r="S51" s="7">
        <f t="shared" si="15"/>
        <v>600</v>
      </c>
      <c r="T51" s="7">
        <f t="shared" si="16"/>
        <v>9.618467458</v>
      </c>
      <c r="U51" s="7">
        <f t="shared" si="17"/>
        <v>700</v>
      </c>
      <c r="V51" s="7">
        <f t="shared" si="18"/>
        <v>11.22154537</v>
      </c>
      <c r="W51" s="7">
        <f t="shared" si="19"/>
        <v>800</v>
      </c>
      <c r="X51" s="7">
        <f t="shared" si="20"/>
        <v>12.82462328</v>
      </c>
      <c r="Y51" s="7">
        <f t="shared" si="21"/>
        <v>900</v>
      </c>
      <c r="Z51" s="7">
        <f t="shared" si="22"/>
        <v>14.42770119</v>
      </c>
    </row>
    <row r="52">
      <c r="A52" s="30" t="str">
        <f>IFERROR(__xludf.DUMMYFUNCTION("""COMPUTED_VALUE"""),"2016 01")</f>
        <v>2016 01</v>
      </c>
      <c r="B52" s="30" t="str">
        <f>IFERROR(__xludf.DUMMYFUNCTION("""COMPUTED_VALUE"""),"59.83")</f>
        <v>59.83</v>
      </c>
      <c r="C52" s="13">
        <v>42370.0</v>
      </c>
      <c r="D52" s="12">
        <f>'Income per month'!B52</f>
        <v>1000</v>
      </c>
      <c r="E52" s="7">
        <f t="shared" si="1"/>
        <v>50</v>
      </c>
      <c r="F52" s="7">
        <f t="shared" si="2"/>
        <v>0.8357011533</v>
      </c>
      <c r="G52" s="7">
        <f t="shared" si="3"/>
        <v>100</v>
      </c>
      <c r="H52" s="7">
        <f t="shared" si="4"/>
        <v>1.671402307</v>
      </c>
      <c r="I52" s="7">
        <f t="shared" si="5"/>
        <v>150</v>
      </c>
      <c r="J52" s="7">
        <f t="shared" si="6"/>
        <v>2.50710346</v>
      </c>
      <c r="K52" s="7">
        <f t="shared" si="7"/>
        <v>200</v>
      </c>
      <c r="L52" s="7">
        <f t="shared" si="8"/>
        <v>3.342804613</v>
      </c>
      <c r="M52" s="7">
        <f t="shared" si="9"/>
        <v>300</v>
      </c>
      <c r="N52" s="7">
        <f t="shared" si="10"/>
        <v>5.01420692</v>
      </c>
      <c r="O52" s="7">
        <f t="shared" si="11"/>
        <v>400</v>
      </c>
      <c r="P52" s="7">
        <f t="shared" si="12"/>
        <v>6.685609226</v>
      </c>
      <c r="Q52" s="7">
        <f t="shared" si="13"/>
        <v>500</v>
      </c>
      <c r="R52" s="7">
        <f t="shared" si="14"/>
        <v>8.357011533</v>
      </c>
      <c r="S52" s="7">
        <f t="shared" si="15"/>
        <v>600</v>
      </c>
      <c r="T52" s="7">
        <f t="shared" si="16"/>
        <v>10.02841384</v>
      </c>
      <c r="U52" s="7">
        <f t="shared" si="17"/>
        <v>700</v>
      </c>
      <c r="V52" s="7">
        <f t="shared" si="18"/>
        <v>11.69981615</v>
      </c>
      <c r="W52" s="7">
        <f t="shared" si="19"/>
        <v>800</v>
      </c>
      <c r="X52" s="7">
        <f t="shared" si="20"/>
        <v>13.37121845</v>
      </c>
      <c r="Y52" s="7">
        <f t="shared" si="21"/>
        <v>900</v>
      </c>
      <c r="Z52" s="7">
        <f t="shared" si="22"/>
        <v>15.04262076</v>
      </c>
    </row>
    <row r="53">
      <c r="A53" s="30" t="str">
        <f>IFERROR(__xludf.DUMMYFUNCTION("""COMPUTED_VALUE"""),"2016 02")</f>
        <v>2016 02</v>
      </c>
      <c r="B53" s="30" t="str">
        <f>IFERROR(__xludf.DUMMYFUNCTION("""COMPUTED_VALUE"""),"57.88")</f>
        <v>57.88</v>
      </c>
      <c r="C53" s="13">
        <v>42401.0</v>
      </c>
      <c r="D53" s="12">
        <f>'Income per month'!B53</f>
        <v>1000</v>
      </c>
      <c r="E53" s="7">
        <f t="shared" si="1"/>
        <v>50</v>
      </c>
      <c r="F53" s="7">
        <f t="shared" si="2"/>
        <v>0.8638562543</v>
      </c>
      <c r="G53" s="7">
        <f t="shared" si="3"/>
        <v>100</v>
      </c>
      <c r="H53" s="7">
        <f t="shared" si="4"/>
        <v>1.727712509</v>
      </c>
      <c r="I53" s="7">
        <f t="shared" si="5"/>
        <v>150</v>
      </c>
      <c r="J53" s="7">
        <f t="shared" si="6"/>
        <v>2.591568763</v>
      </c>
      <c r="K53" s="7">
        <f t="shared" si="7"/>
        <v>200</v>
      </c>
      <c r="L53" s="7">
        <f t="shared" si="8"/>
        <v>3.455425017</v>
      </c>
      <c r="M53" s="7">
        <f t="shared" si="9"/>
        <v>300</v>
      </c>
      <c r="N53" s="7">
        <f t="shared" si="10"/>
        <v>5.183137526</v>
      </c>
      <c r="O53" s="7">
        <f t="shared" si="11"/>
        <v>400</v>
      </c>
      <c r="P53" s="7">
        <f t="shared" si="12"/>
        <v>6.910850035</v>
      </c>
      <c r="Q53" s="7">
        <f t="shared" si="13"/>
        <v>500</v>
      </c>
      <c r="R53" s="7">
        <f t="shared" si="14"/>
        <v>8.638562543</v>
      </c>
      <c r="S53" s="7">
        <f t="shared" si="15"/>
        <v>600</v>
      </c>
      <c r="T53" s="7">
        <f t="shared" si="16"/>
        <v>10.36627505</v>
      </c>
      <c r="U53" s="7">
        <f t="shared" si="17"/>
        <v>700</v>
      </c>
      <c r="V53" s="7">
        <f t="shared" si="18"/>
        <v>12.09398756</v>
      </c>
      <c r="W53" s="7">
        <f t="shared" si="19"/>
        <v>800</v>
      </c>
      <c r="X53" s="7">
        <f t="shared" si="20"/>
        <v>13.82170007</v>
      </c>
      <c r="Y53" s="7">
        <f t="shared" si="21"/>
        <v>900</v>
      </c>
      <c r="Z53" s="7">
        <f t="shared" si="22"/>
        <v>15.54941258</v>
      </c>
    </row>
    <row r="54">
      <c r="A54" s="30" t="str">
        <f>IFERROR(__xludf.DUMMYFUNCTION("""COMPUTED_VALUE"""),"2016 03")</f>
        <v>2016 03</v>
      </c>
      <c r="B54" s="30" t="str">
        <f>IFERROR(__xludf.DUMMYFUNCTION("""COMPUTED_VALUE"""),"56.28")</f>
        <v>56.28</v>
      </c>
      <c r="C54" s="13">
        <v>42430.0</v>
      </c>
      <c r="D54" s="12">
        <f>'Income per month'!B54</f>
        <v>1000</v>
      </c>
      <c r="E54" s="7">
        <f t="shared" si="1"/>
        <v>50</v>
      </c>
      <c r="F54" s="7">
        <f t="shared" si="2"/>
        <v>0.8884150675</v>
      </c>
      <c r="G54" s="7">
        <f t="shared" si="3"/>
        <v>100</v>
      </c>
      <c r="H54" s="7">
        <f t="shared" si="4"/>
        <v>1.776830135</v>
      </c>
      <c r="I54" s="7">
        <f t="shared" si="5"/>
        <v>150</v>
      </c>
      <c r="J54" s="7">
        <f t="shared" si="6"/>
        <v>2.665245203</v>
      </c>
      <c r="K54" s="7">
        <f t="shared" si="7"/>
        <v>200</v>
      </c>
      <c r="L54" s="7">
        <f t="shared" si="8"/>
        <v>3.55366027</v>
      </c>
      <c r="M54" s="7">
        <f t="shared" si="9"/>
        <v>300</v>
      </c>
      <c r="N54" s="7">
        <f t="shared" si="10"/>
        <v>5.330490405</v>
      </c>
      <c r="O54" s="7">
        <f t="shared" si="11"/>
        <v>400</v>
      </c>
      <c r="P54" s="7">
        <f t="shared" si="12"/>
        <v>7.10732054</v>
      </c>
      <c r="Q54" s="7">
        <f t="shared" si="13"/>
        <v>500</v>
      </c>
      <c r="R54" s="7">
        <f t="shared" si="14"/>
        <v>8.884150675</v>
      </c>
      <c r="S54" s="7">
        <f t="shared" si="15"/>
        <v>600</v>
      </c>
      <c r="T54" s="7">
        <f t="shared" si="16"/>
        <v>10.66098081</v>
      </c>
      <c r="U54" s="7">
        <f t="shared" si="17"/>
        <v>700</v>
      </c>
      <c r="V54" s="7">
        <f t="shared" si="18"/>
        <v>12.43781095</v>
      </c>
      <c r="W54" s="7">
        <f t="shared" si="19"/>
        <v>800</v>
      </c>
      <c r="X54" s="7">
        <f t="shared" si="20"/>
        <v>14.21464108</v>
      </c>
      <c r="Y54" s="7">
        <f t="shared" si="21"/>
        <v>900</v>
      </c>
      <c r="Z54" s="7">
        <f t="shared" si="22"/>
        <v>15.99147122</v>
      </c>
    </row>
    <row r="55">
      <c r="A55" s="30" t="str">
        <f>IFERROR(__xludf.DUMMYFUNCTION("""COMPUTED_VALUE"""),"2016 04")</f>
        <v>2016 04</v>
      </c>
      <c r="B55" s="30" t="str">
        <f>IFERROR(__xludf.DUMMYFUNCTION("""COMPUTED_VALUE"""),"55.88")</f>
        <v>55.88</v>
      </c>
      <c r="C55" s="13">
        <v>42461.0</v>
      </c>
      <c r="D55" s="12">
        <f>'Income per month'!B55</f>
        <v>1000</v>
      </c>
      <c r="E55" s="7">
        <f t="shared" si="1"/>
        <v>50</v>
      </c>
      <c r="F55" s="7">
        <f t="shared" si="2"/>
        <v>0.8947745168</v>
      </c>
      <c r="G55" s="7">
        <f t="shared" si="3"/>
        <v>100</v>
      </c>
      <c r="H55" s="7">
        <f t="shared" si="4"/>
        <v>1.789549034</v>
      </c>
      <c r="I55" s="7">
        <f t="shared" si="5"/>
        <v>150</v>
      </c>
      <c r="J55" s="7">
        <f t="shared" si="6"/>
        <v>2.68432355</v>
      </c>
      <c r="K55" s="7">
        <f t="shared" si="7"/>
        <v>200</v>
      </c>
      <c r="L55" s="7">
        <f t="shared" si="8"/>
        <v>3.579098067</v>
      </c>
      <c r="M55" s="7">
        <f t="shared" si="9"/>
        <v>300</v>
      </c>
      <c r="N55" s="7">
        <f t="shared" si="10"/>
        <v>5.368647101</v>
      </c>
      <c r="O55" s="7">
        <f t="shared" si="11"/>
        <v>400</v>
      </c>
      <c r="P55" s="7">
        <f t="shared" si="12"/>
        <v>7.158196135</v>
      </c>
      <c r="Q55" s="7">
        <f t="shared" si="13"/>
        <v>500</v>
      </c>
      <c r="R55" s="7">
        <f t="shared" si="14"/>
        <v>8.947745168</v>
      </c>
      <c r="S55" s="7">
        <f t="shared" si="15"/>
        <v>600</v>
      </c>
      <c r="T55" s="7">
        <f t="shared" si="16"/>
        <v>10.7372942</v>
      </c>
      <c r="U55" s="7">
        <f t="shared" si="17"/>
        <v>700</v>
      </c>
      <c r="V55" s="7">
        <f t="shared" si="18"/>
        <v>12.52684324</v>
      </c>
      <c r="W55" s="7">
        <f t="shared" si="19"/>
        <v>800</v>
      </c>
      <c r="X55" s="7">
        <f t="shared" si="20"/>
        <v>14.31639227</v>
      </c>
      <c r="Y55" s="7">
        <f t="shared" si="21"/>
        <v>900</v>
      </c>
      <c r="Z55" s="7">
        <f t="shared" si="22"/>
        <v>16.1059413</v>
      </c>
    </row>
    <row r="56">
      <c r="A56" s="30" t="str">
        <f>IFERROR(__xludf.DUMMYFUNCTION("""COMPUTED_VALUE"""),"2016 05")</f>
        <v>2016 05</v>
      </c>
      <c r="B56" s="30" t="str">
        <f>IFERROR(__xludf.DUMMYFUNCTION("""COMPUTED_VALUE"""),"58.28")</f>
        <v>58.28</v>
      </c>
      <c r="C56" s="13">
        <v>42491.0</v>
      </c>
      <c r="D56" s="12">
        <f>'Income per month'!B56</f>
        <v>1000</v>
      </c>
      <c r="E56" s="7">
        <f t="shared" si="1"/>
        <v>50</v>
      </c>
      <c r="F56" s="7">
        <f t="shared" si="2"/>
        <v>0.8579272478</v>
      </c>
      <c r="G56" s="7">
        <f t="shared" si="3"/>
        <v>100</v>
      </c>
      <c r="H56" s="7">
        <f t="shared" si="4"/>
        <v>1.715854496</v>
      </c>
      <c r="I56" s="7">
        <f t="shared" si="5"/>
        <v>150</v>
      </c>
      <c r="J56" s="7">
        <f t="shared" si="6"/>
        <v>2.573781743</v>
      </c>
      <c r="K56" s="7">
        <f t="shared" si="7"/>
        <v>200</v>
      </c>
      <c r="L56" s="7">
        <f t="shared" si="8"/>
        <v>3.431708991</v>
      </c>
      <c r="M56" s="7">
        <f t="shared" si="9"/>
        <v>300</v>
      </c>
      <c r="N56" s="7">
        <f t="shared" si="10"/>
        <v>5.147563487</v>
      </c>
      <c r="O56" s="7">
        <f t="shared" si="11"/>
        <v>400</v>
      </c>
      <c r="P56" s="7">
        <f t="shared" si="12"/>
        <v>6.863417982</v>
      </c>
      <c r="Q56" s="7">
        <f t="shared" si="13"/>
        <v>500</v>
      </c>
      <c r="R56" s="7">
        <f t="shared" si="14"/>
        <v>8.579272478</v>
      </c>
      <c r="S56" s="7">
        <f t="shared" si="15"/>
        <v>600</v>
      </c>
      <c r="T56" s="7">
        <f t="shared" si="16"/>
        <v>10.29512697</v>
      </c>
      <c r="U56" s="7">
        <f t="shared" si="17"/>
        <v>700</v>
      </c>
      <c r="V56" s="7">
        <f t="shared" si="18"/>
        <v>12.01098147</v>
      </c>
      <c r="W56" s="7">
        <f t="shared" si="19"/>
        <v>800</v>
      </c>
      <c r="X56" s="7">
        <f t="shared" si="20"/>
        <v>13.72683596</v>
      </c>
      <c r="Y56" s="7">
        <f t="shared" si="21"/>
        <v>900</v>
      </c>
      <c r="Z56" s="7">
        <f t="shared" si="22"/>
        <v>15.44269046</v>
      </c>
    </row>
    <row r="57">
      <c r="A57" s="30" t="str">
        <f>IFERROR(__xludf.DUMMYFUNCTION("""COMPUTED_VALUE"""),"2016 06")</f>
        <v>2016 06</v>
      </c>
      <c r="B57" s="30" t="str">
        <f>IFERROR(__xludf.DUMMYFUNCTION("""COMPUTED_VALUE"""),"60.09")</f>
        <v>60.09</v>
      </c>
      <c r="C57" s="13">
        <v>42522.0</v>
      </c>
      <c r="D57" s="12">
        <f>'Income per month'!B57</f>
        <v>1000</v>
      </c>
      <c r="E57" s="7">
        <f t="shared" si="1"/>
        <v>50</v>
      </c>
      <c r="F57" s="7">
        <f t="shared" si="2"/>
        <v>0.8320852055</v>
      </c>
      <c r="G57" s="7">
        <f t="shared" si="3"/>
        <v>100</v>
      </c>
      <c r="H57" s="7">
        <f t="shared" si="4"/>
        <v>1.664170411</v>
      </c>
      <c r="I57" s="7">
        <f t="shared" si="5"/>
        <v>150</v>
      </c>
      <c r="J57" s="7">
        <f t="shared" si="6"/>
        <v>2.496255617</v>
      </c>
      <c r="K57" s="7">
        <f t="shared" si="7"/>
        <v>200</v>
      </c>
      <c r="L57" s="7">
        <f t="shared" si="8"/>
        <v>3.328340822</v>
      </c>
      <c r="M57" s="7">
        <f t="shared" si="9"/>
        <v>300</v>
      </c>
      <c r="N57" s="7">
        <f t="shared" si="10"/>
        <v>4.992511233</v>
      </c>
      <c r="O57" s="7">
        <f t="shared" si="11"/>
        <v>400</v>
      </c>
      <c r="P57" s="7">
        <f t="shared" si="12"/>
        <v>6.656681644</v>
      </c>
      <c r="Q57" s="7">
        <f t="shared" si="13"/>
        <v>500</v>
      </c>
      <c r="R57" s="7">
        <f t="shared" si="14"/>
        <v>8.320852055</v>
      </c>
      <c r="S57" s="7">
        <f t="shared" si="15"/>
        <v>600</v>
      </c>
      <c r="T57" s="7">
        <f t="shared" si="16"/>
        <v>9.985022466</v>
      </c>
      <c r="U57" s="7">
        <f t="shared" si="17"/>
        <v>700</v>
      </c>
      <c r="V57" s="7">
        <f t="shared" si="18"/>
        <v>11.64919288</v>
      </c>
      <c r="W57" s="7">
        <f t="shared" si="19"/>
        <v>800</v>
      </c>
      <c r="X57" s="7">
        <f t="shared" si="20"/>
        <v>13.31336329</v>
      </c>
      <c r="Y57" s="7">
        <f t="shared" si="21"/>
        <v>900</v>
      </c>
      <c r="Z57" s="7">
        <f t="shared" si="22"/>
        <v>14.9775337</v>
      </c>
    </row>
    <row r="58">
      <c r="A58" s="30" t="str">
        <f>IFERROR(__xludf.DUMMYFUNCTION("""COMPUTED_VALUE"""),"2016 07")</f>
        <v>2016 07</v>
      </c>
      <c r="B58" s="30" t="str">
        <f>IFERROR(__xludf.DUMMYFUNCTION("""COMPUTED_VALUE"""),"57.19")</f>
        <v>57.19</v>
      </c>
      <c r="C58" s="13">
        <v>42552.0</v>
      </c>
      <c r="D58" s="12">
        <f>'Income per month'!B58</f>
        <v>1000</v>
      </c>
      <c r="E58" s="7">
        <f t="shared" si="1"/>
        <v>50</v>
      </c>
      <c r="F58" s="7">
        <f t="shared" si="2"/>
        <v>0.8742787201</v>
      </c>
      <c r="G58" s="7">
        <f t="shared" si="3"/>
        <v>100</v>
      </c>
      <c r="H58" s="7">
        <f t="shared" si="4"/>
        <v>1.74855744</v>
      </c>
      <c r="I58" s="7">
        <f t="shared" si="5"/>
        <v>150</v>
      </c>
      <c r="J58" s="7">
        <f t="shared" si="6"/>
        <v>2.62283616</v>
      </c>
      <c r="K58" s="7">
        <f t="shared" si="7"/>
        <v>200</v>
      </c>
      <c r="L58" s="7">
        <f t="shared" si="8"/>
        <v>3.49711488</v>
      </c>
      <c r="M58" s="7">
        <f t="shared" si="9"/>
        <v>300</v>
      </c>
      <c r="N58" s="7">
        <f t="shared" si="10"/>
        <v>5.24567232</v>
      </c>
      <c r="O58" s="7">
        <f t="shared" si="11"/>
        <v>400</v>
      </c>
      <c r="P58" s="7">
        <f t="shared" si="12"/>
        <v>6.99422976</v>
      </c>
      <c r="Q58" s="7">
        <f t="shared" si="13"/>
        <v>500</v>
      </c>
      <c r="R58" s="7">
        <f t="shared" si="14"/>
        <v>8.742787201</v>
      </c>
      <c r="S58" s="7">
        <f t="shared" si="15"/>
        <v>600</v>
      </c>
      <c r="T58" s="7">
        <f t="shared" si="16"/>
        <v>10.49134464</v>
      </c>
      <c r="U58" s="7">
        <f t="shared" si="17"/>
        <v>700</v>
      </c>
      <c r="V58" s="7">
        <f t="shared" si="18"/>
        <v>12.23990208</v>
      </c>
      <c r="W58" s="7">
        <f t="shared" si="19"/>
        <v>800</v>
      </c>
      <c r="X58" s="7">
        <f t="shared" si="20"/>
        <v>13.98845952</v>
      </c>
      <c r="Y58" s="7">
        <f t="shared" si="21"/>
        <v>900</v>
      </c>
      <c r="Z58" s="7">
        <f t="shared" si="22"/>
        <v>15.73701696</v>
      </c>
    </row>
    <row r="59">
      <c r="A59" s="30" t="str">
        <f>IFERROR(__xludf.DUMMYFUNCTION("""COMPUTED_VALUE"""),"2016 08")</f>
        <v>2016 08</v>
      </c>
      <c r="B59" s="30" t="str">
        <f>IFERROR(__xludf.DUMMYFUNCTION("""COMPUTED_VALUE"""),"59.27")</f>
        <v>59.27</v>
      </c>
      <c r="C59" s="13">
        <v>42583.0</v>
      </c>
      <c r="D59" s="12">
        <f>'Income per month'!B59</f>
        <v>1000</v>
      </c>
      <c r="E59" s="7">
        <f t="shared" si="1"/>
        <v>50</v>
      </c>
      <c r="F59" s="7">
        <f t="shared" si="2"/>
        <v>0.843597098</v>
      </c>
      <c r="G59" s="7">
        <f t="shared" si="3"/>
        <v>100</v>
      </c>
      <c r="H59" s="7">
        <f t="shared" si="4"/>
        <v>1.687194196</v>
      </c>
      <c r="I59" s="7">
        <f t="shared" si="5"/>
        <v>150</v>
      </c>
      <c r="J59" s="7">
        <f t="shared" si="6"/>
        <v>2.530791294</v>
      </c>
      <c r="K59" s="7">
        <f t="shared" si="7"/>
        <v>200</v>
      </c>
      <c r="L59" s="7">
        <f t="shared" si="8"/>
        <v>3.374388392</v>
      </c>
      <c r="M59" s="7">
        <f t="shared" si="9"/>
        <v>300</v>
      </c>
      <c r="N59" s="7">
        <f t="shared" si="10"/>
        <v>5.061582588</v>
      </c>
      <c r="O59" s="7">
        <f t="shared" si="11"/>
        <v>400</v>
      </c>
      <c r="P59" s="7">
        <f t="shared" si="12"/>
        <v>6.748776784</v>
      </c>
      <c r="Q59" s="7">
        <f t="shared" si="13"/>
        <v>500</v>
      </c>
      <c r="R59" s="7">
        <f t="shared" si="14"/>
        <v>8.43597098</v>
      </c>
      <c r="S59" s="7">
        <f t="shared" si="15"/>
        <v>600</v>
      </c>
      <c r="T59" s="7">
        <f t="shared" si="16"/>
        <v>10.12316518</v>
      </c>
      <c r="U59" s="7">
        <f t="shared" si="17"/>
        <v>700</v>
      </c>
      <c r="V59" s="7">
        <f t="shared" si="18"/>
        <v>11.81035937</v>
      </c>
      <c r="W59" s="7">
        <f t="shared" si="19"/>
        <v>800</v>
      </c>
      <c r="X59" s="7">
        <f t="shared" si="20"/>
        <v>13.49755357</v>
      </c>
      <c r="Y59" s="7">
        <f t="shared" si="21"/>
        <v>900</v>
      </c>
      <c r="Z59" s="7">
        <f t="shared" si="22"/>
        <v>15.18474776</v>
      </c>
    </row>
    <row r="60">
      <c r="A60" s="30" t="str">
        <f>IFERROR(__xludf.DUMMYFUNCTION("""COMPUTED_VALUE"""),"2016 09")</f>
        <v>2016 09</v>
      </c>
      <c r="B60" s="30" t="str">
        <f>IFERROR(__xludf.DUMMYFUNCTION("""COMPUTED_VALUE"""),"59.94")</f>
        <v>59.94</v>
      </c>
      <c r="C60" s="13">
        <v>42614.0</v>
      </c>
      <c r="D60" s="12">
        <f>'Income per month'!B60</f>
        <v>1000</v>
      </c>
      <c r="E60" s="7">
        <f t="shared" si="1"/>
        <v>50</v>
      </c>
      <c r="F60" s="7">
        <f t="shared" si="2"/>
        <v>0.8341675008</v>
      </c>
      <c r="G60" s="7">
        <f t="shared" si="3"/>
        <v>100</v>
      </c>
      <c r="H60" s="7">
        <f t="shared" si="4"/>
        <v>1.668335002</v>
      </c>
      <c r="I60" s="7">
        <f t="shared" si="5"/>
        <v>150</v>
      </c>
      <c r="J60" s="7">
        <f t="shared" si="6"/>
        <v>2.502502503</v>
      </c>
      <c r="K60" s="7">
        <f t="shared" si="7"/>
        <v>200</v>
      </c>
      <c r="L60" s="7">
        <f t="shared" si="8"/>
        <v>3.336670003</v>
      </c>
      <c r="M60" s="7">
        <f t="shared" si="9"/>
        <v>300</v>
      </c>
      <c r="N60" s="7">
        <f t="shared" si="10"/>
        <v>5.005005005</v>
      </c>
      <c r="O60" s="7">
        <f t="shared" si="11"/>
        <v>400</v>
      </c>
      <c r="P60" s="7">
        <f t="shared" si="12"/>
        <v>6.673340007</v>
      </c>
      <c r="Q60" s="7">
        <f t="shared" si="13"/>
        <v>500</v>
      </c>
      <c r="R60" s="7">
        <f t="shared" si="14"/>
        <v>8.341675008</v>
      </c>
      <c r="S60" s="7">
        <f t="shared" si="15"/>
        <v>600</v>
      </c>
      <c r="T60" s="7">
        <f t="shared" si="16"/>
        <v>10.01001001</v>
      </c>
      <c r="U60" s="7">
        <f t="shared" si="17"/>
        <v>700</v>
      </c>
      <c r="V60" s="7">
        <f t="shared" si="18"/>
        <v>11.67834501</v>
      </c>
      <c r="W60" s="7">
        <f t="shared" si="19"/>
        <v>800</v>
      </c>
      <c r="X60" s="7">
        <f t="shared" si="20"/>
        <v>13.34668001</v>
      </c>
      <c r="Y60" s="7">
        <f t="shared" si="21"/>
        <v>900</v>
      </c>
      <c r="Z60" s="7">
        <f t="shared" si="22"/>
        <v>15.01501502</v>
      </c>
    </row>
    <row r="61">
      <c r="A61" s="30" t="str">
        <f>IFERROR(__xludf.DUMMYFUNCTION("""COMPUTED_VALUE"""),"2016 10")</f>
        <v>2016 10</v>
      </c>
      <c r="B61" s="30" t="str">
        <f>IFERROR(__xludf.DUMMYFUNCTION("""COMPUTED_VALUE"""),"59.5")</f>
        <v>59.5</v>
      </c>
      <c r="C61" s="13">
        <v>42644.0</v>
      </c>
      <c r="D61" s="12">
        <f>'Income per month'!B61</f>
        <v>1000</v>
      </c>
      <c r="E61" s="7">
        <f t="shared" si="1"/>
        <v>50</v>
      </c>
      <c r="F61" s="7">
        <f t="shared" si="2"/>
        <v>0.8403361345</v>
      </c>
      <c r="G61" s="7">
        <f t="shared" si="3"/>
        <v>100</v>
      </c>
      <c r="H61" s="7">
        <f t="shared" si="4"/>
        <v>1.680672269</v>
      </c>
      <c r="I61" s="7">
        <f t="shared" si="5"/>
        <v>150</v>
      </c>
      <c r="J61" s="7">
        <f t="shared" si="6"/>
        <v>2.521008403</v>
      </c>
      <c r="K61" s="7">
        <f t="shared" si="7"/>
        <v>200</v>
      </c>
      <c r="L61" s="7">
        <f t="shared" si="8"/>
        <v>3.361344538</v>
      </c>
      <c r="M61" s="7">
        <f t="shared" si="9"/>
        <v>300</v>
      </c>
      <c r="N61" s="7">
        <f t="shared" si="10"/>
        <v>5.042016807</v>
      </c>
      <c r="O61" s="7">
        <f t="shared" si="11"/>
        <v>400</v>
      </c>
      <c r="P61" s="7">
        <f t="shared" si="12"/>
        <v>6.722689076</v>
      </c>
      <c r="Q61" s="7">
        <f t="shared" si="13"/>
        <v>500</v>
      </c>
      <c r="R61" s="7">
        <f t="shared" si="14"/>
        <v>8.403361345</v>
      </c>
      <c r="S61" s="7">
        <f t="shared" si="15"/>
        <v>600</v>
      </c>
      <c r="T61" s="7">
        <f t="shared" si="16"/>
        <v>10.08403361</v>
      </c>
      <c r="U61" s="7">
        <f t="shared" si="17"/>
        <v>700</v>
      </c>
      <c r="V61" s="7">
        <f t="shared" si="18"/>
        <v>11.76470588</v>
      </c>
      <c r="W61" s="7">
        <f t="shared" si="19"/>
        <v>800</v>
      </c>
      <c r="X61" s="7">
        <f t="shared" si="20"/>
        <v>13.44537815</v>
      </c>
      <c r="Y61" s="7">
        <f t="shared" si="21"/>
        <v>900</v>
      </c>
      <c r="Z61" s="7">
        <f t="shared" si="22"/>
        <v>15.12605042</v>
      </c>
    </row>
    <row r="62">
      <c r="A62" s="30" t="str">
        <f>IFERROR(__xludf.DUMMYFUNCTION("""COMPUTED_VALUE"""),"2016 11")</f>
        <v>2016 11</v>
      </c>
      <c r="B62" s="30" t="str">
        <f>IFERROR(__xludf.DUMMYFUNCTION("""COMPUTED_VALUE"""),"58.63")</f>
        <v>58.63</v>
      </c>
      <c r="C62" s="13">
        <v>42675.0</v>
      </c>
      <c r="D62" s="12">
        <f>'Income per month'!B62</f>
        <v>1000</v>
      </c>
      <c r="E62" s="7">
        <f t="shared" si="1"/>
        <v>50</v>
      </c>
      <c r="F62" s="7">
        <f t="shared" si="2"/>
        <v>0.8528057309</v>
      </c>
      <c r="G62" s="7">
        <f t="shared" si="3"/>
        <v>100</v>
      </c>
      <c r="H62" s="7">
        <f t="shared" si="4"/>
        <v>1.705611462</v>
      </c>
      <c r="I62" s="7">
        <f t="shared" si="5"/>
        <v>150</v>
      </c>
      <c r="J62" s="7">
        <f t="shared" si="6"/>
        <v>2.558417193</v>
      </c>
      <c r="K62" s="7">
        <f t="shared" si="7"/>
        <v>200</v>
      </c>
      <c r="L62" s="7">
        <f t="shared" si="8"/>
        <v>3.411222923</v>
      </c>
      <c r="M62" s="7">
        <f t="shared" si="9"/>
        <v>300</v>
      </c>
      <c r="N62" s="7">
        <f t="shared" si="10"/>
        <v>5.116834385</v>
      </c>
      <c r="O62" s="7">
        <f t="shared" si="11"/>
        <v>400</v>
      </c>
      <c r="P62" s="7">
        <f t="shared" si="12"/>
        <v>6.822445847</v>
      </c>
      <c r="Q62" s="7">
        <f t="shared" si="13"/>
        <v>500</v>
      </c>
      <c r="R62" s="7">
        <f t="shared" si="14"/>
        <v>8.528057309</v>
      </c>
      <c r="S62" s="7">
        <f t="shared" si="15"/>
        <v>600</v>
      </c>
      <c r="T62" s="7">
        <f t="shared" si="16"/>
        <v>10.23366877</v>
      </c>
      <c r="U62" s="7">
        <f t="shared" si="17"/>
        <v>700</v>
      </c>
      <c r="V62" s="7">
        <f t="shared" si="18"/>
        <v>11.93928023</v>
      </c>
      <c r="W62" s="7">
        <f t="shared" si="19"/>
        <v>800</v>
      </c>
      <c r="X62" s="7">
        <f t="shared" si="20"/>
        <v>13.64489169</v>
      </c>
      <c r="Y62" s="7">
        <f t="shared" si="21"/>
        <v>900</v>
      </c>
      <c r="Z62" s="7">
        <f t="shared" si="22"/>
        <v>15.35050316</v>
      </c>
    </row>
    <row r="63">
      <c r="A63" s="30" t="str">
        <f>IFERROR(__xludf.DUMMYFUNCTION("""COMPUTED_VALUE"""),"2016 12")</f>
        <v>2016 12</v>
      </c>
      <c r="B63" s="30" t="str">
        <f>IFERROR(__xludf.DUMMYFUNCTION("""COMPUTED_VALUE"""),"59.11")</f>
        <v>59.11</v>
      </c>
      <c r="C63" s="14">
        <v>42705.0</v>
      </c>
      <c r="D63" s="12">
        <f>'Income per month'!B63</f>
        <v>1000</v>
      </c>
      <c r="E63" s="7">
        <f t="shared" si="1"/>
        <v>50</v>
      </c>
      <c r="F63" s="7">
        <f t="shared" si="2"/>
        <v>0.8458805617</v>
      </c>
      <c r="G63" s="7">
        <f t="shared" si="3"/>
        <v>100</v>
      </c>
      <c r="H63" s="7">
        <f t="shared" si="4"/>
        <v>1.691761123</v>
      </c>
      <c r="I63" s="7">
        <f t="shared" si="5"/>
        <v>150</v>
      </c>
      <c r="J63" s="7">
        <f t="shared" si="6"/>
        <v>2.537641685</v>
      </c>
      <c r="K63" s="7">
        <f t="shared" si="7"/>
        <v>200</v>
      </c>
      <c r="L63" s="7">
        <f t="shared" si="8"/>
        <v>3.383522247</v>
      </c>
      <c r="M63" s="7">
        <f t="shared" si="9"/>
        <v>300</v>
      </c>
      <c r="N63" s="7">
        <f t="shared" si="10"/>
        <v>5.07528337</v>
      </c>
      <c r="O63" s="7">
        <f t="shared" si="11"/>
        <v>400</v>
      </c>
      <c r="P63" s="7">
        <f t="shared" si="12"/>
        <v>6.767044493</v>
      </c>
      <c r="Q63" s="7">
        <f t="shared" si="13"/>
        <v>500</v>
      </c>
      <c r="R63" s="7">
        <f t="shared" si="14"/>
        <v>8.458805617</v>
      </c>
      <c r="S63" s="7">
        <f t="shared" si="15"/>
        <v>600</v>
      </c>
      <c r="T63" s="7">
        <f t="shared" si="16"/>
        <v>10.15056674</v>
      </c>
      <c r="U63" s="7">
        <f t="shared" si="17"/>
        <v>700</v>
      </c>
      <c r="V63" s="7">
        <f t="shared" si="18"/>
        <v>11.84232786</v>
      </c>
      <c r="W63" s="7">
        <f t="shared" si="19"/>
        <v>800</v>
      </c>
      <c r="X63" s="7">
        <f t="shared" si="20"/>
        <v>13.53408899</v>
      </c>
      <c r="Y63" s="7">
        <f t="shared" si="21"/>
        <v>900</v>
      </c>
      <c r="Z63" s="7">
        <f t="shared" si="22"/>
        <v>15.22585011</v>
      </c>
    </row>
    <row r="64">
      <c r="A64" s="30" t="str">
        <f>IFERROR(__xludf.DUMMYFUNCTION("""COMPUTED_VALUE"""),"2017 01")</f>
        <v>2017 01</v>
      </c>
      <c r="B64" s="30" t="str">
        <f>IFERROR(__xludf.DUMMYFUNCTION("""COMPUTED_VALUE"""),"61.49")</f>
        <v>61.49</v>
      </c>
      <c r="C64" s="13">
        <v>42736.0</v>
      </c>
      <c r="D64" s="12">
        <f>'Income per month'!B64</f>
        <v>1000</v>
      </c>
      <c r="E64" s="7">
        <f t="shared" si="1"/>
        <v>50</v>
      </c>
      <c r="F64" s="7">
        <f t="shared" si="2"/>
        <v>0.813140348</v>
      </c>
      <c r="G64" s="7">
        <f t="shared" si="3"/>
        <v>100</v>
      </c>
      <c r="H64" s="7">
        <f t="shared" si="4"/>
        <v>1.626280696</v>
      </c>
      <c r="I64" s="7">
        <f t="shared" si="5"/>
        <v>150</v>
      </c>
      <c r="J64" s="7">
        <f t="shared" si="6"/>
        <v>2.439421044</v>
      </c>
      <c r="K64" s="7">
        <f t="shared" si="7"/>
        <v>200</v>
      </c>
      <c r="L64" s="7">
        <f t="shared" si="8"/>
        <v>3.252561392</v>
      </c>
      <c r="M64" s="7">
        <f t="shared" si="9"/>
        <v>300</v>
      </c>
      <c r="N64" s="7">
        <f t="shared" si="10"/>
        <v>4.878842088</v>
      </c>
      <c r="O64" s="7">
        <f t="shared" si="11"/>
        <v>400</v>
      </c>
      <c r="P64" s="7">
        <f t="shared" si="12"/>
        <v>6.505122784</v>
      </c>
      <c r="Q64" s="7">
        <f t="shared" si="13"/>
        <v>500</v>
      </c>
      <c r="R64" s="7">
        <f t="shared" si="14"/>
        <v>8.13140348</v>
      </c>
      <c r="S64" s="7">
        <f t="shared" si="15"/>
        <v>600</v>
      </c>
      <c r="T64" s="7">
        <f t="shared" si="16"/>
        <v>9.757684176</v>
      </c>
      <c r="U64" s="7">
        <f t="shared" si="17"/>
        <v>700</v>
      </c>
      <c r="V64" s="7">
        <f t="shared" si="18"/>
        <v>11.38396487</v>
      </c>
      <c r="W64" s="7">
        <f t="shared" si="19"/>
        <v>800</v>
      </c>
      <c r="X64" s="7">
        <f t="shared" si="20"/>
        <v>13.01024557</v>
      </c>
      <c r="Y64" s="7">
        <f t="shared" si="21"/>
        <v>900</v>
      </c>
      <c r="Z64" s="7">
        <f t="shared" si="22"/>
        <v>14.63652626</v>
      </c>
    </row>
    <row r="65">
      <c r="A65" s="30" t="str">
        <f>IFERROR(__xludf.DUMMYFUNCTION("""COMPUTED_VALUE"""),"2017 02")</f>
        <v>2017 02</v>
      </c>
      <c r="B65" s="30" t="str">
        <f>IFERROR(__xludf.DUMMYFUNCTION("""COMPUTED_VALUE"""),"60.81")</f>
        <v>60.81</v>
      </c>
      <c r="C65" s="13">
        <v>42767.0</v>
      </c>
      <c r="D65" s="12">
        <f>'Income per month'!B65</f>
        <v>1000</v>
      </c>
      <c r="E65" s="7">
        <f t="shared" si="1"/>
        <v>50</v>
      </c>
      <c r="F65" s="7">
        <f t="shared" si="2"/>
        <v>0.8222331853</v>
      </c>
      <c r="G65" s="7">
        <f t="shared" si="3"/>
        <v>100</v>
      </c>
      <c r="H65" s="7">
        <f t="shared" si="4"/>
        <v>1.644466371</v>
      </c>
      <c r="I65" s="7">
        <f t="shared" si="5"/>
        <v>150</v>
      </c>
      <c r="J65" s="7">
        <f t="shared" si="6"/>
        <v>2.466699556</v>
      </c>
      <c r="K65" s="7">
        <f t="shared" si="7"/>
        <v>200</v>
      </c>
      <c r="L65" s="7">
        <f t="shared" si="8"/>
        <v>3.288932741</v>
      </c>
      <c r="M65" s="7">
        <f t="shared" si="9"/>
        <v>300</v>
      </c>
      <c r="N65" s="7">
        <f t="shared" si="10"/>
        <v>4.933399112</v>
      </c>
      <c r="O65" s="7">
        <f t="shared" si="11"/>
        <v>400</v>
      </c>
      <c r="P65" s="7">
        <f t="shared" si="12"/>
        <v>6.577865483</v>
      </c>
      <c r="Q65" s="7">
        <f t="shared" si="13"/>
        <v>500</v>
      </c>
      <c r="R65" s="7">
        <f t="shared" si="14"/>
        <v>8.222331853</v>
      </c>
      <c r="S65" s="7">
        <f t="shared" si="15"/>
        <v>600</v>
      </c>
      <c r="T65" s="7">
        <f t="shared" si="16"/>
        <v>9.866798224</v>
      </c>
      <c r="U65" s="7">
        <f t="shared" si="17"/>
        <v>700</v>
      </c>
      <c r="V65" s="7">
        <f t="shared" si="18"/>
        <v>11.51126459</v>
      </c>
      <c r="W65" s="7">
        <f t="shared" si="19"/>
        <v>800</v>
      </c>
      <c r="X65" s="7">
        <f t="shared" si="20"/>
        <v>13.15573097</v>
      </c>
      <c r="Y65" s="7">
        <f t="shared" si="21"/>
        <v>900</v>
      </c>
      <c r="Z65" s="7">
        <f t="shared" si="22"/>
        <v>14.80019734</v>
      </c>
    </row>
    <row r="66">
      <c r="A66" s="30" t="str">
        <f>IFERROR(__xludf.DUMMYFUNCTION("""COMPUTED_VALUE"""),"2017 03")</f>
        <v>2017 03</v>
      </c>
      <c r="B66" s="30" t="str">
        <f>IFERROR(__xludf.DUMMYFUNCTION("""COMPUTED_VALUE"""),"60.8")</f>
        <v>60.8</v>
      </c>
      <c r="C66" s="13">
        <v>42795.0</v>
      </c>
      <c r="D66" s="12">
        <f>'Income per month'!B66</f>
        <v>1000</v>
      </c>
      <c r="E66" s="7">
        <f t="shared" si="1"/>
        <v>50</v>
      </c>
      <c r="F66" s="7">
        <f t="shared" si="2"/>
        <v>0.8223684211</v>
      </c>
      <c r="G66" s="7">
        <f t="shared" si="3"/>
        <v>100</v>
      </c>
      <c r="H66" s="7">
        <f t="shared" si="4"/>
        <v>1.644736842</v>
      </c>
      <c r="I66" s="7">
        <f t="shared" si="5"/>
        <v>150</v>
      </c>
      <c r="J66" s="7">
        <f t="shared" si="6"/>
        <v>2.467105263</v>
      </c>
      <c r="K66" s="7">
        <f t="shared" si="7"/>
        <v>200</v>
      </c>
      <c r="L66" s="7">
        <f t="shared" si="8"/>
        <v>3.289473684</v>
      </c>
      <c r="M66" s="7">
        <f t="shared" si="9"/>
        <v>300</v>
      </c>
      <c r="N66" s="7">
        <f t="shared" si="10"/>
        <v>4.934210526</v>
      </c>
      <c r="O66" s="7">
        <f t="shared" si="11"/>
        <v>400</v>
      </c>
      <c r="P66" s="7">
        <f t="shared" si="12"/>
        <v>6.578947368</v>
      </c>
      <c r="Q66" s="7">
        <f t="shared" si="13"/>
        <v>500</v>
      </c>
      <c r="R66" s="7">
        <f t="shared" si="14"/>
        <v>8.223684211</v>
      </c>
      <c r="S66" s="7">
        <f t="shared" si="15"/>
        <v>600</v>
      </c>
      <c r="T66" s="7">
        <f t="shared" si="16"/>
        <v>9.868421053</v>
      </c>
      <c r="U66" s="7">
        <f t="shared" si="17"/>
        <v>700</v>
      </c>
      <c r="V66" s="7">
        <f t="shared" si="18"/>
        <v>11.51315789</v>
      </c>
      <c r="W66" s="7">
        <f t="shared" si="19"/>
        <v>800</v>
      </c>
      <c r="X66" s="7">
        <f t="shared" si="20"/>
        <v>13.15789474</v>
      </c>
      <c r="Y66" s="7">
        <f t="shared" si="21"/>
        <v>900</v>
      </c>
      <c r="Z66" s="7">
        <f t="shared" si="22"/>
        <v>14.80263158</v>
      </c>
    </row>
    <row r="67">
      <c r="A67" s="30" t="str">
        <f>IFERROR(__xludf.DUMMYFUNCTION("""COMPUTED_VALUE"""),"2017 04")</f>
        <v>2017 04</v>
      </c>
      <c r="B67" s="30" t="str">
        <f>IFERROR(__xludf.DUMMYFUNCTION("""COMPUTED_VALUE"""),"63.08")</f>
        <v>63.08</v>
      </c>
      <c r="C67" s="13">
        <v>42826.0</v>
      </c>
      <c r="D67" s="12">
        <f>'Income per month'!B67</f>
        <v>1000</v>
      </c>
      <c r="E67" s="7">
        <f t="shared" si="1"/>
        <v>50</v>
      </c>
      <c r="F67" s="7">
        <f t="shared" si="2"/>
        <v>0.7926442613</v>
      </c>
      <c r="G67" s="7">
        <f t="shared" si="3"/>
        <v>100</v>
      </c>
      <c r="H67" s="7">
        <f t="shared" si="4"/>
        <v>1.585288523</v>
      </c>
      <c r="I67" s="7">
        <f t="shared" si="5"/>
        <v>150</v>
      </c>
      <c r="J67" s="7">
        <f t="shared" si="6"/>
        <v>2.377932784</v>
      </c>
      <c r="K67" s="7">
        <f t="shared" si="7"/>
        <v>200</v>
      </c>
      <c r="L67" s="7">
        <f t="shared" si="8"/>
        <v>3.170577045</v>
      </c>
      <c r="M67" s="7">
        <f t="shared" si="9"/>
        <v>300</v>
      </c>
      <c r="N67" s="7">
        <f t="shared" si="10"/>
        <v>4.755865568</v>
      </c>
      <c r="O67" s="7">
        <f t="shared" si="11"/>
        <v>400</v>
      </c>
      <c r="P67" s="7">
        <f t="shared" si="12"/>
        <v>6.34115409</v>
      </c>
      <c r="Q67" s="7">
        <f t="shared" si="13"/>
        <v>500</v>
      </c>
      <c r="R67" s="7">
        <f t="shared" si="14"/>
        <v>7.926442613</v>
      </c>
      <c r="S67" s="7">
        <f t="shared" si="15"/>
        <v>600</v>
      </c>
      <c r="T67" s="7">
        <f t="shared" si="16"/>
        <v>9.511731135</v>
      </c>
      <c r="U67" s="7">
        <f t="shared" si="17"/>
        <v>700</v>
      </c>
      <c r="V67" s="7">
        <f t="shared" si="18"/>
        <v>11.09701966</v>
      </c>
      <c r="W67" s="7">
        <f t="shared" si="19"/>
        <v>800</v>
      </c>
      <c r="X67" s="7">
        <f t="shared" si="20"/>
        <v>12.68230818</v>
      </c>
      <c r="Y67" s="7">
        <f t="shared" si="21"/>
        <v>900</v>
      </c>
      <c r="Z67" s="7">
        <f t="shared" si="22"/>
        <v>14.2675967</v>
      </c>
    </row>
    <row r="68">
      <c r="A68" s="30" t="str">
        <f>IFERROR(__xludf.DUMMYFUNCTION("""COMPUTED_VALUE"""),"2017 05")</f>
        <v>2017 05</v>
      </c>
      <c r="B68" s="30" t="str">
        <f>IFERROR(__xludf.DUMMYFUNCTION("""COMPUTED_VALUE"""),"65.21")</f>
        <v>65.21</v>
      </c>
      <c r="C68" s="13">
        <v>42856.0</v>
      </c>
      <c r="D68" s="12">
        <f>'Income per month'!B68</f>
        <v>1000</v>
      </c>
      <c r="E68" s="7">
        <f t="shared" si="1"/>
        <v>50</v>
      </c>
      <c r="F68" s="7">
        <f t="shared" si="2"/>
        <v>0.7667535654</v>
      </c>
      <c r="G68" s="7">
        <f t="shared" si="3"/>
        <v>100</v>
      </c>
      <c r="H68" s="7">
        <f t="shared" si="4"/>
        <v>1.533507131</v>
      </c>
      <c r="I68" s="7">
        <f t="shared" si="5"/>
        <v>150</v>
      </c>
      <c r="J68" s="7">
        <f t="shared" si="6"/>
        <v>2.300260696</v>
      </c>
      <c r="K68" s="7">
        <f t="shared" si="7"/>
        <v>200</v>
      </c>
      <c r="L68" s="7">
        <f t="shared" si="8"/>
        <v>3.067014262</v>
      </c>
      <c r="M68" s="7">
        <f t="shared" si="9"/>
        <v>300</v>
      </c>
      <c r="N68" s="7">
        <f t="shared" si="10"/>
        <v>4.600521392</v>
      </c>
      <c r="O68" s="7">
        <f t="shared" si="11"/>
        <v>400</v>
      </c>
      <c r="P68" s="7">
        <f t="shared" si="12"/>
        <v>6.134028523</v>
      </c>
      <c r="Q68" s="7">
        <f t="shared" si="13"/>
        <v>500</v>
      </c>
      <c r="R68" s="7">
        <f t="shared" si="14"/>
        <v>7.667535654</v>
      </c>
      <c r="S68" s="7">
        <f t="shared" si="15"/>
        <v>600</v>
      </c>
      <c r="T68" s="7">
        <f t="shared" si="16"/>
        <v>9.201042785</v>
      </c>
      <c r="U68" s="7">
        <f t="shared" si="17"/>
        <v>700</v>
      </c>
      <c r="V68" s="7">
        <f t="shared" si="18"/>
        <v>10.73454992</v>
      </c>
      <c r="W68" s="7">
        <f t="shared" si="19"/>
        <v>800</v>
      </c>
      <c r="X68" s="7">
        <f t="shared" si="20"/>
        <v>12.26805705</v>
      </c>
      <c r="Y68" s="7">
        <f t="shared" si="21"/>
        <v>900</v>
      </c>
      <c r="Z68" s="7">
        <f t="shared" si="22"/>
        <v>13.80156418</v>
      </c>
    </row>
    <row r="69">
      <c r="A69" s="30" t="str">
        <f>IFERROR(__xludf.DUMMYFUNCTION("""COMPUTED_VALUE"""),"2017 06")</f>
        <v>2017 06</v>
      </c>
      <c r="B69" s="30" t="str">
        <f>IFERROR(__xludf.DUMMYFUNCTION("""COMPUTED_VALUE"""),"68.99")</f>
        <v>68.99</v>
      </c>
      <c r="C69" s="13">
        <v>42887.0</v>
      </c>
      <c r="D69" s="12">
        <f>'Income per month'!B69</f>
        <v>1000</v>
      </c>
      <c r="E69" s="7">
        <f t="shared" si="1"/>
        <v>50</v>
      </c>
      <c r="F69" s="7">
        <f t="shared" si="2"/>
        <v>0.7247427163</v>
      </c>
      <c r="G69" s="7">
        <f t="shared" si="3"/>
        <v>100</v>
      </c>
      <c r="H69" s="7">
        <f t="shared" si="4"/>
        <v>1.449485433</v>
      </c>
      <c r="I69" s="7">
        <f t="shared" si="5"/>
        <v>150</v>
      </c>
      <c r="J69" s="7">
        <f t="shared" si="6"/>
        <v>2.174228149</v>
      </c>
      <c r="K69" s="7">
        <f t="shared" si="7"/>
        <v>200</v>
      </c>
      <c r="L69" s="7">
        <f t="shared" si="8"/>
        <v>2.898970865</v>
      </c>
      <c r="M69" s="7">
        <f t="shared" si="9"/>
        <v>300</v>
      </c>
      <c r="N69" s="7">
        <f t="shared" si="10"/>
        <v>4.348456298</v>
      </c>
      <c r="O69" s="7">
        <f t="shared" si="11"/>
        <v>400</v>
      </c>
      <c r="P69" s="7">
        <f t="shared" si="12"/>
        <v>5.797941731</v>
      </c>
      <c r="Q69" s="7">
        <f t="shared" si="13"/>
        <v>500</v>
      </c>
      <c r="R69" s="7">
        <f t="shared" si="14"/>
        <v>7.247427163</v>
      </c>
      <c r="S69" s="7">
        <f t="shared" si="15"/>
        <v>600</v>
      </c>
      <c r="T69" s="7">
        <f t="shared" si="16"/>
        <v>8.696912596</v>
      </c>
      <c r="U69" s="7">
        <f t="shared" si="17"/>
        <v>700</v>
      </c>
      <c r="V69" s="7">
        <f t="shared" si="18"/>
        <v>10.14639803</v>
      </c>
      <c r="W69" s="7">
        <f t="shared" si="19"/>
        <v>800</v>
      </c>
      <c r="X69" s="7">
        <f t="shared" si="20"/>
        <v>11.59588346</v>
      </c>
      <c r="Y69" s="7">
        <f t="shared" si="21"/>
        <v>900</v>
      </c>
      <c r="Z69" s="7">
        <f t="shared" si="22"/>
        <v>13.04536889</v>
      </c>
    </row>
    <row r="70">
      <c r="A70" s="30" t="str">
        <f>IFERROR(__xludf.DUMMYFUNCTION("""COMPUTED_VALUE"""),"2017 07")</f>
        <v>2017 07</v>
      </c>
      <c r="B70" s="30" t="str">
        <f>IFERROR(__xludf.DUMMYFUNCTION("""COMPUTED_VALUE"""),"65.3")</f>
        <v>65.3</v>
      </c>
      <c r="C70" s="13">
        <v>42917.0</v>
      </c>
      <c r="D70" s="12">
        <f>'Income per month'!B70</f>
        <v>1000</v>
      </c>
      <c r="E70" s="7">
        <f t="shared" si="1"/>
        <v>50</v>
      </c>
      <c r="F70" s="7">
        <f t="shared" si="2"/>
        <v>0.7656967841</v>
      </c>
      <c r="G70" s="7">
        <f t="shared" si="3"/>
        <v>100</v>
      </c>
      <c r="H70" s="7">
        <f t="shared" si="4"/>
        <v>1.531393568</v>
      </c>
      <c r="I70" s="7">
        <f t="shared" si="5"/>
        <v>150</v>
      </c>
      <c r="J70" s="7">
        <f t="shared" si="6"/>
        <v>2.297090352</v>
      </c>
      <c r="K70" s="7">
        <f t="shared" si="7"/>
        <v>200</v>
      </c>
      <c r="L70" s="7">
        <f t="shared" si="8"/>
        <v>3.062787136</v>
      </c>
      <c r="M70" s="7">
        <f t="shared" si="9"/>
        <v>300</v>
      </c>
      <c r="N70" s="7">
        <f t="shared" si="10"/>
        <v>4.594180704</v>
      </c>
      <c r="O70" s="7">
        <f t="shared" si="11"/>
        <v>400</v>
      </c>
      <c r="P70" s="7">
        <f t="shared" si="12"/>
        <v>6.125574273</v>
      </c>
      <c r="Q70" s="7">
        <f t="shared" si="13"/>
        <v>500</v>
      </c>
      <c r="R70" s="7">
        <f t="shared" si="14"/>
        <v>7.656967841</v>
      </c>
      <c r="S70" s="7">
        <f t="shared" si="15"/>
        <v>600</v>
      </c>
      <c r="T70" s="7">
        <f t="shared" si="16"/>
        <v>9.188361409</v>
      </c>
      <c r="U70" s="7">
        <f t="shared" si="17"/>
        <v>700</v>
      </c>
      <c r="V70" s="7">
        <f t="shared" si="18"/>
        <v>10.71975498</v>
      </c>
      <c r="W70" s="7">
        <f t="shared" si="19"/>
        <v>800</v>
      </c>
      <c r="X70" s="7">
        <f t="shared" si="20"/>
        <v>12.25114855</v>
      </c>
      <c r="Y70" s="7">
        <f t="shared" si="21"/>
        <v>900</v>
      </c>
      <c r="Z70" s="7">
        <f t="shared" si="22"/>
        <v>13.78254211</v>
      </c>
    </row>
    <row r="71">
      <c r="A71" s="30" t="str">
        <f>IFERROR(__xludf.DUMMYFUNCTION("""COMPUTED_VALUE"""),"2017 08")</f>
        <v>2017 08</v>
      </c>
      <c r="B71" s="30" t="str">
        <f>IFERROR(__xludf.DUMMYFUNCTION("""COMPUTED_VALUE"""),"64.93")</f>
        <v>64.93</v>
      </c>
      <c r="C71" s="13">
        <v>42948.0</v>
      </c>
      <c r="D71" s="12">
        <f>'Income per month'!B71</f>
        <v>1000</v>
      </c>
      <c r="E71" s="7">
        <f t="shared" si="1"/>
        <v>50</v>
      </c>
      <c r="F71" s="7">
        <f t="shared" si="2"/>
        <v>0.7700600647</v>
      </c>
      <c r="G71" s="7">
        <f t="shared" si="3"/>
        <v>100</v>
      </c>
      <c r="H71" s="7">
        <f t="shared" si="4"/>
        <v>1.540120129</v>
      </c>
      <c r="I71" s="7">
        <f t="shared" si="5"/>
        <v>150</v>
      </c>
      <c r="J71" s="7">
        <f t="shared" si="6"/>
        <v>2.310180194</v>
      </c>
      <c r="K71" s="7">
        <f t="shared" si="7"/>
        <v>200</v>
      </c>
      <c r="L71" s="7">
        <f t="shared" si="8"/>
        <v>3.080240259</v>
      </c>
      <c r="M71" s="7">
        <f t="shared" si="9"/>
        <v>300</v>
      </c>
      <c r="N71" s="7">
        <f t="shared" si="10"/>
        <v>4.620360388</v>
      </c>
      <c r="O71" s="7">
        <f t="shared" si="11"/>
        <v>400</v>
      </c>
      <c r="P71" s="7">
        <f t="shared" si="12"/>
        <v>6.160480517</v>
      </c>
      <c r="Q71" s="7">
        <f t="shared" si="13"/>
        <v>500</v>
      </c>
      <c r="R71" s="7">
        <f t="shared" si="14"/>
        <v>7.700600647</v>
      </c>
      <c r="S71" s="7">
        <f t="shared" si="15"/>
        <v>600</v>
      </c>
      <c r="T71" s="7">
        <f t="shared" si="16"/>
        <v>9.240720776</v>
      </c>
      <c r="U71" s="7">
        <f t="shared" si="17"/>
        <v>700</v>
      </c>
      <c r="V71" s="7">
        <f t="shared" si="18"/>
        <v>10.78084091</v>
      </c>
      <c r="W71" s="7">
        <f t="shared" si="19"/>
        <v>800</v>
      </c>
      <c r="X71" s="7">
        <f t="shared" si="20"/>
        <v>12.32096103</v>
      </c>
      <c r="Y71" s="7">
        <f t="shared" si="21"/>
        <v>900</v>
      </c>
      <c r="Z71" s="7">
        <f t="shared" si="22"/>
        <v>13.86108116</v>
      </c>
    </row>
    <row r="72">
      <c r="A72" s="30" t="str">
        <f>IFERROR(__xludf.DUMMYFUNCTION("""COMPUTED_VALUE"""),"2017 09")</f>
        <v>2017 09</v>
      </c>
      <c r="B72" s="30" t="str">
        <f>IFERROR(__xludf.DUMMYFUNCTION("""COMPUTED_VALUE"""),"65.62")</f>
        <v>65.62</v>
      </c>
      <c r="C72" s="13">
        <v>42979.0</v>
      </c>
      <c r="D72" s="12">
        <f>'Income per month'!B72</f>
        <v>1000</v>
      </c>
      <c r="E72" s="7">
        <f t="shared" si="1"/>
        <v>50</v>
      </c>
      <c r="F72" s="7">
        <f t="shared" si="2"/>
        <v>0.7619628162</v>
      </c>
      <c r="G72" s="7">
        <f t="shared" si="3"/>
        <v>100</v>
      </c>
      <c r="H72" s="7">
        <f t="shared" si="4"/>
        <v>1.523925632</v>
      </c>
      <c r="I72" s="7">
        <f t="shared" si="5"/>
        <v>150</v>
      </c>
      <c r="J72" s="7">
        <f t="shared" si="6"/>
        <v>2.285888449</v>
      </c>
      <c r="K72" s="7">
        <f t="shared" si="7"/>
        <v>200</v>
      </c>
      <c r="L72" s="7">
        <f t="shared" si="8"/>
        <v>3.047851265</v>
      </c>
      <c r="M72" s="7">
        <f t="shared" si="9"/>
        <v>300</v>
      </c>
      <c r="N72" s="7">
        <f t="shared" si="10"/>
        <v>4.571776897</v>
      </c>
      <c r="O72" s="7">
        <f t="shared" si="11"/>
        <v>400</v>
      </c>
      <c r="P72" s="7">
        <f t="shared" si="12"/>
        <v>6.09570253</v>
      </c>
      <c r="Q72" s="7">
        <f t="shared" si="13"/>
        <v>500</v>
      </c>
      <c r="R72" s="7">
        <f t="shared" si="14"/>
        <v>7.619628162</v>
      </c>
      <c r="S72" s="7">
        <f t="shared" si="15"/>
        <v>600</v>
      </c>
      <c r="T72" s="7">
        <f t="shared" si="16"/>
        <v>9.143553795</v>
      </c>
      <c r="U72" s="7">
        <f t="shared" si="17"/>
        <v>700</v>
      </c>
      <c r="V72" s="7">
        <f t="shared" si="18"/>
        <v>10.66747943</v>
      </c>
      <c r="W72" s="7">
        <f t="shared" si="19"/>
        <v>800</v>
      </c>
      <c r="X72" s="7">
        <f t="shared" si="20"/>
        <v>12.19140506</v>
      </c>
      <c r="Y72" s="7">
        <f t="shared" si="21"/>
        <v>900</v>
      </c>
      <c r="Z72" s="7">
        <f t="shared" si="22"/>
        <v>13.71533069</v>
      </c>
    </row>
    <row r="73">
      <c r="A73" s="30" t="str">
        <f>IFERROR(__xludf.DUMMYFUNCTION("""COMPUTED_VALUE"""),"2017 10")</f>
        <v>2017 10</v>
      </c>
      <c r="B73" s="30" t="str">
        <f>IFERROR(__xludf.DUMMYFUNCTION("""COMPUTED_VALUE"""),"67.3")</f>
        <v>67.3</v>
      </c>
      <c r="C73" s="13">
        <v>43009.0</v>
      </c>
      <c r="D73" s="12">
        <f>'Income per month'!B73</f>
        <v>1000</v>
      </c>
      <c r="E73" s="7">
        <f t="shared" si="1"/>
        <v>50</v>
      </c>
      <c r="F73" s="7">
        <f t="shared" si="2"/>
        <v>0.7429420505</v>
      </c>
      <c r="G73" s="7">
        <f t="shared" si="3"/>
        <v>100</v>
      </c>
      <c r="H73" s="7">
        <f t="shared" si="4"/>
        <v>1.485884101</v>
      </c>
      <c r="I73" s="7">
        <f t="shared" si="5"/>
        <v>150</v>
      </c>
      <c r="J73" s="7">
        <f t="shared" si="6"/>
        <v>2.228826152</v>
      </c>
      <c r="K73" s="7">
        <f t="shared" si="7"/>
        <v>200</v>
      </c>
      <c r="L73" s="7">
        <f t="shared" si="8"/>
        <v>2.971768202</v>
      </c>
      <c r="M73" s="7">
        <f t="shared" si="9"/>
        <v>300</v>
      </c>
      <c r="N73" s="7">
        <f t="shared" si="10"/>
        <v>4.457652303</v>
      </c>
      <c r="O73" s="7">
        <f t="shared" si="11"/>
        <v>400</v>
      </c>
      <c r="P73" s="7">
        <f t="shared" si="12"/>
        <v>5.943536404</v>
      </c>
      <c r="Q73" s="7">
        <f t="shared" si="13"/>
        <v>500</v>
      </c>
      <c r="R73" s="7">
        <f t="shared" si="14"/>
        <v>7.429420505</v>
      </c>
      <c r="S73" s="7">
        <f t="shared" si="15"/>
        <v>600</v>
      </c>
      <c r="T73" s="7">
        <f t="shared" si="16"/>
        <v>8.915304606</v>
      </c>
      <c r="U73" s="7">
        <f t="shared" si="17"/>
        <v>700</v>
      </c>
      <c r="V73" s="7">
        <f t="shared" si="18"/>
        <v>10.40118871</v>
      </c>
      <c r="W73" s="7">
        <f t="shared" si="19"/>
        <v>800</v>
      </c>
      <c r="X73" s="7">
        <f t="shared" si="20"/>
        <v>11.88707281</v>
      </c>
      <c r="Y73" s="7">
        <f t="shared" si="21"/>
        <v>900</v>
      </c>
      <c r="Z73" s="7">
        <f t="shared" si="22"/>
        <v>13.37295691</v>
      </c>
    </row>
    <row r="74">
      <c r="A74" s="30" t="str">
        <f>IFERROR(__xludf.DUMMYFUNCTION("""COMPUTED_VALUE"""),"2017 11")</f>
        <v>2017 11</v>
      </c>
      <c r="B74" s="30" t="str">
        <f>IFERROR(__xludf.DUMMYFUNCTION("""COMPUTED_VALUE"""),"70.31")</f>
        <v>70.31</v>
      </c>
      <c r="C74" s="13">
        <v>43040.0</v>
      </c>
      <c r="D74" s="12">
        <f>'Income per month'!B74</f>
        <v>1000</v>
      </c>
      <c r="E74" s="7">
        <f t="shared" si="1"/>
        <v>50</v>
      </c>
      <c r="F74" s="7">
        <f t="shared" si="2"/>
        <v>0.711136396</v>
      </c>
      <c r="G74" s="7">
        <f t="shared" si="3"/>
        <v>100</v>
      </c>
      <c r="H74" s="7">
        <f t="shared" si="4"/>
        <v>1.422272792</v>
      </c>
      <c r="I74" s="7">
        <f t="shared" si="5"/>
        <v>150</v>
      </c>
      <c r="J74" s="7">
        <f t="shared" si="6"/>
        <v>2.133409188</v>
      </c>
      <c r="K74" s="7">
        <f t="shared" si="7"/>
        <v>200</v>
      </c>
      <c r="L74" s="7">
        <f t="shared" si="8"/>
        <v>2.844545584</v>
      </c>
      <c r="M74" s="7">
        <f t="shared" si="9"/>
        <v>300</v>
      </c>
      <c r="N74" s="7">
        <f t="shared" si="10"/>
        <v>4.266818376</v>
      </c>
      <c r="O74" s="7">
        <f t="shared" si="11"/>
        <v>400</v>
      </c>
      <c r="P74" s="7">
        <f t="shared" si="12"/>
        <v>5.689091168</v>
      </c>
      <c r="Q74" s="7">
        <f t="shared" si="13"/>
        <v>500</v>
      </c>
      <c r="R74" s="7">
        <f t="shared" si="14"/>
        <v>7.11136396</v>
      </c>
      <c r="S74" s="7">
        <f t="shared" si="15"/>
        <v>600</v>
      </c>
      <c r="T74" s="7">
        <f t="shared" si="16"/>
        <v>8.533636752</v>
      </c>
      <c r="U74" s="7">
        <f t="shared" si="17"/>
        <v>700</v>
      </c>
      <c r="V74" s="7">
        <f t="shared" si="18"/>
        <v>9.955909543</v>
      </c>
      <c r="W74" s="7">
        <f t="shared" si="19"/>
        <v>800</v>
      </c>
      <c r="X74" s="7">
        <f t="shared" si="20"/>
        <v>11.37818234</v>
      </c>
      <c r="Y74" s="7">
        <f t="shared" si="21"/>
        <v>900</v>
      </c>
      <c r="Z74" s="7">
        <f t="shared" si="22"/>
        <v>12.80045513</v>
      </c>
    </row>
    <row r="75">
      <c r="A75" s="30" t="str">
        <f>IFERROR(__xludf.DUMMYFUNCTION("""COMPUTED_VALUE"""),"2017 12")</f>
        <v>2017 12</v>
      </c>
      <c r="B75" s="30" t="str">
        <f>IFERROR(__xludf.DUMMYFUNCTION("""COMPUTED_VALUE"""),"71.41")</f>
        <v>71.41</v>
      </c>
      <c r="C75" s="14">
        <v>43070.0</v>
      </c>
      <c r="D75" s="12">
        <f>'Income per month'!B75</f>
        <v>1000</v>
      </c>
      <c r="E75" s="7">
        <f t="shared" si="1"/>
        <v>50</v>
      </c>
      <c r="F75" s="7">
        <f t="shared" si="2"/>
        <v>0.7001820473</v>
      </c>
      <c r="G75" s="7">
        <f t="shared" si="3"/>
        <v>100</v>
      </c>
      <c r="H75" s="7">
        <f t="shared" si="4"/>
        <v>1.400364095</v>
      </c>
      <c r="I75" s="7">
        <f t="shared" si="5"/>
        <v>150</v>
      </c>
      <c r="J75" s="7">
        <f t="shared" si="6"/>
        <v>2.100546142</v>
      </c>
      <c r="K75" s="7">
        <f t="shared" si="7"/>
        <v>200</v>
      </c>
      <c r="L75" s="7">
        <f t="shared" si="8"/>
        <v>2.800728189</v>
      </c>
      <c r="M75" s="7">
        <f t="shared" si="9"/>
        <v>300</v>
      </c>
      <c r="N75" s="7">
        <f t="shared" si="10"/>
        <v>4.201092284</v>
      </c>
      <c r="O75" s="7">
        <f t="shared" si="11"/>
        <v>400</v>
      </c>
      <c r="P75" s="7">
        <f t="shared" si="12"/>
        <v>5.601456379</v>
      </c>
      <c r="Q75" s="7">
        <f t="shared" si="13"/>
        <v>500</v>
      </c>
      <c r="R75" s="7">
        <f t="shared" si="14"/>
        <v>7.001820473</v>
      </c>
      <c r="S75" s="7">
        <f t="shared" si="15"/>
        <v>600</v>
      </c>
      <c r="T75" s="7">
        <f t="shared" si="16"/>
        <v>8.402184568</v>
      </c>
      <c r="U75" s="7">
        <f t="shared" si="17"/>
        <v>700</v>
      </c>
      <c r="V75" s="7">
        <f t="shared" si="18"/>
        <v>9.802548663</v>
      </c>
      <c r="W75" s="7">
        <f t="shared" si="19"/>
        <v>800</v>
      </c>
      <c r="X75" s="7">
        <f t="shared" si="20"/>
        <v>11.20291276</v>
      </c>
      <c r="Y75" s="7">
        <f t="shared" si="21"/>
        <v>900</v>
      </c>
      <c r="Z75" s="7">
        <f t="shared" si="22"/>
        <v>12.60327685</v>
      </c>
    </row>
    <row r="76">
      <c r="A76" s="30" t="str">
        <f>IFERROR(__xludf.DUMMYFUNCTION("""COMPUTED_VALUE"""),"2018 01")</f>
        <v>2018 01</v>
      </c>
      <c r="B76" s="30" t="str">
        <f>IFERROR(__xludf.DUMMYFUNCTION("""COMPUTED_VALUE"""),"70.24")</f>
        <v>70.24</v>
      </c>
      <c r="C76" s="13">
        <v>43101.0</v>
      </c>
      <c r="D76" s="12">
        <f>'Income per month'!B76</f>
        <v>1000</v>
      </c>
      <c r="E76" s="7">
        <f t="shared" si="1"/>
        <v>50</v>
      </c>
      <c r="F76" s="7">
        <f t="shared" si="2"/>
        <v>0.7118451025</v>
      </c>
      <c r="G76" s="7">
        <f t="shared" si="3"/>
        <v>100</v>
      </c>
      <c r="H76" s="7">
        <f t="shared" si="4"/>
        <v>1.423690205</v>
      </c>
      <c r="I76" s="7">
        <f t="shared" si="5"/>
        <v>150</v>
      </c>
      <c r="J76" s="7">
        <f t="shared" si="6"/>
        <v>2.135535308</v>
      </c>
      <c r="K76" s="7">
        <f t="shared" si="7"/>
        <v>200</v>
      </c>
      <c r="L76" s="7">
        <f t="shared" si="8"/>
        <v>2.84738041</v>
      </c>
      <c r="M76" s="7">
        <f t="shared" si="9"/>
        <v>300</v>
      </c>
      <c r="N76" s="7">
        <f t="shared" si="10"/>
        <v>4.271070615</v>
      </c>
      <c r="O76" s="7">
        <f t="shared" si="11"/>
        <v>400</v>
      </c>
      <c r="P76" s="7">
        <f t="shared" si="12"/>
        <v>5.69476082</v>
      </c>
      <c r="Q76" s="7">
        <f t="shared" si="13"/>
        <v>500</v>
      </c>
      <c r="R76" s="7">
        <f t="shared" si="14"/>
        <v>7.118451025</v>
      </c>
      <c r="S76" s="7">
        <f t="shared" si="15"/>
        <v>600</v>
      </c>
      <c r="T76" s="7">
        <f t="shared" si="16"/>
        <v>8.54214123</v>
      </c>
      <c r="U76" s="7">
        <f t="shared" si="17"/>
        <v>700</v>
      </c>
      <c r="V76" s="7">
        <f t="shared" si="18"/>
        <v>9.965831435</v>
      </c>
      <c r="W76" s="7">
        <f t="shared" si="19"/>
        <v>800</v>
      </c>
      <c r="X76" s="7">
        <f t="shared" si="20"/>
        <v>11.38952164</v>
      </c>
      <c r="Y76" s="7">
        <f t="shared" si="21"/>
        <v>900</v>
      </c>
      <c r="Z76" s="7">
        <f t="shared" si="22"/>
        <v>12.81321185</v>
      </c>
    </row>
    <row r="77">
      <c r="A77" s="30" t="str">
        <f>IFERROR(__xludf.DUMMYFUNCTION("""COMPUTED_VALUE"""),"2018 02")</f>
        <v>2018 02</v>
      </c>
      <c r="B77" s="30" t="str">
        <f>IFERROR(__xludf.DUMMYFUNCTION("""COMPUTED_VALUE"""),"72.28")</f>
        <v>72.28</v>
      </c>
      <c r="C77" s="13">
        <v>43132.0</v>
      </c>
      <c r="D77" s="12">
        <f>'Income per month'!B77</f>
        <v>1000</v>
      </c>
      <c r="E77" s="7">
        <f t="shared" si="1"/>
        <v>50</v>
      </c>
      <c r="F77" s="7">
        <f t="shared" si="2"/>
        <v>0.6917542889</v>
      </c>
      <c r="G77" s="7">
        <f t="shared" si="3"/>
        <v>100</v>
      </c>
      <c r="H77" s="7">
        <f t="shared" si="4"/>
        <v>1.383508578</v>
      </c>
      <c r="I77" s="7">
        <f t="shared" si="5"/>
        <v>150</v>
      </c>
      <c r="J77" s="7">
        <f t="shared" si="6"/>
        <v>2.075262867</v>
      </c>
      <c r="K77" s="7">
        <f t="shared" si="7"/>
        <v>200</v>
      </c>
      <c r="L77" s="7">
        <f t="shared" si="8"/>
        <v>2.767017156</v>
      </c>
      <c r="M77" s="7">
        <f t="shared" si="9"/>
        <v>300</v>
      </c>
      <c r="N77" s="7">
        <f t="shared" si="10"/>
        <v>4.150525733</v>
      </c>
      <c r="O77" s="7">
        <f t="shared" si="11"/>
        <v>400</v>
      </c>
      <c r="P77" s="7">
        <f t="shared" si="12"/>
        <v>5.534034311</v>
      </c>
      <c r="Q77" s="7">
        <f t="shared" si="13"/>
        <v>500</v>
      </c>
      <c r="R77" s="7">
        <f t="shared" si="14"/>
        <v>6.917542889</v>
      </c>
      <c r="S77" s="7">
        <f t="shared" si="15"/>
        <v>600</v>
      </c>
      <c r="T77" s="7">
        <f t="shared" si="16"/>
        <v>8.301051467</v>
      </c>
      <c r="U77" s="7">
        <f t="shared" si="17"/>
        <v>700</v>
      </c>
      <c r="V77" s="7">
        <f t="shared" si="18"/>
        <v>9.684560044</v>
      </c>
      <c r="W77" s="7">
        <f t="shared" si="19"/>
        <v>800</v>
      </c>
      <c r="X77" s="7">
        <f t="shared" si="20"/>
        <v>11.06806862</v>
      </c>
      <c r="Y77" s="7">
        <f t="shared" si="21"/>
        <v>900</v>
      </c>
      <c r="Z77" s="7">
        <f t="shared" si="22"/>
        <v>12.4515772</v>
      </c>
    </row>
    <row r="78">
      <c r="A78" s="30" t="str">
        <f>IFERROR(__xludf.DUMMYFUNCTION("""COMPUTED_VALUE"""),"2018 03")</f>
        <v>2018 03</v>
      </c>
      <c r="B78" s="30" t="str">
        <f>IFERROR(__xludf.DUMMYFUNCTION("""COMPUTED_VALUE"""),"70.79")</f>
        <v>70.79</v>
      </c>
      <c r="C78" s="13">
        <v>43160.0</v>
      </c>
      <c r="D78" s="12">
        <f>'Income per month'!B78</f>
        <v>1000</v>
      </c>
      <c r="E78" s="7">
        <f t="shared" si="1"/>
        <v>50</v>
      </c>
      <c r="F78" s="7">
        <f t="shared" si="2"/>
        <v>0.7063144512</v>
      </c>
      <c r="G78" s="7">
        <f t="shared" si="3"/>
        <v>100</v>
      </c>
      <c r="H78" s="7">
        <f t="shared" si="4"/>
        <v>1.412628902</v>
      </c>
      <c r="I78" s="7">
        <f t="shared" si="5"/>
        <v>150</v>
      </c>
      <c r="J78" s="7">
        <f t="shared" si="6"/>
        <v>2.118943354</v>
      </c>
      <c r="K78" s="7">
        <f t="shared" si="7"/>
        <v>200</v>
      </c>
      <c r="L78" s="7">
        <f t="shared" si="8"/>
        <v>2.825257805</v>
      </c>
      <c r="M78" s="7">
        <f t="shared" si="9"/>
        <v>300</v>
      </c>
      <c r="N78" s="7">
        <f t="shared" si="10"/>
        <v>4.237886707</v>
      </c>
      <c r="O78" s="7">
        <f t="shared" si="11"/>
        <v>400</v>
      </c>
      <c r="P78" s="7">
        <f t="shared" si="12"/>
        <v>5.65051561</v>
      </c>
      <c r="Q78" s="7">
        <f t="shared" si="13"/>
        <v>500</v>
      </c>
      <c r="R78" s="7">
        <f t="shared" si="14"/>
        <v>7.063144512</v>
      </c>
      <c r="S78" s="7">
        <f t="shared" si="15"/>
        <v>600</v>
      </c>
      <c r="T78" s="7">
        <f t="shared" si="16"/>
        <v>8.475773414</v>
      </c>
      <c r="U78" s="7">
        <f t="shared" si="17"/>
        <v>700</v>
      </c>
      <c r="V78" s="7">
        <f t="shared" si="18"/>
        <v>9.888402317</v>
      </c>
      <c r="W78" s="7">
        <f t="shared" si="19"/>
        <v>800</v>
      </c>
      <c r="X78" s="7">
        <f t="shared" si="20"/>
        <v>11.30103122</v>
      </c>
      <c r="Y78" s="7">
        <f t="shared" si="21"/>
        <v>900</v>
      </c>
      <c r="Z78" s="7">
        <f t="shared" si="22"/>
        <v>12.71366012</v>
      </c>
    </row>
    <row r="79">
      <c r="A79" s="30" t="str">
        <f>IFERROR(__xludf.DUMMYFUNCTION("""COMPUTED_VALUE"""),"2018 04")</f>
        <v>2018 04</v>
      </c>
      <c r="B79" s="30" t="str">
        <f>IFERROR(__xludf.DUMMYFUNCTION("""COMPUTED_VALUE"""),"69.81")</f>
        <v>69.81</v>
      </c>
      <c r="C79" s="13">
        <v>43191.0</v>
      </c>
      <c r="D79" s="12">
        <f>'Income per month'!B79</f>
        <v>1000</v>
      </c>
      <c r="E79" s="7">
        <f t="shared" si="1"/>
        <v>50</v>
      </c>
      <c r="F79" s="7">
        <f t="shared" si="2"/>
        <v>0.7162297665</v>
      </c>
      <c r="G79" s="7">
        <f t="shared" si="3"/>
        <v>100</v>
      </c>
      <c r="H79" s="7">
        <f t="shared" si="4"/>
        <v>1.432459533</v>
      </c>
      <c r="I79" s="7">
        <f t="shared" si="5"/>
        <v>150</v>
      </c>
      <c r="J79" s="7">
        <f t="shared" si="6"/>
        <v>2.1486893</v>
      </c>
      <c r="K79" s="7">
        <f t="shared" si="7"/>
        <v>200</v>
      </c>
      <c r="L79" s="7">
        <f t="shared" si="8"/>
        <v>2.864919066</v>
      </c>
      <c r="M79" s="7">
        <f t="shared" si="9"/>
        <v>300</v>
      </c>
      <c r="N79" s="7">
        <f t="shared" si="10"/>
        <v>4.297378599</v>
      </c>
      <c r="O79" s="7">
        <f t="shared" si="11"/>
        <v>400</v>
      </c>
      <c r="P79" s="7">
        <f t="shared" si="12"/>
        <v>5.729838132</v>
      </c>
      <c r="Q79" s="7">
        <f t="shared" si="13"/>
        <v>500</v>
      </c>
      <c r="R79" s="7">
        <f t="shared" si="14"/>
        <v>7.162297665</v>
      </c>
      <c r="S79" s="7">
        <f t="shared" si="15"/>
        <v>600</v>
      </c>
      <c r="T79" s="7">
        <f t="shared" si="16"/>
        <v>8.594757198</v>
      </c>
      <c r="U79" s="7">
        <f t="shared" si="17"/>
        <v>700</v>
      </c>
      <c r="V79" s="7">
        <f t="shared" si="18"/>
        <v>10.02721673</v>
      </c>
      <c r="W79" s="7">
        <f t="shared" si="19"/>
        <v>800</v>
      </c>
      <c r="X79" s="7">
        <f t="shared" si="20"/>
        <v>11.45967626</v>
      </c>
      <c r="Y79" s="7">
        <f t="shared" si="21"/>
        <v>900</v>
      </c>
      <c r="Z79" s="7">
        <f t="shared" si="22"/>
        <v>12.8921358</v>
      </c>
    </row>
    <row r="80">
      <c r="A80" s="30" t="str">
        <f>IFERROR(__xludf.DUMMYFUNCTION("""COMPUTED_VALUE"""),"2018 05")</f>
        <v>2018 05</v>
      </c>
      <c r="B80" s="30" t="str">
        <f>IFERROR(__xludf.DUMMYFUNCTION("""COMPUTED_VALUE"""),"72.75")</f>
        <v>72.75</v>
      </c>
      <c r="C80" s="13">
        <v>43221.0</v>
      </c>
      <c r="D80" s="12">
        <f>'Income per month'!B80</f>
        <v>1000</v>
      </c>
      <c r="E80" s="7">
        <f t="shared" si="1"/>
        <v>50</v>
      </c>
      <c r="F80" s="7">
        <f t="shared" si="2"/>
        <v>0.6872852234</v>
      </c>
      <c r="G80" s="7">
        <f t="shared" si="3"/>
        <v>100</v>
      </c>
      <c r="H80" s="7">
        <f t="shared" si="4"/>
        <v>1.374570447</v>
      </c>
      <c r="I80" s="7">
        <f t="shared" si="5"/>
        <v>150</v>
      </c>
      <c r="J80" s="7">
        <f t="shared" si="6"/>
        <v>2.06185567</v>
      </c>
      <c r="K80" s="7">
        <f t="shared" si="7"/>
        <v>200</v>
      </c>
      <c r="L80" s="7">
        <f t="shared" si="8"/>
        <v>2.749140893</v>
      </c>
      <c r="M80" s="7">
        <f t="shared" si="9"/>
        <v>300</v>
      </c>
      <c r="N80" s="7">
        <f t="shared" si="10"/>
        <v>4.12371134</v>
      </c>
      <c r="O80" s="7">
        <f t="shared" si="11"/>
        <v>400</v>
      </c>
      <c r="P80" s="7">
        <f t="shared" si="12"/>
        <v>5.498281787</v>
      </c>
      <c r="Q80" s="7">
        <f t="shared" si="13"/>
        <v>500</v>
      </c>
      <c r="R80" s="7">
        <f t="shared" si="14"/>
        <v>6.872852234</v>
      </c>
      <c r="S80" s="7">
        <f t="shared" si="15"/>
        <v>600</v>
      </c>
      <c r="T80" s="7">
        <f t="shared" si="16"/>
        <v>8.24742268</v>
      </c>
      <c r="U80" s="7">
        <f t="shared" si="17"/>
        <v>700</v>
      </c>
      <c r="V80" s="7">
        <f t="shared" si="18"/>
        <v>9.621993127</v>
      </c>
      <c r="W80" s="7">
        <f t="shared" si="19"/>
        <v>800</v>
      </c>
      <c r="X80" s="7">
        <f t="shared" si="20"/>
        <v>10.99656357</v>
      </c>
      <c r="Y80" s="7">
        <f t="shared" si="21"/>
        <v>900</v>
      </c>
      <c r="Z80" s="7">
        <f t="shared" si="22"/>
        <v>12.37113402</v>
      </c>
    </row>
    <row r="81">
      <c r="A81" s="30" t="str">
        <f>IFERROR(__xludf.DUMMYFUNCTION("""COMPUTED_VALUE"""),"2018 06")</f>
        <v>2018 06</v>
      </c>
      <c r="B81" s="30" t="str">
        <f>IFERROR(__xludf.DUMMYFUNCTION("""COMPUTED_VALUE"""),"71.11")</f>
        <v>71.11</v>
      </c>
      <c r="C81" s="13">
        <v>43252.0</v>
      </c>
      <c r="D81" s="12">
        <f>'Income per month'!B81</f>
        <v>1000</v>
      </c>
      <c r="E81" s="7">
        <f t="shared" si="1"/>
        <v>50</v>
      </c>
      <c r="F81" s="7">
        <f t="shared" si="2"/>
        <v>0.7031359865</v>
      </c>
      <c r="G81" s="7">
        <f t="shared" si="3"/>
        <v>100</v>
      </c>
      <c r="H81" s="7">
        <f t="shared" si="4"/>
        <v>1.406271973</v>
      </c>
      <c r="I81" s="7">
        <f t="shared" si="5"/>
        <v>150</v>
      </c>
      <c r="J81" s="7">
        <f t="shared" si="6"/>
        <v>2.109407959</v>
      </c>
      <c r="K81" s="7">
        <f t="shared" si="7"/>
        <v>200</v>
      </c>
      <c r="L81" s="7">
        <f t="shared" si="8"/>
        <v>2.812543946</v>
      </c>
      <c r="M81" s="7">
        <f t="shared" si="9"/>
        <v>300</v>
      </c>
      <c r="N81" s="7">
        <f t="shared" si="10"/>
        <v>4.218815919</v>
      </c>
      <c r="O81" s="7">
        <f t="shared" si="11"/>
        <v>400</v>
      </c>
      <c r="P81" s="7">
        <f t="shared" si="12"/>
        <v>5.625087892</v>
      </c>
      <c r="Q81" s="7">
        <f t="shared" si="13"/>
        <v>500</v>
      </c>
      <c r="R81" s="7">
        <f t="shared" si="14"/>
        <v>7.031359865</v>
      </c>
      <c r="S81" s="7">
        <f t="shared" si="15"/>
        <v>600</v>
      </c>
      <c r="T81" s="7">
        <f t="shared" si="16"/>
        <v>8.437631838</v>
      </c>
      <c r="U81" s="7">
        <f t="shared" si="17"/>
        <v>700</v>
      </c>
      <c r="V81" s="7">
        <f t="shared" si="18"/>
        <v>9.843903811</v>
      </c>
      <c r="W81" s="7">
        <f t="shared" si="19"/>
        <v>800</v>
      </c>
      <c r="X81" s="7">
        <f t="shared" si="20"/>
        <v>11.25017578</v>
      </c>
      <c r="Y81" s="7">
        <f t="shared" si="21"/>
        <v>900</v>
      </c>
      <c r="Z81" s="7">
        <f t="shared" si="22"/>
        <v>12.65644776</v>
      </c>
    </row>
    <row r="82">
      <c r="A82" s="30" t="str">
        <f>IFERROR(__xludf.DUMMYFUNCTION("""COMPUTED_VALUE"""),"2018 07")</f>
        <v>2018 07</v>
      </c>
      <c r="B82" s="30" t="str">
        <f>IFERROR(__xludf.DUMMYFUNCTION("""COMPUTED_VALUE"""),"69.49")</f>
        <v>69.49</v>
      </c>
      <c r="C82" s="13">
        <v>43282.0</v>
      </c>
      <c r="D82" s="12">
        <f>'Income per month'!B82</f>
        <v>1000</v>
      </c>
      <c r="E82" s="7">
        <f t="shared" si="1"/>
        <v>50</v>
      </c>
      <c r="F82" s="7">
        <f t="shared" si="2"/>
        <v>0.7195279896</v>
      </c>
      <c r="G82" s="7">
        <f t="shared" si="3"/>
        <v>100</v>
      </c>
      <c r="H82" s="7">
        <f t="shared" si="4"/>
        <v>1.439055979</v>
      </c>
      <c r="I82" s="7">
        <f t="shared" si="5"/>
        <v>150</v>
      </c>
      <c r="J82" s="7">
        <f t="shared" si="6"/>
        <v>2.158583969</v>
      </c>
      <c r="K82" s="7">
        <f t="shared" si="7"/>
        <v>200</v>
      </c>
      <c r="L82" s="7">
        <f t="shared" si="8"/>
        <v>2.878111959</v>
      </c>
      <c r="M82" s="7">
        <f t="shared" si="9"/>
        <v>300</v>
      </c>
      <c r="N82" s="7">
        <f t="shared" si="10"/>
        <v>4.317167938</v>
      </c>
      <c r="O82" s="7">
        <f t="shared" si="11"/>
        <v>400</v>
      </c>
      <c r="P82" s="7">
        <f t="shared" si="12"/>
        <v>5.756223917</v>
      </c>
      <c r="Q82" s="7">
        <f t="shared" si="13"/>
        <v>500</v>
      </c>
      <c r="R82" s="7">
        <f t="shared" si="14"/>
        <v>7.195279896</v>
      </c>
      <c r="S82" s="7">
        <f t="shared" si="15"/>
        <v>600</v>
      </c>
      <c r="T82" s="7">
        <f t="shared" si="16"/>
        <v>8.634335876</v>
      </c>
      <c r="U82" s="7">
        <f t="shared" si="17"/>
        <v>700</v>
      </c>
      <c r="V82" s="7">
        <f t="shared" si="18"/>
        <v>10.07339185</v>
      </c>
      <c r="W82" s="7">
        <f t="shared" si="19"/>
        <v>800</v>
      </c>
      <c r="X82" s="7">
        <f t="shared" si="20"/>
        <v>11.51244783</v>
      </c>
      <c r="Y82" s="7">
        <f t="shared" si="21"/>
        <v>900</v>
      </c>
      <c r="Z82" s="7">
        <f t="shared" si="22"/>
        <v>12.95150381</v>
      </c>
    </row>
    <row r="83">
      <c r="A83" s="30" t="str">
        <f>IFERROR(__xludf.DUMMYFUNCTION("""COMPUTED_VALUE"""),"2018 08")</f>
        <v>2018 08</v>
      </c>
      <c r="B83" s="30" t="str">
        <f>IFERROR(__xludf.DUMMYFUNCTION("""COMPUTED_VALUE"""),"71.93")</f>
        <v>71.93</v>
      </c>
      <c r="C83" s="13">
        <v>43313.0</v>
      </c>
      <c r="D83" s="12">
        <f>'Income per month'!B83</f>
        <v>1000</v>
      </c>
      <c r="E83" s="7">
        <f t="shared" si="1"/>
        <v>50</v>
      </c>
      <c r="F83" s="7">
        <f t="shared" si="2"/>
        <v>0.6951202558</v>
      </c>
      <c r="G83" s="7">
        <f t="shared" si="3"/>
        <v>100</v>
      </c>
      <c r="H83" s="7">
        <f t="shared" si="4"/>
        <v>1.390240512</v>
      </c>
      <c r="I83" s="7">
        <f t="shared" si="5"/>
        <v>150</v>
      </c>
      <c r="J83" s="7">
        <f t="shared" si="6"/>
        <v>2.085360767</v>
      </c>
      <c r="K83" s="7">
        <f t="shared" si="7"/>
        <v>200</v>
      </c>
      <c r="L83" s="7">
        <f t="shared" si="8"/>
        <v>2.780481023</v>
      </c>
      <c r="M83" s="7">
        <f t="shared" si="9"/>
        <v>300</v>
      </c>
      <c r="N83" s="7">
        <f t="shared" si="10"/>
        <v>4.170721535</v>
      </c>
      <c r="O83" s="7">
        <f t="shared" si="11"/>
        <v>400</v>
      </c>
      <c r="P83" s="7">
        <f t="shared" si="12"/>
        <v>5.560962046</v>
      </c>
      <c r="Q83" s="7">
        <f t="shared" si="13"/>
        <v>500</v>
      </c>
      <c r="R83" s="7">
        <f t="shared" si="14"/>
        <v>6.951202558</v>
      </c>
      <c r="S83" s="7">
        <f t="shared" si="15"/>
        <v>600</v>
      </c>
      <c r="T83" s="7">
        <f t="shared" si="16"/>
        <v>8.34144307</v>
      </c>
      <c r="U83" s="7">
        <f t="shared" si="17"/>
        <v>700</v>
      </c>
      <c r="V83" s="7">
        <f t="shared" si="18"/>
        <v>9.731683581</v>
      </c>
      <c r="W83" s="7">
        <f t="shared" si="19"/>
        <v>800</v>
      </c>
      <c r="X83" s="7">
        <f t="shared" si="20"/>
        <v>11.12192409</v>
      </c>
      <c r="Y83" s="7">
        <f t="shared" si="21"/>
        <v>900</v>
      </c>
      <c r="Z83" s="7">
        <f t="shared" si="22"/>
        <v>12.5121646</v>
      </c>
    </row>
    <row r="84">
      <c r="A84" s="30" t="str">
        <f>IFERROR(__xludf.DUMMYFUNCTION("""COMPUTED_VALUE"""),"2018 09")</f>
        <v>2018 09</v>
      </c>
      <c r="B84" s="30" t="str">
        <f>IFERROR(__xludf.DUMMYFUNCTION("""COMPUTED_VALUE"""),"72.19")</f>
        <v>72.19</v>
      </c>
      <c r="C84" s="13">
        <v>43344.0</v>
      </c>
      <c r="D84" s="12">
        <f>'Income per month'!B84</f>
        <v>1000</v>
      </c>
      <c r="E84" s="7">
        <f t="shared" si="1"/>
        <v>50</v>
      </c>
      <c r="F84" s="7">
        <f t="shared" si="2"/>
        <v>0.6926167059</v>
      </c>
      <c r="G84" s="7">
        <f t="shared" si="3"/>
        <v>100</v>
      </c>
      <c r="H84" s="7">
        <f t="shared" si="4"/>
        <v>1.385233412</v>
      </c>
      <c r="I84" s="7">
        <f t="shared" si="5"/>
        <v>150</v>
      </c>
      <c r="J84" s="7">
        <f t="shared" si="6"/>
        <v>2.077850118</v>
      </c>
      <c r="K84" s="7">
        <f t="shared" si="7"/>
        <v>200</v>
      </c>
      <c r="L84" s="7">
        <f t="shared" si="8"/>
        <v>2.770466824</v>
      </c>
      <c r="M84" s="7">
        <f t="shared" si="9"/>
        <v>300</v>
      </c>
      <c r="N84" s="7">
        <f t="shared" si="10"/>
        <v>4.155700235</v>
      </c>
      <c r="O84" s="7">
        <f t="shared" si="11"/>
        <v>400</v>
      </c>
      <c r="P84" s="7">
        <f t="shared" si="12"/>
        <v>5.540933647</v>
      </c>
      <c r="Q84" s="7">
        <f t="shared" si="13"/>
        <v>500</v>
      </c>
      <c r="R84" s="7">
        <f t="shared" si="14"/>
        <v>6.926167059</v>
      </c>
      <c r="S84" s="7">
        <f t="shared" si="15"/>
        <v>600</v>
      </c>
      <c r="T84" s="7">
        <f t="shared" si="16"/>
        <v>8.311400471</v>
      </c>
      <c r="U84" s="7">
        <f t="shared" si="17"/>
        <v>700</v>
      </c>
      <c r="V84" s="7">
        <f t="shared" si="18"/>
        <v>9.696633883</v>
      </c>
      <c r="W84" s="7">
        <f t="shared" si="19"/>
        <v>800</v>
      </c>
      <c r="X84" s="7">
        <f t="shared" si="20"/>
        <v>11.08186729</v>
      </c>
      <c r="Y84" s="7">
        <f t="shared" si="21"/>
        <v>900</v>
      </c>
      <c r="Z84" s="7">
        <f t="shared" si="22"/>
        <v>12.46710071</v>
      </c>
    </row>
    <row r="85">
      <c r="A85" s="30" t="str">
        <f>IFERROR(__xludf.DUMMYFUNCTION("""COMPUTED_VALUE"""),"2018 10")</f>
        <v>2018 10</v>
      </c>
      <c r="B85" s="30" t="str">
        <f>IFERROR(__xludf.DUMMYFUNCTION("""COMPUTED_VALUE"""),"72.06")</f>
        <v>72.06</v>
      </c>
      <c r="C85" s="13">
        <v>43374.0</v>
      </c>
      <c r="D85" s="12">
        <f>'Income per month'!B85</f>
        <v>1000</v>
      </c>
      <c r="E85" s="7">
        <f t="shared" si="1"/>
        <v>50</v>
      </c>
      <c r="F85" s="7">
        <f t="shared" si="2"/>
        <v>0.6938662226</v>
      </c>
      <c r="G85" s="7">
        <f t="shared" si="3"/>
        <v>100</v>
      </c>
      <c r="H85" s="7">
        <f t="shared" si="4"/>
        <v>1.387732445</v>
      </c>
      <c r="I85" s="7">
        <f t="shared" si="5"/>
        <v>150</v>
      </c>
      <c r="J85" s="7">
        <f t="shared" si="6"/>
        <v>2.081598668</v>
      </c>
      <c r="K85" s="7">
        <f t="shared" si="7"/>
        <v>200</v>
      </c>
      <c r="L85" s="7">
        <f t="shared" si="8"/>
        <v>2.77546489</v>
      </c>
      <c r="M85" s="7">
        <f t="shared" si="9"/>
        <v>300</v>
      </c>
      <c r="N85" s="7">
        <f t="shared" si="10"/>
        <v>4.163197336</v>
      </c>
      <c r="O85" s="7">
        <f t="shared" si="11"/>
        <v>400</v>
      </c>
      <c r="P85" s="7">
        <f t="shared" si="12"/>
        <v>5.550929781</v>
      </c>
      <c r="Q85" s="7">
        <f t="shared" si="13"/>
        <v>500</v>
      </c>
      <c r="R85" s="7">
        <f t="shared" si="14"/>
        <v>6.938662226</v>
      </c>
      <c r="S85" s="7">
        <f t="shared" si="15"/>
        <v>600</v>
      </c>
      <c r="T85" s="7">
        <f t="shared" si="16"/>
        <v>8.326394671</v>
      </c>
      <c r="U85" s="7">
        <f t="shared" si="17"/>
        <v>700</v>
      </c>
      <c r="V85" s="7">
        <f t="shared" si="18"/>
        <v>9.714127116</v>
      </c>
      <c r="W85" s="7">
        <f t="shared" si="19"/>
        <v>800</v>
      </c>
      <c r="X85" s="7">
        <f t="shared" si="20"/>
        <v>11.10185956</v>
      </c>
      <c r="Y85" s="7">
        <f t="shared" si="21"/>
        <v>900</v>
      </c>
      <c r="Z85" s="7">
        <f t="shared" si="22"/>
        <v>12.48959201</v>
      </c>
    </row>
    <row r="86">
      <c r="A86" s="30" t="str">
        <f>IFERROR(__xludf.DUMMYFUNCTION("""COMPUTED_VALUE"""),"2018 11")</f>
        <v>2018 11</v>
      </c>
      <c r="B86" s="30" t="str">
        <f>IFERROR(__xludf.DUMMYFUNCTION("""COMPUTED_VALUE"""),"67.18")</f>
        <v>67.18</v>
      </c>
      <c r="C86" s="13">
        <v>43405.0</v>
      </c>
      <c r="D86" s="12">
        <f>'Income per month'!B86</f>
        <v>1000</v>
      </c>
      <c r="E86" s="7">
        <f t="shared" si="1"/>
        <v>50</v>
      </c>
      <c r="F86" s="7">
        <f t="shared" si="2"/>
        <v>0.7442691277</v>
      </c>
      <c r="G86" s="7">
        <f t="shared" si="3"/>
        <v>100</v>
      </c>
      <c r="H86" s="7">
        <f t="shared" si="4"/>
        <v>1.488538255</v>
      </c>
      <c r="I86" s="7">
        <f t="shared" si="5"/>
        <v>150</v>
      </c>
      <c r="J86" s="7">
        <f t="shared" si="6"/>
        <v>2.232807383</v>
      </c>
      <c r="K86" s="7">
        <f t="shared" si="7"/>
        <v>200</v>
      </c>
      <c r="L86" s="7">
        <f t="shared" si="8"/>
        <v>2.977076511</v>
      </c>
      <c r="M86" s="7">
        <f t="shared" si="9"/>
        <v>300</v>
      </c>
      <c r="N86" s="7">
        <f t="shared" si="10"/>
        <v>4.465614766</v>
      </c>
      <c r="O86" s="7">
        <f t="shared" si="11"/>
        <v>400</v>
      </c>
      <c r="P86" s="7">
        <f t="shared" si="12"/>
        <v>5.954153022</v>
      </c>
      <c r="Q86" s="7">
        <f t="shared" si="13"/>
        <v>500</v>
      </c>
      <c r="R86" s="7">
        <f t="shared" si="14"/>
        <v>7.442691277</v>
      </c>
      <c r="S86" s="7">
        <f t="shared" si="15"/>
        <v>600</v>
      </c>
      <c r="T86" s="7">
        <f t="shared" si="16"/>
        <v>8.931229533</v>
      </c>
      <c r="U86" s="7">
        <f t="shared" si="17"/>
        <v>700</v>
      </c>
      <c r="V86" s="7">
        <f t="shared" si="18"/>
        <v>10.41976779</v>
      </c>
      <c r="W86" s="7">
        <f t="shared" si="19"/>
        <v>800</v>
      </c>
      <c r="X86" s="7">
        <f t="shared" si="20"/>
        <v>11.90830604</v>
      </c>
      <c r="Y86" s="7">
        <f t="shared" si="21"/>
        <v>900</v>
      </c>
      <c r="Z86" s="7">
        <f t="shared" si="22"/>
        <v>13.3968443</v>
      </c>
    </row>
    <row r="87">
      <c r="A87" s="30" t="str">
        <f>IFERROR(__xludf.DUMMYFUNCTION("""COMPUTED_VALUE"""),"2018 12")</f>
        <v>2018 12</v>
      </c>
      <c r="B87" s="30" t="str">
        <f>IFERROR(__xludf.DUMMYFUNCTION("""COMPUTED_VALUE"""),"66.9")</f>
        <v>66.9</v>
      </c>
      <c r="C87" s="14">
        <v>43435.0</v>
      </c>
      <c r="D87" s="12">
        <f>'Income per month'!B87</f>
        <v>1000</v>
      </c>
      <c r="E87" s="7">
        <f t="shared" si="1"/>
        <v>50</v>
      </c>
      <c r="F87" s="7">
        <f t="shared" si="2"/>
        <v>0.7473841555</v>
      </c>
      <c r="G87" s="7">
        <f t="shared" si="3"/>
        <v>100</v>
      </c>
      <c r="H87" s="7">
        <f t="shared" si="4"/>
        <v>1.494768311</v>
      </c>
      <c r="I87" s="7">
        <f t="shared" si="5"/>
        <v>150</v>
      </c>
      <c r="J87" s="7">
        <f t="shared" si="6"/>
        <v>2.242152466</v>
      </c>
      <c r="K87" s="7">
        <f t="shared" si="7"/>
        <v>200</v>
      </c>
      <c r="L87" s="7">
        <f t="shared" si="8"/>
        <v>2.989536622</v>
      </c>
      <c r="M87" s="7">
        <f t="shared" si="9"/>
        <v>300</v>
      </c>
      <c r="N87" s="7">
        <f t="shared" si="10"/>
        <v>4.484304933</v>
      </c>
      <c r="O87" s="7">
        <f t="shared" si="11"/>
        <v>400</v>
      </c>
      <c r="P87" s="7">
        <f t="shared" si="12"/>
        <v>5.979073244</v>
      </c>
      <c r="Q87" s="7">
        <f t="shared" si="13"/>
        <v>500</v>
      </c>
      <c r="R87" s="7">
        <f t="shared" si="14"/>
        <v>7.473841555</v>
      </c>
      <c r="S87" s="7">
        <f t="shared" si="15"/>
        <v>600</v>
      </c>
      <c r="T87" s="7">
        <f t="shared" si="16"/>
        <v>8.968609865</v>
      </c>
      <c r="U87" s="7">
        <f t="shared" si="17"/>
        <v>700</v>
      </c>
      <c r="V87" s="7">
        <f t="shared" si="18"/>
        <v>10.46337818</v>
      </c>
      <c r="W87" s="7">
        <f t="shared" si="19"/>
        <v>800</v>
      </c>
      <c r="X87" s="7">
        <f t="shared" si="20"/>
        <v>11.95814649</v>
      </c>
      <c r="Y87" s="7">
        <f t="shared" si="21"/>
        <v>900</v>
      </c>
      <c r="Z87" s="7">
        <f t="shared" si="22"/>
        <v>13.4529148</v>
      </c>
    </row>
    <row r="88">
      <c r="A88" s="30" t="str">
        <f>IFERROR(__xludf.DUMMYFUNCTION("""COMPUTED_VALUE"""),"2019 01")</f>
        <v>2019 01</v>
      </c>
      <c r="B88" s="30" t="str">
        <f>IFERROR(__xludf.DUMMYFUNCTION("""COMPUTED_VALUE"""),"64.2")</f>
        <v>64.2</v>
      </c>
      <c r="C88" s="13">
        <v>43466.0</v>
      </c>
      <c r="D88" s="12">
        <f>'Income per month'!B88</f>
        <v>1000</v>
      </c>
      <c r="E88" s="7">
        <f t="shared" si="1"/>
        <v>50</v>
      </c>
      <c r="F88" s="7">
        <f t="shared" si="2"/>
        <v>0.7788161994</v>
      </c>
      <c r="G88" s="7">
        <f t="shared" si="3"/>
        <v>100</v>
      </c>
      <c r="H88" s="7">
        <f t="shared" si="4"/>
        <v>1.557632399</v>
      </c>
      <c r="I88" s="7">
        <f t="shared" si="5"/>
        <v>150</v>
      </c>
      <c r="J88" s="7">
        <f t="shared" si="6"/>
        <v>2.336448598</v>
      </c>
      <c r="K88" s="7">
        <f t="shared" si="7"/>
        <v>200</v>
      </c>
      <c r="L88" s="7">
        <f t="shared" si="8"/>
        <v>3.115264798</v>
      </c>
      <c r="M88" s="7">
        <f t="shared" si="9"/>
        <v>300</v>
      </c>
      <c r="N88" s="7">
        <f t="shared" si="10"/>
        <v>4.672897196</v>
      </c>
      <c r="O88" s="7">
        <f t="shared" si="11"/>
        <v>400</v>
      </c>
      <c r="P88" s="7">
        <f t="shared" si="12"/>
        <v>6.230529595</v>
      </c>
      <c r="Q88" s="7">
        <f t="shared" si="13"/>
        <v>500</v>
      </c>
      <c r="R88" s="7">
        <f t="shared" si="14"/>
        <v>7.788161994</v>
      </c>
      <c r="S88" s="7">
        <f t="shared" si="15"/>
        <v>600</v>
      </c>
      <c r="T88" s="7">
        <f t="shared" si="16"/>
        <v>9.345794393</v>
      </c>
      <c r="U88" s="7">
        <f t="shared" si="17"/>
        <v>700</v>
      </c>
      <c r="V88" s="7">
        <f t="shared" si="18"/>
        <v>10.90342679</v>
      </c>
      <c r="W88" s="7">
        <f t="shared" si="19"/>
        <v>800</v>
      </c>
      <c r="X88" s="7">
        <f t="shared" si="20"/>
        <v>12.46105919</v>
      </c>
      <c r="Y88" s="7">
        <f t="shared" si="21"/>
        <v>900</v>
      </c>
      <c r="Z88" s="7">
        <f t="shared" si="22"/>
        <v>14.01869159</v>
      </c>
    </row>
    <row r="89">
      <c r="A89" s="30" t="str">
        <f>IFERROR(__xludf.DUMMYFUNCTION("""COMPUTED_VALUE"""),"2019 02")</f>
        <v>2019 02</v>
      </c>
      <c r="B89" s="30" t="str">
        <f>IFERROR(__xludf.DUMMYFUNCTION("""COMPUTED_VALUE"""),"67.53")</f>
        <v>67.53</v>
      </c>
      <c r="C89" s="13">
        <v>43497.0</v>
      </c>
      <c r="D89" s="12">
        <f>'Income per month'!B89</f>
        <v>1000</v>
      </c>
      <c r="E89" s="7">
        <f t="shared" si="1"/>
        <v>50</v>
      </c>
      <c r="F89" s="7">
        <f t="shared" si="2"/>
        <v>0.7404116689</v>
      </c>
      <c r="G89" s="7">
        <f t="shared" si="3"/>
        <v>100</v>
      </c>
      <c r="H89" s="7">
        <f t="shared" si="4"/>
        <v>1.480823338</v>
      </c>
      <c r="I89" s="7">
        <f t="shared" si="5"/>
        <v>150</v>
      </c>
      <c r="J89" s="7">
        <f t="shared" si="6"/>
        <v>2.221235007</v>
      </c>
      <c r="K89" s="7">
        <f t="shared" si="7"/>
        <v>200</v>
      </c>
      <c r="L89" s="7">
        <f t="shared" si="8"/>
        <v>2.961646676</v>
      </c>
      <c r="M89" s="7">
        <f t="shared" si="9"/>
        <v>300</v>
      </c>
      <c r="N89" s="7">
        <f t="shared" si="10"/>
        <v>4.442470013</v>
      </c>
      <c r="O89" s="7">
        <f t="shared" si="11"/>
        <v>400</v>
      </c>
      <c r="P89" s="7">
        <f t="shared" si="12"/>
        <v>5.923293351</v>
      </c>
      <c r="Q89" s="7">
        <f t="shared" si="13"/>
        <v>500</v>
      </c>
      <c r="R89" s="7">
        <f t="shared" si="14"/>
        <v>7.404116689</v>
      </c>
      <c r="S89" s="7">
        <f t="shared" si="15"/>
        <v>600</v>
      </c>
      <c r="T89" s="7">
        <f t="shared" si="16"/>
        <v>8.884940027</v>
      </c>
      <c r="U89" s="7">
        <f t="shared" si="17"/>
        <v>700</v>
      </c>
      <c r="V89" s="7">
        <f t="shared" si="18"/>
        <v>10.36576336</v>
      </c>
      <c r="W89" s="7">
        <f t="shared" si="19"/>
        <v>800</v>
      </c>
      <c r="X89" s="7">
        <f t="shared" si="20"/>
        <v>11.8465867</v>
      </c>
      <c r="Y89" s="7">
        <f t="shared" si="21"/>
        <v>900</v>
      </c>
      <c r="Z89" s="7">
        <f t="shared" si="22"/>
        <v>13.32741004</v>
      </c>
    </row>
    <row r="90">
      <c r="A90" s="30" t="str">
        <f>IFERROR(__xludf.DUMMYFUNCTION("""COMPUTED_VALUE"""),"2019 03")</f>
        <v>2019 03</v>
      </c>
      <c r="B90" s="30" t="str">
        <f>IFERROR(__xludf.DUMMYFUNCTION("""COMPUTED_VALUE"""),"70.47")</f>
        <v>70.47</v>
      </c>
      <c r="C90" s="13">
        <v>43525.0</v>
      </c>
      <c r="D90" s="12">
        <f>'Income per month'!B90</f>
        <v>1000</v>
      </c>
      <c r="E90" s="7">
        <f t="shared" si="1"/>
        <v>50</v>
      </c>
      <c r="F90" s="7">
        <f t="shared" si="2"/>
        <v>0.7095217823</v>
      </c>
      <c r="G90" s="7">
        <f t="shared" si="3"/>
        <v>100</v>
      </c>
      <c r="H90" s="7">
        <f t="shared" si="4"/>
        <v>1.419043565</v>
      </c>
      <c r="I90" s="7">
        <f t="shared" si="5"/>
        <v>150</v>
      </c>
      <c r="J90" s="7">
        <f t="shared" si="6"/>
        <v>2.128565347</v>
      </c>
      <c r="K90" s="7">
        <f t="shared" si="7"/>
        <v>200</v>
      </c>
      <c r="L90" s="7">
        <f t="shared" si="8"/>
        <v>2.838087129</v>
      </c>
      <c r="M90" s="7">
        <f t="shared" si="9"/>
        <v>300</v>
      </c>
      <c r="N90" s="7">
        <f t="shared" si="10"/>
        <v>4.257130694</v>
      </c>
      <c r="O90" s="7">
        <f t="shared" si="11"/>
        <v>400</v>
      </c>
      <c r="P90" s="7">
        <f t="shared" si="12"/>
        <v>5.676174259</v>
      </c>
      <c r="Q90" s="7">
        <f t="shared" si="13"/>
        <v>500</v>
      </c>
      <c r="R90" s="7">
        <f t="shared" si="14"/>
        <v>7.095217823</v>
      </c>
      <c r="S90" s="7">
        <f t="shared" si="15"/>
        <v>600</v>
      </c>
      <c r="T90" s="7">
        <f t="shared" si="16"/>
        <v>8.514261388</v>
      </c>
      <c r="U90" s="7">
        <f t="shared" si="17"/>
        <v>700</v>
      </c>
      <c r="V90" s="7">
        <f t="shared" si="18"/>
        <v>9.933304952</v>
      </c>
      <c r="W90" s="7">
        <f t="shared" si="19"/>
        <v>800</v>
      </c>
      <c r="X90" s="7">
        <f t="shared" si="20"/>
        <v>11.35234852</v>
      </c>
      <c r="Y90" s="7">
        <f t="shared" si="21"/>
        <v>900</v>
      </c>
      <c r="Z90" s="7">
        <f t="shared" si="22"/>
        <v>12.77139208</v>
      </c>
    </row>
    <row r="91">
      <c r="A91" s="30" t="str">
        <f>IFERROR(__xludf.DUMMYFUNCTION("""COMPUTED_VALUE"""),"2019 04")</f>
        <v>2019 04</v>
      </c>
      <c r="B91" s="30" t="str">
        <f>IFERROR(__xludf.DUMMYFUNCTION("""COMPUTED_VALUE"""),"71.02")</f>
        <v>71.02</v>
      </c>
      <c r="C91" s="13">
        <v>43556.0</v>
      </c>
      <c r="D91" s="12">
        <f>'Income per month'!B91</f>
        <v>1000</v>
      </c>
      <c r="E91" s="7">
        <f t="shared" si="1"/>
        <v>50</v>
      </c>
      <c r="F91" s="7">
        <f t="shared" si="2"/>
        <v>0.7040270346</v>
      </c>
      <c r="G91" s="7">
        <f t="shared" si="3"/>
        <v>100</v>
      </c>
      <c r="H91" s="7">
        <f t="shared" si="4"/>
        <v>1.408054069</v>
      </c>
      <c r="I91" s="7">
        <f t="shared" si="5"/>
        <v>150</v>
      </c>
      <c r="J91" s="7">
        <f t="shared" si="6"/>
        <v>2.112081104</v>
      </c>
      <c r="K91" s="7">
        <f t="shared" si="7"/>
        <v>200</v>
      </c>
      <c r="L91" s="7">
        <f t="shared" si="8"/>
        <v>2.816108139</v>
      </c>
      <c r="M91" s="7">
        <f t="shared" si="9"/>
        <v>300</v>
      </c>
      <c r="N91" s="7">
        <f t="shared" si="10"/>
        <v>4.224162208</v>
      </c>
      <c r="O91" s="7">
        <f t="shared" si="11"/>
        <v>400</v>
      </c>
      <c r="P91" s="7">
        <f t="shared" si="12"/>
        <v>5.632216277</v>
      </c>
      <c r="Q91" s="7">
        <f t="shared" si="13"/>
        <v>500</v>
      </c>
      <c r="R91" s="7">
        <f t="shared" si="14"/>
        <v>7.040270346</v>
      </c>
      <c r="S91" s="7">
        <f t="shared" si="15"/>
        <v>600</v>
      </c>
      <c r="T91" s="7">
        <f t="shared" si="16"/>
        <v>8.448324416</v>
      </c>
      <c r="U91" s="7">
        <f t="shared" si="17"/>
        <v>700</v>
      </c>
      <c r="V91" s="7">
        <f t="shared" si="18"/>
        <v>9.856378485</v>
      </c>
      <c r="W91" s="7">
        <f t="shared" si="19"/>
        <v>800</v>
      </c>
      <c r="X91" s="7">
        <f t="shared" si="20"/>
        <v>11.26443255</v>
      </c>
      <c r="Y91" s="7">
        <f t="shared" si="21"/>
        <v>900</v>
      </c>
      <c r="Z91" s="7">
        <f t="shared" si="22"/>
        <v>12.67248662</v>
      </c>
    </row>
    <row r="92">
      <c r="A92" s="30" t="str">
        <f>IFERROR(__xludf.DUMMYFUNCTION("""COMPUTED_VALUE"""),"2019 05")</f>
        <v>2019 05</v>
      </c>
      <c r="B92" s="30" t="str">
        <f>IFERROR(__xludf.DUMMYFUNCTION("""COMPUTED_VALUE"""),"73.41")</f>
        <v>73.41</v>
      </c>
      <c r="C92" s="13">
        <v>43586.0</v>
      </c>
      <c r="D92" s="12">
        <f>'Income per month'!B92</f>
        <v>1000</v>
      </c>
      <c r="E92" s="7">
        <f t="shared" si="1"/>
        <v>50</v>
      </c>
      <c r="F92" s="7">
        <f t="shared" si="2"/>
        <v>0.6811061163</v>
      </c>
      <c r="G92" s="7">
        <f t="shared" si="3"/>
        <v>100</v>
      </c>
      <c r="H92" s="7">
        <f t="shared" si="4"/>
        <v>1.362212233</v>
      </c>
      <c r="I92" s="7">
        <f t="shared" si="5"/>
        <v>150</v>
      </c>
      <c r="J92" s="7">
        <f t="shared" si="6"/>
        <v>2.043318349</v>
      </c>
      <c r="K92" s="7">
        <f t="shared" si="7"/>
        <v>200</v>
      </c>
      <c r="L92" s="7">
        <f t="shared" si="8"/>
        <v>2.724424465</v>
      </c>
      <c r="M92" s="7">
        <f t="shared" si="9"/>
        <v>300</v>
      </c>
      <c r="N92" s="7">
        <f t="shared" si="10"/>
        <v>4.086636698</v>
      </c>
      <c r="O92" s="7">
        <f t="shared" si="11"/>
        <v>400</v>
      </c>
      <c r="P92" s="7">
        <f t="shared" si="12"/>
        <v>5.448848931</v>
      </c>
      <c r="Q92" s="7">
        <f t="shared" si="13"/>
        <v>500</v>
      </c>
      <c r="R92" s="7">
        <f t="shared" si="14"/>
        <v>6.811061163</v>
      </c>
      <c r="S92" s="7">
        <f t="shared" si="15"/>
        <v>600</v>
      </c>
      <c r="T92" s="7">
        <f t="shared" si="16"/>
        <v>8.173273396</v>
      </c>
      <c r="U92" s="7">
        <f t="shared" si="17"/>
        <v>700</v>
      </c>
      <c r="V92" s="7">
        <f t="shared" si="18"/>
        <v>9.535485629</v>
      </c>
      <c r="W92" s="7">
        <f t="shared" si="19"/>
        <v>800</v>
      </c>
      <c r="X92" s="7">
        <f t="shared" si="20"/>
        <v>10.89769786</v>
      </c>
      <c r="Y92" s="7">
        <f t="shared" si="21"/>
        <v>900</v>
      </c>
      <c r="Z92" s="7">
        <f t="shared" si="22"/>
        <v>12.25991009</v>
      </c>
    </row>
    <row r="93">
      <c r="A93" s="30" t="str">
        <f>IFERROR(__xludf.DUMMYFUNCTION("""COMPUTED_VALUE"""),"2019 06")</f>
        <v>2019 06</v>
      </c>
      <c r="B93" s="30" t="str">
        <f>IFERROR(__xludf.DUMMYFUNCTION("""COMPUTED_VALUE"""),"70.05")</f>
        <v>70.05</v>
      </c>
      <c r="C93" s="13">
        <v>43617.0</v>
      </c>
      <c r="D93" s="12">
        <f>'Income per month'!B93</f>
        <v>1000</v>
      </c>
      <c r="E93" s="7">
        <f t="shared" si="1"/>
        <v>50</v>
      </c>
      <c r="F93" s="7">
        <f t="shared" si="2"/>
        <v>0.7137758744</v>
      </c>
      <c r="G93" s="7">
        <f t="shared" si="3"/>
        <v>100</v>
      </c>
      <c r="H93" s="7">
        <f t="shared" si="4"/>
        <v>1.427551749</v>
      </c>
      <c r="I93" s="7">
        <f t="shared" si="5"/>
        <v>150</v>
      </c>
      <c r="J93" s="7">
        <f t="shared" si="6"/>
        <v>2.141327623</v>
      </c>
      <c r="K93" s="7">
        <f t="shared" si="7"/>
        <v>200</v>
      </c>
      <c r="L93" s="7">
        <f t="shared" si="8"/>
        <v>2.855103498</v>
      </c>
      <c r="M93" s="7">
        <f t="shared" si="9"/>
        <v>300</v>
      </c>
      <c r="N93" s="7">
        <f t="shared" si="10"/>
        <v>4.282655246</v>
      </c>
      <c r="O93" s="7">
        <f t="shared" si="11"/>
        <v>400</v>
      </c>
      <c r="P93" s="7">
        <f t="shared" si="12"/>
        <v>5.710206995</v>
      </c>
      <c r="Q93" s="7">
        <f t="shared" si="13"/>
        <v>500</v>
      </c>
      <c r="R93" s="7">
        <f t="shared" si="14"/>
        <v>7.137758744</v>
      </c>
      <c r="S93" s="7">
        <f t="shared" si="15"/>
        <v>600</v>
      </c>
      <c r="T93" s="7">
        <f t="shared" si="16"/>
        <v>8.565310493</v>
      </c>
      <c r="U93" s="7">
        <f t="shared" si="17"/>
        <v>700</v>
      </c>
      <c r="V93" s="7">
        <f t="shared" si="18"/>
        <v>9.992862241</v>
      </c>
      <c r="W93" s="7">
        <f t="shared" si="19"/>
        <v>800</v>
      </c>
      <c r="X93" s="7">
        <f t="shared" si="20"/>
        <v>11.42041399</v>
      </c>
      <c r="Y93" s="7">
        <f t="shared" si="21"/>
        <v>900</v>
      </c>
      <c r="Z93" s="7">
        <f t="shared" si="22"/>
        <v>12.84796574</v>
      </c>
    </row>
    <row r="94">
      <c r="A94" s="30" t="str">
        <f>IFERROR(__xludf.DUMMYFUNCTION("""COMPUTED_VALUE"""),"2019 07")</f>
        <v>2019 07</v>
      </c>
      <c r="B94" s="30" t="str">
        <f>IFERROR(__xludf.DUMMYFUNCTION("""COMPUTED_VALUE"""),"73.55")</f>
        <v>73.55</v>
      </c>
      <c r="C94" s="13">
        <v>43647.0</v>
      </c>
      <c r="D94" s="12">
        <f>'Income per month'!B94</f>
        <v>1000</v>
      </c>
      <c r="E94" s="7">
        <f t="shared" si="1"/>
        <v>50</v>
      </c>
      <c r="F94" s="7">
        <f t="shared" si="2"/>
        <v>0.6798096533</v>
      </c>
      <c r="G94" s="7">
        <f t="shared" si="3"/>
        <v>100</v>
      </c>
      <c r="H94" s="7">
        <f t="shared" si="4"/>
        <v>1.359619307</v>
      </c>
      <c r="I94" s="7">
        <f t="shared" si="5"/>
        <v>150</v>
      </c>
      <c r="J94" s="7">
        <f t="shared" si="6"/>
        <v>2.03942896</v>
      </c>
      <c r="K94" s="7">
        <f t="shared" si="7"/>
        <v>200</v>
      </c>
      <c r="L94" s="7">
        <f t="shared" si="8"/>
        <v>2.719238613</v>
      </c>
      <c r="M94" s="7">
        <f t="shared" si="9"/>
        <v>300</v>
      </c>
      <c r="N94" s="7">
        <f t="shared" si="10"/>
        <v>4.07885792</v>
      </c>
      <c r="O94" s="7">
        <f t="shared" si="11"/>
        <v>400</v>
      </c>
      <c r="P94" s="7">
        <f t="shared" si="12"/>
        <v>5.438477226</v>
      </c>
      <c r="Q94" s="7">
        <f t="shared" si="13"/>
        <v>500</v>
      </c>
      <c r="R94" s="7">
        <f t="shared" si="14"/>
        <v>6.798096533</v>
      </c>
      <c r="S94" s="7">
        <f t="shared" si="15"/>
        <v>600</v>
      </c>
      <c r="T94" s="7">
        <f t="shared" si="16"/>
        <v>8.15771584</v>
      </c>
      <c r="U94" s="7">
        <f t="shared" si="17"/>
        <v>700</v>
      </c>
      <c r="V94" s="7">
        <f t="shared" si="18"/>
        <v>9.517335146</v>
      </c>
      <c r="W94" s="7">
        <f t="shared" si="19"/>
        <v>800</v>
      </c>
      <c r="X94" s="7">
        <f t="shared" si="20"/>
        <v>10.87695445</v>
      </c>
      <c r="Y94" s="7">
        <f t="shared" si="21"/>
        <v>900</v>
      </c>
      <c r="Z94" s="7">
        <f t="shared" si="22"/>
        <v>12.23657376</v>
      </c>
    </row>
    <row r="95">
      <c r="A95" s="30" t="str">
        <f>IFERROR(__xludf.DUMMYFUNCTION("""COMPUTED_VALUE"""),"2019 08")</f>
        <v>2019 08</v>
      </c>
      <c r="B95" s="30" t="str">
        <f>IFERROR(__xludf.DUMMYFUNCTION("""COMPUTED_VALUE"""),"73.14")</f>
        <v>73.14</v>
      </c>
      <c r="C95" s="13">
        <v>43678.0</v>
      </c>
      <c r="D95" s="12">
        <f>'Income per month'!B95</f>
        <v>1000</v>
      </c>
      <c r="E95" s="7">
        <f t="shared" si="1"/>
        <v>50</v>
      </c>
      <c r="F95" s="7">
        <f t="shared" si="2"/>
        <v>0.6836204539</v>
      </c>
      <c r="G95" s="7">
        <f t="shared" si="3"/>
        <v>100</v>
      </c>
      <c r="H95" s="7">
        <f t="shared" si="4"/>
        <v>1.367240908</v>
      </c>
      <c r="I95" s="7">
        <f t="shared" si="5"/>
        <v>150</v>
      </c>
      <c r="J95" s="7">
        <f t="shared" si="6"/>
        <v>2.050861362</v>
      </c>
      <c r="K95" s="7">
        <f t="shared" si="7"/>
        <v>200</v>
      </c>
      <c r="L95" s="7">
        <f t="shared" si="8"/>
        <v>2.734481816</v>
      </c>
      <c r="M95" s="7">
        <f t="shared" si="9"/>
        <v>300</v>
      </c>
      <c r="N95" s="7">
        <f t="shared" si="10"/>
        <v>4.101722724</v>
      </c>
      <c r="O95" s="7">
        <f t="shared" si="11"/>
        <v>400</v>
      </c>
      <c r="P95" s="7">
        <f t="shared" si="12"/>
        <v>5.468963631</v>
      </c>
      <c r="Q95" s="7">
        <f t="shared" si="13"/>
        <v>500</v>
      </c>
      <c r="R95" s="7">
        <f t="shared" si="14"/>
        <v>6.836204539</v>
      </c>
      <c r="S95" s="7">
        <f t="shared" si="15"/>
        <v>600</v>
      </c>
      <c r="T95" s="7">
        <f t="shared" si="16"/>
        <v>8.203445447</v>
      </c>
      <c r="U95" s="7">
        <f t="shared" si="17"/>
        <v>700</v>
      </c>
      <c r="V95" s="7">
        <f t="shared" si="18"/>
        <v>9.570686355</v>
      </c>
      <c r="W95" s="7">
        <f t="shared" si="19"/>
        <v>800</v>
      </c>
      <c r="X95" s="7">
        <f t="shared" si="20"/>
        <v>10.93792726</v>
      </c>
      <c r="Y95" s="7">
        <f t="shared" si="21"/>
        <v>900</v>
      </c>
      <c r="Z95" s="7">
        <f t="shared" si="22"/>
        <v>12.30516817</v>
      </c>
    </row>
    <row r="96">
      <c r="A96" s="30" t="str">
        <f>IFERROR(__xludf.DUMMYFUNCTION("""COMPUTED_VALUE"""),"2019 09")</f>
        <v>2019 09</v>
      </c>
      <c r="B96" s="30" t="str">
        <f>IFERROR(__xludf.DUMMYFUNCTION("""COMPUTED_VALUE"""),"72.38")</f>
        <v>72.38</v>
      </c>
      <c r="C96" s="13">
        <v>43709.0</v>
      </c>
      <c r="D96" s="12">
        <f>'Income per month'!B96</f>
        <v>1000</v>
      </c>
      <c r="E96" s="7">
        <f t="shared" si="1"/>
        <v>50</v>
      </c>
      <c r="F96" s="7">
        <f t="shared" si="2"/>
        <v>0.6907985631</v>
      </c>
      <c r="G96" s="7">
        <f t="shared" si="3"/>
        <v>100</v>
      </c>
      <c r="H96" s="7">
        <f t="shared" si="4"/>
        <v>1.381597126</v>
      </c>
      <c r="I96" s="7">
        <f t="shared" si="5"/>
        <v>150</v>
      </c>
      <c r="J96" s="7">
        <f t="shared" si="6"/>
        <v>2.072395689</v>
      </c>
      <c r="K96" s="7">
        <f t="shared" si="7"/>
        <v>200</v>
      </c>
      <c r="L96" s="7">
        <f t="shared" si="8"/>
        <v>2.763194253</v>
      </c>
      <c r="M96" s="7">
        <f t="shared" si="9"/>
        <v>300</v>
      </c>
      <c r="N96" s="7">
        <f t="shared" si="10"/>
        <v>4.144791379</v>
      </c>
      <c r="O96" s="7">
        <f t="shared" si="11"/>
        <v>400</v>
      </c>
      <c r="P96" s="7">
        <f t="shared" si="12"/>
        <v>5.526388505</v>
      </c>
      <c r="Q96" s="7">
        <f t="shared" si="13"/>
        <v>500</v>
      </c>
      <c r="R96" s="7">
        <f t="shared" si="14"/>
        <v>6.907985631</v>
      </c>
      <c r="S96" s="7">
        <f t="shared" si="15"/>
        <v>600</v>
      </c>
      <c r="T96" s="7">
        <f t="shared" si="16"/>
        <v>8.289582758</v>
      </c>
      <c r="U96" s="7">
        <f t="shared" si="17"/>
        <v>700</v>
      </c>
      <c r="V96" s="7">
        <f t="shared" si="18"/>
        <v>9.671179884</v>
      </c>
      <c r="W96" s="7">
        <f t="shared" si="19"/>
        <v>800</v>
      </c>
      <c r="X96" s="7">
        <f t="shared" si="20"/>
        <v>11.05277701</v>
      </c>
      <c r="Y96" s="7">
        <f t="shared" si="21"/>
        <v>900</v>
      </c>
      <c r="Z96" s="7">
        <f t="shared" si="22"/>
        <v>12.43437414</v>
      </c>
    </row>
    <row r="97">
      <c r="A97" s="30" t="str">
        <f>IFERROR(__xludf.DUMMYFUNCTION("""COMPUTED_VALUE"""),"2019 10")</f>
        <v>2019 10</v>
      </c>
      <c r="B97" s="30" t="str">
        <f>IFERROR(__xludf.DUMMYFUNCTION("""COMPUTED_VALUE"""),"74.49")</f>
        <v>74.49</v>
      </c>
      <c r="C97" s="13">
        <v>43739.0</v>
      </c>
      <c r="D97" s="12">
        <f>'Income per month'!B97</f>
        <v>1000</v>
      </c>
      <c r="E97" s="7">
        <f t="shared" si="1"/>
        <v>50</v>
      </c>
      <c r="F97" s="7">
        <f t="shared" si="2"/>
        <v>0.6712310377</v>
      </c>
      <c r="G97" s="7">
        <f t="shared" si="3"/>
        <v>100</v>
      </c>
      <c r="H97" s="7">
        <f t="shared" si="4"/>
        <v>1.342462075</v>
      </c>
      <c r="I97" s="7">
        <f t="shared" si="5"/>
        <v>150</v>
      </c>
      <c r="J97" s="7">
        <f t="shared" si="6"/>
        <v>2.013693113</v>
      </c>
      <c r="K97" s="7">
        <f t="shared" si="7"/>
        <v>200</v>
      </c>
      <c r="L97" s="7">
        <f t="shared" si="8"/>
        <v>2.684924151</v>
      </c>
      <c r="M97" s="7">
        <f t="shared" si="9"/>
        <v>300</v>
      </c>
      <c r="N97" s="7">
        <f t="shared" si="10"/>
        <v>4.027386226</v>
      </c>
      <c r="O97" s="7">
        <f t="shared" si="11"/>
        <v>400</v>
      </c>
      <c r="P97" s="7">
        <f t="shared" si="12"/>
        <v>5.369848302</v>
      </c>
      <c r="Q97" s="7">
        <f t="shared" si="13"/>
        <v>500</v>
      </c>
      <c r="R97" s="7">
        <f t="shared" si="14"/>
        <v>6.712310377</v>
      </c>
      <c r="S97" s="7">
        <f t="shared" si="15"/>
        <v>600</v>
      </c>
      <c r="T97" s="7">
        <f t="shared" si="16"/>
        <v>8.054772453</v>
      </c>
      <c r="U97" s="7">
        <f t="shared" si="17"/>
        <v>700</v>
      </c>
      <c r="V97" s="7">
        <f t="shared" si="18"/>
        <v>9.397234528</v>
      </c>
      <c r="W97" s="7">
        <f t="shared" si="19"/>
        <v>800</v>
      </c>
      <c r="X97" s="7">
        <f t="shared" si="20"/>
        <v>10.7396966</v>
      </c>
      <c r="Y97" s="7">
        <f t="shared" si="21"/>
        <v>900</v>
      </c>
      <c r="Z97" s="7">
        <f t="shared" si="22"/>
        <v>12.08215868</v>
      </c>
    </row>
    <row r="98">
      <c r="A98" s="30" t="str">
        <f>IFERROR(__xludf.DUMMYFUNCTION("""COMPUTED_VALUE"""),"2019 11")</f>
        <v>2019 11</v>
      </c>
      <c r="B98" s="30" t="str">
        <f>IFERROR(__xludf.DUMMYFUNCTION("""COMPUTED_VALUE"""),"75.02")</f>
        <v>75.02</v>
      </c>
      <c r="C98" s="13">
        <v>43770.0</v>
      </c>
      <c r="D98" s="12">
        <f>'Income per month'!B98</f>
        <v>1000</v>
      </c>
      <c r="E98" s="7">
        <f t="shared" si="1"/>
        <v>50</v>
      </c>
      <c r="F98" s="7">
        <f t="shared" si="2"/>
        <v>0.6664889363</v>
      </c>
      <c r="G98" s="7">
        <f t="shared" si="3"/>
        <v>100</v>
      </c>
      <c r="H98" s="7">
        <f t="shared" si="4"/>
        <v>1.332977873</v>
      </c>
      <c r="I98" s="7">
        <f t="shared" si="5"/>
        <v>150</v>
      </c>
      <c r="J98" s="7">
        <f t="shared" si="6"/>
        <v>1.999466809</v>
      </c>
      <c r="K98" s="7">
        <f t="shared" si="7"/>
        <v>200</v>
      </c>
      <c r="L98" s="7">
        <f t="shared" si="8"/>
        <v>2.665955745</v>
      </c>
      <c r="M98" s="7">
        <f t="shared" si="9"/>
        <v>300</v>
      </c>
      <c r="N98" s="7">
        <f t="shared" si="10"/>
        <v>3.998933618</v>
      </c>
      <c r="O98" s="7">
        <f t="shared" si="11"/>
        <v>400</v>
      </c>
      <c r="P98" s="7">
        <f t="shared" si="12"/>
        <v>5.33191149</v>
      </c>
      <c r="Q98" s="7">
        <f t="shared" si="13"/>
        <v>500</v>
      </c>
      <c r="R98" s="7">
        <f t="shared" si="14"/>
        <v>6.664889363</v>
      </c>
      <c r="S98" s="7">
        <f t="shared" si="15"/>
        <v>600</v>
      </c>
      <c r="T98" s="7">
        <f t="shared" si="16"/>
        <v>7.997867235</v>
      </c>
      <c r="U98" s="7">
        <f t="shared" si="17"/>
        <v>700</v>
      </c>
      <c r="V98" s="7">
        <f t="shared" si="18"/>
        <v>9.330845108</v>
      </c>
      <c r="W98" s="7">
        <f t="shared" si="19"/>
        <v>800</v>
      </c>
      <c r="X98" s="7">
        <f t="shared" si="20"/>
        <v>10.66382298</v>
      </c>
      <c r="Y98" s="7">
        <f t="shared" si="21"/>
        <v>900</v>
      </c>
      <c r="Z98" s="7">
        <f t="shared" si="22"/>
        <v>11.99680085</v>
      </c>
    </row>
    <row r="99">
      <c r="A99" s="30" t="str">
        <f>IFERROR(__xludf.DUMMYFUNCTION("""COMPUTED_VALUE"""),"2019 12")</f>
        <v>2019 12</v>
      </c>
      <c r="B99" s="30" t="str">
        <f>IFERROR(__xludf.DUMMYFUNCTION("""COMPUTED_VALUE"""),"77.37")</f>
        <v>77.37</v>
      </c>
      <c r="C99" s="14">
        <v>43800.0</v>
      </c>
      <c r="D99" s="12">
        <f>'Income per month'!B99</f>
        <v>1000</v>
      </c>
      <c r="E99" s="7">
        <f t="shared" si="1"/>
        <v>50</v>
      </c>
      <c r="F99" s="7">
        <f t="shared" si="2"/>
        <v>0.6462453147</v>
      </c>
      <c r="G99" s="7">
        <f t="shared" si="3"/>
        <v>100</v>
      </c>
      <c r="H99" s="7">
        <f t="shared" si="4"/>
        <v>1.292490629</v>
      </c>
      <c r="I99" s="7">
        <f t="shared" si="5"/>
        <v>150</v>
      </c>
      <c r="J99" s="7">
        <f t="shared" si="6"/>
        <v>1.938735944</v>
      </c>
      <c r="K99" s="7">
        <f t="shared" si="7"/>
        <v>200</v>
      </c>
      <c r="L99" s="7">
        <f t="shared" si="8"/>
        <v>2.584981259</v>
      </c>
      <c r="M99" s="7">
        <f t="shared" si="9"/>
        <v>300</v>
      </c>
      <c r="N99" s="7">
        <f t="shared" si="10"/>
        <v>3.877471888</v>
      </c>
      <c r="O99" s="7">
        <f t="shared" si="11"/>
        <v>400</v>
      </c>
      <c r="P99" s="7">
        <f t="shared" si="12"/>
        <v>5.169962518</v>
      </c>
      <c r="Q99" s="7">
        <f t="shared" si="13"/>
        <v>500</v>
      </c>
      <c r="R99" s="7">
        <f t="shared" si="14"/>
        <v>6.462453147</v>
      </c>
      <c r="S99" s="7">
        <f t="shared" si="15"/>
        <v>600</v>
      </c>
      <c r="T99" s="7">
        <f t="shared" si="16"/>
        <v>7.754943777</v>
      </c>
      <c r="U99" s="7">
        <f t="shared" si="17"/>
        <v>700</v>
      </c>
      <c r="V99" s="7">
        <f t="shared" si="18"/>
        <v>9.047434406</v>
      </c>
      <c r="W99" s="7">
        <f t="shared" si="19"/>
        <v>800</v>
      </c>
      <c r="X99" s="7">
        <f t="shared" si="20"/>
        <v>10.33992504</v>
      </c>
      <c r="Y99" s="7">
        <f t="shared" si="21"/>
        <v>900</v>
      </c>
      <c r="Z99" s="7">
        <f t="shared" si="22"/>
        <v>11.63241566</v>
      </c>
    </row>
    <row r="100">
      <c r="A100" s="30" t="str">
        <f>IFERROR(__xludf.DUMMYFUNCTION("""COMPUTED_VALUE"""),"2020 01")</f>
        <v>2020 01</v>
      </c>
      <c r="B100" s="30" t="str">
        <f>IFERROR(__xludf.DUMMYFUNCTION("""COMPUTED_VALUE"""),"77.3")</f>
        <v>77.3</v>
      </c>
      <c r="C100" s="13">
        <v>43831.0</v>
      </c>
      <c r="D100" s="12">
        <f>'Income per month'!B100</f>
        <v>1000</v>
      </c>
      <c r="E100" s="7">
        <f t="shared" si="1"/>
        <v>50</v>
      </c>
      <c r="F100" s="7">
        <f t="shared" si="2"/>
        <v>0.6468305304</v>
      </c>
      <c r="G100" s="7">
        <f t="shared" si="3"/>
        <v>100</v>
      </c>
      <c r="H100" s="7">
        <f t="shared" si="4"/>
        <v>1.293661061</v>
      </c>
      <c r="I100" s="7">
        <f t="shared" si="5"/>
        <v>150</v>
      </c>
      <c r="J100" s="7">
        <f t="shared" si="6"/>
        <v>1.940491591</v>
      </c>
      <c r="K100" s="7">
        <f t="shared" si="7"/>
        <v>200</v>
      </c>
      <c r="L100" s="7">
        <f t="shared" si="8"/>
        <v>2.587322122</v>
      </c>
      <c r="M100" s="7">
        <f t="shared" si="9"/>
        <v>300</v>
      </c>
      <c r="N100" s="7">
        <f t="shared" si="10"/>
        <v>3.880983182</v>
      </c>
      <c r="O100" s="7">
        <f t="shared" si="11"/>
        <v>400</v>
      </c>
      <c r="P100" s="7">
        <f t="shared" si="12"/>
        <v>5.174644243</v>
      </c>
      <c r="Q100" s="7">
        <f t="shared" si="13"/>
        <v>500</v>
      </c>
      <c r="R100" s="7">
        <f t="shared" si="14"/>
        <v>6.468305304</v>
      </c>
      <c r="S100" s="7">
        <f t="shared" si="15"/>
        <v>600</v>
      </c>
      <c r="T100" s="7">
        <f t="shared" si="16"/>
        <v>7.761966365</v>
      </c>
      <c r="U100" s="7">
        <f t="shared" si="17"/>
        <v>700</v>
      </c>
      <c r="V100" s="7">
        <f t="shared" si="18"/>
        <v>9.055627426</v>
      </c>
      <c r="W100" s="7">
        <f t="shared" si="19"/>
        <v>800</v>
      </c>
      <c r="X100" s="7">
        <f t="shared" si="20"/>
        <v>10.34928849</v>
      </c>
      <c r="Y100" s="7">
        <f t="shared" si="21"/>
        <v>900</v>
      </c>
      <c r="Z100" s="7">
        <f t="shared" si="22"/>
        <v>11.64294955</v>
      </c>
    </row>
    <row r="101">
      <c r="A101" s="30" t="str">
        <f>IFERROR(__xludf.DUMMYFUNCTION("""COMPUTED_VALUE"""),"2020 02")</f>
        <v>2020 02</v>
      </c>
      <c r="B101" s="30" t="str">
        <f>IFERROR(__xludf.DUMMYFUNCTION("""COMPUTED_VALUE"""),"78.12")</f>
        <v>78.12</v>
      </c>
      <c r="C101" s="13">
        <v>43862.0</v>
      </c>
      <c r="D101" s="12">
        <f>'Income per month'!B101</f>
        <v>1000</v>
      </c>
      <c r="E101" s="7">
        <f t="shared" si="1"/>
        <v>50</v>
      </c>
      <c r="F101" s="7">
        <f t="shared" si="2"/>
        <v>0.6400409626</v>
      </c>
      <c r="G101" s="7">
        <f t="shared" si="3"/>
        <v>100</v>
      </c>
      <c r="H101" s="7">
        <f t="shared" si="4"/>
        <v>1.280081925</v>
      </c>
      <c r="I101" s="7">
        <f t="shared" si="5"/>
        <v>150</v>
      </c>
      <c r="J101" s="7">
        <f t="shared" si="6"/>
        <v>1.920122888</v>
      </c>
      <c r="K101" s="7">
        <f t="shared" si="7"/>
        <v>200</v>
      </c>
      <c r="L101" s="7">
        <f t="shared" si="8"/>
        <v>2.56016385</v>
      </c>
      <c r="M101" s="7">
        <f t="shared" si="9"/>
        <v>300</v>
      </c>
      <c r="N101" s="7">
        <f t="shared" si="10"/>
        <v>3.840245776</v>
      </c>
      <c r="O101" s="7">
        <f t="shared" si="11"/>
        <v>400</v>
      </c>
      <c r="P101" s="7">
        <f t="shared" si="12"/>
        <v>5.120327701</v>
      </c>
      <c r="Q101" s="7">
        <f t="shared" si="13"/>
        <v>500</v>
      </c>
      <c r="R101" s="7">
        <f t="shared" si="14"/>
        <v>6.400409626</v>
      </c>
      <c r="S101" s="7">
        <f t="shared" si="15"/>
        <v>600</v>
      </c>
      <c r="T101" s="7">
        <f t="shared" si="16"/>
        <v>7.680491551</v>
      </c>
      <c r="U101" s="7">
        <f t="shared" si="17"/>
        <v>700</v>
      </c>
      <c r="V101" s="7">
        <f t="shared" si="18"/>
        <v>8.960573477</v>
      </c>
      <c r="W101" s="7">
        <f t="shared" si="19"/>
        <v>800</v>
      </c>
      <c r="X101" s="7">
        <f t="shared" si="20"/>
        <v>10.2406554</v>
      </c>
      <c r="Y101" s="7">
        <f t="shared" si="21"/>
        <v>900</v>
      </c>
      <c r="Z101" s="7">
        <f t="shared" si="22"/>
        <v>11.52073733</v>
      </c>
    </row>
    <row r="102">
      <c r="A102" s="30" t="str">
        <f>IFERROR(__xludf.DUMMYFUNCTION("""COMPUTED_VALUE"""),"2020 03")</f>
        <v>2020 03</v>
      </c>
      <c r="B102" s="30" t="str">
        <f>IFERROR(__xludf.DUMMYFUNCTION("""COMPUTED_VALUE"""),"74.83")</f>
        <v>74.83</v>
      </c>
      <c r="C102" s="13">
        <v>43891.0</v>
      </c>
      <c r="D102" s="12">
        <f>'Income per month'!B102</f>
        <v>1000</v>
      </c>
      <c r="E102" s="7">
        <f t="shared" si="1"/>
        <v>50</v>
      </c>
      <c r="F102" s="7">
        <f t="shared" si="2"/>
        <v>0.6681812107</v>
      </c>
      <c r="G102" s="7">
        <f t="shared" si="3"/>
        <v>100</v>
      </c>
      <c r="H102" s="7">
        <f t="shared" si="4"/>
        <v>1.336362421</v>
      </c>
      <c r="I102" s="7">
        <f t="shared" si="5"/>
        <v>150</v>
      </c>
      <c r="J102" s="7">
        <f t="shared" si="6"/>
        <v>2.004543632</v>
      </c>
      <c r="K102" s="7">
        <f t="shared" si="7"/>
        <v>200</v>
      </c>
      <c r="L102" s="7">
        <f t="shared" si="8"/>
        <v>2.672724843</v>
      </c>
      <c r="M102" s="7">
        <f t="shared" si="9"/>
        <v>300</v>
      </c>
      <c r="N102" s="7">
        <f t="shared" si="10"/>
        <v>4.009087264</v>
      </c>
      <c r="O102" s="7">
        <f t="shared" si="11"/>
        <v>400</v>
      </c>
      <c r="P102" s="7">
        <f t="shared" si="12"/>
        <v>5.345449686</v>
      </c>
      <c r="Q102" s="7">
        <f t="shared" si="13"/>
        <v>500</v>
      </c>
      <c r="R102" s="7">
        <f t="shared" si="14"/>
        <v>6.681812107</v>
      </c>
      <c r="S102" s="7">
        <f t="shared" si="15"/>
        <v>600</v>
      </c>
      <c r="T102" s="7">
        <f t="shared" si="16"/>
        <v>8.018174529</v>
      </c>
      <c r="U102" s="7">
        <f t="shared" si="17"/>
        <v>700</v>
      </c>
      <c r="V102" s="7">
        <f t="shared" si="18"/>
        <v>9.35453695</v>
      </c>
      <c r="W102" s="7">
        <f t="shared" si="19"/>
        <v>800</v>
      </c>
      <c r="X102" s="7">
        <f t="shared" si="20"/>
        <v>10.69089937</v>
      </c>
      <c r="Y102" s="7">
        <f t="shared" si="21"/>
        <v>900</v>
      </c>
      <c r="Z102" s="7">
        <f t="shared" si="22"/>
        <v>12.02726179</v>
      </c>
    </row>
    <row r="103">
      <c r="A103" s="30" t="str">
        <f>IFERROR(__xludf.DUMMYFUNCTION("""COMPUTED_VALUE"""),"2020 04")</f>
        <v>2020 04</v>
      </c>
      <c r="B103" s="30" t="str">
        <f>IFERROR(__xludf.DUMMYFUNCTION("""COMPUTED_VALUE"""),"66.32")</f>
        <v>66.32</v>
      </c>
      <c r="C103" s="13">
        <v>43922.0</v>
      </c>
      <c r="D103" s="12">
        <f>'Income per month'!B103</f>
        <v>1000</v>
      </c>
      <c r="E103" s="7">
        <f t="shared" si="1"/>
        <v>50</v>
      </c>
      <c r="F103" s="7">
        <f t="shared" si="2"/>
        <v>0.753920386</v>
      </c>
      <c r="G103" s="7">
        <f t="shared" si="3"/>
        <v>100</v>
      </c>
      <c r="H103" s="7">
        <f t="shared" si="4"/>
        <v>1.507840772</v>
      </c>
      <c r="I103" s="7">
        <f t="shared" si="5"/>
        <v>150</v>
      </c>
      <c r="J103" s="7">
        <f t="shared" si="6"/>
        <v>2.261761158</v>
      </c>
      <c r="K103" s="7">
        <f t="shared" si="7"/>
        <v>200</v>
      </c>
      <c r="L103" s="7">
        <f t="shared" si="8"/>
        <v>3.015681544</v>
      </c>
      <c r="M103" s="7">
        <f t="shared" si="9"/>
        <v>300</v>
      </c>
      <c r="N103" s="7">
        <f t="shared" si="10"/>
        <v>4.523522316</v>
      </c>
      <c r="O103" s="7">
        <f t="shared" si="11"/>
        <v>400</v>
      </c>
      <c r="P103" s="7">
        <f t="shared" si="12"/>
        <v>6.031363088</v>
      </c>
      <c r="Q103" s="7">
        <f t="shared" si="13"/>
        <v>500</v>
      </c>
      <c r="R103" s="7">
        <f t="shared" si="14"/>
        <v>7.53920386</v>
      </c>
      <c r="S103" s="7">
        <f t="shared" si="15"/>
        <v>600</v>
      </c>
      <c r="T103" s="7">
        <f t="shared" si="16"/>
        <v>9.047044632</v>
      </c>
      <c r="U103" s="7">
        <f t="shared" si="17"/>
        <v>700</v>
      </c>
      <c r="V103" s="7">
        <f t="shared" si="18"/>
        <v>10.5548854</v>
      </c>
      <c r="W103" s="7">
        <f t="shared" si="19"/>
        <v>800</v>
      </c>
      <c r="X103" s="7">
        <f t="shared" si="20"/>
        <v>12.06272618</v>
      </c>
      <c r="Y103" s="7">
        <f t="shared" si="21"/>
        <v>900</v>
      </c>
      <c r="Z103" s="7">
        <f t="shared" si="22"/>
        <v>13.57056695</v>
      </c>
    </row>
    <row r="104">
      <c r="A104" s="30" t="str">
        <f>IFERROR(__xludf.DUMMYFUNCTION("""COMPUTED_VALUE"""),"2020 05")</f>
        <v>2020 05</v>
      </c>
      <c r="B104" s="30" t="str">
        <f>IFERROR(__xludf.DUMMYFUNCTION("""COMPUTED_VALUE"""),"66.84")</f>
        <v>66.84</v>
      </c>
      <c r="C104" s="13">
        <v>43952.0</v>
      </c>
      <c r="D104" s="12">
        <f>'Income per month'!B104</f>
        <v>1000</v>
      </c>
      <c r="E104" s="7">
        <f t="shared" si="1"/>
        <v>50</v>
      </c>
      <c r="F104" s="7">
        <f t="shared" si="2"/>
        <v>0.7480550569</v>
      </c>
      <c r="G104" s="7">
        <f t="shared" si="3"/>
        <v>100</v>
      </c>
      <c r="H104" s="7">
        <f t="shared" si="4"/>
        <v>1.496110114</v>
      </c>
      <c r="I104" s="7">
        <f t="shared" si="5"/>
        <v>150</v>
      </c>
      <c r="J104" s="7">
        <f t="shared" si="6"/>
        <v>2.244165171</v>
      </c>
      <c r="K104" s="7">
        <f t="shared" si="7"/>
        <v>200</v>
      </c>
      <c r="L104" s="7">
        <f t="shared" si="8"/>
        <v>2.992220227</v>
      </c>
      <c r="M104" s="7">
        <f t="shared" si="9"/>
        <v>300</v>
      </c>
      <c r="N104" s="7">
        <f t="shared" si="10"/>
        <v>4.488330341</v>
      </c>
      <c r="O104" s="7">
        <f t="shared" si="11"/>
        <v>400</v>
      </c>
      <c r="P104" s="7">
        <f t="shared" si="12"/>
        <v>5.984440455</v>
      </c>
      <c r="Q104" s="7">
        <f t="shared" si="13"/>
        <v>500</v>
      </c>
      <c r="R104" s="7">
        <f t="shared" si="14"/>
        <v>7.480550569</v>
      </c>
      <c r="S104" s="7">
        <f t="shared" si="15"/>
        <v>600</v>
      </c>
      <c r="T104" s="7">
        <f t="shared" si="16"/>
        <v>8.976660682</v>
      </c>
      <c r="U104" s="7">
        <f t="shared" si="17"/>
        <v>700</v>
      </c>
      <c r="V104" s="7">
        <f t="shared" si="18"/>
        <v>10.4727708</v>
      </c>
      <c r="W104" s="7">
        <f t="shared" si="19"/>
        <v>800</v>
      </c>
      <c r="X104" s="7">
        <f t="shared" si="20"/>
        <v>11.96888091</v>
      </c>
      <c r="Y104" s="7">
        <f t="shared" si="21"/>
        <v>900</v>
      </c>
      <c r="Z104" s="7">
        <f t="shared" si="22"/>
        <v>13.46499102</v>
      </c>
    </row>
    <row r="105">
      <c r="A105" s="30" t="str">
        <f>IFERROR(__xludf.DUMMYFUNCTION("""COMPUTED_VALUE"""),"2020 06")</f>
        <v>2020 06</v>
      </c>
      <c r="B105" s="30" t="str">
        <f>IFERROR(__xludf.DUMMYFUNCTION("""COMPUTED_VALUE"""),"69")</f>
        <v>69</v>
      </c>
      <c r="C105" s="13">
        <v>43983.0</v>
      </c>
      <c r="D105" s="12">
        <f>'Income per month'!B105</f>
        <v>1000</v>
      </c>
      <c r="E105" s="7">
        <f t="shared" si="1"/>
        <v>50</v>
      </c>
      <c r="F105" s="7">
        <f t="shared" si="2"/>
        <v>0.7246376812</v>
      </c>
      <c r="G105" s="7">
        <f t="shared" si="3"/>
        <v>100</v>
      </c>
      <c r="H105" s="7">
        <f t="shared" si="4"/>
        <v>1.449275362</v>
      </c>
      <c r="I105" s="7">
        <f t="shared" si="5"/>
        <v>150</v>
      </c>
      <c r="J105" s="7">
        <f t="shared" si="6"/>
        <v>2.173913043</v>
      </c>
      <c r="K105" s="7">
        <f t="shared" si="7"/>
        <v>200</v>
      </c>
      <c r="L105" s="7">
        <f t="shared" si="8"/>
        <v>2.898550725</v>
      </c>
      <c r="M105" s="7">
        <f t="shared" si="9"/>
        <v>300</v>
      </c>
      <c r="N105" s="7">
        <f t="shared" si="10"/>
        <v>4.347826087</v>
      </c>
      <c r="O105" s="7">
        <f t="shared" si="11"/>
        <v>400</v>
      </c>
      <c r="P105" s="7">
        <f t="shared" si="12"/>
        <v>5.797101449</v>
      </c>
      <c r="Q105" s="7">
        <f t="shared" si="13"/>
        <v>500</v>
      </c>
      <c r="R105" s="7">
        <f t="shared" si="14"/>
        <v>7.246376812</v>
      </c>
      <c r="S105" s="7">
        <f t="shared" si="15"/>
        <v>600</v>
      </c>
      <c r="T105" s="7">
        <f t="shared" si="16"/>
        <v>8.695652174</v>
      </c>
      <c r="U105" s="7">
        <f t="shared" si="17"/>
        <v>700</v>
      </c>
      <c r="V105" s="7">
        <f t="shared" si="18"/>
        <v>10.14492754</v>
      </c>
      <c r="W105" s="7">
        <f t="shared" si="19"/>
        <v>800</v>
      </c>
      <c r="X105" s="7">
        <f t="shared" si="20"/>
        <v>11.5942029</v>
      </c>
      <c r="Y105" s="7">
        <f t="shared" si="21"/>
        <v>900</v>
      </c>
      <c r="Z105" s="7">
        <f t="shared" si="22"/>
        <v>13.04347826</v>
      </c>
    </row>
    <row r="106">
      <c r="A106" s="30" t="str">
        <f>IFERROR(__xludf.DUMMYFUNCTION("""COMPUTED_VALUE"""),"2020 07")</f>
        <v>2020 07</v>
      </c>
      <c r="B106" s="30" t="str">
        <f>IFERROR(__xludf.DUMMYFUNCTION("""COMPUTED_VALUE"""),"68.96")</f>
        <v>68.96</v>
      </c>
      <c r="C106" s="13">
        <v>44013.0</v>
      </c>
      <c r="D106" s="12">
        <f>'Income per month'!B106</f>
        <v>1000</v>
      </c>
      <c r="E106" s="7">
        <f t="shared" si="1"/>
        <v>50</v>
      </c>
      <c r="F106" s="7">
        <f t="shared" si="2"/>
        <v>0.7250580046</v>
      </c>
      <c r="G106" s="7">
        <f t="shared" si="3"/>
        <v>100</v>
      </c>
      <c r="H106" s="7">
        <f t="shared" si="4"/>
        <v>1.450116009</v>
      </c>
      <c r="I106" s="7">
        <f t="shared" si="5"/>
        <v>150</v>
      </c>
      <c r="J106" s="7">
        <f t="shared" si="6"/>
        <v>2.175174014</v>
      </c>
      <c r="K106" s="7">
        <f t="shared" si="7"/>
        <v>200</v>
      </c>
      <c r="L106" s="7">
        <f t="shared" si="8"/>
        <v>2.900232019</v>
      </c>
      <c r="M106" s="7">
        <f t="shared" si="9"/>
        <v>300</v>
      </c>
      <c r="N106" s="7">
        <f t="shared" si="10"/>
        <v>4.350348028</v>
      </c>
      <c r="O106" s="7">
        <f t="shared" si="11"/>
        <v>400</v>
      </c>
      <c r="P106" s="7">
        <f t="shared" si="12"/>
        <v>5.800464037</v>
      </c>
      <c r="Q106" s="7">
        <f t="shared" si="13"/>
        <v>500</v>
      </c>
      <c r="R106" s="7">
        <f t="shared" si="14"/>
        <v>7.250580046</v>
      </c>
      <c r="S106" s="7">
        <f t="shared" si="15"/>
        <v>600</v>
      </c>
      <c r="T106" s="7">
        <f t="shared" si="16"/>
        <v>8.700696056</v>
      </c>
      <c r="U106" s="7">
        <f t="shared" si="17"/>
        <v>700</v>
      </c>
      <c r="V106" s="7">
        <f t="shared" si="18"/>
        <v>10.15081206</v>
      </c>
      <c r="W106" s="7">
        <f t="shared" si="19"/>
        <v>800</v>
      </c>
      <c r="X106" s="7">
        <f t="shared" si="20"/>
        <v>11.60092807</v>
      </c>
      <c r="Y106" s="7">
        <f t="shared" si="21"/>
        <v>900</v>
      </c>
      <c r="Z106" s="7">
        <f t="shared" si="22"/>
        <v>13.05104408</v>
      </c>
    </row>
    <row r="107">
      <c r="A107" s="30" t="str">
        <f>IFERROR(__xludf.DUMMYFUNCTION("""COMPUTED_VALUE"""),"2020 08")</f>
        <v>2020 08</v>
      </c>
      <c r="B107" s="30" t="str">
        <f>IFERROR(__xludf.DUMMYFUNCTION("""COMPUTED_VALUE"""),"69.62")</f>
        <v>69.62</v>
      </c>
      <c r="C107" s="13">
        <v>44044.0</v>
      </c>
      <c r="D107" s="12">
        <f>'Income per month'!B107</f>
        <v>1000</v>
      </c>
      <c r="E107" s="7">
        <f t="shared" si="1"/>
        <v>50</v>
      </c>
      <c r="F107" s="7">
        <f t="shared" si="2"/>
        <v>0.7181844298</v>
      </c>
      <c r="G107" s="7">
        <f t="shared" si="3"/>
        <v>100</v>
      </c>
      <c r="H107" s="7">
        <f t="shared" si="4"/>
        <v>1.43636886</v>
      </c>
      <c r="I107" s="7">
        <f t="shared" si="5"/>
        <v>150</v>
      </c>
      <c r="J107" s="7">
        <f t="shared" si="6"/>
        <v>2.154553289</v>
      </c>
      <c r="K107" s="7">
        <f t="shared" si="7"/>
        <v>200</v>
      </c>
      <c r="L107" s="7">
        <f t="shared" si="8"/>
        <v>2.872737719</v>
      </c>
      <c r="M107" s="7">
        <f t="shared" si="9"/>
        <v>300</v>
      </c>
      <c r="N107" s="7">
        <f t="shared" si="10"/>
        <v>4.309106579</v>
      </c>
      <c r="O107" s="7">
        <f t="shared" si="11"/>
        <v>400</v>
      </c>
      <c r="P107" s="7">
        <f t="shared" si="12"/>
        <v>5.745475438</v>
      </c>
      <c r="Q107" s="7">
        <f t="shared" si="13"/>
        <v>500</v>
      </c>
      <c r="R107" s="7">
        <f t="shared" si="14"/>
        <v>7.181844298</v>
      </c>
      <c r="S107" s="7">
        <f t="shared" si="15"/>
        <v>600</v>
      </c>
      <c r="T107" s="7">
        <f t="shared" si="16"/>
        <v>8.618213157</v>
      </c>
      <c r="U107" s="7">
        <f t="shared" si="17"/>
        <v>700</v>
      </c>
      <c r="V107" s="7">
        <f t="shared" si="18"/>
        <v>10.05458202</v>
      </c>
      <c r="W107" s="7">
        <f t="shared" si="19"/>
        <v>800</v>
      </c>
      <c r="X107" s="7">
        <f t="shared" si="20"/>
        <v>11.49095088</v>
      </c>
      <c r="Y107" s="7">
        <f t="shared" si="21"/>
        <v>900</v>
      </c>
      <c r="Z107" s="7">
        <f t="shared" si="22"/>
        <v>12.92731974</v>
      </c>
    </row>
    <row r="108">
      <c r="A108" s="30" t="str">
        <f>IFERROR(__xludf.DUMMYFUNCTION("""COMPUTED_VALUE"""),"2020 09")</f>
        <v>2020 09</v>
      </c>
      <c r="B108" s="30" t="str">
        <f>IFERROR(__xludf.DUMMYFUNCTION("""COMPUTED_VALUE"""),"70.55")</f>
        <v>70.55</v>
      </c>
      <c r="C108" s="13">
        <v>44075.0</v>
      </c>
      <c r="D108" s="12">
        <f>'Income per month'!B108</f>
        <v>1000</v>
      </c>
      <c r="E108" s="7">
        <f t="shared" si="1"/>
        <v>50</v>
      </c>
      <c r="F108" s="7">
        <f t="shared" si="2"/>
        <v>0.7087172218</v>
      </c>
      <c r="G108" s="7">
        <f t="shared" si="3"/>
        <v>100</v>
      </c>
      <c r="H108" s="7">
        <f t="shared" si="4"/>
        <v>1.417434444</v>
      </c>
      <c r="I108" s="7">
        <f t="shared" si="5"/>
        <v>150</v>
      </c>
      <c r="J108" s="7">
        <f t="shared" si="6"/>
        <v>2.126151665</v>
      </c>
      <c r="K108" s="7">
        <f t="shared" si="7"/>
        <v>200</v>
      </c>
      <c r="L108" s="7">
        <f t="shared" si="8"/>
        <v>2.834868887</v>
      </c>
      <c r="M108" s="7">
        <f t="shared" si="9"/>
        <v>300</v>
      </c>
      <c r="N108" s="7">
        <f t="shared" si="10"/>
        <v>4.252303331</v>
      </c>
      <c r="O108" s="7">
        <f t="shared" si="11"/>
        <v>400</v>
      </c>
      <c r="P108" s="7">
        <f t="shared" si="12"/>
        <v>5.669737775</v>
      </c>
      <c r="Q108" s="7">
        <f t="shared" si="13"/>
        <v>500</v>
      </c>
      <c r="R108" s="7">
        <f t="shared" si="14"/>
        <v>7.087172218</v>
      </c>
      <c r="S108" s="7">
        <f t="shared" si="15"/>
        <v>600</v>
      </c>
      <c r="T108" s="7">
        <f t="shared" si="16"/>
        <v>8.504606662</v>
      </c>
      <c r="U108" s="7">
        <f t="shared" si="17"/>
        <v>700</v>
      </c>
      <c r="V108" s="7">
        <f t="shared" si="18"/>
        <v>9.922041106</v>
      </c>
      <c r="W108" s="7">
        <f t="shared" si="19"/>
        <v>800</v>
      </c>
      <c r="X108" s="7">
        <f t="shared" si="20"/>
        <v>11.33947555</v>
      </c>
      <c r="Y108" s="7">
        <f t="shared" si="21"/>
        <v>900</v>
      </c>
      <c r="Z108" s="7">
        <f t="shared" si="22"/>
        <v>12.75690999</v>
      </c>
    </row>
    <row r="109">
      <c r="A109" s="30" t="str">
        <f>IFERROR(__xludf.DUMMYFUNCTION("""COMPUTED_VALUE"""),"2020 10")</f>
        <v>2020 10</v>
      </c>
      <c r="B109" s="30" t="str">
        <f>IFERROR(__xludf.DUMMYFUNCTION("""COMPUTED_VALUE"""),"70.9")</f>
        <v>70.9</v>
      </c>
      <c r="C109" s="13">
        <v>44105.0</v>
      </c>
      <c r="D109" s="12">
        <f>'Income per month'!B109</f>
        <v>1000</v>
      </c>
      <c r="E109" s="7">
        <f t="shared" si="1"/>
        <v>50</v>
      </c>
      <c r="F109" s="7">
        <f t="shared" si="2"/>
        <v>0.7052186178</v>
      </c>
      <c r="G109" s="7">
        <f t="shared" si="3"/>
        <v>100</v>
      </c>
      <c r="H109" s="7">
        <f t="shared" si="4"/>
        <v>1.410437236</v>
      </c>
      <c r="I109" s="7">
        <f t="shared" si="5"/>
        <v>150</v>
      </c>
      <c r="J109" s="7">
        <f t="shared" si="6"/>
        <v>2.115655853</v>
      </c>
      <c r="K109" s="7">
        <f t="shared" si="7"/>
        <v>200</v>
      </c>
      <c r="L109" s="7">
        <f t="shared" si="8"/>
        <v>2.820874471</v>
      </c>
      <c r="M109" s="7">
        <f t="shared" si="9"/>
        <v>300</v>
      </c>
      <c r="N109" s="7">
        <f t="shared" si="10"/>
        <v>4.231311707</v>
      </c>
      <c r="O109" s="7">
        <f t="shared" si="11"/>
        <v>400</v>
      </c>
      <c r="P109" s="7">
        <f t="shared" si="12"/>
        <v>5.641748942</v>
      </c>
      <c r="Q109" s="7">
        <f t="shared" si="13"/>
        <v>500</v>
      </c>
      <c r="R109" s="7">
        <f t="shared" si="14"/>
        <v>7.052186178</v>
      </c>
      <c r="S109" s="7">
        <f t="shared" si="15"/>
        <v>600</v>
      </c>
      <c r="T109" s="7">
        <f t="shared" si="16"/>
        <v>8.462623413</v>
      </c>
      <c r="U109" s="7">
        <f t="shared" si="17"/>
        <v>700</v>
      </c>
      <c r="V109" s="7">
        <f t="shared" si="18"/>
        <v>9.873060649</v>
      </c>
      <c r="W109" s="7">
        <f t="shared" si="19"/>
        <v>800</v>
      </c>
      <c r="X109" s="7">
        <f t="shared" si="20"/>
        <v>11.28349788</v>
      </c>
      <c r="Y109" s="7">
        <f t="shared" si="21"/>
        <v>900</v>
      </c>
      <c r="Z109" s="7">
        <f t="shared" si="22"/>
        <v>12.69393512</v>
      </c>
    </row>
    <row r="110">
      <c r="A110" s="30" t="str">
        <f>IFERROR(__xludf.DUMMYFUNCTION("""COMPUTED_VALUE"""),"2020 11")</f>
        <v>2020 11</v>
      </c>
      <c r="B110" s="30" t="str">
        <f>IFERROR(__xludf.DUMMYFUNCTION("""COMPUTED_VALUE"""),"70.51")</f>
        <v>70.51</v>
      </c>
      <c r="C110" s="13">
        <v>44136.0</v>
      </c>
      <c r="D110" s="12">
        <f>'Income per month'!B110</f>
        <v>1000</v>
      </c>
      <c r="E110" s="7">
        <f t="shared" si="1"/>
        <v>50</v>
      </c>
      <c r="F110" s="7">
        <f t="shared" si="2"/>
        <v>0.7091192739</v>
      </c>
      <c r="G110" s="7">
        <f t="shared" si="3"/>
        <v>100</v>
      </c>
      <c r="H110" s="7">
        <f t="shared" si="4"/>
        <v>1.418238548</v>
      </c>
      <c r="I110" s="7">
        <f t="shared" si="5"/>
        <v>150</v>
      </c>
      <c r="J110" s="7">
        <f t="shared" si="6"/>
        <v>2.127357822</v>
      </c>
      <c r="K110" s="7">
        <f t="shared" si="7"/>
        <v>200</v>
      </c>
      <c r="L110" s="7">
        <f t="shared" si="8"/>
        <v>2.836477095</v>
      </c>
      <c r="M110" s="7">
        <f t="shared" si="9"/>
        <v>300</v>
      </c>
      <c r="N110" s="7">
        <f t="shared" si="10"/>
        <v>4.254715643</v>
      </c>
      <c r="O110" s="7">
        <f t="shared" si="11"/>
        <v>400</v>
      </c>
      <c r="P110" s="7">
        <f t="shared" si="12"/>
        <v>5.672954191</v>
      </c>
      <c r="Q110" s="7">
        <f t="shared" si="13"/>
        <v>500</v>
      </c>
      <c r="R110" s="7">
        <f t="shared" si="14"/>
        <v>7.091192739</v>
      </c>
      <c r="S110" s="7">
        <f t="shared" si="15"/>
        <v>600</v>
      </c>
      <c r="T110" s="7">
        <f t="shared" si="16"/>
        <v>8.509431286</v>
      </c>
      <c r="U110" s="7">
        <f t="shared" si="17"/>
        <v>700</v>
      </c>
      <c r="V110" s="7">
        <f t="shared" si="18"/>
        <v>9.927669834</v>
      </c>
      <c r="W110" s="7">
        <f t="shared" si="19"/>
        <v>800</v>
      </c>
      <c r="X110" s="7">
        <f t="shared" si="20"/>
        <v>11.34590838</v>
      </c>
      <c r="Y110" s="7">
        <f t="shared" si="21"/>
        <v>900</v>
      </c>
      <c r="Z110" s="7">
        <f t="shared" si="22"/>
        <v>12.76414693</v>
      </c>
    </row>
    <row r="111">
      <c r="A111" s="30" t="str">
        <f>IFERROR(__xludf.DUMMYFUNCTION("""COMPUTED_VALUE"""),"2020 12")</f>
        <v>2020 12</v>
      </c>
      <c r="B111" s="30" t="str">
        <f>IFERROR(__xludf.DUMMYFUNCTION("""COMPUTED_VALUE"""),"76.6")</f>
        <v>76.6</v>
      </c>
      <c r="C111" s="14">
        <v>44166.0</v>
      </c>
      <c r="D111" s="12">
        <f>'Income per month'!B111</f>
        <v>1000</v>
      </c>
      <c r="E111" s="7">
        <f t="shared" si="1"/>
        <v>50</v>
      </c>
      <c r="F111" s="7">
        <f t="shared" si="2"/>
        <v>0.6527415144</v>
      </c>
      <c r="G111" s="7">
        <f t="shared" si="3"/>
        <v>100</v>
      </c>
      <c r="H111" s="7">
        <f t="shared" si="4"/>
        <v>1.305483029</v>
      </c>
      <c r="I111" s="7">
        <f t="shared" si="5"/>
        <v>150</v>
      </c>
      <c r="J111" s="7">
        <f t="shared" si="6"/>
        <v>1.958224543</v>
      </c>
      <c r="K111" s="7">
        <f t="shared" si="7"/>
        <v>200</v>
      </c>
      <c r="L111" s="7">
        <f t="shared" si="8"/>
        <v>2.610966057</v>
      </c>
      <c r="M111" s="7">
        <f t="shared" si="9"/>
        <v>300</v>
      </c>
      <c r="N111" s="7">
        <f t="shared" si="10"/>
        <v>3.916449086</v>
      </c>
      <c r="O111" s="7">
        <f t="shared" si="11"/>
        <v>400</v>
      </c>
      <c r="P111" s="7">
        <f t="shared" si="12"/>
        <v>5.221932115</v>
      </c>
      <c r="Q111" s="7">
        <f t="shared" si="13"/>
        <v>500</v>
      </c>
      <c r="R111" s="7">
        <f t="shared" si="14"/>
        <v>6.527415144</v>
      </c>
      <c r="S111" s="7">
        <f t="shared" si="15"/>
        <v>600</v>
      </c>
      <c r="T111" s="7">
        <f t="shared" si="16"/>
        <v>7.832898172</v>
      </c>
      <c r="U111" s="7">
        <f t="shared" si="17"/>
        <v>700</v>
      </c>
      <c r="V111" s="7">
        <f t="shared" si="18"/>
        <v>9.138381201</v>
      </c>
      <c r="W111" s="7">
        <f t="shared" si="19"/>
        <v>800</v>
      </c>
      <c r="X111" s="7">
        <f t="shared" si="20"/>
        <v>10.44386423</v>
      </c>
      <c r="Y111" s="7">
        <f t="shared" si="21"/>
        <v>900</v>
      </c>
      <c r="Z111" s="7">
        <f t="shared" si="22"/>
        <v>11.74934726</v>
      </c>
    </row>
    <row r="112">
      <c r="A112" s="30" t="str">
        <f>IFERROR(__xludf.DUMMYFUNCTION("""COMPUTED_VALUE"""),"2021 01")</f>
        <v>2021 01</v>
      </c>
      <c r="B112" s="30" t="str">
        <f>IFERROR(__xludf.DUMMYFUNCTION("""COMPUTED_VALUE"""),"76.35")</f>
        <v>76.35</v>
      </c>
      <c r="C112" s="13">
        <v>44197.0</v>
      </c>
      <c r="D112" s="12">
        <f>'Income per month'!B112</f>
        <v>1000</v>
      </c>
      <c r="E112" s="7">
        <f t="shared" si="1"/>
        <v>50</v>
      </c>
      <c r="F112" s="7">
        <f t="shared" si="2"/>
        <v>0.6548788474</v>
      </c>
      <c r="G112" s="7">
        <f t="shared" si="3"/>
        <v>100</v>
      </c>
      <c r="H112" s="7">
        <f t="shared" si="4"/>
        <v>1.309757695</v>
      </c>
      <c r="I112" s="7">
        <f t="shared" si="5"/>
        <v>150</v>
      </c>
      <c r="J112" s="7">
        <f t="shared" si="6"/>
        <v>1.964636542</v>
      </c>
      <c r="K112" s="7">
        <f t="shared" si="7"/>
        <v>200</v>
      </c>
      <c r="L112" s="7">
        <f t="shared" si="8"/>
        <v>2.61951539</v>
      </c>
      <c r="M112" s="7">
        <f t="shared" si="9"/>
        <v>300</v>
      </c>
      <c r="N112" s="7">
        <f t="shared" si="10"/>
        <v>3.929273084</v>
      </c>
      <c r="O112" s="7">
        <f t="shared" si="11"/>
        <v>400</v>
      </c>
      <c r="P112" s="7">
        <f t="shared" si="12"/>
        <v>5.239030779</v>
      </c>
      <c r="Q112" s="7">
        <f t="shared" si="13"/>
        <v>500</v>
      </c>
      <c r="R112" s="7">
        <f t="shared" si="14"/>
        <v>6.548788474</v>
      </c>
      <c r="S112" s="7">
        <f t="shared" si="15"/>
        <v>600</v>
      </c>
      <c r="T112" s="7">
        <f t="shared" si="16"/>
        <v>7.858546169</v>
      </c>
      <c r="U112" s="7">
        <f t="shared" si="17"/>
        <v>700</v>
      </c>
      <c r="V112" s="7">
        <f t="shared" si="18"/>
        <v>9.168303864</v>
      </c>
      <c r="W112" s="7">
        <f t="shared" si="19"/>
        <v>800</v>
      </c>
      <c r="X112" s="7">
        <f t="shared" si="20"/>
        <v>10.47806156</v>
      </c>
      <c r="Y112" s="7">
        <f t="shared" si="21"/>
        <v>900</v>
      </c>
      <c r="Z112" s="7">
        <f t="shared" si="22"/>
        <v>11.78781925</v>
      </c>
    </row>
    <row r="113">
      <c r="A113" s="30" t="str">
        <f>IFERROR(__xludf.DUMMYFUNCTION("""COMPUTED_VALUE"""),"2021 02")</f>
        <v>2021 02</v>
      </c>
      <c r="B113" s="30" t="str">
        <f>IFERROR(__xludf.DUMMYFUNCTION("""COMPUTED_VALUE"""),"77.34")</f>
        <v>77.34</v>
      </c>
      <c r="C113" s="13">
        <v>44228.0</v>
      </c>
      <c r="D113" s="12">
        <f>'Income per month'!B113</f>
        <v>1000</v>
      </c>
      <c r="E113" s="7">
        <f t="shared" si="1"/>
        <v>50</v>
      </c>
      <c r="F113" s="7">
        <f t="shared" si="2"/>
        <v>0.6464959917</v>
      </c>
      <c r="G113" s="7">
        <f t="shared" si="3"/>
        <v>100</v>
      </c>
      <c r="H113" s="7">
        <f t="shared" si="4"/>
        <v>1.292991983</v>
      </c>
      <c r="I113" s="7">
        <f t="shared" si="5"/>
        <v>150</v>
      </c>
      <c r="J113" s="7">
        <f t="shared" si="6"/>
        <v>1.939487975</v>
      </c>
      <c r="K113" s="7">
        <f t="shared" si="7"/>
        <v>200</v>
      </c>
      <c r="L113" s="7">
        <f t="shared" si="8"/>
        <v>2.585983967</v>
      </c>
      <c r="M113" s="7">
        <f t="shared" si="9"/>
        <v>300</v>
      </c>
      <c r="N113" s="7">
        <f t="shared" si="10"/>
        <v>3.87897595</v>
      </c>
      <c r="O113" s="7">
        <f t="shared" si="11"/>
        <v>400</v>
      </c>
      <c r="P113" s="7">
        <f t="shared" si="12"/>
        <v>5.171967934</v>
      </c>
      <c r="Q113" s="7">
        <f t="shared" si="13"/>
        <v>500</v>
      </c>
      <c r="R113" s="7">
        <f t="shared" si="14"/>
        <v>6.464959917</v>
      </c>
      <c r="S113" s="7">
        <f t="shared" si="15"/>
        <v>600</v>
      </c>
      <c r="T113" s="7">
        <f t="shared" si="16"/>
        <v>7.757951901</v>
      </c>
      <c r="U113" s="7">
        <f t="shared" si="17"/>
        <v>700</v>
      </c>
      <c r="V113" s="7">
        <f t="shared" si="18"/>
        <v>9.050943884</v>
      </c>
      <c r="W113" s="7">
        <f t="shared" si="19"/>
        <v>800</v>
      </c>
      <c r="X113" s="7">
        <f t="shared" si="20"/>
        <v>10.34393587</v>
      </c>
      <c r="Y113" s="7">
        <f t="shared" si="21"/>
        <v>900</v>
      </c>
      <c r="Z113" s="7">
        <f t="shared" si="22"/>
        <v>11.63692785</v>
      </c>
    </row>
    <row r="114">
      <c r="A114" s="30" t="str">
        <f>IFERROR(__xludf.DUMMYFUNCTION("""COMPUTED_VALUE"""),"2021 03")</f>
        <v>2021 03</v>
      </c>
      <c r="B114" s="30" t="str">
        <f>IFERROR(__xludf.DUMMYFUNCTION("""COMPUTED_VALUE"""),"77.94")</f>
        <v>77.94</v>
      </c>
      <c r="C114" s="13">
        <v>44256.0</v>
      </c>
      <c r="D114" s="12">
        <f>'Income per month'!B114</f>
        <v>1000</v>
      </c>
      <c r="E114" s="7">
        <f t="shared" si="1"/>
        <v>50</v>
      </c>
      <c r="F114" s="7">
        <f t="shared" si="2"/>
        <v>0.6415191173</v>
      </c>
      <c r="G114" s="7">
        <f t="shared" si="3"/>
        <v>100</v>
      </c>
      <c r="H114" s="7">
        <f t="shared" si="4"/>
        <v>1.283038235</v>
      </c>
      <c r="I114" s="7">
        <f t="shared" si="5"/>
        <v>150</v>
      </c>
      <c r="J114" s="7">
        <f t="shared" si="6"/>
        <v>1.924557352</v>
      </c>
      <c r="K114" s="7">
        <f t="shared" si="7"/>
        <v>200</v>
      </c>
      <c r="L114" s="7">
        <f t="shared" si="8"/>
        <v>2.566076469</v>
      </c>
      <c r="M114" s="7">
        <f t="shared" si="9"/>
        <v>300</v>
      </c>
      <c r="N114" s="7">
        <f t="shared" si="10"/>
        <v>3.849114704</v>
      </c>
      <c r="O114" s="7">
        <f t="shared" si="11"/>
        <v>400</v>
      </c>
      <c r="P114" s="7">
        <f t="shared" si="12"/>
        <v>5.132152938</v>
      </c>
      <c r="Q114" s="7">
        <f t="shared" si="13"/>
        <v>500</v>
      </c>
      <c r="R114" s="7">
        <f t="shared" si="14"/>
        <v>6.415191173</v>
      </c>
      <c r="S114" s="7">
        <f t="shared" si="15"/>
        <v>600</v>
      </c>
      <c r="T114" s="7">
        <f t="shared" si="16"/>
        <v>7.698229407</v>
      </c>
      <c r="U114" s="7">
        <f t="shared" si="17"/>
        <v>700</v>
      </c>
      <c r="V114" s="7">
        <f t="shared" si="18"/>
        <v>8.981267642</v>
      </c>
      <c r="W114" s="7">
        <f t="shared" si="19"/>
        <v>800</v>
      </c>
      <c r="X114" s="7">
        <f t="shared" si="20"/>
        <v>10.26430588</v>
      </c>
      <c r="Y114" s="7">
        <f t="shared" si="21"/>
        <v>900</v>
      </c>
      <c r="Z114" s="7">
        <f t="shared" si="22"/>
        <v>11.54734411</v>
      </c>
    </row>
    <row r="115">
      <c r="A115" s="30" t="str">
        <f>IFERROR(__xludf.DUMMYFUNCTION("""COMPUTED_VALUE"""),"2021 04")</f>
        <v>2021 04</v>
      </c>
      <c r="B115" s="30" t="str">
        <f>IFERROR(__xludf.DUMMYFUNCTION("""COMPUTED_VALUE"""),"80.25")</f>
        <v>80.25</v>
      </c>
      <c r="C115" s="13">
        <v>44287.0</v>
      </c>
      <c r="D115" s="12">
        <f>'Income per month'!B115</f>
        <v>1000</v>
      </c>
      <c r="E115" s="7">
        <f t="shared" si="1"/>
        <v>50</v>
      </c>
      <c r="F115" s="7">
        <f t="shared" si="2"/>
        <v>0.6230529595</v>
      </c>
      <c r="G115" s="7">
        <f t="shared" si="3"/>
        <v>100</v>
      </c>
      <c r="H115" s="7">
        <f t="shared" si="4"/>
        <v>1.246105919</v>
      </c>
      <c r="I115" s="7">
        <f t="shared" si="5"/>
        <v>150</v>
      </c>
      <c r="J115" s="7">
        <f t="shared" si="6"/>
        <v>1.869158879</v>
      </c>
      <c r="K115" s="7">
        <f t="shared" si="7"/>
        <v>200</v>
      </c>
      <c r="L115" s="7">
        <f t="shared" si="8"/>
        <v>2.492211838</v>
      </c>
      <c r="M115" s="7">
        <f t="shared" si="9"/>
        <v>300</v>
      </c>
      <c r="N115" s="7">
        <f t="shared" si="10"/>
        <v>3.738317757</v>
      </c>
      <c r="O115" s="7">
        <f t="shared" si="11"/>
        <v>400</v>
      </c>
      <c r="P115" s="7">
        <f t="shared" si="12"/>
        <v>4.984423676</v>
      </c>
      <c r="Q115" s="7">
        <f t="shared" si="13"/>
        <v>500</v>
      </c>
      <c r="R115" s="7">
        <f t="shared" si="14"/>
        <v>6.230529595</v>
      </c>
      <c r="S115" s="7">
        <f t="shared" si="15"/>
        <v>600</v>
      </c>
      <c r="T115" s="7">
        <f t="shared" si="16"/>
        <v>7.476635514</v>
      </c>
      <c r="U115" s="7">
        <f t="shared" si="17"/>
        <v>700</v>
      </c>
      <c r="V115" s="7">
        <f t="shared" si="18"/>
        <v>8.722741433</v>
      </c>
      <c r="W115" s="7">
        <f t="shared" si="19"/>
        <v>800</v>
      </c>
      <c r="X115" s="7">
        <f t="shared" si="20"/>
        <v>9.968847352</v>
      </c>
      <c r="Y115" s="7">
        <f t="shared" si="21"/>
        <v>900</v>
      </c>
      <c r="Z115" s="7">
        <f t="shared" si="22"/>
        <v>11.21495327</v>
      </c>
    </row>
    <row r="116">
      <c r="A116" s="30" t="str">
        <f>IFERROR(__xludf.DUMMYFUNCTION("""COMPUTED_VALUE"""),"2021 05")</f>
        <v>2021 05</v>
      </c>
      <c r="B116" s="30" t="str">
        <f>IFERROR(__xludf.DUMMYFUNCTION("""COMPUTED_VALUE"""),"80.58")</f>
        <v>80.58</v>
      </c>
      <c r="C116" s="13">
        <v>44317.0</v>
      </c>
      <c r="D116" s="12">
        <f>'Income per month'!B116</f>
        <v>1000</v>
      </c>
      <c r="E116" s="7">
        <f t="shared" si="1"/>
        <v>50</v>
      </c>
      <c r="F116" s="7">
        <f t="shared" si="2"/>
        <v>0.6205013651</v>
      </c>
      <c r="G116" s="7">
        <f t="shared" si="3"/>
        <v>100</v>
      </c>
      <c r="H116" s="7">
        <f t="shared" si="4"/>
        <v>1.24100273</v>
      </c>
      <c r="I116" s="7">
        <f t="shared" si="5"/>
        <v>150</v>
      </c>
      <c r="J116" s="7">
        <f t="shared" si="6"/>
        <v>1.861504095</v>
      </c>
      <c r="K116" s="7">
        <f t="shared" si="7"/>
        <v>200</v>
      </c>
      <c r="L116" s="7">
        <f t="shared" si="8"/>
        <v>2.48200546</v>
      </c>
      <c r="M116" s="7">
        <f t="shared" si="9"/>
        <v>300</v>
      </c>
      <c r="N116" s="7">
        <f t="shared" si="10"/>
        <v>3.723008191</v>
      </c>
      <c r="O116" s="7">
        <f t="shared" si="11"/>
        <v>400</v>
      </c>
      <c r="P116" s="7">
        <f t="shared" si="12"/>
        <v>4.964010921</v>
      </c>
      <c r="Q116" s="7">
        <f t="shared" si="13"/>
        <v>500</v>
      </c>
      <c r="R116" s="7">
        <f t="shared" si="14"/>
        <v>6.205013651</v>
      </c>
      <c r="S116" s="7">
        <f t="shared" si="15"/>
        <v>600</v>
      </c>
      <c r="T116" s="7">
        <f t="shared" si="16"/>
        <v>7.446016381</v>
      </c>
      <c r="U116" s="7">
        <f t="shared" si="17"/>
        <v>700</v>
      </c>
      <c r="V116" s="7">
        <f t="shared" si="18"/>
        <v>8.687019111</v>
      </c>
      <c r="W116" s="7">
        <f t="shared" si="19"/>
        <v>800</v>
      </c>
      <c r="X116" s="7">
        <f t="shared" si="20"/>
        <v>9.928021842</v>
      </c>
      <c r="Y116" s="7">
        <f t="shared" si="21"/>
        <v>900</v>
      </c>
      <c r="Z116" s="7">
        <f t="shared" si="22"/>
        <v>11.16902457</v>
      </c>
    </row>
    <row r="117">
      <c r="A117" s="30" t="str">
        <f>IFERROR(__xludf.DUMMYFUNCTION("""COMPUTED_VALUE"""),"2021 06")</f>
        <v>2021 06</v>
      </c>
      <c r="B117" s="30" t="str">
        <f>IFERROR(__xludf.DUMMYFUNCTION("""COMPUTED_VALUE"""),"83.43")</f>
        <v>83.43</v>
      </c>
      <c r="C117" s="13">
        <v>44348.0</v>
      </c>
      <c r="D117" s="12">
        <f>'Income per month'!B117</f>
        <v>1000</v>
      </c>
      <c r="E117" s="7">
        <f t="shared" si="1"/>
        <v>50</v>
      </c>
      <c r="F117" s="7">
        <f t="shared" si="2"/>
        <v>0.5993048064</v>
      </c>
      <c r="G117" s="7">
        <f t="shared" si="3"/>
        <v>100</v>
      </c>
      <c r="H117" s="7">
        <f t="shared" si="4"/>
        <v>1.198609613</v>
      </c>
      <c r="I117" s="7">
        <f t="shared" si="5"/>
        <v>150</v>
      </c>
      <c r="J117" s="7">
        <f t="shared" si="6"/>
        <v>1.797914419</v>
      </c>
      <c r="K117" s="7">
        <f t="shared" si="7"/>
        <v>200</v>
      </c>
      <c r="L117" s="7">
        <f t="shared" si="8"/>
        <v>2.397219226</v>
      </c>
      <c r="M117" s="7">
        <f t="shared" si="9"/>
        <v>300</v>
      </c>
      <c r="N117" s="7">
        <f t="shared" si="10"/>
        <v>3.595828839</v>
      </c>
      <c r="O117" s="7">
        <f t="shared" si="11"/>
        <v>400</v>
      </c>
      <c r="P117" s="7">
        <f t="shared" si="12"/>
        <v>4.794438451</v>
      </c>
      <c r="Q117" s="7">
        <f t="shared" si="13"/>
        <v>500</v>
      </c>
      <c r="R117" s="7">
        <f t="shared" si="14"/>
        <v>5.993048064</v>
      </c>
      <c r="S117" s="7">
        <f t="shared" si="15"/>
        <v>600</v>
      </c>
      <c r="T117" s="7">
        <f t="shared" si="16"/>
        <v>7.191657677</v>
      </c>
      <c r="U117" s="7">
        <f t="shared" si="17"/>
        <v>700</v>
      </c>
      <c r="V117" s="7">
        <f t="shared" si="18"/>
        <v>8.39026729</v>
      </c>
      <c r="W117" s="7">
        <f t="shared" si="19"/>
        <v>800</v>
      </c>
      <c r="X117" s="7">
        <f t="shared" si="20"/>
        <v>9.588876903</v>
      </c>
      <c r="Y117" s="7">
        <f t="shared" si="21"/>
        <v>900</v>
      </c>
      <c r="Z117" s="7">
        <f t="shared" si="22"/>
        <v>10.78748652</v>
      </c>
    </row>
    <row r="118">
      <c r="A118" s="30" t="str">
        <f>IFERROR(__xludf.DUMMYFUNCTION("""COMPUTED_VALUE"""),"2021 07")</f>
        <v>2021 07</v>
      </c>
      <c r="B118" s="30" t="str">
        <f>IFERROR(__xludf.DUMMYFUNCTION("""COMPUTED_VALUE"""),"84.53")</f>
        <v>84.53</v>
      </c>
      <c r="C118" s="13">
        <v>44378.0</v>
      </c>
      <c r="D118" s="12">
        <f>'Income per month'!B118</f>
        <v>1000</v>
      </c>
      <c r="E118" s="7">
        <f t="shared" si="1"/>
        <v>50</v>
      </c>
      <c r="F118" s="7">
        <f t="shared" si="2"/>
        <v>0.5915059742</v>
      </c>
      <c r="G118" s="7">
        <f t="shared" si="3"/>
        <v>100</v>
      </c>
      <c r="H118" s="7">
        <f t="shared" si="4"/>
        <v>1.183011948</v>
      </c>
      <c r="I118" s="7">
        <f t="shared" si="5"/>
        <v>150</v>
      </c>
      <c r="J118" s="7">
        <f t="shared" si="6"/>
        <v>1.774517923</v>
      </c>
      <c r="K118" s="7">
        <f t="shared" si="7"/>
        <v>200</v>
      </c>
      <c r="L118" s="7">
        <f t="shared" si="8"/>
        <v>2.366023897</v>
      </c>
      <c r="M118" s="7">
        <f t="shared" si="9"/>
        <v>300</v>
      </c>
      <c r="N118" s="7">
        <f t="shared" si="10"/>
        <v>3.549035845</v>
      </c>
      <c r="O118" s="7">
        <f t="shared" si="11"/>
        <v>400</v>
      </c>
      <c r="P118" s="7">
        <f t="shared" si="12"/>
        <v>4.732047794</v>
      </c>
      <c r="Q118" s="7">
        <f t="shared" si="13"/>
        <v>500</v>
      </c>
      <c r="R118" s="7">
        <f t="shared" si="14"/>
        <v>5.915059742</v>
      </c>
      <c r="S118" s="7">
        <f t="shared" si="15"/>
        <v>600</v>
      </c>
      <c r="T118" s="7">
        <f t="shared" si="16"/>
        <v>7.098071691</v>
      </c>
      <c r="U118" s="7">
        <f t="shared" si="17"/>
        <v>700</v>
      </c>
      <c r="V118" s="7">
        <f t="shared" si="18"/>
        <v>8.281083639</v>
      </c>
      <c r="W118" s="7">
        <f t="shared" si="19"/>
        <v>800</v>
      </c>
      <c r="X118" s="7">
        <f t="shared" si="20"/>
        <v>9.464095587</v>
      </c>
      <c r="Y118" s="7">
        <f t="shared" si="21"/>
        <v>900</v>
      </c>
      <c r="Z118" s="7">
        <f t="shared" si="22"/>
        <v>10.64710754</v>
      </c>
    </row>
    <row r="119">
      <c r="A119" s="30" t="str">
        <f>IFERROR(__xludf.DUMMYFUNCTION("""COMPUTED_VALUE"""),"2021 08")</f>
        <v>2021 08</v>
      </c>
      <c r="B119" s="30" t="str">
        <f>IFERROR(__xludf.DUMMYFUNCTION("""COMPUTED_VALUE"""),"85.6")</f>
        <v>85.6</v>
      </c>
      <c r="C119" s="13">
        <v>44409.0</v>
      </c>
      <c r="D119" s="12">
        <f>'Income per month'!B119</f>
        <v>1000</v>
      </c>
      <c r="E119" s="7">
        <f t="shared" si="1"/>
        <v>50</v>
      </c>
      <c r="F119" s="7">
        <f t="shared" si="2"/>
        <v>0.5841121495</v>
      </c>
      <c r="G119" s="7">
        <f t="shared" si="3"/>
        <v>100</v>
      </c>
      <c r="H119" s="7">
        <f t="shared" si="4"/>
        <v>1.168224299</v>
      </c>
      <c r="I119" s="7">
        <f t="shared" si="5"/>
        <v>150</v>
      </c>
      <c r="J119" s="7">
        <f t="shared" si="6"/>
        <v>1.752336449</v>
      </c>
      <c r="K119" s="7">
        <f t="shared" si="7"/>
        <v>200</v>
      </c>
      <c r="L119" s="7">
        <f t="shared" si="8"/>
        <v>2.336448598</v>
      </c>
      <c r="M119" s="7">
        <f t="shared" si="9"/>
        <v>300</v>
      </c>
      <c r="N119" s="7">
        <f t="shared" si="10"/>
        <v>3.504672897</v>
      </c>
      <c r="O119" s="7">
        <f t="shared" si="11"/>
        <v>400</v>
      </c>
      <c r="P119" s="7">
        <f t="shared" si="12"/>
        <v>4.672897196</v>
      </c>
      <c r="Q119" s="7">
        <f t="shared" si="13"/>
        <v>500</v>
      </c>
      <c r="R119" s="7">
        <f t="shared" si="14"/>
        <v>5.841121495</v>
      </c>
      <c r="S119" s="7">
        <f t="shared" si="15"/>
        <v>600</v>
      </c>
      <c r="T119" s="7">
        <f t="shared" si="16"/>
        <v>7.009345794</v>
      </c>
      <c r="U119" s="7">
        <f t="shared" si="17"/>
        <v>700</v>
      </c>
      <c r="V119" s="7">
        <f t="shared" si="18"/>
        <v>8.177570093</v>
      </c>
      <c r="W119" s="7">
        <f t="shared" si="19"/>
        <v>800</v>
      </c>
      <c r="X119" s="7">
        <f t="shared" si="20"/>
        <v>9.345794393</v>
      </c>
      <c r="Y119" s="7">
        <f t="shared" si="21"/>
        <v>900</v>
      </c>
      <c r="Z119" s="7">
        <f t="shared" si="22"/>
        <v>10.51401869</v>
      </c>
    </row>
    <row r="120">
      <c r="A120" s="30" t="str">
        <f>IFERROR(__xludf.DUMMYFUNCTION("""COMPUTED_VALUE"""),"2021 09")</f>
        <v>2021 09</v>
      </c>
      <c r="B120" s="30" t="str">
        <f>IFERROR(__xludf.DUMMYFUNCTION("""COMPUTED_VALUE"""),"87.07")</f>
        <v>87.07</v>
      </c>
      <c r="C120" s="13">
        <v>44440.0</v>
      </c>
      <c r="D120" s="12">
        <f>'Income per month'!B120</f>
        <v>1000</v>
      </c>
      <c r="E120" s="7">
        <f t="shared" si="1"/>
        <v>50</v>
      </c>
      <c r="F120" s="7">
        <f t="shared" si="2"/>
        <v>0.574250603</v>
      </c>
      <c r="G120" s="7">
        <f t="shared" si="3"/>
        <v>100</v>
      </c>
      <c r="H120" s="7">
        <f t="shared" si="4"/>
        <v>1.148501206</v>
      </c>
      <c r="I120" s="7">
        <f t="shared" si="5"/>
        <v>150</v>
      </c>
      <c r="J120" s="7">
        <f t="shared" si="6"/>
        <v>1.722751809</v>
      </c>
      <c r="K120" s="7">
        <f t="shared" si="7"/>
        <v>200</v>
      </c>
      <c r="L120" s="7">
        <f t="shared" si="8"/>
        <v>2.297002412</v>
      </c>
      <c r="M120" s="7">
        <f t="shared" si="9"/>
        <v>300</v>
      </c>
      <c r="N120" s="7">
        <f t="shared" si="10"/>
        <v>3.445503618</v>
      </c>
      <c r="O120" s="7">
        <f t="shared" si="11"/>
        <v>400</v>
      </c>
      <c r="P120" s="7">
        <f t="shared" si="12"/>
        <v>4.594004824</v>
      </c>
      <c r="Q120" s="7">
        <f t="shared" si="13"/>
        <v>500</v>
      </c>
      <c r="R120" s="7">
        <f t="shared" si="14"/>
        <v>5.74250603</v>
      </c>
      <c r="S120" s="7">
        <f t="shared" si="15"/>
        <v>600</v>
      </c>
      <c r="T120" s="7">
        <f t="shared" si="16"/>
        <v>6.891007236</v>
      </c>
      <c r="U120" s="7">
        <f t="shared" si="17"/>
        <v>700</v>
      </c>
      <c r="V120" s="7">
        <f t="shared" si="18"/>
        <v>8.039508441</v>
      </c>
      <c r="W120" s="7">
        <f t="shared" si="19"/>
        <v>800</v>
      </c>
      <c r="X120" s="7">
        <f t="shared" si="20"/>
        <v>9.188009647</v>
      </c>
      <c r="Y120" s="7">
        <f t="shared" si="21"/>
        <v>900</v>
      </c>
      <c r="Z120" s="7">
        <f t="shared" si="22"/>
        <v>10.33651085</v>
      </c>
    </row>
    <row r="121">
      <c r="A121" s="30" t="str">
        <f>IFERROR(__xludf.DUMMYFUNCTION("""COMPUTED_VALUE"""),"2021 10")</f>
        <v>2021 10</v>
      </c>
      <c r="B121" s="30" t="str">
        <f>IFERROR(__xludf.DUMMYFUNCTION("""COMPUTED_VALUE"""),"83.8")</f>
        <v>83.8</v>
      </c>
      <c r="C121" s="13">
        <v>44470.0</v>
      </c>
      <c r="D121" s="12">
        <f>'Income per month'!B121</f>
        <v>1000</v>
      </c>
      <c r="E121" s="7">
        <f t="shared" si="1"/>
        <v>50</v>
      </c>
      <c r="F121" s="7">
        <f t="shared" si="2"/>
        <v>0.5966587112</v>
      </c>
      <c r="G121" s="7">
        <f t="shared" si="3"/>
        <v>100</v>
      </c>
      <c r="H121" s="7">
        <f t="shared" si="4"/>
        <v>1.193317422</v>
      </c>
      <c r="I121" s="7">
        <f t="shared" si="5"/>
        <v>150</v>
      </c>
      <c r="J121" s="7">
        <f t="shared" si="6"/>
        <v>1.789976134</v>
      </c>
      <c r="K121" s="7">
        <f t="shared" si="7"/>
        <v>200</v>
      </c>
      <c r="L121" s="7">
        <f t="shared" si="8"/>
        <v>2.386634845</v>
      </c>
      <c r="M121" s="7">
        <f t="shared" si="9"/>
        <v>300</v>
      </c>
      <c r="N121" s="7">
        <f t="shared" si="10"/>
        <v>3.579952267</v>
      </c>
      <c r="O121" s="7">
        <f t="shared" si="11"/>
        <v>400</v>
      </c>
      <c r="P121" s="7">
        <f t="shared" si="12"/>
        <v>4.77326969</v>
      </c>
      <c r="Q121" s="7">
        <f t="shared" si="13"/>
        <v>500</v>
      </c>
      <c r="R121" s="7">
        <f t="shared" si="14"/>
        <v>5.966587112</v>
      </c>
      <c r="S121" s="7">
        <f t="shared" si="15"/>
        <v>600</v>
      </c>
      <c r="T121" s="7">
        <f t="shared" si="16"/>
        <v>7.159904535</v>
      </c>
      <c r="U121" s="7">
        <f t="shared" si="17"/>
        <v>700</v>
      </c>
      <c r="V121" s="7">
        <f t="shared" si="18"/>
        <v>8.353221957</v>
      </c>
      <c r="W121" s="7">
        <f t="shared" si="19"/>
        <v>800</v>
      </c>
      <c r="X121" s="7">
        <f t="shared" si="20"/>
        <v>9.546539379</v>
      </c>
      <c r="Y121" s="7">
        <f t="shared" si="21"/>
        <v>900</v>
      </c>
      <c r="Z121" s="7">
        <f t="shared" si="22"/>
        <v>10.7398568</v>
      </c>
    </row>
    <row r="122">
      <c r="A122" s="30" t="str">
        <f>IFERROR(__xludf.DUMMYFUNCTION("""COMPUTED_VALUE"""),"2021 11")</f>
        <v>2021 11</v>
      </c>
      <c r="B122" s="30" t="str">
        <f>IFERROR(__xludf.DUMMYFUNCTION("""COMPUTED_VALUE"""),"83.6")</f>
        <v>83.6</v>
      </c>
      <c r="C122" s="13">
        <v>44501.0</v>
      </c>
      <c r="D122" s="12">
        <f>'Income per month'!B122</f>
        <v>1000</v>
      </c>
      <c r="E122" s="7">
        <f t="shared" si="1"/>
        <v>50</v>
      </c>
      <c r="F122" s="7">
        <f t="shared" si="2"/>
        <v>0.5980861244</v>
      </c>
      <c r="G122" s="7">
        <f t="shared" si="3"/>
        <v>100</v>
      </c>
      <c r="H122" s="7">
        <f t="shared" si="4"/>
        <v>1.196172249</v>
      </c>
      <c r="I122" s="7">
        <f t="shared" si="5"/>
        <v>150</v>
      </c>
      <c r="J122" s="7">
        <f t="shared" si="6"/>
        <v>1.794258373</v>
      </c>
      <c r="K122" s="7">
        <f t="shared" si="7"/>
        <v>200</v>
      </c>
      <c r="L122" s="7">
        <f t="shared" si="8"/>
        <v>2.392344498</v>
      </c>
      <c r="M122" s="7">
        <f t="shared" si="9"/>
        <v>300</v>
      </c>
      <c r="N122" s="7">
        <f t="shared" si="10"/>
        <v>3.588516746</v>
      </c>
      <c r="O122" s="7">
        <f t="shared" si="11"/>
        <v>400</v>
      </c>
      <c r="P122" s="7">
        <f t="shared" si="12"/>
        <v>4.784688995</v>
      </c>
      <c r="Q122" s="7">
        <f t="shared" si="13"/>
        <v>500</v>
      </c>
      <c r="R122" s="7">
        <f t="shared" si="14"/>
        <v>5.980861244</v>
      </c>
      <c r="S122" s="7">
        <f t="shared" si="15"/>
        <v>600</v>
      </c>
      <c r="T122" s="7">
        <f t="shared" si="16"/>
        <v>7.177033493</v>
      </c>
      <c r="U122" s="7">
        <f t="shared" si="17"/>
        <v>700</v>
      </c>
      <c r="V122" s="7">
        <f t="shared" si="18"/>
        <v>8.373205742</v>
      </c>
      <c r="W122" s="7">
        <f t="shared" si="19"/>
        <v>800</v>
      </c>
      <c r="X122" s="7">
        <f t="shared" si="20"/>
        <v>9.56937799</v>
      </c>
      <c r="Y122" s="7">
        <f t="shared" si="21"/>
        <v>900</v>
      </c>
      <c r="Z122" s="7">
        <f t="shared" si="22"/>
        <v>10.76555024</v>
      </c>
    </row>
    <row r="123">
      <c r="A123" s="30" t="str">
        <f>IFERROR(__xludf.DUMMYFUNCTION("""COMPUTED_VALUE"""),"2021 12")</f>
        <v>2021 12</v>
      </c>
      <c r="B123" s="30" t="str">
        <f>IFERROR(__xludf.DUMMYFUNCTION("""COMPUTED_VALUE"""),"84.64")</f>
        <v>84.64</v>
      </c>
      <c r="C123" s="14">
        <v>44531.0</v>
      </c>
      <c r="D123" s="12">
        <f>'Income per month'!B123</f>
        <v>1000</v>
      </c>
      <c r="E123" s="7">
        <f t="shared" si="1"/>
        <v>50</v>
      </c>
      <c r="F123" s="7">
        <f t="shared" si="2"/>
        <v>0.5907372401</v>
      </c>
      <c r="G123" s="7">
        <f t="shared" si="3"/>
        <v>100</v>
      </c>
      <c r="H123" s="7">
        <f t="shared" si="4"/>
        <v>1.18147448</v>
      </c>
      <c r="I123" s="7">
        <f t="shared" si="5"/>
        <v>150</v>
      </c>
      <c r="J123" s="7">
        <f t="shared" si="6"/>
        <v>1.77221172</v>
      </c>
      <c r="K123" s="7">
        <f t="shared" si="7"/>
        <v>200</v>
      </c>
      <c r="L123" s="7">
        <f t="shared" si="8"/>
        <v>2.36294896</v>
      </c>
      <c r="M123" s="7">
        <f t="shared" si="9"/>
        <v>300</v>
      </c>
      <c r="N123" s="7">
        <f t="shared" si="10"/>
        <v>3.54442344</v>
      </c>
      <c r="O123" s="7">
        <f t="shared" si="11"/>
        <v>400</v>
      </c>
      <c r="P123" s="7">
        <f t="shared" si="12"/>
        <v>4.725897921</v>
      </c>
      <c r="Q123" s="7">
        <f t="shared" si="13"/>
        <v>500</v>
      </c>
      <c r="R123" s="7">
        <f t="shared" si="14"/>
        <v>5.907372401</v>
      </c>
      <c r="S123" s="7">
        <f t="shared" si="15"/>
        <v>600</v>
      </c>
      <c r="T123" s="7">
        <f t="shared" si="16"/>
        <v>7.088846881</v>
      </c>
      <c r="U123" s="7">
        <f t="shared" si="17"/>
        <v>700</v>
      </c>
      <c r="V123" s="7">
        <f t="shared" si="18"/>
        <v>8.270321361</v>
      </c>
      <c r="W123" s="7">
        <f t="shared" si="19"/>
        <v>800</v>
      </c>
      <c r="X123" s="7">
        <f t="shared" si="20"/>
        <v>9.451795841</v>
      </c>
      <c r="Y123" s="7">
        <f t="shared" si="21"/>
        <v>900</v>
      </c>
      <c r="Z123" s="7">
        <f t="shared" si="22"/>
        <v>10.63327032</v>
      </c>
    </row>
    <row r="124">
      <c r="A124" s="30" t="str">
        <f>IFERROR(__xludf.DUMMYFUNCTION("""COMPUTED_VALUE"""),"2022 01")</f>
        <v>2022 01</v>
      </c>
      <c r="B124" s="30" t="str">
        <f>IFERROR(__xludf.DUMMYFUNCTION("""COMPUTED_VALUE"""),"85.59")</f>
        <v>85.59</v>
      </c>
      <c r="C124" s="13">
        <v>44562.0</v>
      </c>
      <c r="D124" s="12">
        <f>'Income per month'!B124</f>
        <v>1000</v>
      </c>
      <c r="E124" s="7">
        <f t="shared" si="1"/>
        <v>50</v>
      </c>
      <c r="F124" s="7">
        <f t="shared" si="2"/>
        <v>0.5841803949</v>
      </c>
      <c r="G124" s="7">
        <f t="shared" si="3"/>
        <v>100</v>
      </c>
      <c r="H124" s="7">
        <f t="shared" si="4"/>
        <v>1.16836079</v>
      </c>
      <c r="I124" s="7">
        <f t="shared" si="5"/>
        <v>150</v>
      </c>
      <c r="J124" s="7">
        <f t="shared" si="6"/>
        <v>1.752541185</v>
      </c>
      <c r="K124" s="7">
        <f t="shared" si="7"/>
        <v>200</v>
      </c>
      <c r="L124" s="7">
        <f t="shared" si="8"/>
        <v>2.33672158</v>
      </c>
      <c r="M124" s="7">
        <f t="shared" si="9"/>
        <v>300</v>
      </c>
      <c r="N124" s="7">
        <f t="shared" si="10"/>
        <v>3.505082369</v>
      </c>
      <c r="O124" s="7">
        <f t="shared" si="11"/>
        <v>400</v>
      </c>
      <c r="P124" s="7">
        <f t="shared" si="12"/>
        <v>4.673443159</v>
      </c>
      <c r="Q124" s="7">
        <f t="shared" si="13"/>
        <v>500</v>
      </c>
      <c r="R124" s="7">
        <f t="shared" si="14"/>
        <v>5.841803949</v>
      </c>
      <c r="S124" s="7">
        <f t="shared" si="15"/>
        <v>600</v>
      </c>
      <c r="T124" s="7">
        <f t="shared" si="16"/>
        <v>7.010164739</v>
      </c>
      <c r="U124" s="7">
        <f t="shared" si="17"/>
        <v>700</v>
      </c>
      <c r="V124" s="7">
        <f t="shared" si="18"/>
        <v>8.178525529</v>
      </c>
      <c r="W124" s="7">
        <f t="shared" si="19"/>
        <v>800</v>
      </c>
      <c r="X124" s="7">
        <f t="shared" si="20"/>
        <v>9.346886318</v>
      </c>
      <c r="Y124" s="7">
        <f t="shared" si="21"/>
        <v>900</v>
      </c>
      <c r="Z124" s="7">
        <f t="shared" si="22"/>
        <v>10.51524711</v>
      </c>
    </row>
    <row r="125">
      <c r="A125" s="30" t="str">
        <f>IFERROR(__xludf.DUMMYFUNCTION("""COMPUTED_VALUE"""),"2022 02")</f>
        <v>2022 02</v>
      </c>
      <c r="B125" s="30" t="str">
        <f>IFERROR(__xludf.DUMMYFUNCTION("""COMPUTED_VALUE"""),"84.49")</f>
        <v>84.49</v>
      </c>
      <c r="C125" s="13">
        <v>44593.0</v>
      </c>
      <c r="D125" s="12">
        <f>'Income per month'!B125</f>
        <v>1000</v>
      </c>
      <c r="E125" s="7">
        <f t="shared" si="1"/>
        <v>50</v>
      </c>
      <c r="F125" s="7">
        <f t="shared" si="2"/>
        <v>0.5917860102</v>
      </c>
      <c r="G125" s="7">
        <f t="shared" si="3"/>
        <v>100</v>
      </c>
      <c r="H125" s="7">
        <f t="shared" si="4"/>
        <v>1.18357202</v>
      </c>
      <c r="I125" s="7">
        <f t="shared" si="5"/>
        <v>150</v>
      </c>
      <c r="J125" s="7">
        <f t="shared" si="6"/>
        <v>1.775358031</v>
      </c>
      <c r="K125" s="7">
        <f t="shared" si="7"/>
        <v>200</v>
      </c>
      <c r="L125" s="7">
        <f t="shared" si="8"/>
        <v>2.367144041</v>
      </c>
      <c r="M125" s="7">
        <f t="shared" si="9"/>
        <v>300</v>
      </c>
      <c r="N125" s="7">
        <f t="shared" si="10"/>
        <v>3.550716061</v>
      </c>
      <c r="O125" s="7">
        <f t="shared" si="11"/>
        <v>400</v>
      </c>
      <c r="P125" s="7">
        <f t="shared" si="12"/>
        <v>4.734288081</v>
      </c>
      <c r="Q125" s="7">
        <f t="shared" si="13"/>
        <v>500</v>
      </c>
      <c r="R125" s="7">
        <f t="shared" si="14"/>
        <v>5.917860102</v>
      </c>
      <c r="S125" s="7">
        <f t="shared" si="15"/>
        <v>600</v>
      </c>
      <c r="T125" s="7">
        <f t="shared" si="16"/>
        <v>7.101432122</v>
      </c>
      <c r="U125" s="7">
        <f t="shared" si="17"/>
        <v>700</v>
      </c>
      <c r="V125" s="7">
        <f t="shared" si="18"/>
        <v>8.285004143</v>
      </c>
      <c r="W125" s="7">
        <f t="shared" si="19"/>
        <v>800</v>
      </c>
      <c r="X125" s="7">
        <f t="shared" si="20"/>
        <v>9.468576163</v>
      </c>
      <c r="Y125" s="7">
        <f t="shared" si="21"/>
        <v>900</v>
      </c>
      <c r="Z125" s="7">
        <f t="shared" si="22"/>
        <v>10.65214818</v>
      </c>
    </row>
    <row r="126">
      <c r="A126" s="30" t="str">
        <f>IFERROR(__xludf.DUMMYFUNCTION("""COMPUTED_VALUE"""),"2022 03")</f>
        <v>2022 03</v>
      </c>
      <c r="B126" s="30" t="str">
        <f>IFERROR(__xludf.DUMMYFUNCTION("""COMPUTED_VALUE"""),"80.1")</f>
        <v>80.1</v>
      </c>
      <c r="C126" s="13">
        <v>44621.0</v>
      </c>
      <c r="D126" s="12">
        <f>'Income per month'!B126</f>
        <v>1000</v>
      </c>
      <c r="E126" s="7">
        <f t="shared" si="1"/>
        <v>50</v>
      </c>
      <c r="F126" s="7">
        <f t="shared" si="2"/>
        <v>0.6242197253</v>
      </c>
      <c r="G126" s="7">
        <f t="shared" si="3"/>
        <v>100</v>
      </c>
      <c r="H126" s="7">
        <f t="shared" si="4"/>
        <v>1.248439451</v>
      </c>
      <c r="I126" s="7">
        <f t="shared" si="5"/>
        <v>150</v>
      </c>
      <c r="J126" s="7">
        <f t="shared" si="6"/>
        <v>1.872659176</v>
      </c>
      <c r="K126" s="7">
        <f t="shared" si="7"/>
        <v>200</v>
      </c>
      <c r="L126" s="7">
        <f t="shared" si="8"/>
        <v>2.496878901</v>
      </c>
      <c r="M126" s="7">
        <f t="shared" si="9"/>
        <v>300</v>
      </c>
      <c r="N126" s="7">
        <f t="shared" si="10"/>
        <v>3.745318352</v>
      </c>
      <c r="O126" s="7">
        <f t="shared" si="11"/>
        <v>400</v>
      </c>
      <c r="P126" s="7">
        <f t="shared" si="12"/>
        <v>4.993757803</v>
      </c>
      <c r="Q126" s="7">
        <f t="shared" si="13"/>
        <v>500</v>
      </c>
      <c r="R126" s="7">
        <f t="shared" si="14"/>
        <v>6.242197253</v>
      </c>
      <c r="S126" s="7">
        <f t="shared" si="15"/>
        <v>600</v>
      </c>
      <c r="T126" s="7">
        <f t="shared" si="16"/>
        <v>7.490636704</v>
      </c>
      <c r="U126" s="7">
        <f t="shared" si="17"/>
        <v>700</v>
      </c>
      <c r="V126" s="7">
        <f t="shared" si="18"/>
        <v>8.739076155</v>
      </c>
      <c r="W126" s="7">
        <f t="shared" si="19"/>
        <v>800</v>
      </c>
      <c r="X126" s="7">
        <f t="shared" si="20"/>
        <v>9.987515605</v>
      </c>
      <c r="Y126" s="7">
        <f t="shared" si="21"/>
        <v>900</v>
      </c>
      <c r="Z126" s="7">
        <f t="shared" si="22"/>
        <v>11.23595506</v>
      </c>
    </row>
    <row r="127">
      <c r="A127" s="30" t="str">
        <f>IFERROR(__xludf.DUMMYFUNCTION("""COMPUTED_VALUE"""),"2022 04")</f>
        <v>2022 04</v>
      </c>
      <c r="B127" s="30" t="str">
        <f>IFERROR(__xludf.DUMMYFUNCTION("""COMPUTED_VALUE"""),"77.4")</f>
        <v>77.4</v>
      </c>
      <c r="C127" s="13">
        <v>44652.0</v>
      </c>
      <c r="D127" s="12">
        <f>'Income per month'!B127</f>
        <v>1000</v>
      </c>
      <c r="E127" s="7">
        <f t="shared" si="1"/>
        <v>50</v>
      </c>
      <c r="F127" s="7">
        <f t="shared" si="2"/>
        <v>0.645994832</v>
      </c>
      <c r="G127" s="7">
        <f t="shared" si="3"/>
        <v>100</v>
      </c>
      <c r="H127" s="7">
        <f t="shared" si="4"/>
        <v>1.291989664</v>
      </c>
      <c r="I127" s="7">
        <f t="shared" si="5"/>
        <v>150</v>
      </c>
      <c r="J127" s="7">
        <f t="shared" si="6"/>
        <v>1.937984496</v>
      </c>
      <c r="K127" s="7">
        <f t="shared" si="7"/>
        <v>200</v>
      </c>
      <c r="L127" s="7">
        <f t="shared" si="8"/>
        <v>2.583979328</v>
      </c>
      <c r="M127" s="7">
        <f t="shared" si="9"/>
        <v>300</v>
      </c>
      <c r="N127" s="7">
        <f t="shared" si="10"/>
        <v>3.875968992</v>
      </c>
      <c r="O127" s="7">
        <f t="shared" si="11"/>
        <v>400</v>
      </c>
      <c r="P127" s="7">
        <f t="shared" si="12"/>
        <v>5.167958656</v>
      </c>
      <c r="Q127" s="7">
        <f t="shared" si="13"/>
        <v>500</v>
      </c>
      <c r="R127" s="7">
        <f t="shared" si="14"/>
        <v>6.45994832</v>
      </c>
      <c r="S127" s="7">
        <f t="shared" si="15"/>
        <v>600</v>
      </c>
      <c r="T127" s="7">
        <f t="shared" si="16"/>
        <v>7.751937984</v>
      </c>
      <c r="U127" s="7">
        <f t="shared" si="17"/>
        <v>700</v>
      </c>
      <c r="V127" s="7">
        <f t="shared" si="18"/>
        <v>9.043927649</v>
      </c>
      <c r="W127" s="7">
        <f t="shared" si="19"/>
        <v>800</v>
      </c>
      <c r="X127" s="7">
        <f t="shared" si="20"/>
        <v>10.33591731</v>
      </c>
      <c r="Y127" s="7">
        <f t="shared" si="21"/>
        <v>900</v>
      </c>
      <c r="Z127" s="7">
        <f t="shared" si="22"/>
        <v>11.62790698</v>
      </c>
    </row>
    <row r="128">
      <c r="A128" s="30" t="str">
        <f>IFERROR(__xludf.DUMMYFUNCTION("""COMPUTED_VALUE"""),"2022 05")</f>
        <v>2022 05</v>
      </c>
      <c r="B128" s="30" t="str">
        <f>IFERROR(__xludf.DUMMYFUNCTION("""COMPUTED_VALUE"""),"76.37")</f>
        <v>76.37</v>
      </c>
      <c r="C128" s="13">
        <v>44682.0</v>
      </c>
      <c r="D128" s="12">
        <f>'Income per month'!B128</f>
        <v>1000</v>
      </c>
      <c r="E128" s="7">
        <f t="shared" si="1"/>
        <v>50</v>
      </c>
      <c r="F128" s="7">
        <f t="shared" si="2"/>
        <v>0.6547073458</v>
      </c>
      <c r="G128" s="7">
        <f t="shared" si="3"/>
        <v>100</v>
      </c>
      <c r="H128" s="7">
        <f t="shared" si="4"/>
        <v>1.309414692</v>
      </c>
      <c r="I128" s="7">
        <f t="shared" si="5"/>
        <v>150</v>
      </c>
      <c r="J128" s="7">
        <f t="shared" si="6"/>
        <v>1.964122037</v>
      </c>
      <c r="K128" s="7">
        <f t="shared" si="7"/>
        <v>200</v>
      </c>
      <c r="L128" s="7">
        <f t="shared" si="8"/>
        <v>2.618829383</v>
      </c>
      <c r="M128" s="7">
        <f t="shared" si="9"/>
        <v>300</v>
      </c>
      <c r="N128" s="7">
        <f t="shared" si="10"/>
        <v>3.928244075</v>
      </c>
      <c r="O128" s="7">
        <f t="shared" si="11"/>
        <v>400</v>
      </c>
      <c r="P128" s="7">
        <f t="shared" si="12"/>
        <v>5.237658767</v>
      </c>
      <c r="Q128" s="7">
        <f t="shared" si="13"/>
        <v>500</v>
      </c>
      <c r="R128" s="7">
        <f t="shared" si="14"/>
        <v>6.547073458</v>
      </c>
      <c r="S128" s="7">
        <f t="shared" si="15"/>
        <v>600</v>
      </c>
      <c r="T128" s="7">
        <f t="shared" si="16"/>
        <v>7.85648815</v>
      </c>
      <c r="U128" s="7">
        <f t="shared" si="17"/>
        <v>700</v>
      </c>
      <c r="V128" s="7">
        <f t="shared" si="18"/>
        <v>9.165902841</v>
      </c>
      <c r="W128" s="7">
        <f t="shared" si="19"/>
        <v>800</v>
      </c>
      <c r="X128" s="7">
        <f t="shared" si="20"/>
        <v>10.47531753</v>
      </c>
      <c r="Y128" s="7">
        <f t="shared" si="21"/>
        <v>900</v>
      </c>
      <c r="Z128" s="7">
        <f t="shared" si="22"/>
        <v>11.78473222</v>
      </c>
    </row>
    <row r="129">
      <c r="A129" s="30" t="str">
        <f>IFERROR(__xludf.DUMMYFUNCTION("""COMPUTED_VALUE"""),"2022 06")</f>
        <v>2022 06</v>
      </c>
      <c r="B129" s="30" t="str">
        <f>IFERROR(__xludf.DUMMYFUNCTION("""COMPUTED_VALUE"""),"76.55")</f>
        <v>76.55</v>
      </c>
      <c r="C129" s="13">
        <v>44713.0</v>
      </c>
      <c r="D129" s="12">
        <f>'Income per month'!B129</f>
        <v>1000</v>
      </c>
      <c r="E129" s="7">
        <f t="shared" si="1"/>
        <v>50</v>
      </c>
      <c r="F129" s="7">
        <f t="shared" si="2"/>
        <v>0.6531678641</v>
      </c>
      <c r="G129" s="7">
        <f t="shared" si="3"/>
        <v>100</v>
      </c>
      <c r="H129" s="7">
        <f t="shared" si="4"/>
        <v>1.306335728</v>
      </c>
      <c r="I129" s="7">
        <f t="shared" si="5"/>
        <v>150</v>
      </c>
      <c r="J129" s="7">
        <f t="shared" si="6"/>
        <v>1.959503592</v>
      </c>
      <c r="K129" s="7">
        <f t="shared" si="7"/>
        <v>200</v>
      </c>
      <c r="L129" s="7">
        <f t="shared" si="8"/>
        <v>2.612671457</v>
      </c>
      <c r="M129" s="7">
        <f t="shared" si="9"/>
        <v>300</v>
      </c>
      <c r="N129" s="7">
        <f t="shared" si="10"/>
        <v>3.919007185</v>
      </c>
      <c r="O129" s="7">
        <f t="shared" si="11"/>
        <v>400</v>
      </c>
      <c r="P129" s="7">
        <f t="shared" si="12"/>
        <v>5.225342913</v>
      </c>
      <c r="Q129" s="7">
        <f t="shared" si="13"/>
        <v>500</v>
      </c>
      <c r="R129" s="7">
        <f t="shared" si="14"/>
        <v>6.531678641</v>
      </c>
      <c r="S129" s="7">
        <f t="shared" si="15"/>
        <v>600</v>
      </c>
      <c r="T129" s="7">
        <f t="shared" si="16"/>
        <v>7.83801437</v>
      </c>
      <c r="U129" s="7">
        <f t="shared" si="17"/>
        <v>700</v>
      </c>
      <c r="V129" s="7">
        <f t="shared" si="18"/>
        <v>9.144350098</v>
      </c>
      <c r="W129" s="7">
        <f t="shared" si="19"/>
        <v>800</v>
      </c>
      <c r="X129" s="7">
        <f t="shared" si="20"/>
        <v>10.45068583</v>
      </c>
      <c r="Y129" s="7">
        <f t="shared" si="21"/>
        <v>900</v>
      </c>
      <c r="Z129" s="7">
        <f t="shared" si="22"/>
        <v>11.75702155</v>
      </c>
    </row>
    <row r="130">
      <c r="A130" s="30" t="str">
        <f>IFERROR(__xludf.DUMMYFUNCTION("""COMPUTED_VALUE"""),"2022 07")</f>
        <v>2022 07</v>
      </c>
      <c r="B130" s="30" t="str">
        <f>IFERROR(__xludf.DUMMYFUNCTION("""COMPUTED_VALUE"""),"72.21")</f>
        <v>72.21</v>
      </c>
      <c r="C130" s="13">
        <v>44743.0</v>
      </c>
      <c r="D130" s="12">
        <f>'Income per month'!B130</f>
        <v>1000</v>
      </c>
      <c r="E130" s="7">
        <f t="shared" si="1"/>
        <v>50</v>
      </c>
      <c r="F130" s="7">
        <f t="shared" si="2"/>
        <v>0.6924248719</v>
      </c>
      <c r="G130" s="7">
        <f t="shared" si="3"/>
        <v>100</v>
      </c>
      <c r="H130" s="7">
        <f t="shared" si="4"/>
        <v>1.384849744</v>
      </c>
      <c r="I130" s="7">
        <f t="shared" si="5"/>
        <v>150</v>
      </c>
      <c r="J130" s="7">
        <f t="shared" si="6"/>
        <v>2.077274616</v>
      </c>
      <c r="K130" s="7">
        <f t="shared" si="7"/>
        <v>200</v>
      </c>
      <c r="L130" s="7">
        <f t="shared" si="8"/>
        <v>2.769699488</v>
      </c>
      <c r="M130" s="7">
        <f t="shared" si="9"/>
        <v>300</v>
      </c>
      <c r="N130" s="7">
        <f t="shared" si="10"/>
        <v>4.154549231</v>
      </c>
      <c r="O130" s="7">
        <f t="shared" si="11"/>
        <v>400</v>
      </c>
      <c r="P130" s="7">
        <f t="shared" si="12"/>
        <v>5.539398975</v>
      </c>
      <c r="Q130" s="7">
        <f t="shared" si="13"/>
        <v>500</v>
      </c>
      <c r="R130" s="7">
        <f t="shared" si="14"/>
        <v>6.924248719</v>
      </c>
      <c r="S130" s="7">
        <f t="shared" si="15"/>
        <v>600</v>
      </c>
      <c r="T130" s="7">
        <f t="shared" si="16"/>
        <v>8.309098463</v>
      </c>
      <c r="U130" s="7">
        <f t="shared" si="17"/>
        <v>700</v>
      </c>
      <c r="V130" s="7">
        <f t="shared" si="18"/>
        <v>9.693948207</v>
      </c>
      <c r="W130" s="7">
        <f t="shared" si="19"/>
        <v>800</v>
      </c>
      <c r="X130" s="7">
        <f t="shared" si="20"/>
        <v>11.07879795</v>
      </c>
      <c r="Y130" s="7">
        <f t="shared" si="21"/>
        <v>900</v>
      </c>
      <c r="Z130" s="7">
        <f t="shared" si="22"/>
        <v>12.46364769</v>
      </c>
    </row>
    <row r="131">
      <c r="A131" s="30" t="str">
        <f>IFERROR(__xludf.DUMMYFUNCTION("""COMPUTED_VALUE"""),"2022 08")</f>
        <v>2022 08</v>
      </c>
      <c r="B131" s="30" t="str">
        <f>IFERROR(__xludf.DUMMYFUNCTION("""COMPUTED_VALUE"""),"73.78")</f>
        <v>73.78</v>
      </c>
      <c r="C131" s="13">
        <v>44774.0</v>
      </c>
      <c r="D131" s="12">
        <f>'Income per month'!B131</f>
        <v>1000</v>
      </c>
      <c r="E131" s="7">
        <f t="shared" si="1"/>
        <v>50</v>
      </c>
      <c r="F131" s="7">
        <f t="shared" si="2"/>
        <v>0.677690431</v>
      </c>
      <c r="G131" s="7">
        <f t="shared" si="3"/>
        <v>100</v>
      </c>
      <c r="H131" s="7">
        <f t="shared" si="4"/>
        <v>1.355380862</v>
      </c>
      <c r="I131" s="7">
        <f t="shared" si="5"/>
        <v>150</v>
      </c>
      <c r="J131" s="7">
        <f t="shared" si="6"/>
        <v>2.033071293</v>
      </c>
      <c r="K131" s="7">
        <f t="shared" si="7"/>
        <v>200</v>
      </c>
      <c r="L131" s="7">
        <f t="shared" si="8"/>
        <v>2.710761724</v>
      </c>
      <c r="M131" s="7">
        <f t="shared" si="9"/>
        <v>300</v>
      </c>
      <c r="N131" s="7">
        <f t="shared" si="10"/>
        <v>4.066142586</v>
      </c>
      <c r="O131" s="7">
        <f t="shared" si="11"/>
        <v>400</v>
      </c>
      <c r="P131" s="7">
        <f t="shared" si="12"/>
        <v>5.421523448</v>
      </c>
      <c r="Q131" s="7">
        <f t="shared" si="13"/>
        <v>500</v>
      </c>
      <c r="R131" s="7">
        <f t="shared" si="14"/>
        <v>6.77690431</v>
      </c>
      <c r="S131" s="7">
        <f t="shared" si="15"/>
        <v>600</v>
      </c>
      <c r="T131" s="7">
        <f t="shared" si="16"/>
        <v>8.132285172</v>
      </c>
      <c r="U131" s="7">
        <f t="shared" si="17"/>
        <v>700</v>
      </c>
      <c r="V131" s="7">
        <f t="shared" si="18"/>
        <v>9.487666034</v>
      </c>
      <c r="W131" s="7">
        <f t="shared" si="19"/>
        <v>800</v>
      </c>
      <c r="X131" s="7">
        <f t="shared" si="20"/>
        <v>10.8430469</v>
      </c>
      <c r="Y131" s="7">
        <f t="shared" si="21"/>
        <v>900</v>
      </c>
      <c r="Z131" s="7">
        <f t="shared" si="22"/>
        <v>12.19842776</v>
      </c>
    </row>
    <row r="132">
      <c r="A132" s="30" t="str">
        <f>IFERROR(__xludf.DUMMYFUNCTION("""COMPUTED_VALUE"""),"2022 09")</f>
        <v>2022 09</v>
      </c>
      <c r="B132" s="30" t="str">
        <f>IFERROR(__xludf.DUMMYFUNCTION("""COMPUTED_VALUE"""),"72.05")</f>
        <v>72.05</v>
      </c>
      <c r="C132" s="13">
        <v>44805.0</v>
      </c>
      <c r="D132" s="12">
        <f>'Income per month'!B132</f>
        <v>1000</v>
      </c>
      <c r="E132" s="7">
        <f t="shared" si="1"/>
        <v>50</v>
      </c>
      <c r="F132" s="7">
        <f t="shared" si="2"/>
        <v>0.693962526</v>
      </c>
      <c r="G132" s="7">
        <f t="shared" si="3"/>
        <v>100</v>
      </c>
      <c r="H132" s="7">
        <f t="shared" si="4"/>
        <v>1.387925052</v>
      </c>
      <c r="I132" s="7">
        <f t="shared" si="5"/>
        <v>150</v>
      </c>
      <c r="J132" s="7">
        <f t="shared" si="6"/>
        <v>2.081887578</v>
      </c>
      <c r="K132" s="7">
        <f t="shared" si="7"/>
        <v>200</v>
      </c>
      <c r="L132" s="7">
        <f t="shared" si="8"/>
        <v>2.775850104</v>
      </c>
      <c r="M132" s="7">
        <f t="shared" si="9"/>
        <v>300</v>
      </c>
      <c r="N132" s="7">
        <f t="shared" si="10"/>
        <v>4.163775156</v>
      </c>
      <c r="O132" s="7">
        <f t="shared" si="11"/>
        <v>400</v>
      </c>
      <c r="P132" s="7">
        <f t="shared" si="12"/>
        <v>5.551700208</v>
      </c>
      <c r="Q132" s="7">
        <f t="shared" si="13"/>
        <v>500</v>
      </c>
      <c r="R132" s="7">
        <f t="shared" si="14"/>
        <v>6.93962526</v>
      </c>
      <c r="S132" s="7">
        <f t="shared" si="15"/>
        <v>600</v>
      </c>
      <c r="T132" s="7">
        <f t="shared" si="16"/>
        <v>8.327550312</v>
      </c>
      <c r="U132" s="7">
        <f t="shared" si="17"/>
        <v>700</v>
      </c>
      <c r="V132" s="7">
        <f t="shared" si="18"/>
        <v>9.715475364</v>
      </c>
      <c r="W132" s="7">
        <f t="shared" si="19"/>
        <v>800</v>
      </c>
      <c r="X132" s="7">
        <f t="shared" si="20"/>
        <v>11.10340042</v>
      </c>
      <c r="Y132" s="7">
        <f t="shared" si="21"/>
        <v>900</v>
      </c>
      <c r="Z132" s="7">
        <f t="shared" si="22"/>
        <v>12.49132547</v>
      </c>
    </row>
    <row r="133">
      <c r="A133" s="30" t="str">
        <f>IFERROR(__xludf.DUMMYFUNCTION("""COMPUTED_VALUE"""),"2022 10")</f>
        <v>2022 10</v>
      </c>
      <c r="B133" s="30" t="str">
        <f>IFERROR(__xludf.DUMMYFUNCTION("""COMPUTED_VALUE"""),"68.81")</f>
        <v>68.81</v>
      </c>
      <c r="C133" s="13">
        <v>44835.0</v>
      </c>
      <c r="D133" s="12">
        <f>'Income per month'!B133</f>
        <v>1000</v>
      </c>
      <c r="E133" s="7">
        <f t="shared" si="1"/>
        <v>50</v>
      </c>
      <c r="F133" s="7">
        <f t="shared" si="2"/>
        <v>0.72663857</v>
      </c>
      <c r="G133" s="7">
        <f t="shared" si="3"/>
        <v>100</v>
      </c>
      <c r="H133" s="7">
        <f t="shared" si="4"/>
        <v>1.45327714</v>
      </c>
      <c r="I133" s="7">
        <f t="shared" si="5"/>
        <v>150</v>
      </c>
      <c r="J133" s="7">
        <f t="shared" si="6"/>
        <v>2.17991571</v>
      </c>
      <c r="K133" s="7">
        <f t="shared" si="7"/>
        <v>200</v>
      </c>
      <c r="L133" s="7">
        <f t="shared" si="8"/>
        <v>2.90655428</v>
      </c>
      <c r="M133" s="7">
        <f t="shared" si="9"/>
        <v>300</v>
      </c>
      <c r="N133" s="7">
        <f t="shared" si="10"/>
        <v>4.35983142</v>
      </c>
      <c r="O133" s="7">
        <f t="shared" si="11"/>
        <v>400</v>
      </c>
      <c r="P133" s="7">
        <f t="shared" si="12"/>
        <v>5.81310856</v>
      </c>
      <c r="Q133" s="7">
        <f t="shared" si="13"/>
        <v>500</v>
      </c>
      <c r="R133" s="7">
        <f t="shared" si="14"/>
        <v>7.2663857</v>
      </c>
      <c r="S133" s="7">
        <f t="shared" si="15"/>
        <v>600</v>
      </c>
      <c r="T133" s="7">
        <f t="shared" si="16"/>
        <v>8.71966284</v>
      </c>
      <c r="U133" s="7">
        <f t="shared" si="17"/>
        <v>700</v>
      </c>
      <c r="V133" s="7">
        <f t="shared" si="18"/>
        <v>10.17293998</v>
      </c>
      <c r="W133" s="7">
        <f t="shared" si="19"/>
        <v>800</v>
      </c>
      <c r="X133" s="7">
        <f t="shared" si="20"/>
        <v>11.62621712</v>
      </c>
      <c r="Y133" s="7">
        <f t="shared" si="21"/>
        <v>900</v>
      </c>
      <c r="Z133" s="7">
        <f t="shared" si="22"/>
        <v>13.07949426</v>
      </c>
    </row>
    <row r="134">
      <c r="A134" s="30" t="str">
        <f>IFERROR(__xludf.DUMMYFUNCTION("""COMPUTED_VALUE"""),"2022 11")</f>
        <v>2022 11</v>
      </c>
      <c r="B134" s="30" t="str">
        <f>IFERROR(__xludf.DUMMYFUNCTION("""COMPUTED_VALUE"""),"71.97")</f>
        <v>71.97</v>
      </c>
      <c r="C134" s="13">
        <v>44866.0</v>
      </c>
      <c r="D134" s="12">
        <f>'Income per month'!B134</f>
        <v>1000</v>
      </c>
      <c r="E134" s="7">
        <f t="shared" si="1"/>
        <v>50</v>
      </c>
      <c r="F134" s="7">
        <f t="shared" si="2"/>
        <v>0.6947339169</v>
      </c>
      <c r="G134" s="7">
        <f t="shared" si="3"/>
        <v>100</v>
      </c>
      <c r="H134" s="7">
        <f t="shared" si="4"/>
        <v>1.389467834</v>
      </c>
      <c r="I134" s="7">
        <f t="shared" si="5"/>
        <v>150</v>
      </c>
      <c r="J134" s="7">
        <f t="shared" si="6"/>
        <v>2.084201751</v>
      </c>
      <c r="K134" s="7">
        <f t="shared" si="7"/>
        <v>200</v>
      </c>
      <c r="L134" s="7">
        <f t="shared" si="8"/>
        <v>2.778935668</v>
      </c>
      <c r="M134" s="7">
        <f t="shared" si="9"/>
        <v>300</v>
      </c>
      <c r="N134" s="7">
        <f t="shared" si="10"/>
        <v>4.168403501</v>
      </c>
      <c r="O134" s="7">
        <f t="shared" si="11"/>
        <v>400</v>
      </c>
      <c r="P134" s="7">
        <f t="shared" si="12"/>
        <v>5.557871335</v>
      </c>
      <c r="Q134" s="7">
        <f t="shared" si="13"/>
        <v>500</v>
      </c>
      <c r="R134" s="7">
        <f t="shared" si="14"/>
        <v>6.947339169</v>
      </c>
      <c r="S134" s="7">
        <f t="shared" si="15"/>
        <v>600</v>
      </c>
      <c r="T134" s="7">
        <f t="shared" si="16"/>
        <v>8.336807003</v>
      </c>
      <c r="U134" s="7">
        <f t="shared" si="17"/>
        <v>700</v>
      </c>
      <c r="V134" s="7">
        <f t="shared" si="18"/>
        <v>9.726274837</v>
      </c>
      <c r="W134" s="7">
        <f t="shared" si="19"/>
        <v>800</v>
      </c>
      <c r="X134" s="7">
        <f t="shared" si="20"/>
        <v>11.11574267</v>
      </c>
      <c r="Y134" s="7">
        <f t="shared" si="21"/>
        <v>900</v>
      </c>
      <c r="Z134" s="7">
        <f t="shared" si="22"/>
        <v>12.5052105</v>
      </c>
    </row>
    <row r="135">
      <c r="A135" s="30" t="str">
        <f>IFERROR(__xludf.DUMMYFUNCTION("""COMPUTED_VALUE"""),"2022 12")</f>
        <v>2022 12</v>
      </c>
      <c r="B135" s="30" t="str">
        <f>IFERROR(__xludf.DUMMYFUNCTION("""COMPUTED_VALUE"""),"76.64")</f>
        <v>76.64</v>
      </c>
      <c r="C135" s="14">
        <v>44896.0</v>
      </c>
      <c r="D135" s="12">
        <f>'Income per month'!B135</f>
        <v>1000</v>
      </c>
      <c r="E135" s="7">
        <f t="shared" si="1"/>
        <v>50</v>
      </c>
      <c r="F135" s="7">
        <f t="shared" si="2"/>
        <v>0.6524008351</v>
      </c>
      <c r="G135" s="7">
        <f t="shared" si="3"/>
        <v>100</v>
      </c>
      <c r="H135" s="7">
        <f t="shared" si="4"/>
        <v>1.30480167</v>
      </c>
      <c r="I135" s="7">
        <f t="shared" si="5"/>
        <v>150</v>
      </c>
      <c r="J135" s="7">
        <f t="shared" si="6"/>
        <v>1.957202505</v>
      </c>
      <c r="K135" s="7">
        <f t="shared" si="7"/>
        <v>200</v>
      </c>
      <c r="L135" s="7">
        <f t="shared" si="8"/>
        <v>2.60960334</v>
      </c>
      <c r="M135" s="7">
        <f t="shared" si="9"/>
        <v>300</v>
      </c>
      <c r="N135" s="7">
        <f t="shared" si="10"/>
        <v>3.91440501</v>
      </c>
      <c r="O135" s="7">
        <f t="shared" si="11"/>
        <v>400</v>
      </c>
      <c r="P135" s="7">
        <f t="shared" si="12"/>
        <v>5.219206681</v>
      </c>
      <c r="Q135" s="7">
        <f t="shared" si="13"/>
        <v>500</v>
      </c>
      <c r="R135" s="7">
        <f t="shared" si="14"/>
        <v>6.524008351</v>
      </c>
      <c r="S135" s="7">
        <f t="shared" si="15"/>
        <v>600</v>
      </c>
      <c r="T135" s="7">
        <f t="shared" si="16"/>
        <v>7.828810021</v>
      </c>
      <c r="U135" s="7">
        <f t="shared" si="17"/>
        <v>700</v>
      </c>
      <c r="V135" s="7">
        <f t="shared" si="18"/>
        <v>9.133611691</v>
      </c>
      <c r="W135" s="7">
        <f t="shared" si="19"/>
        <v>800</v>
      </c>
      <c r="X135" s="7">
        <f t="shared" si="20"/>
        <v>10.43841336</v>
      </c>
      <c r="Y135" s="7">
        <f t="shared" si="21"/>
        <v>900</v>
      </c>
      <c r="Z135" s="7">
        <f t="shared" si="22"/>
        <v>11.74321503</v>
      </c>
    </row>
    <row r="136">
      <c r="A136" s="30" t="str">
        <f>IFERROR(__xludf.DUMMYFUNCTION("""COMPUTED_VALUE"""),"2023 01")</f>
        <v>2023 01</v>
      </c>
      <c r="B136" s="30" t="str">
        <f>IFERROR(__xludf.DUMMYFUNCTION("""COMPUTED_VALUE"""),"74.08")</f>
        <v>74.08</v>
      </c>
      <c r="C136" s="13">
        <v>44927.0</v>
      </c>
      <c r="D136" s="12">
        <f>'Income per month'!B136</f>
        <v>1000</v>
      </c>
      <c r="E136" s="7">
        <f t="shared" si="1"/>
        <v>50</v>
      </c>
      <c r="F136" s="7">
        <f t="shared" si="2"/>
        <v>0.6749460043</v>
      </c>
      <c r="G136" s="7">
        <f t="shared" si="3"/>
        <v>100</v>
      </c>
      <c r="H136" s="7">
        <f t="shared" si="4"/>
        <v>1.349892009</v>
      </c>
      <c r="I136" s="7">
        <f t="shared" si="5"/>
        <v>150</v>
      </c>
      <c r="J136" s="7">
        <f t="shared" si="6"/>
        <v>2.024838013</v>
      </c>
      <c r="K136" s="7">
        <f t="shared" si="7"/>
        <v>200</v>
      </c>
      <c r="L136" s="7">
        <f t="shared" si="8"/>
        <v>2.699784017</v>
      </c>
      <c r="M136" s="7">
        <f t="shared" si="9"/>
        <v>300</v>
      </c>
      <c r="N136" s="7">
        <f t="shared" si="10"/>
        <v>4.049676026</v>
      </c>
      <c r="O136" s="7">
        <f t="shared" si="11"/>
        <v>400</v>
      </c>
      <c r="P136" s="7">
        <f t="shared" si="12"/>
        <v>5.399568035</v>
      </c>
      <c r="Q136" s="7">
        <f t="shared" si="13"/>
        <v>500</v>
      </c>
      <c r="R136" s="7">
        <f t="shared" si="14"/>
        <v>6.749460043</v>
      </c>
      <c r="S136" s="7">
        <f t="shared" si="15"/>
        <v>600</v>
      </c>
      <c r="T136" s="7">
        <f t="shared" si="16"/>
        <v>8.099352052</v>
      </c>
      <c r="U136" s="7">
        <f t="shared" si="17"/>
        <v>700</v>
      </c>
      <c r="V136" s="7">
        <f t="shared" si="18"/>
        <v>9.44924406</v>
      </c>
      <c r="W136" s="7">
        <f t="shared" si="19"/>
        <v>800</v>
      </c>
      <c r="X136" s="7">
        <f t="shared" si="20"/>
        <v>10.79913607</v>
      </c>
      <c r="Y136" s="7">
        <f t="shared" si="21"/>
        <v>900</v>
      </c>
      <c r="Z136" s="7">
        <f t="shared" si="22"/>
        <v>12.14902808</v>
      </c>
    </row>
    <row r="137">
      <c r="A137" s="30" t="str">
        <f>IFERROR(__xludf.DUMMYFUNCTION("""COMPUTED_VALUE"""),"2023 02")</f>
        <v>2023 02</v>
      </c>
      <c r="B137" s="30" t="str">
        <f>IFERROR(__xludf.DUMMYFUNCTION("""COMPUTED_VALUE"""),"76.95")</f>
        <v>76.95</v>
      </c>
      <c r="C137" s="13">
        <v>44958.0</v>
      </c>
      <c r="D137" s="12">
        <f>'Income per month'!B137</f>
        <v>1000</v>
      </c>
      <c r="E137" s="7">
        <f t="shared" si="1"/>
        <v>50</v>
      </c>
      <c r="F137" s="7">
        <f t="shared" si="2"/>
        <v>0.6497725796</v>
      </c>
      <c r="G137" s="7">
        <f t="shared" si="3"/>
        <v>100</v>
      </c>
      <c r="H137" s="7">
        <f t="shared" si="4"/>
        <v>1.299545159</v>
      </c>
      <c r="I137" s="7">
        <f t="shared" si="5"/>
        <v>150</v>
      </c>
      <c r="J137" s="7">
        <f t="shared" si="6"/>
        <v>1.949317739</v>
      </c>
      <c r="K137" s="7">
        <f t="shared" si="7"/>
        <v>200</v>
      </c>
      <c r="L137" s="7">
        <f t="shared" si="8"/>
        <v>2.599090318</v>
      </c>
      <c r="M137" s="7">
        <f t="shared" si="9"/>
        <v>300</v>
      </c>
      <c r="N137" s="7">
        <f t="shared" si="10"/>
        <v>3.898635478</v>
      </c>
      <c r="O137" s="7">
        <f t="shared" si="11"/>
        <v>400</v>
      </c>
      <c r="P137" s="7">
        <f t="shared" si="12"/>
        <v>5.198180637</v>
      </c>
      <c r="Q137" s="7">
        <f t="shared" si="13"/>
        <v>500</v>
      </c>
      <c r="R137" s="7">
        <f t="shared" si="14"/>
        <v>6.497725796</v>
      </c>
      <c r="S137" s="7">
        <f t="shared" si="15"/>
        <v>600</v>
      </c>
      <c r="T137" s="7">
        <f t="shared" si="16"/>
        <v>7.797270955</v>
      </c>
      <c r="U137" s="7">
        <f t="shared" si="17"/>
        <v>700</v>
      </c>
      <c r="V137" s="7">
        <f t="shared" si="18"/>
        <v>9.096816114</v>
      </c>
      <c r="W137" s="7">
        <f t="shared" si="19"/>
        <v>800</v>
      </c>
      <c r="X137" s="7">
        <f t="shared" si="20"/>
        <v>10.39636127</v>
      </c>
      <c r="Y137" s="7">
        <f t="shared" si="21"/>
        <v>900</v>
      </c>
      <c r="Z137" s="7">
        <f t="shared" si="22"/>
        <v>11.69590643</v>
      </c>
    </row>
    <row r="138">
      <c r="A138" s="30" t="str">
        <f>IFERROR(__xludf.DUMMYFUNCTION("""COMPUTED_VALUE"""),"2023 03")</f>
        <v>2023 03</v>
      </c>
      <c r="B138" s="30" t="str">
        <f>IFERROR(__xludf.DUMMYFUNCTION("""COMPUTED_VALUE"""),"77.8")</f>
        <v>77.8</v>
      </c>
      <c r="C138" s="13">
        <v>44986.0</v>
      </c>
      <c r="D138" s="12">
        <f>'Income per month'!B138</f>
        <v>1000</v>
      </c>
      <c r="E138" s="7">
        <f t="shared" si="1"/>
        <v>50</v>
      </c>
      <c r="F138" s="7">
        <f t="shared" si="2"/>
        <v>0.6426735219</v>
      </c>
      <c r="G138" s="7">
        <f t="shared" si="3"/>
        <v>100</v>
      </c>
      <c r="H138" s="7">
        <f t="shared" si="4"/>
        <v>1.285347044</v>
      </c>
      <c r="I138" s="7">
        <f t="shared" si="5"/>
        <v>150</v>
      </c>
      <c r="J138" s="7">
        <f t="shared" si="6"/>
        <v>1.928020566</v>
      </c>
      <c r="K138" s="7">
        <f t="shared" si="7"/>
        <v>200</v>
      </c>
      <c r="L138" s="7">
        <f t="shared" si="8"/>
        <v>2.570694087</v>
      </c>
      <c r="M138" s="7">
        <f t="shared" si="9"/>
        <v>300</v>
      </c>
      <c r="N138" s="7">
        <f t="shared" si="10"/>
        <v>3.856041131</v>
      </c>
      <c r="O138" s="7">
        <f t="shared" si="11"/>
        <v>400</v>
      </c>
      <c r="P138" s="7">
        <f t="shared" si="12"/>
        <v>5.141388175</v>
      </c>
      <c r="Q138" s="7">
        <f t="shared" si="13"/>
        <v>500</v>
      </c>
      <c r="R138" s="7">
        <f t="shared" si="14"/>
        <v>6.426735219</v>
      </c>
      <c r="S138" s="7">
        <f t="shared" si="15"/>
        <v>600</v>
      </c>
      <c r="T138" s="7">
        <f t="shared" si="16"/>
        <v>7.712082262</v>
      </c>
      <c r="U138" s="7">
        <f t="shared" si="17"/>
        <v>700</v>
      </c>
      <c r="V138" s="7">
        <f t="shared" si="18"/>
        <v>8.997429306</v>
      </c>
      <c r="W138" s="7">
        <f t="shared" si="19"/>
        <v>800</v>
      </c>
      <c r="X138" s="7">
        <f t="shared" si="20"/>
        <v>10.28277635</v>
      </c>
      <c r="Y138" s="7">
        <f t="shared" si="21"/>
        <v>900</v>
      </c>
      <c r="Z138" s="7">
        <f t="shared" si="22"/>
        <v>11.56812339</v>
      </c>
    </row>
    <row r="139">
      <c r="A139" s="30" t="str">
        <f>IFERROR(__xludf.DUMMYFUNCTION("""COMPUTED_VALUE"""),"2023 04")</f>
        <v>2023 04</v>
      </c>
      <c r="B139" s="30" t="str">
        <f>IFERROR(__xludf.DUMMYFUNCTION("""COMPUTED_VALUE"""),"79.84")</f>
        <v>79.84</v>
      </c>
      <c r="C139" s="13">
        <v>45017.0</v>
      </c>
      <c r="D139" s="12">
        <f>'Income per month'!B139</f>
        <v>1000</v>
      </c>
      <c r="E139" s="7">
        <f t="shared" si="1"/>
        <v>50</v>
      </c>
      <c r="F139" s="7">
        <f t="shared" si="2"/>
        <v>0.626252505</v>
      </c>
      <c r="G139" s="7">
        <f t="shared" si="3"/>
        <v>100</v>
      </c>
      <c r="H139" s="7">
        <f t="shared" si="4"/>
        <v>1.25250501</v>
      </c>
      <c r="I139" s="7">
        <f t="shared" si="5"/>
        <v>150</v>
      </c>
      <c r="J139" s="7">
        <f t="shared" si="6"/>
        <v>1.878757515</v>
      </c>
      <c r="K139" s="7">
        <f t="shared" si="7"/>
        <v>200</v>
      </c>
      <c r="L139" s="7">
        <f t="shared" si="8"/>
        <v>2.50501002</v>
      </c>
      <c r="M139" s="7">
        <f t="shared" si="9"/>
        <v>300</v>
      </c>
      <c r="N139" s="7">
        <f t="shared" si="10"/>
        <v>3.75751503</v>
      </c>
      <c r="O139" s="7">
        <f t="shared" si="11"/>
        <v>400</v>
      </c>
      <c r="P139" s="7">
        <f t="shared" si="12"/>
        <v>5.01002004</v>
      </c>
      <c r="Q139" s="7">
        <f t="shared" si="13"/>
        <v>500</v>
      </c>
      <c r="R139" s="7">
        <f t="shared" si="14"/>
        <v>6.26252505</v>
      </c>
      <c r="S139" s="7">
        <f t="shared" si="15"/>
        <v>600</v>
      </c>
      <c r="T139" s="7">
        <f t="shared" si="16"/>
        <v>7.51503006</v>
      </c>
      <c r="U139" s="7">
        <f t="shared" si="17"/>
        <v>700</v>
      </c>
      <c r="V139" s="7">
        <f t="shared" si="18"/>
        <v>8.76753507</v>
      </c>
      <c r="W139" s="7">
        <f t="shared" si="19"/>
        <v>800</v>
      </c>
      <c r="X139" s="7">
        <f t="shared" si="20"/>
        <v>10.02004008</v>
      </c>
      <c r="Y139" s="7">
        <f t="shared" si="21"/>
        <v>900</v>
      </c>
      <c r="Z139" s="7">
        <f t="shared" si="22"/>
        <v>11.27254509</v>
      </c>
    </row>
    <row r="140">
      <c r="A140" s="30" t="str">
        <f>IFERROR(__xludf.DUMMYFUNCTION("""COMPUTED_VALUE"""),"2023 05")</f>
        <v>2023 05</v>
      </c>
      <c r="B140" s="30" t="str">
        <f>IFERROR(__xludf.DUMMYFUNCTION("""COMPUTED_VALUE"""),"82.03")</f>
        <v>82.03</v>
      </c>
      <c r="C140" s="13">
        <v>45047.0</v>
      </c>
      <c r="D140" s="12">
        <f>'Income per month'!B140</f>
        <v>1000</v>
      </c>
      <c r="E140" s="7">
        <f t="shared" si="1"/>
        <v>50</v>
      </c>
      <c r="F140" s="7">
        <f t="shared" si="2"/>
        <v>0.6095330976</v>
      </c>
      <c r="G140" s="7">
        <f t="shared" si="3"/>
        <v>100</v>
      </c>
      <c r="H140" s="7">
        <f t="shared" si="4"/>
        <v>1.219066195</v>
      </c>
      <c r="I140" s="7">
        <f t="shared" si="5"/>
        <v>150</v>
      </c>
      <c r="J140" s="7">
        <f t="shared" si="6"/>
        <v>1.828599293</v>
      </c>
      <c r="K140" s="7">
        <f t="shared" si="7"/>
        <v>200</v>
      </c>
      <c r="L140" s="7">
        <f t="shared" si="8"/>
        <v>2.438132391</v>
      </c>
      <c r="M140" s="7">
        <f t="shared" si="9"/>
        <v>300</v>
      </c>
      <c r="N140" s="7">
        <f t="shared" si="10"/>
        <v>3.657198586</v>
      </c>
      <c r="O140" s="7">
        <f t="shared" si="11"/>
        <v>400</v>
      </c>
      <c r="P140" s="7">
        <f t="shared" si="12"/>
        <v>4.876264781</v>
      </c>
      <c r="Q140" s="7">
        <f t="shared" si="13"/>
        <v>500</v>
      </c>
      <c r="R140" s="7">
        <f t="shared" si="14"/>
        <v>6.095330976</v>
      </c>
      <c r="S140" s="7">
        <f t="shared" si="15"/>
        <v>600</v>
      </c>
      <c r="T140" s="7">
        <f t="shared" si="16"/>
        <v>7.314397172</v>
      </c>
      <c r="U140" s="7">
        <f t="shared" si="17"/>
        <v>700</v>
      </c>
      <c r="V140" s="7">
        <f t="shared" si="18"/>
        <v>8.533463367</v>
      </c>
      <c r="W140" s="7">
        <f t="shared" si="19"/>
        <v>800</v>
      </c>
      <c r="X140" s="7">
        <f t="shared" si="20"/>
        <v>9.752529562</v>
      </c>
      <c r="Y140" s="7">
        <f t="shared" si="21"/>
        <v>900</v>
      </c>
      <c r="Z140" s="7">
        <f t="shared" si="22"/>
        <v>10.97159576</v>
      </c>
    </row>
    <row r="141">
      <c r="A141" s="30" t="str">
        <f>IFERROR(__xludf.DUMMYFUNCTION("""COMPUTED_VALUE"""),"2023 06")</f>
        <v>2023 06</v>
      </c>
      <c r="B141" s="30" t="str">
        <f>IFERROR(__xludf.DUMMYFUNCTION("""COMPUTED_VALUE"""),"81.16")</f>
        <v>81.16</v>
      </c>
      <c r="C141" s="13">
        <v>45078.0</v>
      </c>
      <c r="D141" s="12">
        <f>'Income per month'!B141</f>
        <v>1000</v>
      </c>
      <c r="E141" s="7">
        <f t="shared" si="1"/>
        <v>50</v>
      </c>
      <c r="F141" s="7">
        <f t="shared" si="2"/>
        <v>0.6160670281</v>
      </c>
      <c r="G141" s="7">
        <f t="shared" si="3"/>
        <v>100</v>
      </c>
      <c r="H141" s="7">
        <f t="shared" si="4"/>
        <v>1.232134056</v>
      </c>
      <c r="I141" s="7">
        <f t="shared" si="5"/>
        <v>150</v>
      </c>
      <c r="J141" s="7">
        <f t="shared" si="6"/>
        <v>1.848201084</v>
      </c>
      <c r="K141" s="7">
        <f t="shared" si="7"/>
        <v>200</v>
      </c>
      <c r="L141" s="7">
        <f t="shared" si="8"/>
        <v>2.464268112</v>
      </c>
      <c r="M141" s="7">
        <f t="shared" si="9"/>
        <v>300</v>
      </c>
      <c r="N141" s="7">
        <f t="shared" si="10"/>
        <v>3.696402169</v>
      </c>
      <c r="O141" s="7">
        <f t="shared" si="11"/>
        <v>400</v>
      </c>
      <c r="P141" s="7">
        <f t="shared" si="12"/>
        <v>4.928536225</v>
      </c>
      <c r="Q141" s="7">
        <f t="shared" si="13"/>
        <v>500</v>
      </c>
      <c r="R141" s="7">
        <f t="shared" si="14"/>
        <v>6.160670281</v>
      </c>
      <c r="S141" s="7">
        <f t="shared" si="15"/>
        <v>600</v>
      </c>
      <c r="T141" s="7">
        <f t="shared" si="16"/>
        <v>7.392804337</v>
      </c>
      <c r="U141" s="7">
        <f t="shared" si="17"/>
        <v>700</v>
      </c>
      <c r="V141" s="7">
        <f t="shared" si="18"/>
        <v>8.624938393</v>
      </c>
      <c r="W141" s="7">
        <f t="shared" si="19"/>
        <v>800</v>
      </c>
      <c r="X141" s="7">
        <f t="shared" si="20"/>
        <v>9.857072449</v>
      </c>
      <c r="Y141" s="7">
        <f t="shared" si="21"/>
        <v>900</v>
      </c>
      <c r="Z141" s="7">
        <f t="shared" si="22"/>
        <v>11.08920651</v>
      </c>
    </row>
    <row r="142">
      <c r="A142" s="30" t="str">
        <f>IFERROR(__xludf.DUMMYFUNCTION("""COMPUTED_VALUE"""),"2023 07")</f>
        <v>2023 07</v>
      </c>
      <c r="B142" s="30" t="str">
        <f>IFERROR(__xludf.DUMMYFUNCTION("""COMPUTED_VALUE"""),"81.97")</f>
        <v>81.97</v>
      </c>
      <c r="C142" s="13">
        <v>45108.0</v>
      </c>
      <c r="D142" s="12">
        <f>'Income per month'!B142</f>
        <v>1000</v>
      </c>
      <c r="E142" s="7">
        <f t="shared" si="1"/>
        <v>50</v>
      </c>
      <c r="F142" s="7">
        <f t="shared" si="2"/>
        <v>0.6099792607</v>
      </c>
      <c r="G142" s="7">
        <f t="shared" si="3"/>
        <v>100</v>
      </c>
      <c r="H142" s="7">
        <f t="shared" si="4"/>
        <v>1.219958521</v>
      </c>
      <c r="I142" s="7">
        <f t="shared" si="5"/>
        <v>150</v>
      </c>
      <c r="J142" s="7">
        <f t="shared" si="6"/>
        <v>1.829937782</v>
      </c>
      <c r="K142" s="7">
        <f t="shared" si="7"/>
        <v>200</v>
      </c>
      <c r="L142" s="7">
        <f t="shared" si="8"/>
        <v>2.439917043</v>
      </c>
      <c r="M142" s="7">
        <f t="shared" si="9"/>
        <v>300</v>
      </c>
      <c r="N142" s="7">
        <f t="shared" si="10"/>
        <v>3.659875564</v>
      </c>
      <c r="O142" s="7">
        <f t="shared" si="11"/>
        <v>400</v>
      </c>
      <c r="P142" s="7">
        <f t="shared" si="12"/>
        <v>4.879834086</v>
      </c>
      <c r="Q142" s="7">
        <f t="shared" si="13"/>
        <v>500</v>
      </c>
      <c r="R142" s="7">
        <f t="shared" si="14"/>
        <v>6.099792607</v>
      </c>
      <c r="S142" s="7">
        <f t="shared" si="15"/>
        <v>600</v>
      </c>
      <c r="T142" s="7">
        <f t="shared" si="16"/>
        <v>7.319751128</v>
      </c>
      <c r="U142" s="7">
        <f t="shared" si="17"/>
        <v>700</v>
      </c>
      <c r="V142" s="7">
        <f t="shared" si="18"/>
        <v>8.53970965</v>
      </c>
      <c r="W142" s="7">
        <f t="shared" si="19"/>
        <v>800</v>
      </c>
      <c r="X142" s="7">
        <f t="shared" si="20"/>
        <v>9.759668171</v>
      </c>
      <c r="Y142" s="7">
        <f t="shared" si="21"/>
        <v>900</v>
      </c>
      <c r="Z142" s="7">
        <f t="shared" si="22"/>
        <v>10.97962669</v>
      </c>
    </row>
    <row r="143">
      <c r="A143" s="30" t="str">
        <f>IFERROR(__xludf.DUMMYFUNCTION("""COMPUTED_VALUE"""),"2023 08")</f>
        <v>2023 08</v>
      </c>
      <c r="B143" s="30" t="str">
        <f>IFERROR(__xludf.DUMMYFUNCTION("""COMPUTED_VALUE"""),"84.64")</f>
        <v>84.64</v>
      </c>
      <c r="C143" s="13">
        <v>45139.0</v>
      </c>
      <c r="D143" s="12">
        <f>'Income per month'!B143</f>
        <v>1000</v>
      </c>
      <c r="E143" s="7">
        <f t="shared" si="1"/>
        <v>50</v>
      </c>
      <c r="F143" s="7">
        <f t="shared" si="2"/>
        <v>0.5907372401</v>
      </c>
      <c r="G143" s="7">
        <f t="shared" si="3"/>
        <v>100</v>
      </c>
      <c r="H143" s="7">
        <f t="shared" si="4"/>
        <v>1.18147448</v>
      </c>
      <c r="I143" s="7">
        <f t="shared" si="5"/>
        <v>150</v>
      </c>
      <c r="J143" s="7">
        <f t="shared" si="6"/>
        <v>1.77221172</v>
      </c>
      <c r="K143" s="7">
        <f t="shared" si="7"/>
        <v>200</v>
      </c>
      <c r="L143" s="7">
        <f t="shared" si="8"/>
        <v>2.36294896</v>
      </c>
      <c r="M143" s="7">
        <f t="shared" si="9"/>
        <v>300</v>
      </c>
      <c r="N143" s="7">
        <f t="shared" si="10"/>
        <v>3.54442344</v>
      </c>
      <c r="O143" s="7">
        <f t="shared" si="11"/>
        <v>400</v>
      </c>
      <c r="P143" s="7">
        <f t="shared" si="12"/>
        <v>4.725897921</v>
      </c>
      <c r="Q143" s="7">
        <f t="shared" si="13"/>
        <v>500</v>
      </c>
      <c r="R143" s="7">
        <f t="shared" si="14"/>
        <v>5.907372401</v>
      </c>
      <c r="S143" s="7">
        <f t="shared" si="15"/>
        <v>600</v>
      </c>
      <c r="T143" s="7">
        <f t="shared" si="16"/>
        <v>7.088846881</v>
      </c>
      <c r="U143" s="7">
        <f t="shared" si="17"/>
        <v>700</v>
      </c>
      <c r="V143" s="7">
        <f t="shared" si="18"/>
        <v>8.270321361</v>
      </c>
      <c r="W143" s="7">
        <f t="shared" si="19"/>
        <v>800</v>
      </c>
      <c r="X143" s="7">
        <f t="shared" si="20"/>
        <v>9.451795841</v>
      </c>
      <c r="Y143" s="7">
        <f t="shared" si="21"/>
        <v>900</v>
      </c>
      <c r="Z143" s="7">
        <f t="shared" si="22"/>
        <v>10.63327032</v>
      </c>
    </row>
    <row r="144">
      <c r="A144" s="30" t="str">
        <f>IFERROR(__xludf.DUMMYFUNCTION("""COMPUTED_VALUE"""),"2023 09")</f>
        <v>2023 09</v>
      </c>
      <c r="B144" s="30" t="str">
        <f>IFERROR(__xludf.DUMMYFUNCTION("""COMPUTED_VALUE"""),"83.93")</f>
        <v>83.93</v>
      </c>
      <c r="C144" s="13">
        <v>45170.0</v>
      </c>
      <c r="D144" s="12">
        <f>'Income per month'!B144</f>
        <v>1000</v>
      </c>
      <c r="E144" s="7">
        <f t="shared" si="1"/>
        <v>50</v>
      </c>
      <c r="F144" s="7">
        <f t="shared" si="2"/>
        <v>0.5957345407</v>
      </c>
      <c r="G144" s="7">
        <f t="shared" si="3"/>
        <v>100</v>
      </c>
      <c r="H144" s="7">
        <f t="shared" si="4"/>
        <v>1.191469081</v>
      </c>
      <c r="I144" s="7">
        <f t="shared" si="5"/>
        <v>150</v>
      </c>
      <c r="J144" s="7">
        <f t="shared" si="6"/>
        <v>1.787203622</v>
      </c>
      <c r="K144" s="7">
        <f t="shared" si="7"/>
        <v>200</v>
      </c>
      <c r="L144" s="7">
        <f t="shared" si="8"/>
        <v>2.382938163</v>
      </c>
      <c r="M144" s="7">
        <f t="shared" si="9"/>
        <v>300</v>
      </c>
      <c r="N144" s="7">
        <f t="shared" si="10"/>
        <v>3.574407244</v>
      </c>
      <c r="O144" s="7">
        <f t="shared" si="11"/>
        <v>400</v>
      </c>
      <c r="P144" s="7">
        <f t="shared" si="12"/>
        <v>4.765876326</v>
      </c>
      <c r="Q144" s="7">
        <f t="shared" si="13"/>
        <v>500</v>
      </c>
      <c r="R144" s="7">
        <f t="shared" si="14"/>
        <v>5.957345407</v>
      </c>
      <c r="S144" s="7">
        <f t="shared" si="15"/>
        <v>600</v>
      </c>
      <c r="T144" s="7">
        <f t="shared" si="16"/>
        <v>7.148814488</v>
      </c>
      <c r="U144" s="7">
        <f t="shared" si="17"/>
        <v>700</v>
      </c>
      <c r="V144" s="7">
        <f t="shared" si="18"/>
        <v>8.34028357</v>
      </c>
      <c r="W144" s="7">
        <f t="shared" si="19"/>
        <v>800</v>
      </c>
      <c r="X144" s="7">
        <f t="shared" si="20"/>
        <v>9.531752651</v>
      </c>
      <c r="Y144" s="7">
        <f t="shared" si="21"/>
        <v>900</v>
      </c>
      <c r="Z144" s="7">
        <f t="shared" si="22"/>
        <v>10.72322173</v>
      </c>
    </row>
    <row r="145">
      <c r="A145" s="19" t="str">
        <f>IFERROR(__xludf.DUMMYFUNCTION("""COMPUTED_VALUE"""),"2023 10")</f>
        <v>2023 10</v>
      </c>
      <c r="B145" s="19" t="str">
        <f>IFERROR(__xludf.DUMMYFUNCTION("""COMPUTED_VALUE"""),"81.32")</f>
        <v>81.32</v>
      </c>
      <c r="C145" s="13">
        <v>45200.0</v>
      </c>
      <c r="D145" s="12">
        <f>'Income per month'!B145</f>
        <v>1000</v>
      </c>
      <c r="E145" s="7">
        <f t="shared" si="1"/>
        <v>50</v>
      </c>
      <c r="F145" s="7">
        <f t="shared" si="2"/>
        <v>0.6148548942</v>
      </c>
      <c r="G145" s="7">
        <f t="shared" si="3"/>
        <v>100</v>
      </c>
      <c r="H145" s="7">
        <f t="shared" si="4"/>
        <v>1.229709788</v>
      </c>
      <c r="I145" s="7">
        <f t="shared" si="5"/>
        <v>150</v>
      </c>
      <c r="J145" s="7">
        <f t="shared" si="6"/>
        <v>1.844564683</v>
      </c>
      <c r="K145" s="7">
        <f t="shared" si="7"/>
        <v>200</v>
      </c>
      <c r="L145" s="7">
        <f t="shared" si="8"/>
        <v>2.459419577</v>
      </c>
      <c r="M145" s="7">
        <f t="shared" si="9"/>
        <v>300</v>
      </c>
      <c r="N145" s="7">
        <f t="shared" si="10"/>
        <v>3.689129365</v>
      </c>
      <c r="O145" s="7">
        <f t="shared" si="11"/>
        <v>400</v>
      </c>
      <c r="P145" s="7">
        <f t="shared" si="12"/>
        <v>4.918839154</v>
      </c>
      <c r="Q145" s="7">
        <f t="shared" si="13"/>
        <v>500</v>
      </c>
      <c r="R145" s="7">
        <f t="shared" si="14"/>
        <v>6.148548942</v>
      </c>
      <c r="S145" s="7">
        <f t="shared" si="15"/>
        <v>600</v>
      </c>
      <c r="T145" s="7">
        <f t="shared" si="16"/>
        <v>7.378258731</v>
      </c>
      <c r="U145" s="7">
        <f t="shared" si="17"/>
        <v>700</v>
      </c>
      <c r="V145" s="7">
        <f t="shared" si="18"/>
        <v>8.607968519</v>
      </c>
      <c r="W145" s="7">
        <f t="shared" si="19"/>
        <v>800</v>
      </c>
      <c r="X145" s="7">
        <f t="shared" si="20"/>
        <v>9.837678308</v>
      </c>
      <c r="Y145" s="7">
        <f t="shared" si="21"/>
        <v>900</v>
      </c>
      <c r="Z145" s="7">
        <f t="shared" si="22"/>
        <v>11.0673881</v>
      </c>
    </row>
    <row r="146">
      <c r="A146" s="19" t="str">
        <f>IFERROR(__xludf.DUMMYFUNCTION("""COMPUTED_VALUE"""),"Date")</f>
        <v>Date</v>
      </c>
      <c r="B146" s="19" t="str">
        <f>IFERROR(__xludf.DUMMYFUNCTION("""COMPUTED_VALUE"""),"Close")</f>
        <v>Close</v>
      </c>
      <c r="C146" s="13">
        <v>45231.0</v>
      </c>
      <c r="D146" s="12">
        <f>'Income per month'!B146</f>
        <v>1000</v>
      </c>
      <c r="E146" s="7">
        <f t="shared" si="1"/>
        <v>50</v>
      </c>
      <c r="F146" s="7">
        <f t="shared" si="2"/>
        <v>0</v>
      </c>
      <c r="G146" s="7">
        <f t="shared" si="3"/>
        <v>100</v>
      </c>
      <c r="H146" s="7">
        <f t="shared" si="4"/>
        <v>0</v>
      </c>
      <c r="I146" s="7">
        <f t="shared" si="5"/>
        <v>150</v>
      </c>
      <c r="J146" s="7">
        <f t="shared" si="6"/>
        <v>0</v>
      </c>
      <c r="K146" s="7">
        <f t="shared" si="7"/>
        <v>200</v>
      </c>
      <c r="L146" s="7">
        <f t="shared" si="8"/>
        <v>0</v>
      </c>
      <c r="M146" s="7">
        <f t="shared" si="9"/>
        <v>300</v>
      </c>
      <c r="N146" s="7">
        <f t="shared" si="10"/>
        <v>0</v>
      </c>
      <c r="O146" s="7">
        <f t="shared" si="11"/>
        <v>400</v>
      </c>
      <c r="P146" s="7">
        <f t="shared" si="12"/>
        <v>0</v>
      </c>
      <c r="Q146" s="7">
        <f t="shared" si="13"/>
        <v>500</v>
      </c>
      <c r="R146" s="7">
        <f t="shared" si="14"/>
        <v>0</v>
      </c>
      <c r="S146" s="7">
        <f t="shared" si="15"/>
        <v>600</v>
      </c>
      <c r="T146" s="7">
        <f t="shared" si="16"/>
        <v>0</v>
      </c>
      <c r="U146" s="7">
        <f t="shared" si="17"/>
        <v>700</v>
      </c>
      <c r="V146" s="7">
        <f t="shared" si="18"/>
        <v>0</v>
      </c>
      <c r="W146" s="7">
        <f t="shared" si="19"/>
        <v>800</v>
      </c>
      <c r="X146" s="7">
        <f t="shared" si="20"/>
        <v>0</v>
      </c>
      <c r="Y146" s="7">
        <f t="shared" si="21"/>
        <v>900</v>
      </c>
      <c r="Z146" s="7">
        <f t="shared" si="22"/>
        <v>0</v>
      </c>
    </row>
    <row r="147">
      <c r="A147" s="19"/>
      <c r="B147" s="19"/>
      <c r="C147" s="14">
        <v>45261.0</v>
      </c>
      <c r="D147" s="12">
        <f>'Income per month'!B147</f>
        <v>1000</v>
      </c>
      <c r="E147" s="7">
        <f t="shared" si="1"/>
        <v>50</v>
      </c>
      <c r="F147" s="7">
        <f t="shared" si="2"/>
        <v>0</v>
      </c>
      <c r="G147" s="7">
        <f t="shared" si="3"/>
        <v>100</v>
      </c>
      <c r="H147" s="7">
        <f t="shared" si="4"/>
        <v>0</v>
      </c>
      <c r="I147" s="7">
        <f t="shared" si="5"/>
        <v>150</v>
      </c>
      <c r="J147" s="7">
        <f t="shared" si="6"/>
        <v>0</v>
      </c>
      <c r="K147" s="7">
        <f t="shared" si="7"/>
        <v>200</v>
      </c>
      <c r="L147" s="7">
        <f t="shared" si="8"/>
        <v>0</v>
      </c>
      <c r="M147" s="7">
        <f t="shared" si="9"/>
        <v>300</v>
      </c>
      <c r="N147" s="7">
        <f t="shared" si="10"/>
        <v>0</v>
      </c>
      <c r="O147" s="7">
        <f t="shared" si="11"/>
        <v>400</v>
      </c>
      <c r="P147" s="7">
        <f t="shared" si="12"/>
        <v>0</v>
      </c>
      <c r="Q147" s="7">
        <f t="shared" si="13"/>
        <v>500</v>
      </c>
      <c r="R147" s="7">
        <f t="shared" si="14"/>
        <v>0</v>
      </c>
      <c r="S147" s="7">
        <f t="shared" si="15"/>
        <v>600</v>
      </c>
      <c r="T147" s="7">
        <f t="shared" si="16"/>
        <v>0</v>
      </c>
      <c r="U147" s="7">
        <f t="shared" si="17"/>
        <v>700</v>
      </c>
      <c r="V147" s="7">
        <f t="shared" si="18"/>
        <v>0</v>
      </c>
      <c r="W147" s="7">
        <f t="shared" si="19"/>
        <v>800</v>
      </c>
      <c r="X147" s="7">
        <f t="shared" si="20"/>
        <v>0</v>
      </c>
      <c r="Y147" s="7">
        <f t="shared" si="21"/>
        <v>900</v>
      </c>
      <c r="Z147" s="7">
        <f t="shared" si="22"/>
        <v>0</v>
      </c>
    </row>
    <row r="148">
      <c r="A148" s="19"/>
      <c r="B148" s="19"/>
      <c r="C148" s="13">
        <v>45292.0</v>
      </c>
      <c r="D148" s="12">
        <f>'Income per month'!B148</f>
        <v>1000</v>
      </c>
      <c r="E148" s="7">
        <f t="shared" si="1"/>
        <v>50</v>
      </c>
      <c r="F148" s="7">
        <f t="shared" si="2"/>
        <v>0</v>
      </c>
      <c r="G148" s="7">
        <f t="shared" si="3"/>
        <v>100</v>
      </c>
      <c r="H148" s="7">
        <f t="shared" si="4"/>
        <v>0</v>
      </c>
      <c r="I148" s="7">
        <f t="shared" si="5"/>
        <v>150</v>
      </c>
      <c r="J148" s="7">
        <f t="shared" si="6"/>
        <v>0</v>
      </c>
      <c r="K148" s="7">
        <f t="shared" si="7"/>
        <v>200</v>
      </c>
      <c r="L148" s="7">
        <f t="shared" si="8"/>
        <v>0</v>
      </c>
      <c r="M148" s="7">
        <f t="shared" si="9"/>
        <v>300</v>
      </c>
      <c r="N148" s="7">
        <f t="shared" si="10"/>
        <v>0</v>
      </c>
      <c r="O148" s="7">
        <f t="shared" si="11"/>
        <v>400</v>
      </c>
      <c r="P148" s="7">
        <f t="shared" si="12"/>
        <v>0</v>
      </c>
      <c r="Q148" s="7">
        <f t="shared" si="13"/>
        <v>500</v>
      </c>
      <c r="R148" s="7">
        <f t="shared" si="14"/>
        <v>0</v>
      </c>
      <c r="S148" s="7">
        <f t="shared" si="15"/>
        <v>600</v>
      </c>
      <c r="T148" s="7">
        <f t="shared" si="16"/>
        <v>0</v>
      </c>
      <c r="U148" s="7">
        <f t="shared" si="17"/>
        <v>700</v>
      </c>
      <c r="V148" s="7">
        <f t="shared" si="18"/>
        <v>0</v>
      </c>
      <c r="W148" s="7">
        <f t="shared" si="19"/>
        <v>800</v>
      </c>
      <c r="X148" s="7">
        <f t="shared" si="20"/>
        <v>0</v>
      </c>
      <c r="Y148" s="7">
        <f t="shared" si="21"/>
        <v>900</v>
      </c>
      <c r="Z148" s="7">
        <f t="shared" si="22"/>
        <v>0</v>
      </c>
    </row>
    <row r="149">
      <c r="A149" s="19"/>
      <c r="B149" s="19"/>
      <c r="C149" s="13">
        <v>45323.0</v>
      </c>
      <c r="D149" s="12">
        <f>'Income per month'!B149</f>
        <v>1000</v>
      </c>
      <c r="E149" s="7">
        <f t="shared" si="1"/>
        <v>50</v>
      </c>
      <c r="F149" s="7">
        <f t="shared" si="2"/>
        <v>0</v>
      </c>
      <c r="G149" s="7">
        <f t="shared" si="3"/>
        <v>100</v>
      </c>
      <c r="H149" s="7">
        <f t="shared" si="4"/>
        <v>0</v>
      </c>
      <c r="I149" s="7">
        <f t="shared" si="5"/>
        <v>150</v>
      </c>
      <c r="J149" s="7">
        <f t="shared" si="6"/>
        <v>0</v>
      </c>
      <c r="K149" s="7">
        <f t="shared" si="7"/>
        <v>200</v>
      </c>
      <c r="L149" s="7">
        <f t="shared" si="8"/>
        <v>0</v>
      </c>
      <c r="M149" s="7">
        <f t="shared" si="9"/>
        <v>300</v>
      </c>
      <c r="N149" s="7">
        <f t="shared" si="10"/>
        <v>0</v>
      </c>
      <c r="O149" s="7">
        <f t="shared" si="11"/>
        <v>400</v>
      </c>
      <c r="P149" s="7">
        <f t="shared" si="12"/>
        <v>0</v>
      </c>
      <c r="Q149" s="7">
        <f t="shared" si="13"/>
        <v>500</v>
      </c>
      <c r="R149" s="7">
        <f t="shared" si="14"/>
        <v>0</v>
      </c>
      <c r="S149" s="7">
        <f t="shared" si="15"/>
        <v>600</v>
      </c>
      <c r="T149" s="7">
        <f t="shared" si="16"/>
        <v>0</v>
      </c>
      <c r="U149" s="7">
        <f t="shared" si="17"/>
        <v>700</v>
      </c>
      <c r="V149" s="7">
        <f t="shared" si="18"/>
        <v>0</v>
      </c>
      <c r="W149" s="7">
        <f t="shared" si="19"/>
        <v>800</v>
      </c>
      <c r="X149" s="7">
        <f t="shared" si="20"/>
        <v>0</v>
      </c>
      <c r="Y149" s="7">
        <f t="shared" si="21"/>
        <v>900</v>
      </c>
      <c r="Z149" s="7">
        <f t="shared" si="22"/>
        <v>0</v>
      </c>
    </row>
    <row r="150">
      <c r="A150" s="19"/>
      <c r="B150" s="19"/>
      <c r="C150" s="13">
        <v>45352.0</v>
      </c>
      <c r="D150" s="12">
        <f>'Income per month'!B150</f>
        <v>1000</v>
      </c>
      <c r="E150" s="7">
        <f t="shared" si="1"/>
        <v>50</v>
      </c>
      <c r="F150" s="7">
        <f t="shared" si="2"/>
        <v>0</v>
      </c>
      <c r="G150" s="7">
        <f t="shared" si="3"/>
        <v>100</v>
      </c>
      <c r="H150" s="7">
        <f t="shared" si="4"/>
        <v>0</v>
      </c>
      <c r="I150" s="7">
        <f t="shared" si="5"/>
        <v>150</v>
      </c>
      <c r="J150" s="7">
        <f t="shared" si="6"/>
        <v>0</v>
      </c>
      <c r="K150" s="7">
        <f t="shared" si="7"/>
        <v>200</v>
      </c>
      <c r="L150" s="7">
        <f t="shared" si="8"/>
        <v>0</v>
      </c>
      <c r="M150" s="7">
        <f t="shared" si="9"/>
        <v>300</v>
      </c>
      <c r="N150" s="7">
        <f t="shared" si="10"/>
        <v>0</v>
      </c>
      <c r="O150" s="7">
        <f t="shared" si="11"/>
        <v>400</v>
      </c>
      <c r="P150" s="7">
        <f t="shared" si="12"/>
        <v>0</v>
      </c>
      <c r="Q150" s="7">
        <f t="shared" si="13"/>
        <v>500</v>
      </c>
      <c r="R150" s="7">
        <f t="shared" si="14"/>
        <v>0</v>
      </c>
      <c r="S150" s="7">
        <f t="shared" si="15"/>
        <v>600</v>
      </c>
      <c r="T150" s="7">
        <f t="shared" si="16"/>
        <v>0</v>
      </c>
      <c r="U150" s="7">
        <f t="shared" si="17"/>
        <v>700</v>
      </c>
      <c r="V150" s="7">
        <f t="shared" si="18"/>
        <v>0</v>
      </c>
      <c r="W150" s="7">
        <f t="shared" si="19"/>
        <v>800</v>
      </c>
      <c r="X150" s="7">
        <f t="shared" si="20"/>
        <v>0</v>
      </c>
      <c r="Y150" s="7">
        <f t="shared" si="21"/>
        <v>900</v>
      </c>
      <c r="Z150" s="7">
        <f t="shared" si="22"/>
        <v>0</v>
      </c>
    </row>
    <row r="151">
      <c r="A151" s="19"/>
      <c r="B151" s="19"/>
      <c r="C151" s="13">
        <v>45383.0</v>
      </c>
      <c r="D151" s="12">
        <f>'Income per month'!B151</f>
        <v>1000</v>
      </c>
      <c r="E151" s="7">
        <f t="shared" si="1"/>
        <v>50</v>
      </c>
      <c r="F151" s="7">
        <f t="shared" si="2"/>
        <v>0</v>
      </c>
      <c r="G151" s="7">
        <f t="shared" si="3"/>
        <v>100</v>
      </c>
      <c r="H151" s="7">
        <f t="shared" si="4"/>
        <v>0</v>
      </c>
      <c r="I151" s="7">
        <f t="shared" si="5"/>
        <v>150</v>
      </c>
      <c r="J151" s="7">
        <f t="shared" si="6"/>
        <v>0</v>
      </c>
      <c r="K151" s="7">
        <f t="shared" si="7"/>
        <v>200</v>
      </c>
      <c r="L151" s="7">
        <f t="shared" si="8"/>
        <v>0</v>
      </c>
      <c r="M151" s="7">
        <f t="shared" si="9"/>
        <v>300</v>
      </c>
      <c r="N151" s="7">
        <f t="shared" si="10"/>
        <v>0</v>
      </c>
      <c r="O151" s="7">
        <f t="shared" si="11"/>
        <v>400</v>
      </c>
      <c r="P151" s="7">
        <f t="shared" si="12"/>
        <v>0</v>
      </c>
      <c r="Q151" s="7">
        <f t="shared" si="13"/>
        <v>500</v>
      </c>
      <c r="R151" s="7">
        <f t="shared" si="14"/>
        <v>0</v>
      </c>
      <c r="S151" s="7">
        <f t="shared" si="15"/>
        <v>600</v>
      </c>
      <c r="T151" s="7">
        <f t="shared" si="16"/>
        <v>0</v>
      </c>
      <c r="U151" s="7">
        <f t="shared" si="17"/>
        <v>700</v>
      </c>
      <c r="V151" s="7">
        <f t="shared" si="18"/>
        <v>0</v>
      </c>
      <c r="W151" s="7">
        <f t="shared" si="19"/>
        <v>800</v>
      </c>
      <c r="X151" s="7">
        <f t="shared" si="20"/>
        <v>0</v>
      </c>
      <c r="Y151" s="7">
        <f t="shared" si="21"/>
        <v>900</v>
      </c>
      <c r="Z151" s="7">
        <f t="shared" si="22"/>
        <v>0</v>
      </c>
    </row>
    <row r="152">
      <c r="A152" s="19"/>
      <c r="B152" s="19"/>
      <c r="C152" s="13">
        <v>45413.0</v>
      </c>
      <c r="D152" s="12">
        <f>'Income per month'!B152</f>
        <v>1000</v>
      </c>
      <c r="E152" s="7">
        <f t="shared" si="1"/>
        <v>50</v>
      </c>
      <c r="F152" s="7">
        <f t="shared" si="2"/>
        <v>0</v>
      </c>
      <c r="G152" s="7">
        <f t="shared" si="3"/>
        <v>100</v>
      </c>
      <c r="H152" s="7">
        <f t="shared" si="4"/>
        <v>0</v>
      </c>
      <c r="I152" s="7">
        <f t="shared" si="5"/>
        <v>150</v>
      </c>
      <c r="J152" s="7">
        <f t="shared" si="6"/>
        <v>0</v>
      </c>
      <c r="K152" s="7">
        <f t="shared" si="7"/>
        <v>200</v>
      </c>
      <c r="L152" s="7">
        <f t="shared" si="8"/>
        <v>0</v>
      </c>
      <c r="M152" s="7">
        <f t="shared" si="9"/>
        <v>300</v>
      </c>
      <c r="N152" s="7">
        <f t="shared" si="10"/>
        <v>0</v>
      </c>
      <c r="O152" s="7">
        <f t="shared" si="11"/>
        <v>400</v>
      </c>
      <c r="P152" s="7">
        <f t="shared" si="12"/>
        <v>0</v>
      </c>
      <c r="Q152" s="7">
        <f t="shared" si="13"/>
        <v>500</v>
      </c>
      <c r="R152" s="7">
        <f t="shared" si="14"/>
        <v>0</v>
      </c>
      <c r="S152" s="7">
        <f t="shared" si="15"/>
        <v>600</v>
      </c>
      <c r="T152" s="7">
        <f t="shared" si="16"/>
        <v>0</v>
      </c>
      <c r="U152" s="7">
        <f t="shared" si="17"/>
        <v>700</v>
      </c>
      <c r="V152" s="7">
        <f t="shared" si="18"/>
        <v>0</v>
      </c>
      <c r="W152" s="7">
        <f t="shared" si="19"/>
        <v>800</v>
      </c>
      <c r="X152" s="7">
        <f t="shared" si="20"/>
        <v>0</v>
      </c>
      <c r="Y152" s="7">
        <f t="shared" si="21"/>
        <v>900</v>
      </c>
      <c r="Z152" s="7">
        <f t="shared" si="22"/>
        <v>0</v>
      </c>
    </row>
    <row r="153">
      <c r="A153" s="19"/>
      <c r="B153" s="19"/>
      <c r="C153" s="13">
        <v>45444.0</v>
      </c>
      <c r="D153" s="12">
        <f>'Income per month'!B153</f>
        <v>1000</v>
      </c>
      <c r="E153" s="7">
        <f t="shared" si="1"/>
        <v>50</v>
      </c>
      <c r="F153" s="7">
        <f t="shared" si="2"/>
        <v>0</v>
      </c>
      <c r="G153" s="7">
        <f t="shared" si="3"/>
        <v>100</v>
      </c>
      <c r="H153" s="7">
        <f t="shared" si="4"/>
        <v>0</v>
      </c>
      <c r="I153" s="7">
        <f t="shared" si="5"/>
        <v>150</v>
      </c>
      <c r="J153" s="7">
        <f t="shared" si="6"/>
        <v>0</v>
      </c>
      <c r="K153" s="7">
        <f t="shared" si="7"/>
        <v>200</v>
      </c>
      <c r="L153" s="7">
        <f t="shared" si="8"/>
        <v>0</v>
      </c>
      <c r="M153" s="7">
        <f t="shared" si="9"/>
        <v>300</v>
      </c>
      <c r="N153" s="7">
        <f t="shared" si="10"/>
        <v>0</v>
      </c>
      <c r="O153" s="7">
        <f t="shared" si="11"/>
        <v>400</v>
      </c>
      <c r="P153" s="7">
        <f t="shared" si="12"/>
        <v>0</v>
      </c>
      <c r="Q153" s="7">
        <f t="shared" si="13"/>
        <v>500</v>
      </c>
      <c r="R153" s="7">
        <f t="shared" si="14"/>
        <v>0</v>
      </c>
      <c r="S153" s="7">
        <f t="shared" si="15"/>
        <v>600</v>
      </c>
      <c r="T153" s="7">
        <f t="shared" si="16"/>
        <v>0</v>
      </c>
      <c r="U153" s="7">
        <f t="shared" si="17"/>
        <v>700</v>
      </c>
      <c r="V153" s="7">
        <f t="shared" si="18"/>
        <v>0</v>
      </c>
      <c r="W153" s="7">
        <f t="shared" si="19"/>
        <v>800</v>
      </c>
      <c r="X153" s="7">
        <f t="shared" si="20"/>
        <v>0</v>
      </c>
      <c r="Y153" s="7">
        <f t="shared" si="21"/>
        <v>900</v>
      </c>
      <c r="Z153" s="7">
        <f t="shared" si="22"/>
        <v>0</v>
      </c>
    </row>
    <row r="154">
      <c r="A154" s="19"/>
      <c r="B154" s="19"/>
      <c r="C154" s="13">
        <v>45474.0</v>
      </c>
      <c r="D154" s="12">
        <f>'Income per month'!B154</f>
        <v>1000</v>
      </c>
      <c r="E154" s="7">
        <f t="shared" si="1"/>
        <v>50</v>
      </c>
      <c r="F154" s="7">
        <f t="shared" si="2"/>
        <v>0</v>
      </c>
      <c r="G154" s="7">
        <f t="shared" si="3"/>
        <v>100</v>
      </c>
      <c r="H154" s="7">
        <f t="shared" si="4"/>
        <v>0</v>
      </c>
      <c r="I154" s="7">
        <f t="shared" si="5"/>
        <v>150</v>
      </c>
      <c r="J154" s="7">
        <f t="shared" si="6"/>
        <v>0</v>
      </c>
      <c r="K154" s="7">
        <f t="shared" si="7"/>
        <v>200</v>
      </c>
      <c r="L154" s="7">
        <f t="shared" si="8"/>
        <v>0</v>
      </c>
      <c r="M154" s="7">
        <f t="shared" si="9"/>
        <v>300</v>
      </c>
      <c r="N154" s="7">
        <f t="shared" si="10"/>
        <v>0</v>
      </c>
      <c r="O154" s="7">
        <f t="shared" si="11"/>
        <v>400</v>
      </c>
      <c r="P154" s="7">
        <f t="shared" si="12"/>
        <v>0</v>
      </c>
      <c r="Q154" s="7">
        <f t="shared" si="13"/>
        <v>500</v>
      </c>
      <c r="R154" s="7">
        <f t="shared" si="14"/>
        <v>0</v>
      </c>
      <c r="S154" s="7">
        <f t="shared" si="15"/>
        <v>600</v>
      </c>
      <c r="T154" s="7">
        <f t="shared" si="16"/>
        <v>0</v>
      </c>
      <c r="U154" s="7">
        <f t="shared" si="17"/>
        <v>700</v>
      </c>
      <c r="V154" s="7">
        <f t="shared" si="18"/>
        <v>0</v>
      </c>
      <c r="W154" s="7">
        <f t="shared" si="19"/>
        <v>800</v>
      </c>
      <c r="X154" s="7">
        <f t="shared" si="20"/>
        <v>0</v>
      </c>
      <c r="Y154" s="7">
        <f t="shared" si="21"/>
        <v>900</v>
      </c>
      <c r="Z154" s="7">
        <f t="shared" si="22"/>
        <v>0</v>
      </c>
    </row>
    <row r="155">
      <c r="A155" s="19"/>
      <c r="B155" s="19"/>
      <c r="C155" s="13">
        <v>45505.0</v>
      </c>
      <c r="D155" s="12">
        <f>'Income per month'!B155</f>
        <v>1000</v>
      </c>
      <c r="E155" s="7">
        <f t="shared" si="1"/>
        <v>50</v>
      </c>
      <c r="F155" s="7">
        <f t="shared" si="2"/>
        <v>0</v>
      </c>
      <c r="G155" s="7">
        <f t="shared" si="3"/>
        <v>100</v>
      </c>
      <c r="H155" s="7">
        <f t="shared" si="4"/>
        <v>0</v>
      </c>
      <c r="I155" s="7">
        <f t="shared" si="5"/>
        <v>150</v>
      </c>
      <c r="J155" s="7">
        <f t="shared" si="6"/>
        <v>0</v>
      </c>
      <c r="K155" s="7">
        <f t="shared" si="7"/>
        <v>200</v>
      </c>
      <c r="L155" s="7">
        <f t="shared" si="8"/>
        <v>0</v>
      </c>
      <c r="M155" s="7">
        <f t="shared" si="9"/>
        <v>300</v>
      </c>
      <c r="N155" s="7">
        <f t="shared" si="10"/>
        <v>0</v>
      </c>
      <c r="O155" s="7">
        <f t="shared" si="11"/>
        <v>400</v>
      </c>
      <c r="P155" s="7">
        <f t="shared" si="12"/>
        <v>0</v>
      </c>
      <c r="Q155" s="7">
        <f t="shared" si="13"/>
        <v>500</v>
      </c>
      <c r="R155" s="7">
        <f t="shared" si="14"/>
        <v>0</v>
      </c>
      <c r="S155" s="7">
        <f t="shared" si="15"/>
        <v>600</v>
      </c>
      <c r="T155" s="7">
        <f t="shared" si="16"/>
        <v>0</v>
      </c>
      <c r="U155" s="7">
        <f t="shared" si="17"/>
        <v>700</v>
      </c>
      <c r="V155" s="7">
        <f t="shared" si="18"/>
        <v>0</v>
      </c>
      <c r="W155" s="7">
        <f t="shared" si="19"/>
        <v>800</v>
      </c>
      <c r="X155" s="7">
        <f t="shared" si="20"/>
        <v>0</v>
      </c>
      <c r="Y155" s="7">
        <f t="shared" si="21"/>
        <v>900</v>
      </c>
      <c r="Z155" s="7">
        <f t="shared" si="22"/>
        <v>0</v>
      </c>
    </row>
    <row r="156">
      <c r="A156" s="19"/>
      <c r="B156" s="19"/>
      <c r="C156" s="13">
        <v>45536.0</v>
      </c>
      <c r="D156" s="12">
        <f>'Income per month'!B156</f>
        <v>1000</v>
      </c>
      <c r="E156" s="7">
        <f t="shared" si="1"/>
        <v>50</v>
      </c>
      <c r="F156" s="7">
        <f t="shared" si="2"/>
        <v>0</v>
      </c>
      <c r="G156" s="7">
        <f t="shared" si="3"/>
        <v>100</v>
      </c>
      <c r="H156" s="7">
        <f t="shared" si="4"/>
        <v>0</v>
      </c>
      <c r="I156" s="7">
        <f t="shared" si="5"/>
        <v>150</v>
      </c>
      <c r="J156" s="7">
        <f t="shared" si="6"/>
        <v>0</v>
      </c>
      <c r="K156" s="7">
        <f t="shared" si="7"/>
        <v>200</v>
      </c>
      <c r="L156" s="7">
        <f t="shared" si="8"/>
        <v>0</v>
      </c>
      <c r="M156" s="7">
        <f t="shared" si="9"/>
        <v>300</v>
      </c>
      <c r="N156" s="7">
        <f t="shared" si="10"/>
        <v>0</v>
      </c>
      <c r="O156" s="7">
        <f t="shared" si="11"/>
        <v>400</v>
      </c>
      <c r="P156" s="7">
        <f t="shared" si="12"/>
        <v>0</v>
      </c>
      <c r="Q156" s="7">
        <f t="shared" si="13"/>
        <v>500</v>
      </c>
      <c r="R156" s="7">
        <f t="shared" si="14"/>
        <v>0</v>
      </c>
      <c r="S156" s="7">
        <f t="shared" si="15"/>
        <v>600</v>
      </c>
      <c r="T156" s="7">
        <f t="shared" si="16"/>
        <v>0</v>
      </c>
      <c r="U156" s="7">
        <f t="shared" si="17"/>
        <v>700</v>
      </c>
      <c r="V156" s="7">
        <f t="shared" si="18"/>
        <v>0</v>
      </c>
      <c r="W156" s="7">
        <f t="shared" si="19"/>
        <v>800</v>
      </c>
      <c r="X156" s="7">
        <f t="shared" si="20"/>
        <v>0</v>
      </c>
      <c r="Y156" s="7">
        <f t="shared" si="21"/>
        <v>900</v>
      </c>
      <c r="Z156" s="7">
        <f t="shared" si="22"/>
        <v>0</v>
      </c>
    </row>
    <row r="157">
      <c r="A157" s="19"/>
      <c r="B157" s="19"/>
      <c r="C157" s="13">
        <v>45566.0</v>
      </c>
      <c r="D157" s="12">
        <f>'Income per month'!B157</f>
        <v>1000</v>
      </c>
      <c r="E157" s="7">
        <f t="shared" si="1"/>
        <v>50</v>
      </c>
      <c r="F157" s="7">
        <f t="shared" si="2"/>
        <v>0</v>
      </c>
      <c r="G157" s="7">
        <f t="shared" si="3"/>
        <v>100</v>
      </c>
      <c r="H157" s="7">
        <f t="shared" si="4"/>
        <v>0</v>
      </c>
      <c r="I157" s="7">
        <f t="shared" si="5"/>
        <v>150</v>
      </c>
      <c r="J157" s="7">
        <f t="shared" si="6"/>
        <v>0</v>
      </c>
      <c r="K157" s="7">
        <f t="shared" si="7"/>
        <v>200</v>
      </c>
      <c r="L157" s="7">
        <f t="shared" si="8"/>
        <v>0</v>
      </c>
      <c r="M157" s="7">
        <f t="shared" si="9"/>
        <v>300</v>
      </c>
      <c r="N157" s="7">
        <f t="shared" si="10"/>
        <v>0</v>
      </c>
      <c r="O157" s="7">
        <f t="shared" si="11"/>
        <v>400</v>
      </c>
      <c r="P157" s="7">
        <f t="shared" si="12"/>
        <v>0</v>
      </c>
      <c r="Q157" s="7">
        <f t="shared" si="13"/>
        <v>500</v>
      </c>
      <c r="R157" s="7">
        <f t="shared" si="14"/>
        <v>0</v>
      </c>
      <c r="S157" s="7">
        <f t="shared" si="15"/>
        <v>600</v>
      </c>
      <c r="T157" s="7">
        <f t="shared" si="16"/>
        <v>0</v>
      </c>
      <c r="U157" s="7">
        <f t="shared" si="17"/>
        <v>700</v>
      </c>
      <c r="V157" s="7">
        <f t="shared" si="18"/>
        <v>0</v>
      </c>
      <c r="W157" s="7">
        <f t="shared" si="19"/>
        <v>800</v>
      </c>
      <c r="X157" s="7">
        <f t="shared" si="20"/>
        <v>0</v>
      </c>
      <c r="Y157" s="7">
        <f t="shared" si="21"/>
        <v>900</v>
      </c>
      <c r="Z157" s="7">
        <f t="shared" si="22"/>
        <v>0</v>
      </c>
    </row>
    <row r="158">
      <c r="A158" s="19"/>
      <c r="B158" s="19"/>
      <c r="C158" s="13">
        <v>45597.0</v>
      </c>
      <c r="D158" s="12">
        <f>'Income per month'!B158</f>
        <v>1000</v>
      </c>
      <c r="E158" s="7">
        <f t="shared" si="1"/>
        <v>50</v>
      </c>
      <c r="F158" s="7">
        <f t="shared" si="2"/>
        <v>0</v>
      </c>
      <c r="G158" s="7">
        <f t="shared" si="3"/>
        <v>100</v>
      </c>
      <c r="H158" s="7">
        <f t="shared" si="4"/>
        <v>0</v>
      </c>
      <c r="I158" s="7">
        <f t="shared" si="5"/>
        <v>150</v>
      </c>
      <c r="J158" s="7">
        <f t="shared" si="6"/>
        <v>0</v>
      </c>
      <c r="K158" s="7">
        <f t="shared" si="7"/>
        <v>200</v>
      </c>
      <c r="L158" s="7">
        <f t="shared" si="8"/>
        <v>0</v>
      </c>
      <c r="M158" s="7">
        <f t="shared" si="9"/>
        <v>300</v>
      </c>
      <c r="N158" s="7">
        <f t="shared" si="10"/>
        <v>0</v>
      </c>
      <c r="O158" s="7">
        <f t="shared" si="11"/>
        <v>400</v>
      </c>
      <c r="P158" s="7">
        <f t="shared" si="12"/>
        <v>0</v>
      </c>
      <c r="Q158" s="7">
        <f t="shared" si="13"/>
        <v>500</v>
      </c>
      <c r="R158" s="7">
        <f t="shared" si="14"/>
        <v>0</v>
      </c>
      <c r="S158" s="7">
        <f t="shared" si="15"/>
        <v>600</v>
      </c>
      <c r="T158" s="7">
        <f t="shared" si="16"/>
        <v>0</v>
      </c>
      <c r="U158" s="7">
        <f t="shared" si="17"/>
        <v>700</v>
      </c>
      <c r="V158" s="7">
        <f t="shared" si="18"/>
        <v>0</v>
      </c>
      <c r="W158" s="7">
        <f t="shared" si="19"/>
        <v>800</v>
      </c>
      <c r="X158" s="7">
        <f t="shared" si="20"/>
        <v>0</v>
      </c>
      <c r="Y158" s="7">
        <f t="shared" si="21"/>
        <v>900</v>
      </c>
      <c r="Z158" s="7">
        <f t="shared" si="22"/>
        <v>0</v>
      </c>
    </row>
    <row r="159">
      <c r="A159" s="19"/>
      <c r="B159" s="19"/>
      <c r="C159" s="14">
        <v>45627.0</v>
      </c>
      <c r="D159" s="12">
        <f>'Income per month'!B159</f>
        <v>1000</v>
      </c>
      <c r="E159" s="7">
        <f t="shared" si="1"/>
        <v>50</v>
      </c>
      <c r="F159" s="7">
        <f t="shared" si="2"/>
        <v>0</v>
      </c>
      <c r="G159" s="7">
        <f t="shared" si="3"/>
        <v>100</v>
      </c>
      <c r="H159" s="7">
        <f t="shared" si="4"/>
        <v>0</v>
      </c>
      <c r="I159" s="7">
        <f t="shared" si="5"/>
        <v>150</v>
      </c>
      <c r="J159" s="7">
        <f t="shared" si="6"/>
        <v>0</v>
      </c>
      <c r="K159" s="7">
        <f t="shared" si="7"/>
        <v>200</v>
      </c>
      <c r="L159" s="7">
        <f t="shared" si="8"/>
        <v>0</v>
      </c>
      <c r="M159" s="7">
        <f t="shared" si="9"/>
        <v>300</v>
      </c>
      <c r="N159" s="7">
        <f t="shared" si="10"/>
        <v>0</v>
      </c>
      <c r="O159" s="7">
        <f t="shared" si="11"/>
        <v>400</v>
      </c>
      <c r="P159" s="7">
        <f t="shared" si="12"/>
        <v>0</v>
      </c>
      <c r="Q159" s="7">
        <f t="shared" si="13"/>
        <v>500</v>
      </c>
      <c r="R159" s="7">
        <f t="shared" si="14"/>
        <v>0</v>
      </c>
      <c r="S159" s="7">
        <f t="shared" si="15"/>
        <v>600</v>
      </c>
      <c r="T159" s="7">
        <f t="shared" si="16"/>
        <v>0</v>
      </c>
      <c r="U159" s="7">
        <f t="shared" si="17"/>
        <v>700</v>
      </c>
      <c r="V159" s="7">
        <f t="shared" si="18"/>
        <v>0</v>
      </c>
      <c r="W159" s="7">
        <f t="shared" si="19"/>
        <v>800</v>
      </c>
      <c r="X159" s="7">
        <f t="shared" si="20"/>
        <v>0</v>
      </c>
      <c r="Y159" s="7">
        <f t="shared" si="21"/>
        <v>900</v>
      </c>
      <c r="Z159" s="7">
        <f t="shared" si="22"/>
        <v>0</v>
      </c>
    </row>
    <row r="160">
      <c r="A160" s="19"/>
      <c r="B160" s="19"/>
      <c r="C160" s="13">
        <v>45658.0</v>
      </c>
      <c r="D160" s="12">
        <f>'Income per month'!B160</f>
        <v>1000</v>
      </c>
      <c r="E160" s="7">
        <f t="shared" si="1"/>
        <v>50</v>
      </c>
      <c r="F160" s="7">
        <f t="shared" si="2"/>
        <v>0</v>
      </c>
      <c r="G160" s="7">
        <f t="shared" si="3"/>
        <v>100</v>
      </c>
      <c r="H160" s="7">
        <f t="shared" si="4"/>
        <v>0</v>
      </c>
      <c r="I160" s="7">
        <f t="shared" si="5"/>
        <v>150</v>
      </c>
      <c r="J160" s="7">
        <f t="shared" si="6"/>
        <v>0</v>
      </c>
      <c r="K160" s="7">
        <f t="shared" si="7"/>
        <v>200</v>
      </c>
      <c r="L160" s="7">
        <f t="shared" si="8"/>
        <v>0</v>
      </c>
      <c r="M160" s="7">
        <f t="shared" si="9"/>
        <v>300</v>
      </c>
      <c r="N160" s="7">
        <f t="shared" si="10"/>
        <v>0</v>
      </c>
      <c r="O160" s="7">
        <f t="shared" si="11"/>
        <v>400</v>
      </c>
      <c r="P160" s="7">
        <f t="shared" si="12"/>
        <v>0</v>
      </c>
      <c r="Q160" s="7">
        <f t="shared" si="13"/>
        <v>500</v>
      </c>
      <c r="R160" s="7">
        <f t="shared" si="14"/>
        <v>0</v>
      </c>
      <c r="S160" s="7">
        <f t="shared" si="15"/>
        <v>600</v>
      </c>
      <c r="T160" s="7">
        <f t="shared" si="16"/>
        <v>0</v>
      </c>
      <c r="U160" s="7">
        <f t="shared" si="17"/>
        <v>700</v>
      </c>
      <c r="V160" s="7">
        <f t="shared" si="18"/>
        <v>0</v>
      </c>
      <c r="W160" s="7">
        <f t="shared" si="19"/>
        <v>800</v>
      </c>
      <c r="X160" s="7">
        <f t="shared" si="20"/>
        <v>0</v>
      </c>
      <c r="Y160" s="7">
        <f t="shared" si="21"/>
        <v>900</v>
      </c>
      <c r="Z160" s="7">
        <f t="shared" si="22"/>
        <v>0</v>
      </c>
    </row>
    <row r="161">
      <c r="A161" s="19"/>
      <c r="B161" s="19"/>
      <c r="C161" s="13">
        <v>45689.0</v>
      </c>
      <c r="D161" s="12">
        <f>'Income per month'!B161</f>
        <v>1000</v>
      </c>
      <c r="E161" s="7">
        <f t="shared" si="1"/>
        <v>50</v>
      </c>
      <c r="F161" s="7">
        <f t="shared" si="2"/>
        <v>0</v>
      </c>
      <c r="G161" s="7">
        <f t="shared" si="3"/>
        <v>100</v>
      </c>
      <c r="H161" s="7">
        <f t="shared" si="4"/>
        <v>0</v>
      </c>
      <c r="I161" s="7">
        <f t="shared" si="5"/>
        <v>150</v>
      </c>
      <c r="J161" s="7">
        <f t="shared" si="6"/>
        <v>0</v>
      </c>
      <c r="K161" s="7">
        <f t="shared" si="7"/>
        <v>200</v>
      </c>
      <c r="L161" s="7">
        <f t="shared" si="8"/>
        <v>0</v>
      </c>
      <c r="M161" s="7">
        <f t="shared" si="9"/>
        <v>300</v>
      </c>
      <c r="N161" s="7">
        <f t="shared" si="10"/>
        <v>0</v>
      </c>
      <c r="O161" s="7">
        <f t="shared" si="11"/>
        <v>400</v>
      </c>
      <c r="P161" s="7">
        <f t="shared" si="12"/>
        <v>0</v>
      </c>
      <c r="Q161" s="7">
        <f t="shared" si="13"/>
        <v>500</v>
      </c>
      <c r="R161" s="7">
        <f t="shared" si="14"/>
        <v>0</v>
      </c>
      <c r="S161" s="7">
        <f t="shared" si="15"/>
        <v>600</v>
      </c>
      <c r="T161" s="7">
        <f t="shared" si="16"/>
        <v>0</v>
      </c>
      <c r="U161" s="7">
        <f t="shared" si="17"/>
        <v>700</v>
      </c>
      <c r="V161" s="7">
        <f t="shared" si="18"/>
        <v>0</v>
      </c>
      <c r="W161" s="7">
        <f t="shared" si="19"/>
        <v>800</v>
      </c>
      <c r="X161" s="7">
        <f t="shared" si="20"/>
        <v>0</v>
      </c>
      <c r="Y161" s="7">
        <f t="shared" si="21"/>
        <v>900</v>
      </c>
      <c r="Z161" s="7">
        <f t="shared" si="22"/>
        <v>0</v>
      </c>
    </row>
    <row r="162">
      <c r="A162" s="19"/>
      <c r="B162" s="19"/>
      <c r="C162" s="13">
        <v>45717.0</v>
      </c>
      <c r="D162" s="12">
        <f>'Income per month'!B162</f>
        <v>1000</v>
      </c>
      <c r="E162" s="7">
        <f t="shared" si="1"/>
        <v>50</v>
      </c>
      <c r="F162" s="7">
        <f t="shared" si="2"/>
        <v>0</v>
      </c>
      <c r="G162" s="7">
        <f t="shared" si="3"/>
        <v>100</v>
      </c>
      <c r="H162" s="7">
        <f t="shared" si="4"/>
        <v>0</v>
      </c>
      <c r="I162" s="7">
        <f t="shared" si="5"/>
        <v>150</v>
      </c>
      <c r="J162" s="7">
        <f t="shared" si="6"/>
        <v>0</v>
      </c>
      <c r="K162" s="7">
        <f t="shared" si="7"/>
        <v>200</v>
      </c>
      <c r="L162" s="7">
        <f t="shared" si="8"/>
        <v>0</v>
      </c>
      <c r="M162" s="7">
        <f t="shared" si="9"/>
        <v>300</v>
      </c>
      <c r="N162" s="7">
        <f t="shared" si="10"/>
        <v>0</v>
      </c>
      <c r="O162" s="7">
        <f t="shared" si="11"/>
        <v>400</v>
      </c>
      <c r="P162" s="7">
        <f t="shared" si="12"/>
        <v>0</v>
      </c>
      <c r="Q162" s="7">
        <f t="shared" si="13"/>
        <v>500</v>
      </c>
      <c r="R162" s="7">
        <f t="shared" si="14"/>
        <v>0</v>
      </c>
      <c r="S162" s="7">
        <f t="shared" si="15"/>
        <v>600</v>
      </c>
      <c r="T162" s="7">
        <f t="shared" si="16"/>
        <v>0</v>
      </c>
      <c r="U162" s="7">
        <f t="shared" si="17"/>
        <v>700</v>
      </c>
      <c r="V162" s="7">
        <f t="shared" si="18"/>
        <v>0</v>
      </c>
      <c r="W162" s="7">
        <f t="shared" si="19"/>
        <v>800</v>
      </c>
      <c r="X162" s="7">
        <f t="shared" si="20"/>
        <v>0</v>
      </c>
      <c r="Y162" s="7">
        <f t="shared" si="21"/>
        <v>900</v>
      </c>
      <c r="Z162" s="7">
        <f t="shared" si="22"/>
        <v>0</v>
      </c>
    </row>
    <row r="163">
      <c r="A163" s="19"/>
      <c r="B163" s="19"/>
      <c r="C163" s="13">
        <v>45748.0</v>
      </c>
      <c r="D163" s="12">
        <f>'Income per month'!B163</f>
        <v>1000</v>
      </c>
      <c r="E163" s="7">
        <f t="shared" si="1"/>
        <v>50</v>
      </c>
      <c r="F163" s="7">
        <f t="shared" si="2"/>
        <v>0</v>
      </c>
      <c r="G163" s="7">
        <f t="shared" si="3"/>
        <v>100</v>
      </c>
      <c r="H163" s="7">
        <f t="shared" si="4"/>
        <v>0</v>
      </c>
      <c r="I163" s="7">
        <f t="shared" si="5"/>
        <v>150</v>
      </c>
      <c r="J163" s="7">
        <f t="shared" si="6"/>
        <v>0</v>
      </c>
      <c r="K163" s="7">
        <f t="shared" si="7"/>
        <v>200</v>
      </c>
      <c r="L163" s="7">
        <f t="shared" si="8"/>
        <v>0</v>
      </c>
      <c r="M163" s="7">
        <f t="shared" si="9"/>
        <v>300</v>
      </c>
      <c r="N163" s="7">
        <f t="shared" si="10"/>
        <v>0</v>
      </c>
      <c r="O163" s="7">
        <f t="shared" si="11"/>
        <v>400</v>
      </c>
      <c r="P163" s="7">
        <f t="shared" si="12"/>
        <v>0</v>
      </c>
      <c r="Q163" s="7">
        <f t="shared" si="13"/>
        <v>500</v>
      </c>
      <c r="R163" s="7">
        <f t="shared" si="14"/>
        <v>0</v>
      </c>
      <c r="S163" s="7">
        <f t="shared" si="15"/>
        <v>600</v>
      </c>
      <c r="T163" s="7">
        <f t="shared" si="16"/>
        <v>0</v>
      </c>
      <c r="U163" s="7">
        <f t="shared" si="17"/>
        <v>700</v>
      </c>
      <c r="V163" s="7">
        <f t="shared" si="18"/>
        <v>0</v>
      </c>
      <c r="W163" s="7">
        <f t="shared" si="19"/>
        <v>800</v>
      </c>
      <c r="X163" s="7">
        <f t="shared" si="20"/>
        <v>0</v>
      </c>
      <c r="Y163" s="7">
        <f t="shared" si="21"/>
        <v>900</v>
      </c>
      <c r="Z163" s="7">
        <f t="shared" si="22"/>
        <v>0</v>
      </c>
    </row>
    <row r="164">
      <c r="A164" s="19"/>
      <c r="B164" s="19"/>
      <c r="C164" s="13">
        <v>45778.0</v>
      </c>
      <c r="D164" s="12">
        <f>'Income per month'!B164</f>
        <v>1000</v>
      </c>
      <c r="E164" s="7">
        <f t="shared" si="1"/>
        <v>50</v>
      </c>
      <c r="F164" s="7">
        <f t="shared" si="2"/>
        <v>0</v>
      </c>
      <c r="G164" s="7">
        <f t="shared" si="3"/>
        <v>100</v>
      </c>
      <c r="H164" s="7">
        <f t="shared" si="4"/>
        <v>0</v>
      </c>
      <c r="I164" s="7">
        <f t="shared" si="5"/>
        <v>150</v>
      </c>
      <c r="J164" s="7">
        <f t="shared" si="6"/>
        <v>0</v>
      </c>
      <c r="K164" s="7">
        <f t="shared" si="7"/>
        <v>200</v>
      </c>
      <c r="L164" s="7">
        <f t="shared" si="8"/>
        <v>0</v>
      </c>
      <c r="M164" s="7">
        <f t="shared" si="9"/>
        <v>300</v>
      </c>
      <c r="N164" s="7">
        <f t="shared" si="10"/>
        <v>0</v>
      </c>
      <c r="O164" s="7">
        <f t="shared" si="11"/>
        <v>400</v>
      </c>
      <c r="P164" s="7">
        <f t="shared" si="12"/>
        <v>0</v>
      </c>
      <c r="Q164" s="7">
        <f t="shared" si="13"/>
        <v>500</v>
      </c>
      <c r="R164" s="7">
        <f t="shared" si="14"/>
        <v>0</v>
      </c>
      <c r="S164" s="7">
        <f t="shared" si="15"/>
        <v>600</v>
      </c>
      <c r="T164" s="7">
        <f t="shared" si="16"/>
        <v>0</v>
      </c>
      <c r="U164" s="7">
        <f t="shared" si="17"/>
        <v>700</v>
      </c>
      <c r="V164" s="7">
        <f t="shared" si="18"/>
        <v>0</v>
      </c>
      <c r="W164" s="7">
        <f t="shared" si="19"/>
        <v>800</v>
      </c>
      <c r="X164" s="7">
        <f t="shared" si="20"/>
        <v>0</v>
      </c>
      <c r="Y164" s="7">
        <f t="shared" si="21"/>
        <v>900</v>
      </c>
      <c r="Z164" s="7">
        <f t="shared" si="22"/>
        <v>0</v>
      </c>
    </row>
    <row r="165">
      <c r="A165" s="19"/>
      <c r="B165" s="19"/>
      <c r="C165" s="13">
        <v>45809.0</v>
      </c>
      <c r="D165" s="12">
        <f>'Income per month'!B165</f>
        <v>1000</v>
      </c>
      <c r="E165" s="7">
        <f t="shared" si="1"/>
        <v>50</v>
      </c>
      <c r="F165" s="7">
        <f t="shared" si="2"/>
        <v>0</v>
      </c>
      <c r="G165" s="7">
        <f t="shared" si="3"/>
        <v>100</v>
      </c>
      <c r="H165" s="7">
        <f t="shared" si="4"/>
        <v>0</v>
      </c>
      <c r="I165" s="7">
        <f t="shared" si="5"/>
        <v>150</v>
      </c>
      <c r="J165" s="7">
        <f t="shared" si="6"/>
        <v>0</v>
      </c>
      <c r="K165" s="7">
        <f t="shared" si="7"/>
        <v>200</v>
      </c>
      <c r="L165" s="7">
        <f t="shared" si="8"/>
        <v>0</v>
      </c>
      <c r="M165" s="7">
        <f t="shared" si="9"/>
        <v>300</v>
      </c>
      <c r="N165" s="7">
        <f t="shared" si="10"/>
        <v>0</v>
      </c>
      <c r="O165" s="7">
        <f t="shared" si="11"/>
        <v>400</v>
      </c>
      <c r="P165" s="7">
        <f t="shared" si="12"/>
        <v>0</v>
      </c>
      <c r="Q165" s="7">
        <f t="shared" si="13"/>
        <v>500</v>
      </c>
      <c r="R165" s="7">
        <f t="shared" si="14"/>
        <v>0</v>
      </c>
      <c r="S165" s="7">
        <f t="shared" si="15"/>
        <v>600</v>
      </c>
      <c r="T165" s="7">
        <f t="shared" si="16"/>
        <v>0</v>
      </c>
      <c r="U165" s="7">
        <f t="shared" si="17"/>
        <v>700</v>
      </c>
      <c r="V165" s="7">
        <f t="shared" si="18"/>
        <v>0</v>
      </c>
      <c r="W165" s="7">
        <f t="shared" si="19"/>
        <v>800</v>
      </c>
      <c r="X165" s="7">
        <f t="shared" si="20"/>
        <v>0</v>
      </c>
      <c r="Y165" s="7">
        <f t="shared" si="21"/>
        <v>900</v>
      </c>
      <c r="Z165" s="7">
        <f t="shared" si="22"/>
        <v>0</v>
      </c>
    </row>
    <row r="166">
      <c r="A166" s="19"/>
      <c r="B166" s="19"/>
      <c r="C166" s="13">
        <v>45839.0</v>
      </c>
      <c r="D166" s="12">
        <f>'Income per month'!B166</f>
        <v>1000</v>
      </c>
      <c r="E166" s="7">
        <f t="shared" si="1"/>
        <v>50</v>
      </c>
      <c r="F166" s="7">
        <f t="shared" si="2"/>
        <v>0</v>
      </c>
      <c r="G166" s="7">
        <f t="shared" si="3"/>
        <v>100</v>
      </c>
      <c r="H166" s="7">
        <f t="shared" si="4"/>
        <v>0</v>
      </c>
      <c r="I166" s="7">
        <f t="shared" si="5"/>
        <v>150</v>
      </c>
      <c r="J166" s="7">
        <f t="shared" si="6"/>
        <v>0</v>
      </c>
      <c r="K166" s="7">
        <f t="shared" si="7"/>
        <v>200</v>
      </c>
      <c r="L166" s="7">
        <f t="shared" si="8"/>
        <v>0</v>
      </c>
      <c r="M166" s="7">
        <f t="shared" si="9"/>
        <v>300</v>
      </c>
      <c r="N166" s="7">
        <f t="shared" si="10"/>
        <v>0</v>
      </c>
      <c r="O166" s="7">
        <f t="shared" si="11"/>
        <v>400</v>
      </c>
      <c r="P166" s="7">
        <f t="shared" si="12"/>
        <v>0</v>
      </c>
      <c r="Q166" s="7">
        <f t="shared" si="13"/>
        <v>500</v>
      </c>
      <c r="R166" s="7">
        <f t="shared" si="14"/>
        <v>0</v>
      </c>
      <c r="S166" s="7">
        <f t="shared" si="15"/>
        <v>600</v>
      </c>
      <c r="T166" s="7">
        <f t="shared" si="16"/>
        <v>0</v>
      </c>
      <c r="U166" s="7">
        <f t="shared" si="17"/>
        <v>700</v>
      </c>
      <c r="V166" s="7">
        <f t="shared" si="18"/>
        <v>0</v>
      </c>
      <c r="W166" s="7">
        <f t="shared" si="19"/>
        <v>800</v>
      </c>
      <c r="X166" s="7">
        <f t="shared" si="20"/>
        <v>0</v>
      </c>
      <c r="Y166" s="7">
        <f t="shared" si="21"/>
        <v>900</v>
      </c>
      <c r="Z166" s="7">
        <f t="shared" si="22"/>
        <v>0</v>
      </c>
    </row>
    <row r="167">
      <c r="A167" s="19"/>
      <c r="B167" s="19"/>
      <c r="C167" s="13">
        <v>45870.0</v>
      </c>
      <c r="D167" s="12">
        <f>'Income per month'!B167</f>
        <v>1000</v>
      </c>
      <c r="E167" s="7">
        <f t="shared" si="1"/>
        <v>50</v>
      </c>
      <c r="F167" s="7">
        <f t="shared" si="2"/>
        <v>0</v>
      </c>
      <c r="G167" s="7">
        <f t="shared" si="3"/>
        <v>100</v>
      </c>
      <c r="H167" s="7">
        <f t="shared" si="4"/>
        <v>0</v>
      </c>
      <c r="I167" s="7">
        <f t="shared" si="5"/>
        <v>150</v>
      </c>
      <c r="J167" s="7">
        <f t="shared" si="6"/>
        <v>0</v>
      </c>
      <c r="K167" s="7">
        <f t="shared" si="7"/>
        <v>200</v>
      </c>
      <c r="L167" s="7">
        <f t="shared" si="8"/>
        <v>0</v>
      </c>
      <c r="M167" s="7">
        <f t="shared" si="9"/>
        <v>300</v>
      </c>
      <c r="N167" s="7">
        <f t="shared" si="10"/>
        <v>0</v>
      </c>
      <c r="O167" s="7">
        <f t="shared" si="11"/>
        <v>400</v>
      </c>
      <c r="P167" s="7">
        <f t="shared" si="12"/>
        <v>0</v>
      </c>
      <c r="Q167" s="7">
        <f t="shared" si="13"/>
        <v>500</v>
      </c>
      <c r="R167" s="7">
        <f t="shared" si="14"/>
        <v>0</v>
      </c>
      <c r="S167" s="7">
        <f t="shared" si="15"/>
        <v>600</v>
      </c>
      <c r="T167" s="7">
        <f t="shared" si="16"/>
        <v>0</v>
      </c>
      <c r="U167" s="7">
        <f t="shared" si="17"/>
        <v>700</v>
      </c>
      <c r="V167" s="7">
        <f t="shared" si="18"/>
        <v>0</v>
      </c>
      <c r="W167" s="7">
        <f t="shared" si="19"/>
        <v>800</v>
      </c>
      <c r="X167" s="7">
        <f t="shared" si="20"/>
        <v>0</v>
      </c>
      <c r="Y167" s="7">
        <f t="shared" si="21"/>
        <v>900</v>
      </c>
      <c r="Z167" s="7">
        <f t="shared" si="22"/>
        <v>0</v>
      </c>
    </row>
    <row r="168">
      <c r="A168" s="19"/>
      <c r="B168" s="19"/>
      <c r="C168" s="13">
        <v>45901.0</v>
      </c>
      <c r="D168" s="12">
        <f>'Income per month'!B168</f>
        <v>1000</v>
      </c>
      <c r="E168" s="7">
        <f t="shared" si="1"/>
        <v>50</v>
      </c>
      <c r="F168" s="7">
        <f t="shared" si="2"/>
        <v>0</v>
      </c>
      <c r="G168" s="7">
        <f t="shared" si="3"/>
        <v>100</v>
      </c>
      <c r="H168" s="7">
        <f t="shared" si="4"/>
        <v>0</v>
      </c>
      <c r="I168" s="7">
        <f t="shared" si="5"/>
        <v>150</v>
      </c>
      <c r="J168" s="7">
        <f t="shared" si="6"/>
        <v>0</v>
      </c>
      <c r="K168" s="7">
        <f t="shared" si="7"/>
        <v>200</v>
      </c>
      <c r="L168" s="7">
        <f t="shared" si="8"/>
        <v>0</v>
      </c>
      <c r="M168" s="7">
        <f t="shared" si="9"/>
        <v>300</v>
      </c>
      <c r="N168" s="7">
        <f t="shared" si="10"/>
        <v>0</v>
      </c>
      <c r="O168" s="7">
        <f t="shared" si="11"/>
        <v>400</v>
      </c>
      <c r="P168" s="7">
        <f t="shared" si="12"/>
        <v>0</v>
      </c>
      <c r="Q168" s="7">
        <f t="shared" si="13"/>
        <v>500</v>
      </c>
      <c r="R168" s="7">
        <f t="shared" si="14"/>
        <v>0</v>
      </c>
      <c r="S168" s="7">
        <f t="shared" si="15"/>
        <v>600</v>
      </c>
      <c r="T168" s="7">
        <f t="shared" si="16"/>
        <v>0</v>
      </c>
      <c r="U168" s="7">
        <f t="shared" si="17"/>
        <v>700</v>
      </c>
      <c r="V168" s="7">
        <f t="shared" si="18"/>
        <v>0</v>
      </c>
      <c r="W168" s="7">
        <f t="shared" si="19"/>
        <v>800</v>
      </c>
      <c r="X168" s="7">
        <f t="shared" si="20"/>
        <v>0</v>
      </c>
      <c r="Y168" s="7">
        <f t="shared" si="21"/>
        <v>900</v>
      </c>
      <c r="Z168" s="7">
        <f t="shared" si="22"/>
        <v>0</v>
      </c>
    </row>
    <row r="169">
      <c r="A169" s="19"/>
      <c r="B169" s="19"/>
      <c r="C169" s="13">
        <v>45931.0</v>
      </c>
      <c r="D169" s="12">
        <f>'Income per month'!B169</f>
        <v>1000</v>
      </c>
      <c r="E169" s="7">
        <f t="shared" si="1"/>
        <v>50</v>
      </c>
      <c r="F169" s="7">
        <f t="shared" si="2"/>
        <v>0</v>
      </c>
      <c r="G169" s="7">
        <f t="shared" si="3"/>
        <v>100</v>
      </c>
      <c r="H169" s="7">
        <f t="shared" si="4"/>
        <v>0</v>
      </c>
      <c r="I169" s="7">
        <f t="shared" si="5"/>
        <v>150</v>
      </c>
      <c r="J169" s="7">
        <f t="shared" si="6"/>
        <v>0</v>
      </c>
      <c r="K169" s="7">
        <f t="shared" si="7"/>
        <v>200</v>
      </c>
      <c r="L169" s="7">
        <f t="shared" si="8"/>
        <v>0</v>
      </c>
      <c r="M169" s="7">
        <f t="shared" si="9"/>
        <v>300</v>
      </c>
      <c r="N169" s="7">
        <f t="shared" si="10"/>
        <v>0</v>
      </c>
      <c r="O169" s="7">
        <f t="shared" si="11"/>
        <v>400</v>
      </c>
      <c r="P169" s="7">
        <f t="shared" si="12"/>
        <v>0</v>
      </c>
      <c r="Q169" s="7">
        <f t="shared" si="13"/>
        <v>500</v>
      </c>
      <c r="R169" s="7">
        <f t="shared" si="14"/>
        <v>0</v>
      </c>
      <c r="S169" s="7">
        <f t="shared" si="15"/>
        <v>600</v>
      </c>
      <c r="T169" s="7">
        <f t="shared" si="16"/>
        <v>0</v>
      </c>
      <c r="U169" s="7">
        <f t="shared" si="17"/>
        <v>700</v>
      </c>
      <c r="V169" s="7">
        <f t="shared" si="18"/>
        <v>0</v>
      </c>
      <c r="W169" s="7">
        <f t="shared" si="19"/>
        <v>800</v>
      </c>
      <c r="X169" s="7">
        <f t="shared" si="20"/>
        <v>0</v>
      </c>
      <c r="Y169" s="7">
        <f t="shared" si="21"/>
        <v>900</v>
      </c>
      <c r="Z169" s="7">
        <f t="shared" si="22"/>
        <v>0</v>
      </c>
    </row>
    <row r="170">
      <c r="A170" s="19"/>
      <c r="B170" s="19"/>
      <c r="C170" s="13">
        <v>45962.0</v>
      </c>
      <c r="D170" s="12">
        <f>'Income per month'!B170</f>
        <v>1000</v>
      </c>
      <c r="E170" s="7">
        <f t="shared" si="1"/>
        <v>50</v>
      </c>
      <c r="F170" s="7">
        <f t="shared" si="2"/>
        <v>0</v>
      </c>
      <c r="G170" s="7">
        <f t="shared" si="3"/>
        <v>100</v>
      </c>
      <c r="H170" s="7">
        <f t="shared" si="4"/>
        <v>0</v>
      </c>
      <c r="I170" s="7">
        <f t="shared" si="5"/>
        <v>150</v>
      </c>
      <c r="J170" s="7">
        <f t="shared" si="6"/>
        <v>0</v>
      </c>
      <c r="K170" s="7">
        <f t="shared" si="7"/>
        <v>200</v>
      </c>
      <c r="L170" s="7">
        <f t="shared" si="8"/>
        <v>0</v>
      </c>
      <c r="M170" s="7">
        <f t="shared" si="9"/>
        <v>300</v>
      </c>
      <c r="N170" s="7">
        <f t="shared" si="10"/>
        <v>0</v>
      </c>
      <c r="O170" s="7">
        <f t="shared" si="11"/>
        <v>400</v>
      </c>
      <c r="P170" s="7">
        <f t="shared" si="12"/>
        <v>0</v>
      </c>
      <c r="Q170" s="7">
        <f t="shared" si="13"/>
        <v>500</v>
      </c>
      <c r="R170" s="7">
        <f t="shared" si="14"/>
        <v>0</v>
      </c>
      <c r="S170" s="7">
        <f t="shared" si="15"/>
        <v>600</v>
      </c>
      <c r="T170" s="7">
        <f t="shared" si="16"/>
        <v>0</v>
      </c>
      <c r="U170" s="7">
        <f t="shared" si="17"/>
        <v>700</v>
      </c>
      <c r="V170" s="7">
        <f t="shared" si="18"/>
        <v>0</v>
      </c>
      <c r="W170" s="7">
        <f t="shared" si="19"/>
        <v>800</v>
      </c>
      <c r="X170" s="7">
        <f t="shared" si="20"/>
        <v>0</v>
      </c>
      <c r="Y170" s="7">
        <f t="shared" si="21"/>
        <v>900</v>
      </c>
      <c r="Z170" s="7">
        <f t="shared" si="22"/>
        <v>0</v>
      </c>
    </row>
    <row r="171">
      <c r="A171" s="19"/>
      <c r="B171" s="19"/>
      <c r="C171" s="14">
        <v>45992.0</v>
      </c>
      <c r="D171" s="12">
        <f>'Income per month'!B171</f>
        <v>1000</v>
      </c>
      <c r="E171" s="7">
        <f t="shared" si="1"/>
        <v>50</v>
      </c>
      <c r="F171" s="7">
        <f t="shared" si="2"/>
        <v>0</v>
      </c>
      <c r="G171" s="7">
        <f t="shared" si="3"/>
        <v>100</v>
      </c>
      <c r="H171" s="7">
        <f t="shared" si="4"/>
        <v>0</v>
      </c>
      <c r="I171" s="7">
        <f t="shared" si="5"/>
        <v>150</v>
      </c>
      <c r="J171" s="7">
        <f t="shared" si="6"/>
        <v>0</v>
      </c>
      <c r="K171" s="7">
        <f t="shared" si="7"/>
        <v>200</v>
      </c>
      <c r="L171" s="7">
        <f t="shared" si="8"/>
        <v>0</v>
      </c>
      <c r="M171" s="7">
        <f t="shared" si="9"/>
        <v>300</v>
      </c>
      <c r="N171" s="7">
        <f t="shared" si="10"/>
        <v>0</v>
      </c>
      <c r="O171" s="7">
        <f t="shared" si="11"/>
        <v>400</v>
      </c>
      <c r="P171" s="7">
        <f t="shared" si="12"/>
        <v>0</v>
      </c>
      <c r="Q171" s="7">
        <f t="shared" si="13"/>
        <v>500</v>
      </c>
      <c r="R171" s="7">
        <f t="shared" si="14"/>
        <v>0</v>
      </c>
      <c r="S171" s="7">
        <f t="shared" si="15"/>
        <v>600</v>
      </c>
      <c r="T171" s="7">
        <f t="shared" si="16"/>
        <v>0</v>
      </c>
      <c r="U171" s="7">
        <f t="shared" si="17"/>
        <v>700</v>
      </c>
      <c r="V171" s="7">
        <f t="shared" si="18"/>
        <v>0</v>
      </c>
      <c r="W171" s="7">
        <f t="shared" si="19"/>
        <v>800</v>
      </c>
      <c r="X171" s="7">
        <f t="shared" si="20"/>
        <v>0</v>
      </c>
      <c r="Y171" s="7">
        <f t="shared" si="21"/>
        <v>900</v>
      </c>
      <c r="Z171" s="7">
        <f t="shared" si="22"/>
        <v>0</v>
      </c>
    </row>
    <row r="172">
      <c r="A172" s="19"/>
      <c r="B172" s="19"/>
      <c r="C172" s="15">
        <v>46023.0</v>
      </c>
      <c r="D172" s="12">
        <f>'Income per month'!B172</f>
        <v>1000</v>
      </c>
      <c r="E172" s="7">
        <f t="shared" si="1"/>
        <v>50</v>
      </c>
      <c r="F172" s="7">
        <f t="shared" si="2"/>
        <v>0</v>
      </c>
      <c r="G172" s="7">
        <f t="shared" si="3"/>
        <v>100</v>
      </c>
      <c r="H172" s="7">
        <f t="shared" si="4"/>
        <v>0</v>
      </c>
      <c r="I172" s="7">
        <f t="shared" si="5"/>
        <v>150</v>
      </c>
      <c r="J172" s="7">
        <f t="shared" si="6"/>
        <v>0</v>
      </c>
      <c r="K172" s="7">
        <f t="shared" si="7"/>
        <v>200</v>
      </c>
      <c r="L172" s="7">
        <f t="shared" si="8"/>
        <v>0</v>
      </c>
      <c r="M172" s="7">
        <f t="shared" si="9"/>
        <v>300</v>
      </c>
      <c r="N172" s="7">
        <f t="shared" si="10"/>
        <v>0</v>
      </c>
      <c r="O172" s="7">
        <f t="shared" si="11"/>
        <v>400</v>
      </c>
      <c r="P172" s="7">
        <f t="shared" si="12"/>
        <v>0</v>
      </c>
      <c r="Q172" s="7">
        <f t="shared" si="13"/>
        <v>500</v>
      </c>
      <c r="R172" s="7">
        <f t="shared" si="14"/>
        <v>0</v>
      </c>
      <c r="S172" s="7">
        <f t="shared" si="15"/>
        <v>600</v>
      </c>
      <c r="T172" s="7">
        <f t="shared" si="16"/>
        <v>0</v>
      </c>
      <c r="U172" s="7">
        <f t="shared" si="17"/>
        <v>700</v>
      </c>
      <c r="V172" s="7">
        <f t="shared" si="18"/>
        <v>0</v>
      </c>
      <c r="W172" s="7">
        <f t="shared" si="19"/>
        <v>800</v>
      </c>
      <c r="X172" s="7">
        <f t="shared" si="20"/>
        <v>0</v>
      </c>
      <c r="Y172" s="7">
        <f t="shared" si="21"/>
        <v>900</v>
      </c>
      <c r="Z172" s="7">
        <f t="shared" si="22"/>
        <v>0</v>
      </c>
    </row>
    <row r="173">
      <c r="A173" s="19"/>
      <c r="B173" s="19"/>
      <c r="C173" s="13">
        <v>46054.0</v>
      </c>
      <c r="D173" s="12">
        <f>'Income per month'!B173</f>
        <v>1000</v>
      </c>
      <c r="E173" s="7">
        <f t="shared" si="1"/>
        <v>50</v>
      </c>
      <c r="F173" s="7">
        <f t="shared" si="2"/>
        <v>0</v>
      </c>
      <c r="G173" s="7">
        <f t="shared" si="3"/>
        <v>100</v>
      </c>
      <c r="H173" s="7">
        <f t="shared" si="4"/>
        <v>0</v>
      </c>
      <c r="I173" s="7">
        <f t="shared" si="5"/>
        <v>150</v>
      </c>
      <c r="J173" s="7">
        <f t="shared" si="6"/>
        <v>0</v>
      </c>
      <c r="K173" s="7">
        <f t="shared" si="7"/>
        <v>200</v>
      </c>
      <c r="L173" s="7">
        <f t="shared" si="8"/>
        <v>0</v>
      </c>
      <c r="M173" s="7">
        <f t="shared" si="9"/>
        <v>300</v>
      </c>
      <c r="N173" s="7">
        <f t="shared" si="10"/>
        <v>0</v>
      </c>
      <c r="O173" s="7">
        <f t="shared" si="11"/>
        <v>400</v>
      </c>
      <c r="P173" s="7">
        <f t="shared" si="12"/>
        <v>0</v>
      </c>
      <c r="Q173" s="7">
        <f t="shared" si="13"/>
        <v>500</v>
      </c>
      <c r="R173" s="7">
        <f t="shared" si="14"/>
        <v>0</v>
      </c>
      <c r="S173" s="7">
        <f t="shared" si="15"/>
        <v>600</v>
      </c>
      <c r="T173" s="7">
        <f t="shared" si="16"/>
        <v>0</v>
      </c>
      <c r="U173" s="7">
        <f t="shared" si="17"/>
        <v>700</v>
      </c>
      <c r="V173" s="7">
        <f t="shared" si="18"/>
        <v>0</v>
      </c>
      <c r="W173" s="7">
        <f t="shared" si="19"/>
        <v>800</v>
      </c>
      <c r="X173" s="7">
        <f t="shared" si="20"/>
        <v>0</v>
      </c>
      <c r="Y173" s="7">
        <f t="shared" si="21"/>
        <v>900</v>
      </c>
      <c r="Z173" s="7">
        <f t="shared" si="22"/>
        <v>0</v>
      </c>
    </row>
    <row r="174">
      <c r="A174" s="19"/>
      <c r="B174" s="19"/>
      <c r="C174" s="13">
        <v>46082.0</v>
      </c>
      <c r="D174" s="12">
        <f>'Income per month'!B174</f>
        <v>1000</v>
      </c>
      <c r="E174" s="7">
        <f t="shared" si="1"/>
        <v>50</v>
      </c>
      <c r="F174" s="7">
        <f t="shared" si="2"/>
        <v>0</v>
      </c>
      <c r="G174" s="7">
        <f t="shared" si="3"/>
        <v>100</v>
      </c>
      <c r="H174" s="7">
        <f t="shared" si="4"/>
        <v>0</v>
      </c>
      <c r="I174" s="7">
        <f t="shared" si="5"/>
        <v>150</v>
      </c>
      <c r="J174" s="7">
        <f t="shared" si="6"/>
        <v>0</v>
      </c>
      <c r="K174" s="7">
        <f t="shared" si="7"/>
        <v>200</v>
      </c>
      <c r="L174" s="7">
        <f t="shared" si="8"/>
        <v>0</v>
      </c>
      <c r="M174" s="7">
        <f t="shared" si="9"/>
        <v>300</v>
      </c>
      <c r="N174" s="7">
        <f t="shared" si="10"/>
        <v>0</v>
      </c>
      <c r="O174" s="7">
        <f t="shared" si="11"/>
        <v>400</v>
      </c>
      <c r="P174" s="7">
        <f t="shared" si="12"/>
        <v>0</v>
      </c>
      <c r="Q174" s="7">
        <f t="shared" si="13"/>
        <v>500</v>
      </c>
      <c r="R174" s="7">
        <f t="shared" si="14"/>
        <v>0</v>
      </c>
      <c r="S174" s="7">
        <f t="shared" si="15"/>
        <v>600</v>
      </c>
      <c r="T174" s="7">
        <f t="shared" si="16"/>
        <v>0</v>
      </c>
      <c r="U174" s="7">
        <f t="shared" si="17"/>
        <v>700</v>
      </c>
      <c r="V174" s="7">
        <f t="shared" si="18"/>
        <v>0</v>
      </c>
      <c r="W174" s="7">
        <f t="shared" si="19"/>
        <v>800</v>
      </c>
      <c r="X174" s="7">
        <f t="shared" si="20"/>
        <v>0</v>
      </c>
      <c r="Y174" s="7">
        <f t="shared" si="21"/>
        <v>900</v>
      </c>
      <c r="Z174" s="7">
        <f t="shared" si="22"/>
        <v>0</v>
      </c>
    </row>
    <row r="175">
      <c r="A175" s="19"/>
      <c r="B175" s="19"/>
      <c r="C175" s="13">
        <v>46113.0</v>
      </c>
      <c r="D175" s="12">
        <f>'Income per month'!B175</f>
        <v>1000</v>
      </c>
      <c r="E175" s="7">
        <f t="shared" si="1"/>
        <v>50</v>
      </c>
      <c r="F175" s="7">
        <f t="shared" si="2"/>
        <v>0</v>
      </c>
      <c r="G175" s="7">
        <f t="shared" si="3"/>
        <v>100</v>
      </c>
      <c r="H175" s="7">
        <f t="shared" si="4"/>
        <v>0</v>
      </c>
      <c r="I175" s="7">
        <f t="shared" si="5"/>
        <v>150</v>
      </c>
      <c r="J175" s="7">
        <f t="shared" si="6"/>
        <v>0</v>
      </c>
      <c r="K175" s="7">
        <f t="shared" si="7"/>
        <v>200</v>
      </c>
      <c r="L175" s="7">
        <f t="shared" si="8"/>
        <v>0</v>
      </c>
      <c r="M175" s="7">
        <f t="shared" si="9"/>
        <v>300</v>
      </c>
      <c r="N175" s="7">
        <f t="shared" si="10"/>
        <v>0</v>
      </c>
      <c r="O175" s="7">
        <f t="shared" si="11"/>
        <v>400</v>
      </c>
      <c r="P175" s="7">
        <f t="shared" si="12"/>
        <v>0</v>
      </c>
      <c r="Q175" s="7">
        <f t="shared" si="13"/>
        <v>500</v>
      </c>
      <c r="R175" s="7">
        <f t="shared" si="14"/>
        <v>0</v>
      </c>
      <c r="S175" s="7">
        <f t="shared" si="15"/>
        <v>600</v>
      </c>
      <c r="T175" s="7">
        <f t="shared" si="16"/>
        <v>0</v>
      </c>
      <c r="U175" s="7">
        <f t="shared" si="17"/>
        <v>700</v>
      </c>
      <c r="V175" s="7">
        <f t="shared" si="18"/>
        <v>0</v>
      </c>
      <c r="W175" s="7">
        <f t="shared" si="19"/>
        <v>800</v>
      </c>
      <c r="X175" s="7">
        <f t="shared" si="20"/>
        <v>0</v>
      </c>
      <c r="Y175" s="7">
        <f t="shared" si="21"/>
        <v>900</v>
      </c>
      <c r="Z175" s="7">
        <f t="shared" si="22"/>
        <v>0</v>
      </c>
    </row>
    <row r="176">
      <c r="A176" s="19"/>
      <c r="B176" s="19"/>
      <c r="C176" s="13">
        <v>46143.0</v>
      </c>
      <c r="D176" s="12">
        <f>'Income per month'!B176</f>
        <v>1000</v>
      </c>
      <c r="E176" s="7">
        <f t="shared" si="1"/>
        <v>50</v>
      </c>
      <c r="F176" s="7">
        <f t="shared" si="2"/>
        <v>0</v>
      </c>
      <c r="G176" s="7">
        <f t="shared" si="3"/>
        <v>100</v>
      </c>
      <c r="H176" s="7">
        <f t="shared" si="4"/>
        <v>0</v>
      </c>
      <c r="I176" s="7">
        <f t="shared" si="5"/>
        <v>150</v>
      </c>
      <c r="J176" s="7">
        <f t="shared" si="6"/>
        <v>0</v>
      </c>
      <c r="K176" s="7">
        <f t="shared" si="7"/>
        <v>200</v>
      </c>
      <c r="L176" s="7">
        <f t="shared" si="8"/>
        <v>0</v>
      </c>
      <c r="M176" s="7">
        <f t="shared" si="9"/>
        <v>300</v>
      </c>
      <c r="N176" s="7">
        <f t="shared" si="10"/>
        <v>0</v>
      </c>
      <c r="O176" s="7">
        <f t="shared" si="11"/>
        <v>400</v>
      </c>
      <c r="P176" s="7">
        <f t="shared" si="12"/>
        <v>0</v>
      </c>
      <c r="Q176" s="7">
        <f t="shared" si="13"/>
        <v>500</v>
      </c>
      <c r="R176" s="7">
        <f t="shared" si="14"/>
        <v>0</v>
      </c>
      <c r="S176" s="7">
        <f t="shared" si="15"/>
        <v>600</v>
      </c>
      <c r="T176" s="7">
        <f t="shared" si="16"/>
        <v>0</v>
      </c>
      <c r="U176" s="7">
        <f t="shared" si="17"/>
        <v>700</v>
      </c>
      <c r="V176" s="7">
        <f t="shared" si="18"/>
        <v>0</v>
      </c>
      <c r="W176" s="7">
        <f t="shared" si="19"/>
        <v>800</v>
      </c>
      <c r="X176" s="7">
        <f t="shared" si="20"/>
        <v>0</v>
      </c>
      <c r="Y176" s="7">
        <f t="shared" si="21"/>
        <v>900</v>
      </c>
      <c r="Z176" s="7">
        <f t="shared" si="22"/>
        <v>0</v>
      </c>
    </row>
    <row r="177">
      <c r="A177" s="19"/>
      <c r="B177" s="19"/>
      <c r="C177" s="13">
        <v>46174.0</v>
      </c>
      <c r="D177" s="12">
        <f>'Income per month'!B177</f>
        <v>1000</v>
      </c>
      <c r="E177" s="7">
        <f t="shared" si="1"/>
        <v>50</v>
      </c>
      <c r="F177" s="7">
        <f t="shared" si="2"/>
        <v>0</v>
      </c>
      <c r="G177" s="7">
        <f t="shared" si="3"/>
        <v>100</v>
      </c>
      <c r="H177" s="7">
        <f t="shared" si="4"/>
        <v>0</v>
      </c>
      <c r="I177" s="7">
        <f t="shared" si="5"/>
        <v>150</v>
      </c>
      <c r="J177" s="7">
        <f t="shared" si="6"/>
        <v>0</v>
      </c>
      <c r="K177" s="7">
        <f t="shared" si="7"/>
        <v>200</v>
      </c>
      <c r="L177" s="7">
        <f t="shared" si="8"/>
        <v>0</v>
      </c>
      <c r="M177" s="7">
        <f t="shared" si="9"/>
        <v>300</v>
      </c>
      <c r="N177" s="7">
        <f t="shared" si="10"/>
        <v>0</v>
      </c>
      <c r="O177" s="7">
        <f t="shared" si="11"/>
        <v>400</v>
      </c>
      <c r="P177" s="7">
        <f t="shared" si="12"/>
        <v>0</v>
      </c>
      <c r="Q177" s="7">
        <f t="shared" si="13"/>
        <v>500</v>
      </c>
      <c r="R177" s="7">
        <f t="shared" si="14"/>
        <v>0</v>
      </c>
      <c r="S177" s="7">
        <f t="shared" si="15"/>
        <v>600</v>
      </c>
      <c r="T177" s="7">
        <f t="shared" si="16"/>
        <v>0</v>
      </c>
      <c r="U177" s="7">
        <f t="shared" si="17"/>
        <v>700</v>
      </c>
      <c r="V177" s="7">
        <f t="shared" si="18"/>
        <v>0</v>
      </c>
      <c r="W177" s="7">
        <f t="shared" si="19"/>
        <v>800</v>
      </c>
      <c r="X177" s="7">
        <f t="shared" si="20"/>
        <v>0</v>
      </c>
      <c r="Y177" s="7">
        <f t="shared" si="21"/>
        <v>900</v>
      </c>
      <c r="Z177" s="7">
        <f t="shared" si="22"/>
        <v>0</v>
      </c>
    </row>
    <row r="178">
      <c r="A178" s="19"/>
      <c r="B178" s="19"/>
      <c r="C178" s="13">
        <v>46204.0</v>
      </c>
      <c r="D178" s="12">
        <f>'Income per month'!B178</f>
        <v>1000</v>
      </c>
      <c r="E178" s="7">
        <f t="shared" si="1"/>
        <v>50</v>
      </c>
      <c r="F178" s="7">
        <f t="shared" si="2"/>
        <v>0</v>
      </c>
      <c r="G178" s="7">
        <f t="shared" si="3"/>
        <v>100</v>
      </c>
      <c r="H178" s="7">
        <f t="shared" si="4"/>
        <v>0</v>
      </c>
      <c r="I178" s="7">
        <f t="shared" si="5"/>
        <v>150</v>
      </c>
      <c r="J178" s="7">
        <f t="shared" si="6"/>
        <v>0</v>
      </c>
      <c r="K178" s="7">
        <f t="shared" si="7"/>
        <v>200</v>
      </c>
      <c r="L178" s="7">
        <f t="shared" si="8"/>
        <v>0</v>
      </c>
      <c r="M178" s="7">
        <f t="shared" si="9"/>
        <v>300</v>
      </c>
      <c r="N178" s="7">
        <f t="shared" si="10"/>
        <v>0</v>
      </c>
      <c r="O178" s="7">
        <f t="shared" si="11"/>
        <v>400</v>
      </c>
      <c r="P178" s="7">
        <f t="shared" si="12"/>
        <v>0</v>
      </c>
      <c r="Q178" s="7">
        <f t="shared" si="13"/>
        <v>500</v>
      </c>
      <c r="R178" s="7">
        <f t="shared" si="14"/>
        <v>0</v>
      </c>
      <c r="S178" s="7">
        <f t="shared" si="15"/>
        <v>600</v>
      </c>
      <c r="T178" s="7">
        <f t="shared" si="16"/>
        <v>0</v>
      </c>
      <c r="U178" s="7">
        <f t="shared" si="17"/>
        <v>700</v>
      </c>
      <c r="V178" s="7">
        <f t="shared" si="18"/>
        <v>0</v>
      </c>
      <c r="W178" s="7">
        <f t="shared" si="19"/>
        <v>800</v>
      </c>
      <c r="X178" s="7">
        <f t="shared" si="20"/>
        <v>0</v>
      </c>
      <c r="Y178" s="7">
        <f t="shared" si="21"/>
        <v>900</v>
      </c>
      <c r="Z178" s="7">
        <f t="shared" si="22"/>
        <v>0</v>
      </c>
    </row>
    <row r="179">
      <c r="A179" s="19"/>
      <c r="B179" s="19"/>
      <c r="C179" s="13">
        <v>46235.0</v>
      </c>
      <c r="D179" s="12">
        <f>'Income per month'!B179</f>
        <v>1000</v>
      </c>
      <c r="E179" s="7">
        <f t="shared" si="1"/>
        <v>50</v>
      </c>
      <c r="F179" s="7">
        <f t="shared" si="2"/>
        <v>0</v>
      </c>
      <c r="G179" s="7">
        <f t="shared" si="3"/>
        <v>100</v>
      </c>
      <c r="H179" s="7">
        <f t="shared" si="4"/>
        <v>0</v>
      </c>
      <c r="I179" s="7">
        <f t="shared" si="5"/>
        <v>150</v>
      </c>
      <c r="J179" s="7">
        <f t="shared" si="6"/>
        <v>0</v>
      </c>
      <c r="K179" s="7">
        <f t="shared" si="7"/>
        <v>200</v>
      </c>
      <c r="L179" s="7">
        <f t="shared" si="8"/>
        <v>0</v>
      </c>
      <c r="M179" s="7">
        <f t="shared" si="9"/>
        <v>300</v>
      </c>
      <c r="N179" s="7">
        <f t="shared" si="10"/>
        <v>0</v>
      </c>
      <c r="O179" s="7">
        <f t="shared" si="11"/>
        <v>400</v>
      </c>
      <c r="P179" s="7">
        <f t="shared" si="12"/>
        <v>0</v>
      </c>
      <c r="Q179" s="7">
        <f t="shared" si="13"/>
        <v>500</v>
      </c>
      <c r="R179" s="7">
        <f t="shared" si="14"/>
        <v>0</v>
      </c>
      <c r="S179" s="7">
        <f t="shared" si="15"/>
        <v>600</v>
      </c>
      <c r="T179" s="7">
        <f t="shared" si="16"/>
        <v>0</v>
      </c>
      <c r="U179" s="7">
        <f t="shared" si="17"/>
        <v>700</v>
      </c>
      <c r="V179" s="7">
        <f t="shared" si="18"/>
        <v>0</v>
      </c>
      <c r="W179" s="7">
        <f t="shared" si="19"/>
        <v>800</v>
      </c>
      <c r="X179" s="7">
        <f t="shared" si="20"/>
        <v>0</v>
      </c>
      <c r="Y179" s="7">
        <f t="shared" si="21"/>
        <v>900</v>
      </c>
      <c r="Z179" s="7">
        <f t="shared" si="22"/>
        <v>0</v>
      </c>
    </row>
    <row r="180">
      <c r="A180" s="19"/>
      <c r="B180" s="19"/>
      <c r="C180" s="13">
        <v>46266.0</v>
      </c>
      <c r="D180" s="12">
        <f>'Income per month'!B180</f>
        <v>1000</v>
      </c>
      <c r="E180" s="7">
        <f t="shared" si="1"/>
        <v>50</v>
      </c>
      <c r="F180" s="7">
        <f t="shared" si="2"/>
        <v>0</v>
      </c>
      <c r="G180" s="7">
        <f t="shared" si="3"/>
        <v>100</v>
      </c>
      <c r="H180" s="7">
        <f t="shared" si="4"/>
        <v>0</v>
      </c>
      <c r="I180" s="7">
        <f t="shared" si="5"/>
        <v>150</v>
      </c>
      <c r="J180" s="7">
        <f t="shared" si="6"/>
        <v>0</v>
      </c>
      <c r="K180" s="7">
        <f t="shared" si="7"/>
        <v>200</v>
      </c>
      <c r="L180" s="7">
        <f t="shared" si="8"/>
        <v>0</v>
      </c>
      <c r="M180" s="7">
        <f t="shared" si="9"/>
        <v>300</v>
      </c>
      <c r="N180" s="7">
        <f t="shared" si="10"/>
        <v>0</v>
      </c>
      <c r="O180" s="7">
        <f t="shared" si="11"/>
        <v>400</v>
      </c>
      <c r="P180" s="7">
        <f t="shared" si="12"/>
        <v>0</v>
      </c>
      <c r="Q180" s="7">
        <f t="shared" si="13"/>
        <v>500</v>
      </c>
      <c r="R180" s="7">
        <f t="shared" si="14"/>
        <v>0</v>
      </c>
      <c r="S180" s="7">
        <f t="shared" si="15"/>
        <v>600</v>
      </c>
      <c r="T180" s="7">
        <f t="shared" si="16"/>
        <v>0</v>
      </c>
      <c r="U180" s="7">
        <f t="shared" si="17"/>
        <v>700</v>
      </c>
      <c r="V180" s="7">
        <f t="shared" si="18"/>
        <v>0</v>
      </c>
      <c r="W180" s="7">
        <f t="shared" si="19"/>
        <v>800</v>
      </c>
      <c r="X180" s="7">
        <f t="shared" si="20"/>
        <v>0</v>
      </c>
      <c r="Y180" s="7">
        <f t="shared" si="21"/>
        <v>900</v>
      </c>
      <c r="Z180" s="7">
        <f t="shared" si="22"/>
        <v>0</v>
      </c>
    </row>
    <row r="181">
      <c r="A181" s="19"/>
      <c r="B181" s="19"/>
      <c r="C181" s="13">
        <v>46296.0</v>
      </c>
      <c r="D181" s="12">
        <f>'Income per month'!B181</f>
        <v>1000</v>
      </c>
      <c r="E181" s="7">
        <f t="shared" si="1"/>
        <v>50</v>
      </c>
      <c r="F181" s="7">
        <f t="shared" si="2"/>
        <v>0</v>
      </c>
      <c r="G181" s="7">
        <f t="shared" si="3"/>
        <v>100</v>
      </c>
      <c r="H181" s="7">
        <f t="shared" si="4"/>
        <v>0</v>
      </c>
      <c r="I181" s="7">
        <f t="shared" si="5"/>
        <v>150</v>
      </c>
      <c r="J181" s="7">
        <f t="shared" si="6"/>
        <v>0</v>
      </c>
      <c r="K181" s="7">
        <f t="shared" si="7"/>
        <v>200</v>
      </c>
      <c r="L181" s="7">
        <f t="shared" si="8"/>
        <v>0</v>
      </c>
      <c r="M181" s="7">
        <f t="shared" si="9"/>
        <v>300</v>
      </c>
      <c r="N181" s="7">
        <f t="shared" si="10"/>
        <v>0</v>
      </c>
      <c r="O181" s="7">
        <f t="shared" si="11"/>
        <v>400</v>
      </c>
      <c r="P181" s="7">
        <f t="shared" si="12"/>
        <v>0</v>
      </c>
      <c r="Q181" s="7">
        <f t="shared" si="13"/>
        <v>500</v>
      </c>
      <c r="R181" s="7">
        <f t="shared" si="14"/>
        <v>0</v>
      </c>
      <c r="S181" s="7">
        <f t="shared" si="15"/>
        <v>600</v>
      </c>
      <c r="T181" s="7">
        <f t="shared" si="16"/>
        <v>0</v>
      </c>
      <c r="U181" s="7">
        <f t="shared" si="17"/>
        <v>700</v>
      </c>
      <c r="V181" s="7">
        <f t="shared" si="18"/>
        <v>0</v>
      </c>
      <c r="W181" s="7">
        <f t="shared" si="19"/>
        <v>800</v>
      </c>
      <c r="X181" s="7">
        <f t="shared" si="20"/>
        <v>0</v>
      </c>
      <c r="Y181" s="7">
        <f t="shared" si="21"/>
        <v>900</v>
      </c>
      <c r="Z181" s="7">
        <f t="shared" si="22"/>
        <v>0</v>
      </c>
    </row>
    <row r="182">
      <c r="A182" s="19"/>
      <c r="B182" s="19"/>
      <c r="C182" s="13">
        <v>46327.0</v>
      </c>
      <c r="D182" s="12">
        <f>'Income per month'!B182</f>
        <v>1000</v>
      </c>
      <c r="E182" s="7">
        <f t="shared" si="1"/>
        <v>50</v>
      </c>
      <c r="F182" s="7">
        <f t="shared" si="2"/>
        <v>0</v>
      </c>
      <c r="G182" s="7">
        <f t="shared" si="3"/>
        <v>100</v>
      </c>
      <c r="H182" s="7">
        <f t="shared" si="4"/>
        <v>0</v>
      </c>
      <c r="I182" s="7">
        <f t="shared" si="5"/>
        <v>150</v>
      </c>
      <c r="J182" s="7">
        <f t="shared" si="6"/>
        <v>0</v>
      </c>
      <c r="K182" s="7">
        <f t="shared" si="7"/>
        <v>200</v>
      </c>
      <c r="L182" s="7">
        <f t="shared" si="8"/>
        <v>0</v>
      </c>
      <c r="M182" s="7">
        <f t="shared" si="9"/>
        <v>300</v>
      </c>
      <c r="N182" s="7">
        <f t="shared" si="10"/>
        <v>0</v>
      </c>
      <c r="O182" s="7">
        <f t="shared" si="11"/>
        <v>400</v>
      </c>
      <c r="P182" s="7">
        <f t="shared" si="12"/>
        <v>0</v>
      </c>
      <c r="Q182" s="7">
        <f t="shared" si="13"/>
        <v>500</v>
      </c>
      <c r="R182" s="7">
        <f t="shared" si="14"/>
        <v>0</v>
      </c>
      <c r="S182" s="7">
        <f t="shared" si="15"/>
        <v>600</v>
      </c>
      <c r="T182" s="7">
        <f t="shared" si="16"/>
        <v>0</v>
      </c>
      <c r="U182" s="7">
        <f t="shared" si="17"/>
        <v>700</v>
      </c>
      <c r="V182" s="7">
        <f t="shared" si="18"/>
        <v>0</v>
      </c>
      <c r="W182" s="7">
        <f t="shared" si="19"/>
        <v>800</v>
      </c>
      <c r="X182" s="7">
        <f t="shared" si="20"/>
        <v>0</v>
      </c>
      <c r="Y182" s="7">
        <f t="shared" si="21"/>
        <v>900</v>
      </c>
      <c r="Z182" s="7">
        <f t="shared" si="22"/>
        <v>0</v>
      </c>
    </row>
    <row r="183">
      <c r="A183" s="19"/>
      <c r="B183" s="19"/>
      <c r="C183" s="14">
        <v>46357.0</v>
      </c>
      <c r="D183" s="12">
        <f>'Income per month'!B183</f>
        <v>1000</v>
      </c>
      <c r="E183" s="7">
        <f t="shared" si="1"/>
        <v>50</v>
      </c>
      <c r="F183" s="7">
        <f t="shared" si="2"/>
        <v>0</v>
      </c>
      <c r="G183" s="7">
        <f t="shared" si="3"/>
        <v>100</v>
      </c>
      <c r="H183" s="7">
        <f t="shared" si="4"/>
        <v>0</v>
      </c>
      <c r="I183" s="7">
        <f t="shared" si="5"/>
        <v>150</v>
      </c>
      <c r="J183" s="7">
        <f t="shared" si="6"/>
        <v>0</v>
      </c>
      <c r="K183" s="7">
        <f t="shared" si="7"/>
        <v>200</v>
      </c>
      <c r="L183" s="7">
        <f t="shared" si="8"/>
        <v>0</v>
      </c>
      <c r="M183" s="7">
        <f t="shared" si="9"/>
        <v>300</v>
      </c>
      <c r="N183" s="7">
        <f t="shared" si="10"/>
        <v>0</v>
      </c>
      <c r="O183" s="7">
        <f t="shared" si="11"/>
        <v>400</v>
      </c>
      <c r="P183" s="7">
        <f t="shared" si="12"/>
        <v>0</v>
      </c>
      <c r="Q183" s="7">
        <f t="shared" si="13"/>
        <v>500</v>
      </c>
      <c r="R183" s="7">
        <f t="shared" si="14"/>
        <v>0</v>
      </c>
      <c r="S183" s="7">
        <f t="shared" si="15"/>
        <v>600</v>
      </c>
      <c r="T183" s="7">
        <f t="shared" si="16"/>
        <v>0</v>
      </c>
      <c r="U183" s="7">
        <f t="shared" si="17"/>
        <v>700</v>
      </c>
      <c r="V183" s="7">
        <f t="shared" si="18"/>
        <v>0</v>
      </c>
      <c r="W183" s="7">
        <f t="shared" si="19"/>
        <v>800</v>
      </c>
      <c r="X183" s="7">
        <f t="shared" si="20"/>
        <v>0</v>
      </c>
      <c r="Y183" s="7">
        <f t="shared" si="21"/>
        <v>900</v>
      </c>
      <c r="Z183" s="7">
        <f t="shared" si="22"/>
        <v>0</v>
      </c>
    </row>
    <row r="184">
      <c r="A184" s="19"/>
      <c r="B184" s="19"/>
      <c r="C184" s="13">
        <v>46388.0</v>
      </c>
      <c r="D184" s="12">
        <f>'Income per month'!B184</f>
        <v>1000</v>
      </c>
      <c r="E184" s="7">
        <f t="shared" si="1"/>
        <v>50</v>
      </c>
      <c r="F184" s="7">
        <f t="shared" si="2"/>
        <v>0</v>
      </c>
      <c r="G184" s="7">
        <f t="shared" si="3"/>
        <v>100</v>
      </c>
      <c r="H184" s="7">
        <f t="shared" si="4"/>
        <v>0</v>
      </c>
      <c r="I184" s="7">
        <f t="shared" si="5"/>
        <v>150</v>
      </c>
      <c r="J184" s="7">
        <f t="shared" si="6"/>
        <v>0</v>
      </c>
      <c r="K184" s="7">
        <f t="shared" si="7"/>
        <v>200</v>
      </c>
      <c r="L184" s="7">
        <f t="shared" si="8"/>
        <v>0</v>
      </c>
      <c r="M184" s="7">
        <f t="shared" si="9"/>
        <v>300</v>
      </c>
      <c r="N184" s="7">
        <f t="shared" si="10"/>
        <v>0</v>
      </c>
      <c r="O184" s="7">
        <f t="shared" si="11"/>
        <v>400</v>
      </c>
      <c r="P184" s="7">
        <f t="shared" si="12"/>
        <v>0</v>
      </c>
      <c r="Q184" s="7">
        <f t="shared" si="13"/>
        <v>500</v>
      </c>
      <c r="R184" s="7">
        <f t="shared" si="14"/>
        <v>0</v>
      </c>
      <c r="S184" s="7">
        <f t="shared" si="15"/>
        <v>600</v>
      </c>
      <c r="T184" s="7">
        <f t="shared" si="16"/>
        <v>0</v>
      </c>
      <c r="U184" s="7">
        <f t="shared" si="17"/>
        <v>700</v>
      </c>
      <c r="V184" s="7">
        <f t="shared" si="18"/>
        <v>0</v>
      </c>
      <c r="W184" s="7">
        <f t="shared" si="19"/>
        <v>800</v>
      </c>
      <c r="X184" s="7">
        <f t="shared" si="20"/>
        <v>0</v>
      </c>
      <c r="Y184" s="7">
        <f t="shared" si="21"/>
        <v>900</v>
      </c>
      <c r="Z184" s="7">
        <f t="shared" si="22"/>
        <v>0</v>
      </c>
    </row>
    <row r="185">
      <c r="A185" s="19"/>
      <c r="B185" s="19"/>
      <c r="C185" s="13">
        <v>46419.0</v>
      </c>
      <c r="D185" s="12">
        <f>'Income per month'!B185</f>
        <v>1000</v>
      </c>
      <c r="E185" s="7">
        <f t="shared" si="1"/>
        <v>50</v>
      </c>
      <c r="F185" s="7">
        <f t="shared" si="2"/>
        <v>0</v>
      </c>
      <c r="G185" s="7">
        <f t="shared" si="3"/>
        <v>100</v>
      </c>
      <c r="H185" s="7">
        <f t="shared" si="4"/>
        <v>0</v>
      </c>
      <c r="I185" s="7">
        <f t="shared" si="5"/>
        <v>150</v>
      </c>
      <c r="J185" s="7">
        <f t="shared" si="6"/>
        <v>0</v>
      </c>
      <c r="K185" s="7">
        <f t="shared" si="7"/>
        <v>200</v>
      </c>
      <c r="L185" s="7">
        <f t="shared" si="8"/>
        <v>0</v>
      </c>
      <c r="M185" s="7">
        <f t="shared" si="9"/>
        <v>300</v>
      </c>
      <c r="N185" s="7">
        <f t="shared" si="10"/>
        <v>0</v>
      </c>
      <c r="O185" s="7">
        <f t="shared" si="11"/>
        <v>400</v>
      </c>
      <c r="P185" s="7">
        <f t="shared" si="12"/>
        <v>0</v>
      </c>
      <c r="Q185" s="7">
        <f t="shared" si="13"/>
        <v>500</v>
      </c>
      <c r="R185" s="7">
        <f t="shared" si="14"/>
        <v>0</v>
      </c>
      <c r="S185" s="7">
        <f t="shared" si="15"/>
        <v>600</v>
      </c>
      <c r="T185" s="7">
        <f t="shared" si="16"/>
        <v>0</v>
      </c>
      <c r="U185" s="7">
        <f t="shared" si="17"/>
        <v>700</v>
      </c>
      <c r="V185" s="7">
        <f t="shared" si="18"/>
        <v>0</v>
      </c>
      <c r="W185" s="7">
        <f t="shared" si="19"/>
        <v>800</v>
      </c>
      <c r="X185" s="7">
        <f t="shared" si="20"/>
        <v>0</v>
      </c>
      <c r="Y185" s="7">
        <f t="shared" si="21"/>
        <v>900</v>
      </c>
      <c r="Z185" s="7">
        <f t="shared" si="22"/>
        <v>0</v>
      </c>
    </row>
    <row r="186">
      <c r="A186" s="19"/>
      <c r="B186" s="19"/>
      <c r="C186" s="13">
        <v>46447.0</v>
      </c>
      <c r="D186" s="12">
        <f>'Income per month'!B186</f>
        <v>1000</v>
      </c>
      <c r="E186" s="7">
        <f t="shared" si="1"/>
        <v>50</v>
      </c>
      <c r="F186" s="7">
        <f t="shared" si="2"/>
        <v>0</v>
      </c>
      <c r="G186" s="7">
        <f t="shared" si="3"/>
        <v>100</v>
      </c>
      <c r="H186" s="7">
        <f t="shared" si="4"/>
        <v>0</v>
      </c>
      <c r="I186" s="7">
        <f t="shared" si="5"/>
        <v>150</v>
      </c>
      <c r="J186" s="7">
        <f t="shared" si="6"/>
        <v>0</v>
      </c>
      <c r="K186" s="7">
        <f t="shared" si="7"/>
        <v>200</v>
      </c>
      <c r="L186" s="7">
        <f t="shared" si="8"/>
        <v>0</v>
      </c>
      <c r="M186" s="7">
        <f t="shared" si="9"/>
        <v>300</v>
      </c>
      <c r="N186" s="7">
        <f t="shared" si="10"/>
        <v>0</v>
      </c>
      <c r="O186" s="7">
        <f t="shared" si="11"/>
        <v>400</v>
      </c>
      <c r="P186" s="7">
        <f t="shared" si="12"/>
        <v>0</v>
      </c>
      <c r="Q186" s="7">
        <f t="shared" si="13"/>
        <v>500</v>
      </c>
      <c r="R186" s="7">
        <f t="shared" si="14"/>
        <v>0</v>
      </c>
      <c r="S186" s="7">
        <f t="shared" si="15"/>
        <v>600</v>
      </c>
      <c r="T186" s="7">
        <f t="shared" si="16"/>
        <v>0</v>
      </c>
      <c r="U186" s="7">
        <f t="shared" si="17"/>
        <v>700</v>
      </c>
      <c r="V186" s="7">
        <f t="shared" si="18"/>
        <v>0</v>
      </c>
      <c r="W186" s="7">
        <f t="shared" si="19"/>
        <v>800</v>
      </c>
      <c r="X186" s="7">
        <f t="shared" si="20"/>
        <v>0</v>
      </c>
      <c r="Y186" s="7">
        <f t="shared" si="21"/>
        <v>900</v>
      </c>
      <c r="Z186" s="7">
        <f t="shared" si="22"/>
        <v>0</v>
      </c>
    </row>
    <row r="187">
      <c r="A187" s="19"/>
      <c r="B187" s="19"/>
      <c r="C187" s="13">
        <v>46478.0</v>
      </c>
      <c r="D187" s="12">
        <f>'Income per month'!B187</f>
        <v>1000</v>
      </c>
      <c r="E187" s="7">
        <f t="shared" si="1"/>
        <v>50</v>
      </c>
      <c r="F187" s="7">
        <f t="shared" si="2"/>
        <v>0</v>
      </c>
      <c r="G187" s="7">
        <f t="shared" si="3"/>
        <v>100</v>
      </c>
      <c r="H187" s="7">
        <f t="shared" si="4"/>
        <v>0</v>
      </c>
      <c r="I187" s="7">
        <f t="shared" si="5"/>
        <v>150</v>
      </c>
      <c r="J187" s="7">
        <f t="shared" si="6"/>
        <v>0</v>
      </c>
      <c r="K187" s="7">
        <f t="shared" si="7"/>
        <v>200</v>
      </c>
      <c r="L187" s="7">
        <f t="shared" si="8"/>
        <v>0</v>
      </c>
      <c r="M187" s="7">
        <f t="shared" si="9"/>
        <v>300</v>
      </c>
      <c r="N187" s="7">
        <f t="shared" si="10"/>
        <v>0</v>
      </c>
      <c r="O187" s="7">
        <f t="shared" si="11"/>
        <v>400</v>
      </c>
      <c r="P187" s="7">
        <f t="shared" si="12"/>
        <v>0</v>
      </c>
      <c r="Q187" s="7">
        <f t="shared" si="13"/>
        <v>500</v>
      </c>
      <c r="R187" s="7">
        <f t="shared" si="14"/>
        <v>0</v>
      </c>
      <c r="S187" s="7">
        <f t="shared" si="15"/>
        <v>600</v>
      </c>
      <c r="T187" s="7">
        <f t="shared" si="16"/>
        <v>0</v>
      </c>
      <c r="U187" s="7">
        <f t="shared" si="17"/>
        <v>700</v>
      </c>
      <c r="V187" s="7">
        <f t="shared" si="18"/>
        <v>0</v>
      </c>
      <c r="W187" s="7">
        <f t="shared" si="19"/>
        <v>800</v>
      </c>
      <c r="X187" s="7">
        <f t="shared" si="20"/>
        <v>0</v>
      </c>
      <c r="Y187" s="7">
        <f t="shared" si="21"/>
        <v>900</v>
      </c>
      <c r="Z187" s="7">
        <f t="shared" si="22"/>
        <v>0</v>
      </c>
    </row>
    <row r="188">
      <c r="A188" s="19"/>
      <c r="B188" s="19"/>
      <c r="C188" s="13">
        <v>46508.0</v>
      </c>
      <c r="D188" s="12">
        <f>'Income per month'!B188</f>
        <v>1000</v>
      </c>
      <c r="E188" s="7">
        <f t="shared" si="1"/>
        <v>50</v>
      </c>
      <c r="F188" s="7">
        <f t="shared" si="2"/>
        <v>0</v>
      </c>
      <c r="G188" s="7">
        <f t="shared" si="3"/>
        <v>100</v>
      </c>
      <c r="H188" s="7">
        <f t="shared" si="4"/>
        <v>0</v>
      </c>
      <c r="I188" s="7">
        <f t="shared" si="5"/>
        <v>150</v>
      </c>
      <c r="J188" s="7">
        <f t="shared" si="6"/>
        <v>0</v>
      </c>
      <c r="K188" s="7">
        <f t="shared" si="7"/>
        <v>200</v>
      </c>
      <c r="L188" s="7">
        <f t="shared" si="8"/>
        <v>0</v>
      </c>
      <c r="M188" s="7">
        <f t="shared" si="9"/>
        <v>300</v>
      </c>
      <c r="N188" s="7">
        <f t="shared" si="10"/>
        <v>0</v>
      </c>
      <c r="O188" s="7">
        <f t="shared" si="11"/>
        <v>400</v>
      </c>
      <c r="P188" s="7">
        <f t="shared" si="12"/>
        <v>0</v>
      </c>
      <c r="Q188" s="7">
        <f t="shared" si="13"/>
        <v>500</v>
      </c>
      <c r="R188" s="7">
        <f t="shared" si="14"/>
        <v>0</v>
      </c>
      <c r="S188" s="7">
        <f t="shared" si="15"/>
        <v>600</v>
      </c>
      <c r="T188" s="7">
        <f t="shared" si="16"/>
        <v>0</v>
      </c>
      <c r="U188" s="7">
        <f t="shared" si="17"/>
        <v>700</v>
      </c>
      <c r="V188" s="7">
        <f t="shared" si="18"/>
        <v>0</v>
      </c>
      <c r="W188" s="7">
        <f t="shared" si="19"/>
        <v>800</v>
      </c>
      <c r="X188" s="7">
        <f t="shared" si="20"/>
        <v>0</v>
      </c>
      <c r="Y188" s="7">
        <f t="shared" si="21"/>
        <v>900</v>
      </c>
      <c r="Z188" s="7">
        <f t="shared" si="22"/>
        <v>0</v>
      </c>
    </row>
    <row r="189">
      <c r="A189" s="19"/>
      <c r="B189" s="19"/>
      <c r="C189" s="13">
        <v>46539.0</v>
      </c>
      <c r="D189" s="12">
        <f>'Income per month'!B189</f>
        <v>1000</v>
      </c>
      <c r="E189" s="7">
        <f t="shared" si="1"/>
        <v>50</v>
      </c>
      <c r="F189" s="7">
        <f t="shared" si="2"/>
        <v>0</v>
      </c>
      <c r="G189" s="7">
        <f t="shared" si="3"/>
        <v>100</v>
      </c>
      <c r="H189" s="7">
        <f t="shared" si="4"/>
        <v>0</v>
      </c>
      <c r="I189" s="7">
        <f t="shared" si="5"/>
        <v>150</v>
      </c>
      <c r="J189" s="7">
        <f t="shared" si="6"/>
        <v>0</v>
      </c>
      <c r="K189" s="7">
        <f t="shared" si="7"/>
        <v>200</v>
      </c>
      <c r="L189" s="7">
        <f t="shared" si="8"/>
        <v>0</v>
      </c>
      <c r="M189" s="7">
        <f t="shared" si="9"/>
        <v>300</v>
      </c>
      <c r="N189" s="7">
        <f t="shared" si="10"/>
        <v>0</v>
      </c>
      <c r="O189" s="7">
        <f t="shared" si="11"/>
        <v>400</v>
      </c>
      <c r="P189" s="7">
        <f t="shared" si="12"/>
        <v>0</v>
      </c>
      <c r="Q189" s="7">
        <f t="shared" si="13"/>
        <v>500</v>
      </c>
      <c r="R189" s="7">
        <f t="shared" si="14"/>
        <v>0</v>
      </c>
      <c r="S189" s="7">
        <f t="shared" si="15"/>
        <v>600</v>
      </c>
      <c r="T189" s="7">
        <f t="shared" si="16"/>
        <v>0</v>
      </c>
      <c r="U189" s="7">
        <f t="shared" si="17"/>
        <v>700</v>
      </c>
      <c r="V189" s="7">
        <f t="shared" si="18"/>
        <v>0</v>
      </c>
      <c r="W189" s="7">
        <f t="shared" si="19"/>
        <v>800</v>
      </c>
      <c r="X189" s="7">
        <f t="shared" si="20"/>
        <v>0</v>
      </c>
      <c r="Y189" s="7">
        <f t="shared" si="21"/>
        <v>900</v>
      </c>
      <c r="Z189" s="7">
        <f t="shared" si="22"/>
        <v>0</v>
      </c>
    </row>
    <row r="190">
      <c r="A190" s="19"/>
      <c r="B190" s="19"/>
      <c r="C190" s="13">
        <v>46569.0</v>
      </c>
      <c r="D190" s="12">
        <f>'Income per month'!B190</f>
        <v>1000</v>
      </c>
      <c r="E190" s="7">
        <f t="shared" si="1"/>
        <v>50</v>
      </c>
      <c r="F190" s="7">
        <f t="shared" si="2"/>
        <v>0</v>
      </c>
      <c r="G190" s="7">
        <f t="shared" si="3"/>
        <v>100</v>
      </c>
      <c r="H190" s="7">
        <f t="shared" si="4"/>
        <v>0</v>
      </c>
      <c r="I190" s="7">
        <f t="shared" si="5"/>
        <v>150</v>
      </c>
      <c r="J190" s="7">
        <f t="shared" si="6"/>
        <v>0</v>
      </c>
      <c r="K190" s="7">
        <f t="shared" si="7"/>
        <v>200</v>
      </c>
      <c r="L190" s="7">
        <f t="shared" si="8"/>
        <v>0</v>
      </c>
      <c r="M190" s="7">
        <f t="shared" si="9"/>
        <v>300</v>
      </c>
      <c r="N190" s="7">
        <f t="shared" si="10"/>
        <v>0</v>
      </c>
      <c r="O190" s="7">
        <f t="shared" si="11"/>
        <v>400</v>
      </c>
      <c r="P190" s="7">
        <f t="shared" si="12"/>
        <v>0</v>
      </c>
      <c r="Q190" s="7">
        <f t="shared" si="13"/>
        <v>500</v>
      </c>
      <c r="R190" s="7">
        <f t="shared" si="14"/>
        <v>0</v>
      </c>
      <c r="S190" s="7">
        <f t="shared" si="15"/>
        <v>600</v>
      </c>
      <c r="T190" s="7">
        <f t="shared" si="16"/>
        <v>0</v>
      </c>
      <c r="U190" s="7">
        <f t="shared" si="17"/>
        <v>700</v>
      </c>
      <c r="V190" s="7">
        <f t="shared" si="18"/>
        <v>0</v>
      </c>
      <c r="W190" s="7">
        <f t="shared" si="19"/>
        <v>800</v>
      </c>
      <c r="X190" s="7">
        <f t="shared" si="20"/>
        <v>0</v>
      </c>
      <c r="Y190" s="7">
        <f t="shared" si="21"/>
        <v>900</v>
      </c>
      <c r="Z190" s="7">
        <f t="shared" si="22"/>
        <v>0</v>
      </c>
    </row>
    <row r="191">
      <c r="A191" s="19"/>
      <c r="B191" s="19"/>
      <c r="C191" s="13">
        <v>46600.0</v>
      </c>
      <c r="D191" s="12">
        <f>'Income per month'!B191</f>
        <v>1000</v>
      </c>
      <c r="E191" s="7">
        <f t="shared" si="1"/>
        <v>50</v>
      </c>
      <c r="F191" s="7">
        <f t="shared" si="2"/>
        <v>0</v>
      </c>
      <c r="G191" s="7">
        <f t="shared" si="3"/>
        <v>100</v>
      </c>
      <c r="H191" s="7">
        <f t="shared" si="4"/>
        <v>0</v>
      </c>
      <c r="I191" s="7">
        <f t="shared" si="5"/>
        <v>150</v>
      </c>
      <c r="J191" s="7">
        <f t="shared" si="6"/>
        <v>0</v>
      </c>
      <c r="K191" s="7">
        <f t="shared" si="7"/>
        <v>200</v>
      </c>
      <c r="L191" s="7">
        <f t="shared" si="8"/>
        <v>0</v>
      </c>
      <c r="M191" s="7">
        <f t="shared" si="9"/>
        <v>300</v>
      </c>
      <c r="N191" s="7">
        <f t="shared" si="10"/>
        <v>0</v>
      </c>
      <c r="O191" s="7">
        <f t="shared" si="11"/>
        <v>400</v>
      </c>
      <c r="P191" s="7">
        <f t="shared" si="12"/>
        <v>0</v>
      </c>
      <c r="Q191" s="7">
        <f t="shared" si="13"/>
        <v>500</v>
      </c>
      <c r="R191" s="7">
        <f t="shared" si="14"/>
        <v>0</v>
      </c>
      <c r="S191" s="7">
        <f t="shared" si="15"/>
        <v>600</v>
      </c>
      <c r="T191" s="7">
        <f t="shared" si="16"/>
        <v>0</v>
      </c>
      <c r="U191" s="7">
        <f t="shared" si="17"/>
        <v>700</v>
      </c>
      <c r="V191" s="7">
        <f t="shared" si="18"/>
        <v>0</v>
      </c>
      <c r="W191" s="7">
        <f t="shared" si="19"/>
        <v>800</v>
      </c>
      <c r="X191" s="7">
        <f t="shared" si="20"/>
        <v>0</v>
      </c>
      <c r="Y191" s="7">
        <f t="shared" si="21"/>
        <v>900</v>
      </c>
      <c r="Z191" s="7">
        <f t="shared" si="22"/>
        <v>0</v>
      </c>
    </row>
    <row r="192">
      <c r="A192" s="19"/>
      <c r="B192" s="19"/>
      <c r="C192" s="13">
        <v>46631.0</v>
      </c>
      <c r="D192" s="12">
        <f>'Income per month'!B192</f>
        <v>1000</v>
      </c>
      <c r="E192" s="7">
        <f t="shared" si="1"/>
        <v>50</v>
      </c>
      <c r="F192" s="7">
        <f t="shared" si="2"/>
        <v>0</v>
      </c>
      <c r="G192" s="7">
        <f t="shared" si="3"/>
        <v>100</v>
      </c>
      <c r="H192" s="7">
        <f t="shared" si="4"/>
        <v>0</v>
      </c>
      <c r="I192" s="7">
        <f t="shared" si="5"/>
        <v>150</v>
      </c>
      <c r="J192" s="7">
        <f t="shared" si="6"/>
        <v>0</v>
      </c>
      <c r="K192" s="7">
        <f t="shared" si="7"/>
        <v>200</v>
      </c>
      <c r="L192" s="7">
        <f t="shared" si="8"/>
        <v>0</v>
      </c>
      <c r="M192" s="7">
        <f t="shared" si="9"/>
        <v>300</v>
      </c>
      <c r="N192" s="7">
        <f t="shared" si="10"/>
        <v>0</v>
      </c>
      <c r="O192" s="7">
        <f t="shared" si="11"/>
        <v>400</v>
      </c>
      <c r="P192" s="7">
        <f t="shared" si="12"/>
        <v>0</v>
      </c>
      <c r="Q192" s="7">
        <f t="shared" si="13"/>
        <v>500</v>
      </c>
      <c r="R192" s="7">
        <f t="shared" si="14"/>
        <v>0</v>
      </c>
      <c r="S192" s="7">
        <f t="shared" si="15"/>
        <v>600</v>
      </c>
      <c r="T192" s="7">
        <f t="shared" si="16"/>
        <v>0</v>
      </c>
      <c r="U192" s="7">
        <f t="shared" si="17"/>
        <v>700</v>
      </c>
      <c r="V192" s="7">
        <f t="shared" si="18"/>
        <v>0</v>
      </c>
      <c r="W192" s="7">
        <f t="shared" si="19"/>
        <v>800</v>
      </c>
      <c r="X192" s="7">
        <f t="shared" si="20"/>
        <v>0</v>
      </c>
      <c r="Y192" s="7">
        <f t="shared" si="21"/>
        <v>900</v>
      </c>
      <c r="Z192" s="7">
        <f t="shared" si="22"/>
        <v>0</v>
      </c>
    </row>
    <row r="193">
      <c r="A193" s="19"/>
      <c r="B193" s="19"/>
      <c r="C193" s="13">
        <v>46661.0</v>
      </c>
      <c r="D193" s="12">
        <f>'Income per month'!B193</f>
        <v>1000</v>
      </c>
      <c r="E193" s="7">
        <f t="shared" si="1"/>
        <v>50</v>
      </c>
      <c r="F193" s="7">
        <f t="shared" si="2"/>
        <v>0</v>
      </c>
      <c r="G193" s="7">
        <f t="shared" si="3"/>
        <v>100</v>
      </c>
      <c r="H193" s="7">
        <f t="shared" si="4"/>
        <v>0</v>
      </c>
      <c r="I193" s="7">
        <f t="shared" si="5"/>
        <v>150</v>
      </c>
      <c r="J193" s="7">
        <f t="shared" si="6"/>
        <v>0</v>
      </c>
      <c r="K193" s="7">
        <f t="shared" si="7"/>
        <v>200</v>
      </c>
      <c r="L193" s="7">
        <f t="shared" si="8"/>
        <v>0</v>
      </c>
      <c r="M193" s="7">
        <f t="shared" si="9"/>
        <v>300</v>
      </c>
      <c r="N193" s="7">
        <f t="shared" si="10"/>
        <v>0</v>
      </c>
      <c r="O193" s="7">
        <f t="shared" si="11"/>
        <v>400</v>
      </c>
      <c r="P193" s="7">
        <f t="shared" si="12"/>
        <v>0</v>
      </c>
      <c r="Q193" s="7">
        <f t="shared" si="13"/>
        <v>500</v>
      </c>
      <c r="R193" s="7">
        <f t="shared" si="14"/>
        <v>0</v>
      </c>
      <c r="S193" s="7">
        <f t="shared" si="15"/>
        <v>600</v>
      </c>
      <c r="T193" s="7">
        <f t="shared" si="16"/>
        <v>0</v>
      </c>
      <c r="U193" s="7">
        <f t="shared" si="17"/>
        <v>700</v>
      </c>
      <c r="V193" s="7">
        <f t="shared" si="18"/>
        <v>0</v>
      </c>
      <c r="W193" s="7">
        <f t="shared" si="19"/>
        <v>800</v>
      </c>
      <c r="X193" s="7">
        <f t="shared" si="20"/>
        <v>0</v>
      </c>
      <c r="Y193" s="7">
        <f t="shared" si="21"/>
        <v>900</v>
      </c>
      <c r="Z193" s="7">
        <f t="shared" si="22"/>
        <v>0</v>
      </c>
    </row>
    <row r="194">
      <c r="A194" s="19"/>
      <c r="B194" s="19"/>
      <c r="C194" s="13">
        <v>46692.0</v>
      </c>
      <c r="D194" s="12">
        <f>'Income per month'!B194</f>
        <v>1000</v>
      </c>
      <c r="E194" s="7">
        <f t="shared" si="1"/>
        <v>50</v>
      </c>
      <c r="F194" s="7">
        <f t="shared" si="2"/>
        <v>0</v>
      </c>
      <c r="G194" s="7">
        <f t="shared" si="3"/>
        <v>100</v>
      </c>
      <c r="H194" s="7">
        <f t="shared" si="4"/>
        <v>0</v>
      </c>
      <c r="I194" s="7">
        <f t="shared" si="5"/>
        <v>150</v>
      </c>
      <c r="J194" s="7">
        <f t="shared" si="6"/>
        <v>0</v>
      </c>
      <c r="K194" s="7">
        <f t="shared" si="7"/>
        <v>200</v>
      </c>
      <c r="L194" s="7">
        <f t="shared" si="8"/>
        <v>0</v>
      </c>
      <c r="M194" s="7">
        <f t="shared" si="9"/>
        <v>300</v>
      </c>
      <c r="N194" s="7">
        <f t="shared" si="10"/>
        <v>0</v>
      </c>
      <c r="O194" s="7">
        <f t="shared" si="11"/>
        <v>400</v>
      </c>
      <c r="P194" s="7">
        <f t="shared" si="12"/>
        <v>0</v>
      </c>
      <c r="Q194" s="7">
        <f t="shared" si="13"/>
        <v>500</v>
      </c>
      <c r="R194" s="7">
        <f t="shared" si="14"/>
        <v>0</v>
      </c>
      <c r="S194" s="7">
        <f t="shared" si="15"/>
        <v>600</v>
      </c>
      <c r="T194" s="7">
        <f t="shared" si="16"/>
        <v>0</v>
      </c>
      <c r="U194" s="7">
        <f t="shared" si="17"/>
        <v>700</v>
      </c>
      <c r="V194" s="7">
        <f t="shared" si="18"/>
        <v>0</v>
      </c>
      <c r="W194" s="7">
        <f t="shared" si="19"/>
        <v>800</v>
      </c>
      <c r="X194" s="7">
        <f t="shared" si="20"/>
        <v>0</v>
      </c>
      <c r="Y194" s="7">
        <f t="shared" si="21"/>
        <v>900</v>
      </c>
      <c r="Z194" s="7">
        <f t="shared" si="22"/>
        <v>0</v>
      </c>
    </row>
    <row r="195">
      <c r="A195" s="19"/>
      <c r="B195" s="19"/>
      <c r="C195" s="14">
        <v>46722.0</v>
      </c>
      <c r="D195" s="12">
        <f>'Income per month'!B195</f>
        <v>1000</v>
      </c>
      <c r="E195" s="7">
        <f t="shared" si="1"/>
        <v>50</v>
      </c>
      <c r="F195" s="7">
        <f t="shared" si="2"/>
        <v>0</v>
      </c>
      <c r="G195" s="7">
        <f t="shared" si="3"/>
        <v>100</v>
      </c>
      <c r="H195" s="7">
        <f t="shared" si="4"/>
        <v>0</v>
      </c>
      <c r="I195" s="7">
        <f t="shared" si="5"/>
        <v>150</v>
      </c>
      <c r="J195" s="7">
        <f t="shared" si="6"/>
        <v>0</v>
      </c>
      <c r="K195" s="7">
        <f t="shared" si="7"/>
        <v>200</v>
      </c>
      <c r="L195" s="7">
        <f t="shared" si="8"/>
        <v>0</v>
      </c>
      <c r="M195" s="7">
        <f t="shared" si="9"/>
        <v>300</v>
      </c>
      <c r="N195" s="7">
        <f t="shared" si="10"/>
        <v>0</v>
      </c>
      <c r="O195" s="7">
        <f t="shared" si="11"/>
        <v>400</v>
      </c>
      <c r="P195" s="7">
        <f t="shared" si="12"/>
        <v>0</v>
      </c>
      <c r="Q195" s="7">
        <f t="shared" si="13"/>
        <v>500</v>
      </c>
      <c r="R195" s="7">
        <f t="shared" si="14"/>
        <v>0</v>
      </c>
      <c r="S195" s="7">
        <f t="shared" si="15"/>
        <v>600</v>
      </c>
      <c r="T195" s="7">
        <f t="shared" si="16"/>
        <v>0</v>
      </c>
      <c r="U195" s="7">
        <f t="shared" si="17"/>
        <v>700</v>
      </c>
      <c r="V195" s="7">
        <f t="shared" si="18"/>
        <v>0</v>
      </c>
      <c r="W195" s="7">
        <f t="shared" si="19"/>
        <v>800</v>
      </c>
      <c r="X195" s="7">
        <f t="shared" si="20"/>
        <v>0</v>
      </c>
      <c r="Y195" s="7">
        <f t="shared" si="21"/>
        <v>900</v>
      </c>
      <c r="Z195" s="7">
        <f t="shared" si="22"/>
        <v>0</v>
      </c>
    </row>
    <row r="196">
      <c r="A196" s="19"/>
      <c r="B196" s="19"/>
      <c r="C196" s="13">
        <v>46753.0</v>
      </c>
      <c r="D196" s="12">
        <f>'Income per month'!B196</f>
        <v>1000</v>
      </c>
      <c r="E196" s="7">
        <f t="shared" si="1"/>
        <v>50</v>
      </c>
      <c r="F196" s="7">
        <f t="shared" si="2"/>
        <v>0</v>
      </c>
      <c r="G196" s="7">
        <f t="shared" si="3"/>
        <v>100</v>
      </c>
      <c r="H196" s="7">
        <f t="shared" si="4"/>
        <v>0</v>
      </c>
      <c r="I196" s="7">
        <f t="shared" si="5"/>
        <v>150</v>
      </c>
      <c r="J196" s="7">
        <f t="shared" si="6"/>
        <v>0</v>
      </c>
      <c r="K196" s="7">
        <f t="shared" si="7"/>
        <v>200</v>
      </c>
      <c r="L196" s="7">
        <f t="shared" si="8"/>
        <v>0</v>
      </c>
      <c r="M196" s="7">
        <f t="shared" si="9"/>
        <v>300</v>
      </c>
      <c r="N196" s="7">
        <f t="shared" si="10"/>
        <v>0</v>
      </c>
      <c r="O196" s="7">
        <f t="shared" si="11"/>
        <v>400</v>
      </c>
      <c r="P196" s="7">
        <f t="shared" si="12"/>
        <v>0</v>
      </c>
      <c r="Q196" s="7">
        <f t="shared" si="13"/>
        <v>500</v>
      </c>
      <c r="R196" s="7">
        <f t="shared" si="14"/>
        <v>0</v>
      </c>
      <c r="S196" s="7">
        <f t="shared" si="15"/>
        <v>600</v>
      </c>
      <c r="T196" s="7">
        <f t="shared" si="16"/>
        <v>0</v>
      </c>
      <c r="U196" s="7">
        <f t="shared" si="17"/>
        <v>700</v>
      </c>
      <c r="V196" s="7">
        <f t="shared" si="18"/>
        <v>0</v>
      </c>
      <c r="W196" s="7">
        <f t="shared" si="19"/>
        <v>800</v>
      </c>
      <c r="X196" s="7">
        <f t="shared" si="20"/>
        <v>0</v>
      </c>
      <c r="Y196" s="7">
        <f t="shared" si="21"/>
        <v>900</v>
      </c>
      <c r="Z196" s="7">
        <f t="shared" si="22"/>
        <v>0</v>
      </c>
    </row>
    <row r="197">
      <c r="A197" s="19"/>
      <c r="B197" s="19"/>
      <c r="C197" s="13">
        <v>46784.0</v>
      </c>
      <c r="D197" s="12">
        <f>'Income per month'!B197</f>
        <v>1000</v>
      </c>
      <c r="E197" s="7">
        <f t="shared" si="1"/>
        <v>50</v>
      </c>
      <c r="F197" s="7">
        <f t="shared" si="2"/>
        <v>0</v>
      </c>
      <c r="G197" s="7">
        <f t="shared" si="3"/>
        <v>100</v>
      </c>
      <c r="H197" s="7">
        <f t="shared" si="4"/>
        <v>0</v>
      </c>
      <c r="I197" s="7">
        <f t="shared" si="5"/>
        <v>150</v>
      </c>
      <c r="J197" s="7">
        <f t="shared" si="6"/>
        <v>0</v>
      </c>
      <c r="K197" s="7">
        <f t="shared" si="7"/>
        <v>200</v>
      </c>
      <c r="L197" s="7">
        <f t="shared" si="8"/>
        <v>0</v>
      </c>
      <c r="M197" s="7">
        <f t="shared" si="9"/>
        <v>300</v>
      </c>
      <c r="N197" s="7">
        <f t="shared" si="10"/>
        <v>0</v>
      </c>
      <c r="O197" s="7">
        <f t="shared" si="11"/>
        <v>400</v>
      </c>
      <c r="P197" s="7">
        <f t="shared" si="12"/>
        <v>0</v>
      </c>
      <c r="Q197" s="7">
        <f t="shared" si="13"/>
        <v>500</v>
      </c>
      <c r="R197" s="7">
        <f t="shared" si="14"/>
        <v>0</v>
      </c>
      <c r="S197" s="7">
        <f t="shared" si="15"/>
        <v>600</v>
      </c>
      <c r="T197" s="7">
        <f t="shared" si="16"/>
        <v>0</v>
      </c>
      <c r="U197" s="7">
        <f t="shared" si="17"/>
        <v>700</v>
      </c>
      <c r="V197" s="7">
        <f t="shared" si="18"/>
        <v>0</v>
      </c>
      <c r="W197" s="7">
        <f t="shared" si="19"/>
        <v>800</v>
      </c>
      <c r="X197" s="7">
        <f t="shared" si="20"/>
        <v>0</v>
      </c>
      <c r="Y197" s="7">
        <f t="shared" si="21"/>
        <v>900</v>
      </c>
      <c r="Z197" s="7">
        <f t="shared" si="22"/>
        <v>0</v>
      </c>
    </row>
    <row r="198">
      <c r="A198" s="19"/>
      <c r="B198" s="19"/>
      <c r="C198" s="13">
        <v>46813.0</v>
      </c>
      <c r="D198" s="12">
        <f>'Income per month'!B198</f>
        <v>1000</v>
      </c>
      <c r="E198" s="7">
        <f t="shared" si="1"/>
        <v>50</v>
      </c>
      <c r="F198" s="7">
        <f t="shared" si="2"/>
        <v>0</v>
      </c>
      <c r="G198" s="7">
        <f t="shared" si="3"/>
        <v>100</v>
      </c>
      <c r="H198" s="7">
        <f t="shared" si="4"/>
        <v>0</v>
      </c>
      <c r="I198" s="7">
        <f t="shared" si="5"/>
        <v>150</v>
      </c>
      <c r="J198" s="7">
        <f t="shared" si="6"/>
        <v>0</v>
      </c>
      <c r="K198" s="7">
        <f t="shared" si="7"/>
        <v>200</v>
      </c>
      <c r="L198" s="7">
        <f t="shared" si="8"/>
        <v>0</v>
      </c>
      <c r="M198" s="7">
        <f t="shared" si="9"/>
        <v>300</v>
      </c>
      <c r="N198" s="7">
        <f t="shared" si="10"/>
        <v>0</v>
      </c>
      <c r="O198" s="7">
        <f t="shared" si="11"/>
        <v>400</v>
      </c>
      <c r="P198" s="7">
        <f t="shared" si="12"/>
        <v>0</v>
      </c>
      <c r="Q198" s="7">
        <f t="shared" si="13"/>
        <v>500</v>
      </c>
      <c r="R198" s="7">
        <f t="shared" si="14"/>
        <v>0</v>
      </c>
      <c r="S198" s="7">
        <f t="shared" si="15"/>
        <v>600</v>
      </c>
      <c r="T198" s="7">
        <f t="shared" si="16"/>
        <v>0</v>
      </c>
      <c r="U198" s="7">
        <f t="shared" si="17"/>
        <v>700</v>
      </c>
      <c r="V198" s="7">
        <f t="shared" si="18"/>
        <v>0</v>
      </c>
      <c r="W198" s="7">
        <f t="shared" si="19"/>
        <v>800</v>
      </c>
      <c r="X198" s="7">
        <f t="shared" si="20"/>
        <v>0</v>
      </c>
      <c r="Y198" s="7">
        <f t="shared" si="21"/>
        <v>900</v>
      </c>
      <c r="Z198" s="7">
        <f t="shared" si="22"/>
        <v>0</v>
      </c>
    </row>
    <row r="199">
      <c r="A199" s="19"/>
      <c r="B199" s="19"/>
      <c r="C199" s="13">
        <v>46844.0</v>
      </c>
      <c r="D199" s="12">
        <f>'Income per month'!B199</f>
        <v>1000</v>
      </c>
      <c r="E199" s="7">
        <f t="shared" si="1"/>
        <v>50</v>
      </c>
      <c r="F199" s="7">
        <f t="shared" si="2"/>
        <v>0</v>
      </c>
      <c r="G199" s="7">
        <f t="shared" si="3"/>
        <v>100</v>
      </c>
      <c r="H199" s="7">
        <f t="shared" si="4"/>
        <v>0</v>
      </c>
      <c r="I199" s="7">
        <f t="shared" si="5"/>
        <v>150</v>
      </c>
      <c r="J199" s="7">
        <f t="shared" si="6"/>
        <v>0</v>
      </c>
      <c r="K199" s="7">
        <f t="shared" si="7"/>
        <v>200</v>
      </c>
      <c r="L199" s="7">
        <f t="shared" si="8"/>
        <v>0</v>
      </c>
      <c r="M199" s="7">
        <f t="shared" si="9"/>
        <v>300</v>
      </c>
      <c r="N199" s="7">
        <f t="shared" si="10"/>
        <v>0</v>
      </c>
      <c r="O199" s="7">
        <f t="shared" si="11"/>
        <v>400</v>
      </c>
      <c r="P199" s="7">
        <f t="shared" si="12"/>
        <v>0</v>
      </c>
      <c r="Q199" s="7">
        <f t="shared" si="13"/>
        <v>500</v>
      </c>
      <c r="R199" s="7">
        <f t="shared" si="14"/>
        <v>0</v>
      </c>
      <c r="S199" s="7">
        <f t="shared" si="15"/>
        <v>600</v>
      </c>
      <c r="T199" s="7">
        <f t="shared" si="16"/>
        <v>0</v>
      </c>
      <c r="U199" s="7">
        <f t="shared" si="17"/>
        <v>700</v>
      </c>
      <c r="V199" s="7">
        <f t="shared" si="18"/>
        <v>0</v>
      </c>
      <c r="W199" s="7">
        <f t="shared" si="19"/>
        <v>800</v>
      </c>
      <c r="X199" s="7">
        <f t="shared" si="20"/>
        <v>0</v>
      </c>
      <c r="Y199" s="7">
        <f t="shared" si="21"/>
        <v>900</v>
      </c>
      <c r="Z199" s="7">
        <f t="shared" si="22"/>
        <v>0</v>
      </c>
    </row>
    <row r="200">
      <c r="A200" s="19"/>
      <c r="B200" s="19"/>
      <c r="C200" s="13">
        <v>46874.0</v>
      </c>
      <c r="D200" s="12">
        <f>'Income per month'!B200</f>
        <v>1000</v>
      </c>
      <c r="E200" s="7">
        <f t="shared" si="1"/>
        <v>50</v>
      </c>
      <c r="F200" s="7">
        <f t="shared" si="2"/>
        <v>0</v>
      </c>
      <c r="G200" s="7">
        <f t="shared" si="3"/>
        <v>100</v>
      </c>
      <c r="H200" s="7">
        <f t="shared" si="4"/>
        <v>0</v>
      </c>
      <c r="I200" s="7">
        <f t="shared" si="5"/>
        <v>150</v>
      </c>
      <c r="J200" s="7">
        <f t="shared" si="6"/>
        <v>0</v>
      </c>
      <c r="K200" s="7">
        <f t="shared" si="7"/>
        <v>200</v>
      </c>
      <c r="L200" s="7">
        <f t="shared" si="8"/>
        <v>0</v>
      </c>
      <c r="M200" s="7">
        <f t="shared" si="9"/>
        <v>300</v>
      </c>
      <c r="N200" s="7">
        <f t="shared" si="10"/>
        <v>0</v>
      </c>
      <c r="O200" s="7">
        <f t="shared" si="11"/>
        <v>400</v>
      </c>
      <c r="P200" s="7">
        <f t="shared" si="12"/>
        <v>0</v>
      </c>
      <c r="Q200" s="7">
        <f t="shared" si="13"/>
        <v>500</v>
      </c>
      <c r="R200" s="7">
        <f t="shared" si="14"/>
        <v>0</v>
      </c>
      <c r="S200" s="7">
        <f t="shared" si="15"/>
        <v>600</v>
      </c>
      <c r="T200" s="7">
        <f t="shared" si="16"/>
        <v>0</v>
      </c>
      <c r="U200" s="7">
        <f t="shared" si="17"/>
        <v>700</v>
      </c>
      <c r="V200" s="7">
        <f t="shared" si="18"/>
        <v>0</v>
      </c>
      <c r="W200" s="7">
        <f t="shared" si="19"/>
        <v>800</v>
      </c>
      <c r="X200" s="7">
        <f t="shared" si="20"/>
        <v>0</v>
      </c>
      <c r="Y200" s="7">
        <f t="shared" si="21"/>
        <v>900</v>
      </c>
      <c r="Z200" s="7">
        <f t="shared" si="22"/>
        <v>0</v>
      </c>
    </row>
    <row r="201">
      <c r="A201" s="19"/>
      <c r="B201" s="19"/>
      <c r="C201" s="13">
        <v>46905.0</v>
      </c>
      <c r="D201" s="12">
        <f>'Income per month'!B201</f>
        <v>1000</v>
      </c>
      <c r="E201" s="7">
        <f t="shared" si="1"/>
        <v>50</v>
      </c>
      <c r="F201" s="7">
        <f t="shared" si="2"/>
        <v>0</v>
      </c>
      <c r="G201" s="7">
        <f t="shared" si="3"/>
        <v>100</v>
      </c>
      <c r="H201" s="7">
        <f t="shared" si="4"/>
        <v>0</v>
      </c>
      <c r="I201" s="7">
        <f t="shared" si="5"/>
        <v>150</v>
      </c>
      <c r="J201" s="7">
        <f t="shared" si="6"/>
        <v>0</v>
      </c>
      <c r="K201" s="7">
        <f t="shared" si="7"/>
        <v>200</v>
      </c>
      <c r="L201" s="7">
        <f t="shared" si="8"/>
        <v>0</v>
      </c>
      <c r="M201" s="7">
        <f t="shared" si="9"/>
        <v>300</v>
      </c>
      <c r="N201" s="7">
        <f t="shared" si="10"/>
        <v>0</v>
      </c>
      <c r="O201" s="7">
        <f t="shared" si="11"/>
        <v>400</v>
      </c>
      <c r="P201" s="7">
        <f t="shared" si="12"/>
        <v>0</v>
      </c>
      <c r="Q201" s="7">
        <f t="shared" si="13"/>
        <v>500</v>
      </c>
      <c r="R201" s="7">
        <f t="shared" si="14"/>
        <v>0</v>
      </c>
      <c r="S201" s="7">
        <f t="shared" si="15"/>
        <v>600</v>
      </c>
      <c r="T201" s="7">
        <f t="shared" si="16"/>
        <v>0</v>
      </c>
      <c r="U201" s="7">
        <f t="shared" si="17"/>
        <v>700</v>
      </c>
      <c r="V201" s="7">
        <f t="shared" si="18"/>
        <v>0</v>
      </c>
      <c r="W201" s="7">
        <f t="shared" si="19"/>
        <v>800</v>
      </c>
      <c r="X201" s="7">
        <f t="shared" si="20"/>
        <v>0</v>
      </c>
      <c r="Y201" s="7">
        <f t="shared" si="21"/>
        <v>900</v>
      </c>
      <c r="Z201" s="7">
        <f t="shared" si="22"/>
        <v>0</v>
      </c>
    </row>
    <row r="202">
      <c r="A202" s="19"/>
      <c r="B202" s="19"/>
      <c r="C202" s="13">
        <v>46935.0</v>
      </c>
      <c r="D202" s="12">
        <f>'Income per month'!B202</f>
        <v>1000</v>
      </c>
      <c r="E202" s="7">
        <f t="shared" si="1"/>
        <v>50</v>
      </c>
      <c r="F202" s="7">
        <f t="shared" si="2"/>
        <v>0</v>
      </c>
      <c r="G202" s="7">
        <f t="shared" si="3"/>
        <v>100</v>
      </c>
      <c r="H202" s="7">
        <f t="shared" si="4"/>
        <v>0</v>
      </c>
      <c r="I202" s="7">
        <f t="shared" si="5"/>
        <v>150</v>
      </c>
      <c r="J202" s="7">
        <f t="shared" si="6"/>
        <v>0</v>
      </c>
      <c r="K202" s="7">
        <f t="shared" si="7"/>
        <v>200</v>
      </c>
      <c r="L202" s="7">
        <f t="shared" si="8"/>
        <v>0</v>
      </c>
      <c r="M202" s="7">
        <f t="shared" si="9"/>
        <v>300</v>
      </c>
      <c r="N202" s="7">
        <f t="shared" si="10"/>
        <v>0</v>
      </c>
      <c r="O202" s="7">
        <f t="shared" si="11"/>
        <v>400</v>
      </c>
      <c r="P202" s="7">
        <f t="shared" si="12"/>
        <v>0</v>
      </c>
      <c r="Q202" s="7">
        <f t="shared" si="13"/>
        <v>500</v>
      </c>
      <c r="R202" s="7">
        <f t="shared" si="14"/>
        <v>0</v>
      </c>
      <c r="S202" s="7">
        <f t="shared" si="15"/>
        <v>600</v>
      </c>
      <c r="T202" s="7">
        <f t="shared" si="16"/>
        <v>0</v>
      </c>
      <c r="U202" s="7">
        <f t="shared" si="17"/>
        <v>700</v>
      </c>
      <c r="V202" s="7">
        <f t="shared" si="18"/>
        <v>0</v>
      </c>
      <c r="W202" s="7">
        <f t="shared" si="19"/>
        <v>800</v>
      </c>
      <c r="X202" s="7">
        <f t="shared" si="20"/>
        <v>0</v>
      </c>
      <c r="Y202" s="7">
        <f t="shared" si="21"/>
        <v>900</v>
      </c>
      <c r="Z202" s="7">
        <f t="shared" si="22"/>
        <v>0</v>
      </c>
    </row>
    <row r="203">
      <c r="A203" s="19"/>
      <c r="B203" s="19"/>
      <c r="C203" s="13">
        <v>46966.0</v>
      </c>
      <c r="D203" s="12">
        <f>'Income per month'!B203</f>
        <v>1000</v>
      </c>
      <c r="E203" s="7">
        <f t="shared" si="1"/>
        <v>50</v>
      </c>
      <c r="F203" s="7">
        <f t="shared" si="2"/>
        <v>0</v>
      </c>
      <c r="G203" s="7">
        <f t="shared" si="3"/>
        <v>100</v>
      </c>
      <c r="H203" s="7">
        <f t="shared" si="4"/>
        <v>0</v>
      </c>
      <c r="I203" s="7">
        <f t="shared" si="5"/>
        <v>150</v>
      </c>
      <c r="J203" s="7">
        <f t="shared" si="6"/>
        <v>0</v>
      </c>
      <c r="K203" s="7">
        <f t="shared" si="7"/>
        <v>200</v>
      </c>
      <c r="L203" s="7">
        <f t="shared" si="8"/>
        <v>0</v>
      </c>
      <c r="M203" s="7">
        <f t="shared" si="9"/>
        <v>300</v>
      </c>
      <c r="N203" s="7">
        <f t="shared" si="10"/>
        <v>0</v>
      </c>
      <c r="O203" s="7">
        <f t="shared" si="11"/>
        <v>400</v>
      </c>
      <c r="P203" s="7">
        <f t="shared" si="12"/>
        <v>0</v>
      </c>
      <c r="Q203" s="7">
        <f t="shared" si="13"/>
        <v>500</v>
      </c>
      <c r="R203" s="7">
        <f t="shared" si="14"/>
        <v>0</v>
      </c>
      <c r="S203" s="7">
        <f t="shared" si="15"/>
        <v>600</v>
      </c>
      <c r="T203" s="7">
        <f t="shared" si="16"/>
        <v>0</v>
      </c>
      <c r="U203" s="7">
        <f t="shared" si="17"/>
        <v>700</v>
      </c>
      <c r="V203" s="7">
        <f t="shared" si="18"/>
        <v>0</v>
      </c>
      <c r="W203" s="7">
        <f t="shared" si="19"/>
        <v>800</v>
      </c>
      <c r="X203" s="7">
        <f t="shared" si="20"/>
        <v>0</v>
      </c>
      <c r="Y203" s="7">
        <f t="shared" si="21"/>
        <v>900</v>
      </c>
      <c r="Z203" s="7">
        <f t="shared" si="22"/>
        <v>0</v>
      </c>
    </row>
    <row r="204">
      <c r="A204" s="19"/>
      <c r="B204" s="19"/>
      <c r="C204" s="13">
        <v>46997.0</v>
      </c>
      <c r="D204" s="12">
        <f>'Income per month'!B204</f>
        <v>1000</v>
      </c>
      <c r="E204" s="7">
        <f t="shared" si="1"/>
        <v>50</v>
      </c>
      <c r="F204" s="7">
        <f t="shared" si="2"/>
        <v>0</v>
      </c>
      <c r="G204" s="7">
        <f t="shared" si="3"/>
        <v>100</v>
      </c>
      <c r="H204" s="7">
        <f t="shared" si="4"/>
        <v>0</v>
      </c>
      <c r="I204" s="7">
        <f t="shared" si="5"/>
        <v>150</v>
      </c>
      <c r="J204" s="7">
        <f t="shared" si="6"/>
        <v>0</v>
      </c>
      <c r="K204" s="7">
        <f t="shared" si="7"/>
        <v>200</v>
      </c>
      <c r="L204" s="7">
        <f t="shared" si="8"/>
        <v>0</v>
      </c>
      <c r="M204" s="7">
        <f t="shared" si="9"/>
        <v>300</v>
      </c>
      <c r="N204" s="7">
        <f t="shared" si="10"/>
        <v>0</v>
      </c>
      <c r="O204" s="7">
        <f t="shared" si="11"/>
        <v>400</v>
      </c>
      <c r="P204" s="7">
        <f t="shared" si="12"/>
        <v>0</v>
      </c>
      <c r="Q204" s="7">
        <f t="shared" si="13"/>
        <v>500</v>
      </c>
      <c r="R204" s="7">
        <f t="shared" si="14"/>
        <v>0</v>
      </c>
      <c r="S204" s="7">
        <f t="shared" si="15"/>
        <v>600</v>
      </c>
      <c r="T204" s="7">
        <f t="shared" si="16"/>
        <v>0</v>
      </c>
      <c r="U204" s="7">
        <f t="shared" si="17"/>
        <v>700</v>
      </c>
      <c r="V204" s="7">
        <f t="shared" si="18"/>
        <v>0</v>
      </c>
      <c r="W204" s="7">
        <f t="shared" si="19"/>
        <v>800</v>
      </c>
      <c r="X204" s="7">
        <f t="shared" si="20"/>
        <v>0</v>
      </c>
      <c r="Y204" s="7">
        <f t="shared" si="21"/>
        <v>900</v>
      </c>
      <c r="Z204" s="7">
        <f t="shared" si="22"/>
        <v>0</v>
      </c>
    </row>
    <row r="205">
      <c r="A205" s="19"/>
      <c r="B205" s="19"/>
      <c r="C205" s="13">
        <v>47027.0</v>
      </c>
      <c r="D205" s="12">
        <f>'Income per month'!B205</f>
        <v>1000</v>
      </c>
      <c r="E205" s="7">
        <f t="shared" si="1"/>
        <v>50</v>
      </c>
      <c r="F205" s="7">
        <f t="shared" si="2"/>
        <v>0</v>
      </c>
      <c r="G205" s="7">
        <f t="shared" si="3"/>
        <v>100</v>
      </c>
      <c r="H205" s="7">
        <f t="shared" si="4"/>
        <v>0</v>
      </c>
      <c r="I205" s="7">
        <f t="shared" si="5"/>
        <v>150</v>
      </c>
      <c r="J205" s="7">
        <f t="shared" si="6"/>
        <v>0</v>
      </c>
      <c r="K205" s="7">
        <f t="shared" si="7"/>
        <v>200</v>
      </c>
      <c r="L205" s="7">
        <f t="shared" si="8"/>
        <v>0</v>
      </c>
      <c r="M205" s="7">
        <f t="shared" si="9"/>
        <v>300</v>
      </c>
      <c r="N205" s="7">
        <f t="shared" si="10"/>
        <v>0</v>
      </c>
      <c r="O205" s="7">
        <f t="shared" si="11"/>
        <v>400</v>
      </c>
      <c r="P205" s="7">
        <f t="shared" si="12"/>
        <v>0</v>
      </c>
      <c r="Q205" s="7">
        <f t="shared" si="13"/>
        <v>500</v>
      </c>
      <c r="R205" s="7">
        <f t="shared" si="14"/>
        <v>0</v>
      </c>
      <c r="S205" s="7">
        <f t="shared" si="15"/>
        <v>600</v>
      </c>
      <c r="T205" s="7">
        <f t="shared" si="16"/>
        <v>0</v>
      </c>
      <c r="U205" s="7">
        <f t="shared" si="17"/>
        <v>700</v>
      </c>
      <c r="V205" s="7">
        <f t="shared" si="18"/>
        <v>0</v>
      </c>
      <c r="W205" s="7">
        <f t="shared" si="19"/>
        <v>800</v>
      </c>
      <c r="X205" s="7">
        <f t="shared" si="20"/>
        <v>0</v>
      </c>
      <c r="Y205" s="7">
        <f t="shared" si="21"/>
        <v>900</v>
      </c>
      <c r="Z205" s="7">
        <f t="shared" si="22"/>
        <v>0</v>
      </c>
    </row>
    <row r="206">
      <c r="A206" s="19"/>
      <c r="B206" s="19"/>
      <c r="C206" s="13">
        <v>47058.0</v>
      </c>
      <c r="D206" s="12">
        <f>'Income per month'!B206</f>
        <v>1000</v>
      </c>
      <c r="E206" s="7">
        <f t="shared" si="1"/>
        <v>50</v>
      </c>
      <c r="F206" s="7">
        <f t="shared" si="2"/>
        <v>0</v>
      </c>
      <c r="G206" s="7">
        <f t="shared" si="3"/>
        <v>100</v>
      </c>
      <c r="H206" s="7">
        <f t="shared" si="4"/>
        <v>0</v>
      </c>
      <c r="I206" s="7">
        <f t="shared" si="5"/>
        <v>150</v>
      </c>
      <c r="J206" s="7">
        <f t="shared" si="6"/>
        <v>0</v>
      </c>
      <c r="K206" s="7">
        <f t="shared" si="7"/>
        <v>200</v>
      </c>
      <c r="L206" s="7">
        <f t="shared" si="8"/>
        <v>0</v>
      </c>
      <c r="M206" s="7">
        <f t="shared" si="9"/>
        <v>300</v>
      </c>
      <c r="N206" s="7">
        <f t="shared" si="10"/>
        <v>0</v>
      </c>
      <c r="O206" s="7">
        <f t="shared" si="11"/>
        <v>400</v>
      </c>
      <c r="P206" s="7">
        <f t="shared" si="12"/>
        <v>0</v>
      </c>
      <c r="Q206" s="7">
        <f t="shared" si="13"/>
        <v>500</v>
      </c>
      <c r="R206" s="7">
        <f t="shared" si="14"/>
        <v>0</v>
      </c>
      <c r="S206" s="7">
        <f t="shared" si="15"/>
        <v>600</v>
      </c>
      <c r="T206" s="7">
        <f t="shared" si="16"/>
        <v>0</v>
      </c>
      <c r="U206" s="7">
        <f t="shared" si="17"/>
        <v>700</v>
      </c>
      <c r="V206" s="7">
        <f t="shared" si="18"/>
        <v>0</v>
      </c>
      <c r="W206" s="7">
        <f t="shared" si="19"/>
        <v>800</v>
      </c>
      <c r="X206" s="7">
        <f t="shared" si="20"/>
        <v>0</v>
      </c>
      <c r="Y206" s="7">
        <f t="shared" si="21"/>
        <v>900</v>
      </c>
      <c r="Z206" s="7">
        <f t="shared" si="22"/>
        <v>0</v>
      </c>
    </row>
    <row r="207">
      <c r="A207" s="19"/>
      <c r="B207" s="19"/>
      <c r="C207" s="14">
        <v>47088.0</v>
      </c>
      <c r="D207" s="12">
        <f>'Income per month'!B207</f>
        <v>1000</v>
      </c>
      <c r="E207" s="7">
        <f t="shared" si="1"/>
        <v>50</v>
      </c>
      <c r="F207" s="7">
        <f t="shared" si="2"/>
        <v>0</v>
      </c>
      <c r="G207" s="7">
        <f t="shared" si="3"/>
        <v>100</v>
      </c>
      <c r="H207" s="7">
        <f t="shared" si="4"/>
        <v>0</v>
      </c>
      <c r="I207" s="7">
        <f t="shared" si="5"/>
        <v>150</v>
      </c>
      <c r="J207" s="7">
        <f t="shared" si="6"/>
        <v>0</v>
      </c>
      <c r="K207" s="7">
        <f t="shared" si="7"/>
        <v>200</v>
      </c>
      <c r="L207" s="7">
        <f t="shared" si="8"/>
        <v>0</v>
      </c>
      <c r="M207" s="7">
        <f t="shared" si="9"/>
        <v>300</v>
      </c>
      <c r="N207" s="7">
        <f t="shared" si="10"/>
        <v>0</v>
      </c>
      <c r="O207" s="7">
        <f t="shared" si="11"/>
        <v>400</v>
      </c>
      <c r="P207" s="7">
        <f t="shared" si="12"/>
        <v>0</v>
      </c>
      <c r="Q207" s="7">
        <f t="shared" si="13"/>
        <v>500</v>
      </c>
      <c r="R207" s="7">
        <f t="shared" si="14"/>
        <v>0</v>
      </c>
      <c r="S207" s="7">
        <f t="shared" si="15"/>
        <v>600</v>
      </c>
      <c r="T207" s="7">
        <f t="shared" si="16"/>
        <v>0</v>
      </c>
      <c r="U207" s="7">
        <f t="shared" si="17"/>
        <v>700</v>
      </c>
      <c r="V207" s="7">
        <f t="shared" si="18"/>
        <v>0</v>
      </c>
      <c r="W207" s="7">
        <f t="shared" si="19"/>
        <v>800</v>
      </c>
      <c r="X207" s="7">
        <f t="shared" si="20"/>
        <v>0</v>
      </c>
      <c r="Y207" s="7">
        <f t="shared" si="21"/>
        <v>900</v>
      </c>
      <c r="Z207" s="7">
        <f t="shared" si="22"/>
        <v>0</v>
      </c>
    </row>
    <row r="208">
      <c r="A208" s="19"/>
      <c r="B208" s="19"/>
      <c r="C208" s="13">
        <v>47119.0</v>
      </c>
      <c r="D208" s="12">
        <f>'Income per month'!B208</f>
        <v>1000</v>
      </c>
      <c r="E208" s="7">
        <f t="shared" si="1"/>
        <v>50</v>
      </c>
      <c r="F208" s="7">
        <f t="shared" si="2"/>
        <v>0</v>
      </c>
      <c r="G208" s="7">
        <f t="shared" si="3"/>
        <v>100</v>
      </c>
      <c r="H208" s="7">
        <f t="shared" si="4"/>
        <v>0</v>
      </c>
      <c r="I208" s="7">
        <f t="shared" si="5"/>
        <v>150</v>
      </c>
      <c r="J208" s="7">
        <f t="shared" si="6"/>
        <v>0</v>
      </c>
      <c r="K208" s="7">
        <f t="shared" si="7"/>
        <v>200</v>
      </c>
      <c r="L208" s="7">
        <f t="shared" si="8"/>
        <v>0</v>
      </c>
      <c r="M208" s="7">
        <f t="shared" si="9"/>
        <v>300</v>
      </c>
      <c r="N208" s="7">
        <f t="shared" si="10"/>
        <v>0</v>
      </c>
      <c r="O208" s="7">
        <f t="shared" si="11"/>
        <v>400</v>
      </c>
      <c r="P208" s="7">
        <f t="shared" si="12"/>
        <v>0</v>
      </c>
      <c r="Q208" s="7">
        <f t="shared" si="13"/>
        <v>500</v>
      </c>
      <c r="R208" s="7">
        <f t="shared" si="14"/>
        <v>0</v>
      </c>
      <c r="S208" s="7">
        <f t="shared" si="15"/>
        <v>600</v>
      </c>
      <c r="T208" s="7">
        <f t="shared" si="16"/>
        <v>0</v>
      </c>
      <c r="U208" s="7">
        <f t="shared" si="17"/>
        <v>700</v>
      </c>
      <c r="V208" s="7">
        <f t="shared" si="18"/>
        <v>0</v>
      </c>
      <c r="W208" s="7">
        <f t="shared" si="19"/>
        <v>800</v>
      </c>
      <c r="X208" s="7">
        <f t="shared" si="20"/>
        <v>0</v>
      </c>
      <c r="Y208" s="7">
        <f t="shared" si="21"/>
        <v>900</v>
      </c>
      <c r="Z208" s="7">
        <f t="shared" si="22"/>
        <v>0</v>
      </c>
    </row>
    <row r="209">
      <c r="A209" s="19"/>
      <c r="B209" s="19"/>
      <c r="C209" s="13">
        <v>47150.0</v>
      </c>
      <c r="D209" s="12">
        <f>'Income per month'!B209</f>
        <v>1000</v>
      </c>
      <c r="E209" s="7">
        <f t="shared" si="1"/>
        <v>50</v>
      </c>
      <c r="F209" s="7">
        <f t="shared" si="2"/>
        <v>0</v>
      </c>
      <c r="G209" s="7">
        <f t="shared" si="3"/>
        <v>100</v>
      </c>
      <c r="H209" s="7">
        <f t="shared" si="4"/>
        <v>0</v>
      </c>
      <c r="I209" s="7">
        <f t="shared" si="5"/>
        <v>150</v>
      </c>
      <c r="J209" s="7">
        <f t="shared" si="6"/>
        <v>0</v>
      </c>
      <c r="K209" s="7">
        <f t="shared" si="7"/>
        <v>200</v>
      </c>
      <c r="L209" s="7">
        <f t="shared" si="8"/>
        <v>0</v>
      </c>
      <c r="M209" s="7">
        <f t="shared" si="9"/>
        <v>300</v>
      </c>
      <c r="N209" s="7">
        <f t="shared" si="10"/>
        <v>0</v>
      </c>
      <c r="O209" s="7">
        <f t="shared" si="11"/>
        <v>400</v>
      </c>
      <c r="P209" s="7">
        <f t="shared" si="12"/>
        <v>0</v>
      </c>
      <c r="Q209" s="7">
        <f t="shared" si="13"/>
        <v>500</v>
      </c>
      <c r="R209" s="7">
        <f t="shared" si="14"/>
        <v>0</v>
      </c>
      <c r="S209" s="7">
        <f t="shared" si="15"/>
        <v>600</v>
      </c>
      <c r="T209" s="7">
        <f t="shared" si="16"/>
        <v>0</v>
      </c>
      <c r="U209" s="7">
        <f t="shared" si="17"/>
        <v>700</v>
      </c>
      <c r="V209" s="7">
        <f t="shared" si="18"/>
        <v>0</v>
      </c>
      <c r="W209" s="7">
        <f t="shared" si="19"/>
        <v>800</v>
      </c>
      <c r="X209" s="7">
        <f t="shared" si="20"/>
        <v>0</v>
      </c>
      <c r="Y209" s="7">
        <f t="shared" si="21"/>
        <v>900</v>
      </c>
      <c r="Z209" s="7">
        <f t="shared" si="22"/>
        <v>0</v>
      </c>
    </row>
    <row r="210">
      <c r="A210" s="19"/>
      <c r="B210" s="19"/>
      <c r="C210" s="13">
        <v>47178.0</v>
      </c>
      <c r="D210" s="12">
        <f>'Income per month'!B210</f>
        <v>1000</v>
      </c>
      <c r="E210" s="7">
        <f t="shared" si="1"/>
        <v>50</v>
      </c>
      <c r="F210" s="7">
        <f t="shared" si="2"/>
        <v>0</v>
      </c>
      <c r="G210" s="7">
        <f t="shared" si="3"/>
        <v>100</v>
      </c>
      <c r="H210" s="7">
        <f t="shared" si="4"/>
        <v>0</v>
      </c>
      <c r="I210" s="7">
        <f t="shared" si="5"/>
        <v>150</v>
      </c>
      <c r="J210" s="7">
        <f t="shared" si="6"/>
        <v>0</v>
      </c>
      <c r="K210" s="7">
        <f t="shared" si="7"/>
        <v>200</v>
      </c>
      <c r="L210" s="7">
        <f t="shared" si="8"/>
        <v>0</v>
      </c>
      <c r="M210" s="7">
        <f t="shared" si="9"/>
        <v>300</v>
      </c>
      <c r="N210" s="7">
        <f t="shared" si="10"/>
        <v>0</v>
      </c>
      <c r="O210" s="7">
        <f t="shared" si="11"/>
        <v>400</v>
      </c>
      <c r="P210" s="7">
        <f t="shared" si="12"/>
        <v>0</v>
      </c>
      <c r="Q210" s="7">
        <f t="shared" si="13"/>
        <v>500</v>
      </c>
      <c r="R210" s="7">
        <f t="shared" si="14"/>
        <v>0</v>
      </c>
      <c r="S210" s="7">
        <f t="shared" si="15"/>
        <v>600</v>
      </c>
      <c r="T210" s="7">
        <f t="shared" si="16"/>
        <v>0</v>
      </c>
      <c r="U210" s="7">
        <f t="shared" si="17"/>
        <v>700</v>
      </c>
      <c r="V210" s="7">
        <f t="shared" si="18"/>
        <v>0</v>
      </c>
      <c r="W210" s="7">
        <f t="shared" si="19"/>
        <v>800</v>
      </c>
      <c r="X210" s="7">
        <f t="shared" si="20"/>
        <v>0</v>
      </c>
      <c r="Y210" s="7">
        <f t="shared" si="21"/>
        <v>900</v>
      </c>
      <c r="Z210" s="7">
        <f t="shared" si="22"/>
        <v>0</v>
      </c>
    </row>
    <row r="211">
      <c r="A211" s="19"/>
      <c r="B211" s="19"/>
      <c r="C211" s="13">
        <v>47209.0</v>
      </c>
      <c r="D211" s="12">
        <f>'Income per month'!B211</f>
        <v>1000</v>
      </c>
      <c r="E211" s="7">
        <f t="shared" si="1"/>
        <v>50</v>
      </c>
      <c r="F211" s="7">
        <f t="shared" si="2"/>
        <v>0</v>
      </c>
      <c r="G211" s="7">
        <f t="shared" si="3"/>
        <v>100</v>
      </c>
      <c r="H211" s="7">
        <f t="shared" si="4"/>
        <v>0</v>
      </c>
      <c r="I211" s="7">
        <f t="shared" si="5"/>
        <v>150</v>
      </c>
      <c r="J211" s="7">
        <f t="shared" si="6"/>
        <v>0</v>
      </c>
      <c r="K211" s="7">
        <f t="shared" si="7"/>
        <v>200</v>
      </c>
      <c r="L211" s="7">
        <f t="shared" si="8"/>
        <v>0</v>
      </c>
      <c r="M211" s="7">
        <f t="shared" si="9"/>
        <v>300</v>
      </c>
      <c r="N211" s="7">
        <f t="shared" si="10"/>
        <v>0</v>
      </c>
      <c r="O211" s="7">
        <f t="shared" si="11"/>
        <v>400</v>
      </c>
      <c r="P211" s="7">
        <f t="shared" si="12"/>
        <v>0</v>
      </c>
      <c r="Q211" s="7">
        <f t="shared" si="13"/>
        <v>500</v>
      </c>
      <c r="R211" s="7">
        <f t="shared" si="14"/>
        <v>0</v>
      </c>
      <c r="S211" s="7">
        <f t="shared" si="15"/>
        <v>600</v>
      </c>
      <c r="T211" s="7">
        <f t="shared" si="16"/>
        <v>0</v>
      </c>
      <c r="U211" s="7">
        <f t="shared" si="17"/>
        <v>700</v>
      </c>
      <c r="V211" s="7">
        <f t="shared" si="18"/>
        <v>0</v>
      </c>
      <c r="W211" s="7">
        <f t="shared" si="19"/>
        <v>800</v>
      </c>
      <c r="X211" s="7">
        <f t="shared" si="20"/>
        <v>0</v>
      </c>
      <c r="Y211" s="7">
        <f t="shared" si="21"/>
        <v>900</v>
      </c>
      <c r="Z211" s="7">
        <f t="shared" si="22"/>
        <v>0</v>
      </c>
    </row>
    <row r="212">
      <c r="A212" s="19"/>
      <c r="B212" s="19"/>
      <c r="C212" s="13">
        <v>47239.0</v>
      </c>
      <c r="D212" s="12">
        <f>'Income per month'!B212</f>
        <v>1000</v>
      </c>
      <c r="E212" s="7">
        <f t="shared" si="1"/>
        <v>50</v>
      </c>
      <c r="F212" s="7">
        <f t="shared" si="2"/>
        <v>0</v>
      </c>
      <c r="G212" s="7">
        <f t="shared" si="3"/>
        <v>100</v>
      </c>
      <c r="H212" s="7">
        <f t="shared" si="4"/>
        <v>0</v>
      </c>
      <c r="I212" s="7">
        <f t="shared" si="5"/>
        <v>150</v>
      </c>
      <c r="J212" s="7">
        <f t="shared" si="6"/>
        <v>0</v>
      </c>
      <c r="K212" s="7">
        <f t="shared" si="7"/>
        <v>200</v>
      </c>
      <c r="L212" s="7">
        <f t="shared" si="8"/>
        <v>0</v>
      </c>
      <c r="M212" s="7">
        <f t="shared" si="9"/>
        <v>300</v>
      </c>
      <c r="N212" s="7">
        <f t="shared" si="10"/>
        <v>0</v>
      </c>
      <c r="O212" s="7">
        <f t="shared" si="11"/>
        <v>400</v>
      </c>
      <c r="P212" s="7">
        <f t="shared" si="12"/>
        <v>0</v>
      </c>
      <c r="Q212" s="7">
        <f t="shared" si="13"/>
        <v>500</v>
      </c>
      <c r="R212" s="7">
        <f t="shared" si="14"/>
        <v>0</v>
      </c>
      <c r="S212" s="7">
        <f t="shared" si="15"/>
        <v>600</v>
      </c>
      <c r="T212" s="7">
        <f t="shared" si="16"/>
        <v>0</v>
      </c>
      <c r="U212" s="7">
        <f t="shared" si="17"/>
        <v>700</v>
      </c>
      <c r="V212" s="7">
        <f t="shared" si="18"/>
        <v>0</v>
      </c>
      <c r="W212" s="7">
        <f t="shared" si="19"/>
        <v>800</v>
      </c>
      <c r="X212" s="7">
        <f t="shared" si="20"/>
        <v>0</v>
      </c>
      <c r="Y212" s="7">
        <f t="shared" si="21"/>
        <v>900</v>
      </c>
      <c r="Z212" s="7">
        <f t="shared" si="22"/>
        <v>0</v>
      </c>
    </row>
    <row r="213">
      <c r="A213" s="19"/>
      <c r="B213" s="19"/>
      <c r="C213" s="13">
        <v>47270.0</v>
      </c>
      <c r="D213" s="12">
        <f>'Income per month'!B213</f>
        <v>1000</v>
      </c>
      <c r="E213" s="7">
        <f t="shared" si="1"/>
        <v>50</v>
      </c>
      <c r="F213" s="7">
        <f t="shared" si="2"/>
        <v>0</v>
      </c>
      <c r="G213" s="7">
        <f t="shared" si="3"/>
        <v>100</v>
      </c>
      <c r="H213" s="7">
        <f t="shared" si="4"/>
        <v>0</v>
      </c>
      <c r="I213" s="7">
        <f t="shared" si="5"/>
        <v>150</v>
      </c>
      <c r="J213" s="7">
        <f t="shared" si="6"/>
        <v>0</v>
      </c>
      <c r="K213" s="7">
        <f t="shared" si="7"/>
        <v>200</v>
      </c>
      <c r="L213" s="7">
        <f t="shared" si="8"/>
        <v>0</v>
      </c>
      <c r="M213" s="7">
        <f t="shared" si="9"/>
        <v>300</v>
      </c>
      <c r="N213" s="7">
        <f t="shared" si="10"/>
        <v>0</v>
      </c>
      <c r="O213" s="7">
        <f t="shared" si="11"/>
        <v>400</v>
      </c>
      <c r="P213" s="7">
        <f t="shared" si="12"/>
        <v>0</v>
      </c>
      <c r="Q213" s="7">
        <f t="shared" si="13"/>
        <v>500</v>
      </c>
      <c r="R213" s="7">
        <f t="shared" si="14"/>
        <v>0</v>
      </c>
      <c r="S213" s="7">
        <f t="shared" si="15"/>
        <v>600</v>
      </c>
      <c r="T213" s="7">
        <f t="shared" si="16"/>
        <v>0</v>
      </c>
      <c r="U213" s="7">
        <f t="shared" si="17"/>
        <v>700</v>
      </c>
      <c r="V213" s="7">
        <f t="shared" si="18"/>
        <v>0</v>
      </c>
      <c r="W213" s="7">
        <f t="shared" si="19"/>
        <v>800</v>
      </c>
      <c r="X213" s="7">
        <f t="shared" si="20"/>
        <v>0</v>
      </c>
      <c r="Y213" s="7">
        <f t="shared" si="21"/>
        <v>900</v>
      </c>
      <c r="Z213" s="7">
        <f t="shared" si="22"/>
        <v>0</v>
      </c>
    </row>
    <row r="214">
      <c r="A214" s="19"/>
      <c r="B214" s="19"/>
      <c r="C214" s="13">
        <v>47300.0</v>
      </c>
      <c r="D214" s="12">
        <f>'Income per month'!B214</f>
        <v>1000</v>
      </c>
      <c r="E214" s="7">
        <f t="shared" si="1"/>
        <v>50</v>
      </c>
      <c r="F214" s="7">
        <f t="shared" si="2"/>
        <v>0</v>
      </c>
      <c r="G214" s="7">
        <f t="shared" si="3"/>
        <v>100</v>
      </c>
      <c r="H214" s="7">
        <f t="shared" si="4"/>
        <v>0</v>
      </c>
      <c r="I214" s="7">
        <f t="shared" si="5"/>
        <v>150</v>
      </c>
      <c r="J214" s="7">
        <f t="shared" si="6"/>
        <v>0</v>
      </c>
      <c r="K214" s="7">
        <f t="shared" si="7"/>
        <v>200</v>
      </c>
      <c r="L214" s="7">
        <f t="shared" si="8"/>
        <v>0</v>
      </c>
      <c r="M214" s="7">
        <f t="shared" si="9"/>
        <v>300</v>
      </c>
      <c r="N214" s="7">
        <f t="shared" si="10"/>
        <v>0</v>
      </c>
      <c r="O214" s="7">
        <f t="shared" si="11"/>
        <v>400</v>
      </c>
      <c r="P214" s="7">
        <f t="shared" si="12"/>
        <v>0</v>
      </c>
      <c r="Q214" s="7">
        <f t="shared" si="13"/>
        <v>500</v>
      </c>
      <c r="R214" s="7">
        <f t="shared" si="14"/>
        <v>0</v>
      </c>
      <c r="S214" s="7">
        <f t="shared" si="15"/>
        <v>600</v>
      </c>
      <c r="T214" s="7">
        <f t="shared" si="16"/>
        <v>0</v>
      </c>
      <c r="U214" s="7">
        <f t="shared" si="17"/>
        <v>700</v>
      </c>
      <c r="V214" s="7">
        <f t="shared" si="18"/>
        <v>0</v>
      </c>
      <c r="W214" s="7">
        <f t="shared" si="19"/>
        <v>800</v>
      </c>
      <c r="X214" s="7">
        <f t="shared" si="20"/>
        <v>0</v>
      </c>
      <c r="Y214" s="7">
        <f t="shared" si="21"/>
        <v>900</v>
      </c>
      <c r="Z214" s="7">
        <f t="shared" si="22"/>
        <v>0</v>
      </c>
    </row>
    <row r="215">
      <c r="A215" s="19"/>
      <c r="B215" s="19"/>
      <c r="C215" s="13">
        <v>47331.0</v>
      </c>
      <c r="D215" s="12">
        <f>'Income per month'!B215</f>
        <v>1000</v>
      </c>
      <c r="E215" s="7">
        <f t="shared" si="1"/>
        <v>50</v>
      </c>
      <c r="F215" s="7">
        <f t="shared" si="2"/>
        <v>0</v>
      </c>
      <c r="G215" s="7">
        <f t="shared" si="3"/>
        <v>100</v>
      </c>
      <c r="H215" s="7">
        <f t="shared" si="4"/>
        <v>0</v>
      </c>
      <c r="I215" s="7">
        <f t="shared" si="5"/>
        <v>150</v>
      </c>
      <c r="J215" s="7">
        <f t="shared" si="6"/>
        <v>0</v>
      </c>
      <c r="K215" s="7">
        <f t="shared" si="7"/>
        <v>200</v>
      </c>
      <c r="L215" s="7">
        <f t="shared" si="8"/>
        <v>0</v>
      </c>
      <c r="M215" s="7">
        <f t="shared" si="9"/>
        <v>300</v>
      </c>
      <c r="N215" s="7">
        <f t="shared" si="10"/>
        <v>0</v>
      </c>
      <c r="O215" s="7">
        <f t="shared" si="11"/>
        <v>400</v>
      </c>
      <c r="P215" s="7">
        <f t="shared" si="12"/>
        <v>0</v>
      </c>
      <c r="Q215" s="7">
        <f t="shared" si="13"/>
        <v>500</v>
      </c>
      <c r="R215" s="7">
        <f t="shared" si="14"/>
        <v>0</v>
      </c>
      <c r="S215" s="7">
        <f t="shared" si="15"/>
        <v>600</v>
      </c>
      <c r="T215" s="7">
        <f t="shared" si="16"/>
        <v>0</v>
      </c>
      <c r="U215" s="7">
        <f t="shared" si="17"/>
        <v>700</v>
      </c>
      <c r="V215" s="7">
        <f t="shared" si="18"/>
        <v>0</v>
      </c>
      <c r="W215" s="7">
        <f t="shared" si="19"/>
        <v>800</v>
      </c>
      <c r="X215" s="7">
        <f t="shared" si="20"/>
        <v>0</v>
      </c>
      <c r="Y215" s="7">
        <f t="shared" si="21"/>
        <v>900</v>
      </c>
      <c r="Z215" s="7">
        <f t="shared" si="22"/>
        <v>0</v>
      </c>
    </row>
    <row r="216">
      <c r="A216" s="19"/>
      <c r="B216" s="19"/>
      <c r="C216" s="13">
        <v>47362.0</v>
      </c>
      <c r="D216" s="12">
        <f>'Income per month'!B216</f>
        <v>1000</v>
      </c>
      <c r="E216" s="7">
        <f t="shared" si="1"/>
        <v>50</v>
      </c>
      <c r="F216" s="7">
        <f t="shared" si="2"/>
        <v>0</v>
      </c>
      <c r="G216" s="7">
        <f t="shared" si="3"/>
        <v>100</v>
      </c>
      <c r="H216" s="7">
        <f t="shared" si="4"/>
        <v>0</v>
      </c>
      <c r="I216" s="7">
        <f t="shared" si="5"/>
        <v>150</v>
      </c>
      <c r="J216" s="7">
        <f t="shared" si="6"/>
        <v>0</v>
      </c>
      <c r="K216" s="7">
        <f t="shared" si="7"/>
        <v>200</v>
      </c>
      <c r="L216" s="7">
        <f t="shared" si="8"/>
        <v>0</v>
      </c>
      <c r="M216" s="7">
        <f t="shared" si="9"/>
        <v>300</v>
      </c>
      <c r="N216" s="7">
        <f t="shared" si="10"/>
        <v>0</v>
      </c>
      <c r="O216" s="7">
        <f t="shared" si="11"/>
        <v>400</v>
      </c>
      <c r="P216" s="7">
        <f t="shared" si="12"/>
        <v>0</v>
      </c>
      <c r="Q216" s="7">
        <f t="shared" si="13"/>
        <v>500</v>
      </c>
      <c r="R216" s="7">
        <f t="shared" si="14"/>
        <v>0</v>
      </c>
      <c r="S216" s="7">
        <f t="shared" si="15"/>
        <v>600</v>
      </c>
      <c r="T216" s="7">
        <f t="shared" si="16"/>
        <v>0</v>
      </c>
      <c r="U216" s="7">
        <f t="shared" si="17"/>
        <v>700</v>
      </c>
      <c r="V216" s="7">
        <f t="shared" si="18"/>
        <v>0</v>
      </c>
      <c r="W216" s="7">
        <f t="shared" si="19"/>
        <v>800</v>
      </c>
      <c r="X216" s="7">
        <f t="shared" si="20"/>
        <v>0</v>
      </c>
      <c r="Y216" s="7">
        <f t="shared" si="21"/>
        <v>900</v>
      </c>
      <c r="Z216" s="7">
        <f t="shared" si="22"/>
        <v>0</v>
      </c>
    </row>
    <row r="217">
      <c r="A217" s="19"/>
      <c r="B217" s="19"/>
      <c r="C217" s="13">
        <v>47392.0</v>
      </c>
      <c r="D217" s="12">
        <f>'Income per month'!B217</f>
        <v>1000</v>
      </c>
      <c r="E217" s="7">
        <f t="shared" si="1"/>
        <v>50</v>
      </c>
      <c r="F217" s="7">
        <f t="shared" si="2"/>
        <v>0</v>
      </c>
      <c r="G217" s="7">
        <f t="shared" si="3"/>
        <v>100</v>
      </c>
      <c r="H217" s="7">
        <f t="shared" si="4"/>
        <v>0</v>
      </c>
      <c r="I217" s="7">
        <f t="shared" si="5"/>
        <v>150</v>
      </c>
      <c r="J217" s="7">
        <f t="shared" si="6"/>
        <v>0</v>
      </c>
      <c r="K217" s="7">
        <f t="shared" si="7"/>
        <v>200</v>
      </c>
      <c r="L217" s="7">
        <f t="shared" si="8"/>
        <v>0</v>
      </c>
      <c r="M217" s="7">
        <f t="shared" si="9"/>
        <v>300</v>
      </c>
      <c r="N217" s="7">
        <f t="shared" si="10"/>
        <v>0</v>
      </c>
      <c r="O217" s="7">
        <f t="shared" si="11"/>
        <v>400</v>
      </c>
      <c r="P217" s="7">
        <f t="shared" si="12"/>
        <v>0</v>
      </c>
      <c r="Q217" s="7">
        <f t="shared" si="13"/>
        <v>500</v>
      </c>
      <c r="R217" s="7">
        <f t="shared" si="14"/>
        <v>0</v>
      </c>
      <c r="S217" s="7">
        <f t="shared" si="15"/>
        <v>600</v>
      </c>
      <c r="T217" s="7">
        <f t="shared" si="16"/>
        <v>0</v>
      </c>
      <c r="U217" s="7">
        <f t="shared" si="17"/>
        <v>700</v>
      </c>
      <c r="V217" s="7">
        <f t="shared" si="18"/>
        <v>0</v>
      </c>
      <c r="W217" s="7">
        <f t="shared" si="19"/>
        <v>800</v>
      </c>
      <c r="X217" s="7">
        <f t="shared" si="20"/>
        <v>0</v>
      </c>
      <c r="Y217" s="7">
        <f t="shared" si="21"/>
        <v>900</v>
      </c>
      <c r="Z217" s="7">
        <f t="shared" si="22"/>
        <v>0</v>
      </c>
    </row>
    <row r="218">
      <c r="A218" s="19"/>
      <c r="B218" s="19"/>
      <c r="C218" s="13">
        <v>47423.0</v>
      </c>
      <c r="D218" s="12">
        <f>'Income per month'!B218</f>
        <v>1000</v>
      </c>
      <c r="E218" s="7">
        <f t="shared" si="1"/>
        <v>50</v>
      </c>
      <c r="F218" s="7">
        <f t="shared" si="2"/>
        <v>0</v>
      </c>
      <c r="G218" s="7">
        <f t="shared" si="3"/>
        <v>100</v>
      </c>
      <c r="H218" s="7">
        <f t="shared" si="4"/>
        <v>0</v>
      </c>
      <c r="I218" s="7">
        <f t="shared" si="5"/>
        <v>150</v>
      </c>
      <c r="J218" s="7">
        <f t="shared" si="6"/>
        <v>0</v>
      </c>
      <c r="K218" s="7">
        <f t="shared" si="7"/>
        <v>200</v>
      </c>
      <c r="L218" s="7">
        <f t="shared" si="8"/>
        <v>0</v>
      </c>
      <c r="M218" s="7">
        <f t="shared" si="9"/>
        <v>300</v>
      </c>
      <c r="N218" s="7">
        <f t="shared" si="10"/>
        <v>0</v>
      </c>
      <c r="O218" s="7">
        <f t="shared" si="11"/>
        <v>400</v>
      </c>
      <c r="P218" s="7">
        <f t="shared" si="12"/>
        <v>0</v>
      </c>
      <c r="Q218" s="7">
        <f t="shared" si="13"/>
        <v>500</v>
      </c>
      <c r="R218" s="7">
        <f t="shared" si="14"/>
        <v>0</v>
      </c>
      <c r="S218" s="7">
        <f t="shared" si="15"/>
        <v>600</v>
      </c>
      <c r="T218" s="7">
        <f t="shared" si="16"/>
        <v>0</v>
      </c>
      <c r="U218" s="7">
        <f t="shared" si="17"/>
        <v>700</v>
      </c>
      <c r="V218" s="7">
        <f t="shared" si="18"/>
        <v>0</v>
      </c>
      <c r="W218" s="7">
        <f t="shared" si="19"/>
        <v>800</v>
      </c>
      <c r="X218" s="7">
        <f t="shared" si="20"/>
        <v>0</v>
      </c>
      <c r="Y218" s="7">
        <f t="shared" si="21"/>
        <v>900</v>
      </c>
      <c r="Z218" s="7">
        <f t="shared" si="22"/>
        <v>0</v>
      </c>
    </row>
    <row r="219">
      <c r="A219" s="19"/>
      <c r="B219" s="19"/>
      <c r="C219" s="14">
        <v>47453.0</v>
      </c>
      <c r="D219" s="12">
        <f>'Income per month'!B219</f>
        <v>1000</v>
      </c>
      <c r="E219" s="7">
        <f t="shared" si="1"/>
        <v>50</v>
      </c>
      <c r="F219" s="7">
        <f t="shared" si="2"/>
        <v>0</v>
      </c>
      <c r="G219" s="7">
        <f t="shared" si="3"/>
        <v>100</v>
      </c>
      <c r="H219" s="7">
        <f t="shared" si="4"/>
        <v>0</v>
      </c>
      <c r="I219" s="7">
        <f t="shared" si="5"/>
        <v>150</v>
      </c>
      <c r="J219" s="7">
        <f t="shared" si="6"/>
        <v>0</v>
      </c>
      <c r="K219" s="7">
        <f t="shared" si="7"/>
        <v>200</v>
      </c>
      <c r="L219" s="7">
        <f t="shared" si="8"/>
        <v>0</v>
      </c>
      <c r="M219" s="7">
        <f t="shared" si="9"/>
        <v>300</v>
      </c>
      <c r="N219" s="7">
        <f t="shared" si="10"/>
        <v>0</v>
      </c>
      <c r="O219" s="7">
        <f t="shared" si="11"/>
        <v>400</v>
      </c>
      <c r="P219" s="7">
        <f t="shared" si="12"/>
        <v>0</v>
      </c>
      <c r="Q219" s="7">
        <f t="shared" si="13"/>
        <v>500</v>
      </c>
      <c r="R219" s="7">
        <f t="shared" si="14"/>
        <v>0</v>
      </c>
      <c r="S219" s="7">
        <f t="shared" si="15"/>
        <v>600</v>
      </c>
      <c r="T219" s="7">
        <f t="shared" si="16"/>
        <v>0</v>
      </c>
      <c r="U219" s="7">
        <f t="shared" si="17"/>
        <v>700</v>
      </c>
      <c r="V219" s="7">
        <f t="shared" si="18"/>
        <v>0</v>
      </c>
      <c r="W219" s="7">
        <f t="shared" si="19"/>
        <v>800</v>
      </c>
      <c r="X219" s="7">
        <f t="shared" si="20"/>
        <v>0</v>
      </c>
      <c r="Y219" s="7">
        <f t="shared" si="21"/>
        <v>900</v>
      </c>
      <c r="Z219" s="7">
        <f t="shared" si="22"/>
        <v>0</v>
      </c>
    </row>
    <row r="220">
      <c r="A220" s="19"/>
      <c r="B220" s="19"/>
      <c r="C220" s="13">
        <v>47484.0</v>
      </c>
      <c r="D220" s="12">
        <f>'Income per month'!B220</f>
        <v>1000</v>
      </c>
      <c r="E220" s="7">
        <f t="shared" si="1"/>
        <v>50</v>
      </c>
      <c r="F220" s="7">
        <f t="shared" si="2"/>
        <v>0</v>
      </c>
      <c r="G220" s="7">
        <f t="shared" si="3"/>
        <v>100</v>
      </c>
      <c r="H220" s="7">
        <f t="shared" si="4"/>
        <v>0</v>
      </c>
      <c r="I220" s="7">
        <f t="shared" si="5"/>
        <v>150</v>
      </c>
      <c r="J220" s="7">
        <f t="shared" si="6"/>
        <v>0</v>
      </c>
      <c r="K220" s="7">
        <f t="shared" si="7"/>
        <v>200</v>
      </c>
      <c r="L220" s="7">
        <f t="shared" si="8"/>
        <v>0</v>
      </c>
      <c r="M220" s="7">
        <f t="shared" si="9"/>
        <v>300</v>
      </c>
      <c r="N220" s="7">
        <f t="shared" si="10"/>
        <v>0</v>
      </c>
      <c r="O220" s="7">
        <f t="shared" si="11"/>
        <v>400</v>
      </c>
      <c r="P220" s="7">
        <f t="shared" si="12"/>
        <v>0</v>
      </c>
      <c r="Q220" s="7">
        <f t="shared" si="13"/>
        <v>500</v>
      </c>
      <c r="R220" s="7">
        <f t="shared" si="14"/>
        <v>0</v>
      </c>
      <c r="S220" s="7">
        <f t="shared" si="15"/>
        <v>600</v>
      </c>
      <c r="T220" s="7">
        <f t="shared" si="16"/>
        <v>0</v>
      </c>
      <c r="U220" s="7">
        <f t="shared" si="17"/>
        <v>700</v>
      </c>
      <c r="V220" s="7">
        <f t="shared" si="18"/>
        <v>0</v>
      </c>
      <c r="W220" s="7">
        <f t="shared" si="19"/>
        <v>800</v>
      </c>
      <c r="X220" s="7">
        <f t="shared" si="20"/>
        <v>0</v>
      </c>
      <c r="Y220" s="7">
        <f t="shared" si="21"/>
        <v>900</v>
      </c>
      <c r="Z220" s="7">
        <f t="shared" si="22"/>
        <v>0</v>
      </c>
    </row>
    <row r="221">
      <c r="A221" s="19"/>
      <c r="B221" s="19"/>
      <c r="C221" s="13">
        <v>47515.0</v>
      </c>
      <c r="D221" s="12">
        <f>'Income per month'!B221</f>
        <v>1000</v>
      </c>
      <c r="E221" s="7">
        <f t="shared" si="1"/>
        <v>50</v>
      </c>
      <c r="F221" s="7">
        <f t="shared" si="2"/>
        <v>0</v>
      </c>
      <c r="G221" s="7">
        <f t="shared" si="3"/>
        <v>100</v>
      </c>
      <c r="H221" s="7">
        <f t="shared" si="4"/>
        <v>0</v>
      </c>
      <c r="I221" s="7">
        <f t="shared" si="5"/>
        <v>150</v>
      </c>
      <c r="J221" s="7">
        <f t="shared" si="6"/>
        <v>0</v>
      </c>
      <c r="K221" s="7">
        <f t="shared" si="7"/>
        <v>200</v>
      </c>
      <c r="L221" s="7">
        <f t="shared" si="8"/>
        <v>0</v>
      </c>
      <c r="M221" s="7">
        <f t="shared" si="9"/>
        <v>300</v>
      </c>
      <c r="N221" s="7">
        <f t="shared" si="10"/>
        <v>0</v>
      </c>
      <c r="O221" s="7">
        <f t="shared" si="11"/>
        <v>400</v>
      </c>
      <c r="P221" s="7">
        <f t="shared" si="12"/>
        <v>0</v>
      </c>
      <c r="Q221" s="7">
        <f t="shared" si="13"/>
        <v>500</v>
      </c>
      <c r="R221" s="7">
        <f t="shared" si="14"/>
        <v>0</v>
      </c>
      <c r="S221" s="7">
        <f t="shared" si="15"/>
        <v>600</v>
      </c>
      <c r="T221" s="7">
        <f t="shared" si="16"/>
        <v>0</v>
      </c>
      <c r="U221" s="7">
        <f t="shared" si="17"/>
        <v>700</v>
      </c>
      <c r="V221" s="7">
        <f t="shared" si="18"/>
        <v>0</v>
      </c>
      <c r="W221" s="7">
        <f t="shared" si="19"/>
        <v>800</v>
      </c>
      <c r="X221" s="7">
        <f t="shared" si="20"/>
        <v>0</v>
      </c>
      <c r="Y221" s="7">
        <f t="shared" si="21"/>
        <v>900</v>
      </c>
      <c r="Z221" s="7">
        <f t="shared" si="22"/>
        <v>0</v>
      </c>
    </row>
    <row r="222">
      <c r="A222" s="19"/>
      <c r="B222" s="19"/>
      <c r="C222" s="13">
        <v>47543.0</v>
      </c>
      <c r="D222" s="12">
        <f>'Income per month'!B222</f>
        <v>1000</v>
      </c>
      <c r="E222" s="7">
        <f t="shared" si="1"/>
        <v>50</v>
      </c>
      <c r="F222" s="7">
        <f t="shared" si="2"/>
        <v>0</v>
      </c>
      <c r="G222" s="7">
        <f t="shared" si="3"/>
        <v>100</v>
      </c>
      <c r="H222" s="7">
        <f t="shared" si="4"/>
        <v>0</v>
      </c>
      <c r="I222" s="7">
        <f t="shared" si="5"/>
        <v>150</v>
      </c>
      <c r="J222" s="7">
        <f t="shared" si="6"/>
        <v>0</v>
      </c>
      <c r="K222" s="7">
        <f t="shared" si="7"/>
        <v>200</v>
      </c>
      <c r="L222" s="7">
        <f t="shared" si="8"/>
        <v>0</v>
      </c>
      <c r="M222" s="7">
        <f t="shared" si="9"/>
        <v>300</v>
      </c>
      <c r="N222" s="7">
        <f t="shared" si="10"/>
        <v>0</v>
      </c>
      <c r="O222" s="7">
        <f t="shared" si="11"/>
        <v>400</v>
      </c>
      <c r="P222" s="7">
        <f t="shared" si="12"/>
        <v>0</v>
      </c>
      <c r="Q222" s="7">
        <f t="shared" si="13"/>
        <v>500</v>
      </c>
      <c r="R222" s="7">
        <f t="shared" si="14"/>
        <v>0</v>
      </c>
      <c r="S222" s="7">
        <f t="shared" si="15"/>
        <v>600</v>
      </c>
      <c r="T222" s="7">
        <f t="shared" si="16"/>
        <v>0</v>
      </c>
      <c r="U222" s="7">
        <f t="shared" si="17"/>
        <v>700</v>
      </c>
      <c r="V222" s="7">
        <f t="shared" si="18"/>
        <v>0</v>
      </c>
      <c r="W222" s="7">
        <f t="shared" si="19"/>
        <v>800</v>
      </c>
      <c r="X222" s="7">
        <f t="shared" si="20"/>
        <v>0</v>
      </c>
      <c r="Y222" s="7">
        <f t="shared" si="21"/>
        <v>900</v>
      </c>
      <c r="Z222" s="7">
        <f t="shared" si="22"/>
        <v>0</v>
      </c>
    </row>
    <row r="223">
      <c r="A223" s="19"/>
      <c r="B223" s="19"/>
      <c r="C223" s="13">
        <v>47574.0</v>
      </c>
      <c r="D223" s="12">
        <f>'Income per month'!B223</f>
        <v>1000</v>
      </c>
      <c r="E223" s="7">
        <f t="shared" si="1"/>
        <v>50</v>
      </c>
      <c r="F223" s="7">
        <f t="shared" si="2"/>
        <v>0</v>
      </c>
      <c r="G223" s="7">
        <f t="shared" si="3"/>
        <v>100</v>
      </c>
      <c r="H223" s="7">
        <f t="shared" si="4"/>
        <v>0</v>
      </c>
      <c r="I223" s="7">
        <f t="shared" si="5"/>
        <v>150</v>
      </c>
      <c r="J223" s="7">
        <f t="shared" si="6"/>
        <v>0</v>
      </c>
      <c r="K223" s="7">
        <f t="shared" si="7"/>
        <v>200</v>
      </c>
      <c r="L223" s="7">
        <f t="shared" si="8"/>
        <v>0</v>
      </c>
      <c r="M223" s="7">
        <f t="shared" si="9"/>
        <v>300</v>
      </c>
      <c r="N223" s="7">
        <f t="shared" si="10"/>
        <v>0</v>
      </c>
      <c r="O223" s="7">
        <f t="shared" si="11"/>
        <v>400</v>
      </c>
      <c r="P223" s="7">
        <f t="shared" si="12"/>
        <v>0</v>
      </c>
      <c r="Q223" s="7">
        <f t="shared" si="13"/>
        <v>500</v>
      </c>
      <c r="R223" s="7">
        <f t="shared" si="14"/>
        <v>0</v>
      </c>
      <c r="S223" s="7">
        <f t="shared" si="15"/>
        <v>600</v>
      </c>
      <c r="T223" s="7">
        <f t="shared" si="16"/>
        <v>0</v>
      </c>
      <c r="U223" s="7">
        <f t="shared" si="17"/>
        <v>700</v>
      </c>
      <c r="V223" s="7">
        <f t="shared" si="18"/>
        <v>0</v>
      </c>
      <c r="W223" s="7">
        <f t="shared" si="19"/>
        <v>800</v>
      </c>
      <c r="X223" s="7">
        <f t="shared" si="20"/>
        <v>0</v>
      </c>
      <c r="Y223" s="7">
        <f t="shared" si="21"/>
        <v>900</v>
      </c>
      <c r="Z223" s="7">
        <f t="shared" si="22"/>
        <v>0</v>
      </c>
    </row>
    <row r="224">
      <c r="A224" s="19"/>
      <c r="B224" s="19"/>
      <c r="C224" s="13">
        <v>47604.0</v>
      </c>
      <c r="D224" s="12">
        <f>'Income per month'!B224</f>
        <v>1000</v>
      </c>
      <c r="E224" s="7">
        <f t="shared" si="1"/>
        <v>50</v>
      </c>
      <c r="F224" s="7">
        <f t="shared" si="2"/>
        <v>0</v>
      </c>
      <c r="G224" s="7">
        <f t="shared" si="3"/>
        <v>100</v>
      </c>
      <c r="H224" s="7">
        <f t="shared" si="4"/>
        <v>0</v>
      </c>
      <c r="I224" s="7">
        <f t="shared" si="5"/>
        <v>150</v>
      </c>
      <c r="J224" s="7">
        <f t="shared" si="6"/>
        <v>0</v>
      </c>
      <c r="K224" s="7">
        <f t="shared" si="7"/>
        <v>200</v>
      </c>
      <c r="L224" s="7">
        <f t="shared" si="8"/>
        <v>0</v>
      </c>
      <c r="M224" s="7">
        <f t="shared" si="9"/>
        <v>300</v>
      </c>
      <c r="N224" s="7">
        <f t="shared" si="10"/>
        <v>0</v>
      </c>
      <c r="O224" s="7">
        <f t="shared" si="11"/>
        <v>400</v>
      </c>
      <c r="P224" s="7">
        <f t="shared" si="12"/>
        <v>0</v>
      </c>
      <c r="Q224" s="7">
        <f t="shared" si="13"/>
        <v>500</v>
      </c>
      <c r="R224" s="7">
        <f t="shared" si="14"/>
        <v>0</v>
      </c>
      <c r="S224" s="7">
        <f t="shared" si="15"/>
        <v>600</v>
      </c>
      <c r="T224" s="7">
        <f t="shared" si="16"/>
        <v>0</v>
      </c>
      <c r="U224" s="7">
        <f t="shared" si="17"/>
        <v>700</v>
      </c>
      <c r="V224" s="7">
        <f t="shared" si="18"/>
        <v>0</v>
      </c>
      <c r="W224" s="7">
        <f t="shared" si="19"/>
        <v>800</v>
      </c>
      <c r="X224" s="7">
        <f t="shared" si="20"/>
        <v>0</v>
      </c>
      <c r="Y224" s="7">
        <f t="shared" si="21"/>
        <v>900</v>
      </c>
      <c r="Z224" s="7">
        <f t="shared" si="22"/>
        <v>0</v>
      </c>
    </row>
    <row r="225">
      <c r="A225" s="19"/>
      <c r="B225" s="19"/>
      <c r="C225" s="13">
        <v>47635.0</v>
      </c>
      <c r="D225" s="12">
        <f>'Income per month'!B225</f>
        <v>1000</v>
      </c>
      <c r="E225" s="7">
        <f t="shared" si="1"/>
        <v>50</v>
      </c>
      <c r="F225" s="7">
        <f t="shared" si="2"/>
        <v>0</v>
      </c>
      <c r="G225" s="7">
        <f t="shared" si="3"/>
        <v>100</v>
      </c>
      <c r="H225" s="7">
        <f t="shared" si="4"/>
        <v>0</v>
      </c>
      <c r="I225" s="7">
        <f t="shared" si="5"/>
        <v>150</v>
      </c>
      <c r="J225" s="7">
        <f t="shared" si="6"/>
        <v>0</v>
      </c>
      <c r="K225" s="7">
        <f t="shared" si="7"/>
        <v>200</v>
      </c>
      <c r="L225" s="7">
        <f t="shared" si="8"/>
        <v>0</v>
      </c>
      <c r="M225" s="7">
        <f t="shared" si="9"/>
        <v>300</v>
      </c>
      <c r="N225" s="7">
        <f t="shared" si="10"/>
        <v>0</v>
      </c>
      <c r="O225" s="7">
        <f t="shared" si="11"/>
        <v>400</v>
      </c>
      <c r="P225" s="7">
        <f t="shared" si="12"/>
        <v>0</v>
      </c>
      <c r="Q225" s="7">
        <f t="shared" si="13"/>
        <v>500</v>
      </c>
      <c r="R225" s="7">
        <f t="shared" si="14"/>
        <v>0</v>
      </c>
      <c r="S225" s="7">
        <f t="shared" si="15"/>
        <v>600</v>
      </c>
      <c r="T225" s="7">
        <f t="shared" si="16"/>
        <v>0</v>
      </c>
      <c r="U225" s="7">
        <f t="shared" si="17"/>
        <v>700</v>
      </c>
      <c r="V225" s="7">
        <f t="shared" si="18"/>
        <v>0</v>
      </c>
      <c r="W225" s="7">
        <f t="shared" si="19"/>
        <v>800</v>
      </c>
      <c r="X225" s="7">
        <f t="shared" si="20"/>
        <v>0</v>
      </c>
      <c r="Y225" s="7">
        <f t="shared" si="21"/>
        <v>900</v>
      </c>
      <c r="Z225" s="7">
        <f t="shared" si="22"/>
        <v>0</v>
      </c>
    </row>
    <row r="226">
      <c r="A226" s="19"/>
      <c r="B226" s="19"/>
      <c r="C226" s="13">
        <v>47665.0</v>
      </c>
      <c r="D226" s="12">
        <f>'Income per month'!B226</f>
        <v>1000</v>
      </c>
      <c r="E226" s="7">
        <f t="shared" si="1"/>
        <v>50</v>
      </c>
      <c r="F226" s="7">
        <f t="shared" si="2"/>
        <v>0</v>
      </c>
      <c r="G226" s="7">
        <f t="shared" si="3"/>
        <v>100</v>
      </c>
      <c r="H226" s="7">
        <f t="shared" si="4"/>
        <v>0</v>
      </c>
      <c r="I226" s="7">
        <f t="shared" si="5"/>
        <v>150</v>
      </c>
      <c r="J226" s="7">
        <f t="shared" si="6"/>
        <v>0</v>
      </c>
      <c r="K226" s="7">
        <f t="shared" si="7"/>
        <v>200</v>
      </c>
      <c r="L226" s="7">
        <f t="shared" si="8"/>
        <v>0</v>
      </c>
      <c r="M226" s="7">
        <f t="shared" si="9"/>
        <v>300</v>
      </c>
      <c r="N226" s="7">
        <f t="shared" si="10"/>
        <v>0</v>
      </c>
      <c r="O226" s="7">
        <f t="shared" si="11"/>
        <v>400</v>
      </c>
      <c r="P226" s="7">
        <f t="shared" si="12"/>
        <v>0</v>
      </c>
      <c r="Q226" s="7">
        <f t="shared" si="13"/>
        <v>500</v>
      </c>
      <c r="R226" s="7">
        <f t="shared" si="14"/>
        <v>0</v>
      </c>
      <c r="S226" s="7">
        <f t="shared" si="15"/>
        <v>600</v>
      </c>
      <c r="T226" s="7">
        <f t="shared" si="16"/>
        <v>0</v>
      </c>
      <c r="U226" s="7">
        <f t="shared" si="17"/>
        <v>700</v>
      </c>
      <c r="V226" s="7">
        <f t="shared" si="18"/>
        <v>0</v>
      </c>
      <c r="W226" s="7">
        <f t="shared" si="19"/>
        <v>800</v>
      </c>
      <c r="X226" s="7">
        <f t="shared" si="20"/>
        <v>0</v>
      </c>
      <c r="Y226" s="7">
        <f t="shared" si="21"/>
        <v>900</v>
      </c>
      <c r="Z226" s="7">
        <f t="shared" si="22"/>
        <v>0</v>
      </c>
    </row>
    <row r="227">
      <c r="A227" s="19"/>
      <c r="B227" s="19"/>
      <c r="C227" s="13">
        <v>47696.0</v>
      </c>
      <c r="D227" s="12">
        <f>'Income per month'!B227</f>
        <v>1000</v>
      </c>
      <c r="E227" s="7">
        <f t="shared" si="1"/>
        <v>50</v>
      </c>
      <c r="F227" s="7">
        <f t="shared" si="2"/>
        <v>0</v>
      </c>
      <c r="G227" s="7">
        <f t="shared" si="3"/>
        <v>100</v>
      </c>
      <c r="H227" s="7">
        <f t="shared" si="4"/>
        <v>0</v>
      </c>
      <c r="I227" s="7">
        <f t="shared" si="5"/>
        <v>150</v>
      </c>
      <c r="J227" s="7">
        <f t="shared" si="6"/>
        <v>0</v>
      </c>
      <c r="K227" s="7">
        <f t="shared" si="7"/>
        <v>200</v>
      </c>
      <c r="L227" s="7">
        <f t="shared" si="8"/>
        <v>0</v>
      </c>
      <c r="M227" s="7">
        <f t="shared" si="9"/>
        <v>300</v>
      </c>
      <c r="N227" s="7">
        <f t="shared" si="10"/>
        <v>0</v>
      </c>
      <c r="O227" s="7">
        <f t="shared" si="11"/>
        <v>400</v>
      </c>
      <c r="P227" s="7">
        <f t="shared" si="12"/>
        <v>0</v>
      </c>
      <c r="Q227" s="7">
        <f t="shared" si="13"/>
        <v>500</v>
      </c>
      <c r="R227" s="7">
        <f t="shared" si="14"/>
        <v>0</v>
      </c>
      <c r="S227" s="7">
        <f t="shared" si="15"/>
        <v>600</v>
      </c>
      <c r="T227" s="7">
        <f t="shared" si="16"/>
        <v>0</v>
      </c>
      <c r="U227" s="7">
        <f t="shared" si="17"/>
        <v>700</v>
      </c>
      <c r="V227" s="7">
        <f t="shared" si="18"/>
        <v>0</v>
      </c>
      <c r="W227" s="7">
        <f t="shared" si="19"/>
        <v>800</v>
      </c>
      <c r="X227" s="7">
        <f t="shared" si="20"/>
        <v>0</v>
      </c>
      <c r="Y227" s="7">
        <f t="shared" si="21"/>
        <v>900</v>
      </c>
      <c r="Z227" s="7">
        <f t="shared" si="22"/>
        <v>0</v>
      </c>
    </row>
    <row r="228">
      <c r="A228" s="19"/>
      <c r="B228" s="19"/>
      <c r="C228" s="13">
        <v>47727.0</v>
      </c>
      <c r="D228" s="12">
        <f>'Income per month'!B228</f>
        <v>1000</v>
      </c>
      <c r="E228" s="7">
        <f t="shared" si="1"/>
        <v>50</v>
      </c>
      <c r="F228" s="7">
        <f t="shared" si="2"/>
        <v>0</v>
      </c>
      <c r="G228" s="7">
        <f t="shared" si="3"/>
        <v>100</v>
      </c>
      <c r="H228" s="7">
        <f t="shared" si="4"/>
        <v>0</v>
      </c>
      <c r="I228" s="7">
        <f t="shared" si="5"/>
        <v>150</v>
      </c>
      <c r="J228" s="7">
        <f t="shared" si="6"/>
        <v>0</v>
      </c>
      <c r="K228" s="7">
        <f t="shared" si="7"/>
        <v>200</v>
      </c>
      <c r="L228" s="7">
        <f t="shared" si="8"/>
        <v>0</v>
      </c>
      <c r="M228" s="7">
        <f t="shared" si="9"/>
        <v>300</v>
      </c>
      <c r="N228" s="7">
        <f t="shared" si="10"/>
        <v>0</v>
      </c>
      <c r="O228" s="7">
        <f t="shared" si="11"/>
        <v>400</v>
      </c>
      <c r="P228" s="7">
        <f t="shared" si="12"/>
        <v>0</v>
      </c>
      <c r="Q228" s="7">
        <f t="shared" si="13"/>
        <v>500</v>
      </c>
      <c r="R228" s="7">
        <f t="shared" si="14"/>
        <v>0</v>
      </c>
      <c r="S228" s="7">
        <f t="shared" si="15"/>
        <v>600</v>
      </c>
      <c r="T228" s="7">
        <f t="shared" si="16"/>
        <v>0</v>
      </c>
      <c r="U228" s="7">
        <f t="shared" si="17"/>
        <v>700</v>
      </c>
      <c r="V228" s="7">
        <f t="shared" si="18"/>
        <v>0</v>
      </c>
      <c r="W228" s="7">
        <f t="shared" si="19"/>
        <v>800</v>
      </c>
      <c r="X228" s="7">
        <f t="shared" si="20"/>
        <v>0</v>
      </c>
      <c r="Y228" s="7">
        <f t="shared" si="21"/>
        <v>900</v>
      </c>
      <c r="Z228" s="7">
        <f t="shared" si="22"/>
        <v>0</v>
      </c>
    </row>
    <row r="229">
      <c r="A229" s="19"/>
      <c r="B229" s="19"/>
      <c r="C229" s="13">
        <v>47757.0</v>
      </c>
      <c r="D229" s="12">
        <f>'Income per month'!B229</f>
        <v>1000</v>
      </c>
      <c r="E229" s="7">
        <f t="shared" si="1"/>
        <v>50</v>
      </c>
      <c r="F229" s="7">
        <f t="shared" si="2"/>
        <v>0</v>
      </c>
      <c r="G229" s="7">
        <f t="shared" si="3"/>
        <v>100</v>
      </c>
      <c r="H229" s="7">
        <f t="shared" si="4"/>
        <v>0</v>
      </c>
      <c r="I229" s="7">
        <f t="shared" si="5"/>
        <v>150</v>
      </c>
      <c r="J229" s="7">
        <f t="shared" si="6"/>
        <v>0</v>
      </c>
      <c r="K229" s="7">
        <f t="shared" si="7"/>
        <v>200</v>
      </c>
      <c r="L229" s="7">
        <f t="shared" si="8"/>
        <v>0</v>
      </c>
      <c r="M229" s="7">
        <f t="shared" si="9"/>
        <v>300</v>
      </c>
      <c r="N229" s="7">
        <f t="shared" si="10"/>
        <v>0</v>
      </c>
      <c r="O229" s="7">
        <f t="shared" si="11"/>
        <v>400</v>
      </c>
      <c r="P229" s="7">
        <f t="shared" si="12"/>
        <v>0</v>
      </c>
      <c r="Q229" s="7">
        <f t="shared" si="13"/>
        <v>500</v>
      </c>
      <c r="R229" s="7">
        <f t="shared" si="14"/>
        <v>0</v>
      </c>
      <c r="S229" s="7">
        <f t="shared" si="15"/>
        <v>600</v>
      </c>
      <c r="T229" s="7">
        <f t="shared" si="16"/>
        <v>0</v>
      </c>
      <c r="U229" s="7">
        <f t="shared" si="17"/>
        <v>700</v>
      </c>
      <c r="V229" s="7">
        <f t="shared" si="18"/>
        <v>0</v>
      </c>
      <c r="W229" s="7">
        <f t="shared" si="19"/>
        <v>800</v>
      </c>
      <c r="X229" s="7">
        <f t="shared" si="20"/>
        <v>0</v>
      </c>
      <c r="Y229" s="7">
        <f t="shared" si="21"/>
        <v>900</v>
      </c>
      <c r="Z229" s="7">
        <f t="shared" si="22"/>
        <v>0</v>
      </c>
    </row>
    <row r="230">
      <c r="A230" s="19"/>
      <c r="B230" s="19"/>
      <c r="C230" s="13">
        <v>47788.0</v>
      </c>
      <c r="D230" s="12">
        <f>'Income per month'!B230</f>
        <v>1000</v>
      </c>
      <c r="E230" s="7">
        <f t="shared" si="1"/>
        <v>50</v>
      </c>
      <c r="F230" s="7">
        <f t="shared" si="2"/>
        <v>0</v>
      </c>
      <c r="G230" s="7">
        <f t="shared" si="3"/>
        <v>100</v>
      </c>
      <c r="H230" s="7">
        <f t="shared" si="4"/>
        <v>0</v>
      </c>
      <c r="I230" s="7">
        <f t="shared" si="5"/>
        <v>150</v>
      </c>
      <c r="J230" s="7">
        <f t="shared" si="6"/>
        <v>0</v>
      </c>
      <c r="K230" s="7">
        <f t="shared" si="7"/>
        <v>200</v>
      </c>
      <c r="L230" s="7">
        <f t="shared" si="8"/>
        <v>0</v>
      </c>
      <c r="M230" s="7">
        <f t="shared" si="9"/>
        <v>300</v>
      </c>
      <c r="N230" s="7">
        <f t="shared" si="10"/>
        <v>0</v>
      </c>
      <c r="O230" s="7">
        <f t="shared" si="11"/>
        <v>400</v>
      </c>
      <c r="P230" s="7">
        <f t="shared" si="12"/>
        <v>0</v>
      </c>
      <c r="Q230" s="7">
        <f t="shared" si="13"/>
        <v>500</v>
      </c>
      <c r="R230" s="7">
        <f t="shared" si="14"/>
        <v>0</v>
      </c>
      <c r="S230" s="7">
        <f t="shared" si="15"/>
        <v>600</v>
      </c>
      <c r="T230" s="7">
        <f t="shared" si="16"/>
        <v>0</v>
      </c>
      <c r="U230" s="7">
        <f t="shared" si="17"/>
        <v>700</v>
      </c>
      <c r="V230" s="7">
        <f t="shared" si="18"/>
        <v>0</v>
      </c>
      <c r="W230" s="7">
        <f t="shared" si="19"/>
        <v>800</v>
      </c>
      <c r="X230" s="7">
        <f t="shared" si="20"/>
        <v>0</v>
      </c>
      <c r="Y230" s="7">
        <f t="shared" si="21"/>
        <v>900</v>
      </c>
      <c r="Z230" s="7">
        <f t="shared" si="22"/>
        <v>0</v>
      </c>
    </row>
    <row r="231">
      <c r="A231" s="19"/>
      <c r="B231" s="19"/>
      <c r="C231" s="14">
        <v>47818.0</v>
      </c>
      <c r="D231" s="12">
        <f>'Income per month'!B231</f>
        <v>1000</v>
      </c>
      <c r="E231" s="7">
        <f t="shared" si="1"/>
        <v>50</v>
      </c>
      <c r="F231" s="7">
        <f t="shared" si="2"/>
        <v>0</v>
      </c>
      <c r="G231" s="7">
        <f t="shared" si="3"/>
        <v>100</v>
      </c>
      <c r="H231" s="7">
        <f t="shared" si="4"/>
        <v>0</v>
      </c>
      <c r="I231" s="7">
        <f t="shared" si="5"/>
        <v>150</v>
      </c>
      <c r="J231" s="7">
        <f t="shared" si="6"/>
        <v>0</v>
      </c>
      <c r="K231" s="7">
        <f t="shared" si="7"/>
        <v>200</v>
      </c>
      <c r="L231" s="7">
        <f t="shared" si="8"/>
        <v>0</v>
      </c>
      <c r="M231" s="7">
        <f t="shared" si="9"/>
        <v>300</v>
      </c>
      <c r="N231" s="7">
        <f t="shared" si="10"/>
        <v>0</v>
      </c>
      <c r="O231" s="7">
        <f t="shared" si="11"/>
        <v>400</v>
      </c>
      <c r="P231" s="7">
        <f t="shared" si="12"/>
        <v>0</v>
      </c>
      <c r="Q231" s="7">
        <f t="shared" si="13"/>
        <v>500</v>
      </c>
      <c r="R231" s="7">
        <f t="shared" si="14"/>
        <v>0</v>
      </c>
      <c r="S231" s="7">
        <f t="shared" si="15"/>
        <v>600</v>
      </c>
      <c r="T231" s="7">
        <f t="shared" si="16"/>
        <v>0</v>
      </c>
      <c r="U231" s="7">
        <f t="shared" si="17"/>
        <v>700</v>
      </c>
      <c r="V231" s="7">
        <f t="shared" si="18"/>
        <v>0</v>
      </c>
      <c r="W231" s="7">
        <f t="shared" si="19"/>
        <v>800</v>
      </c>
      <c r="X231" s="7">
        <f t="shared" si="20"/>
        <v>0</v>
      </c>
      <c r="Y231" s="7">
        <f t="shared" si="21"/>
        <v>900</v>
      </c>
      <c r="Z231" s="7">
        <f t="shared" si="22"/>
        <v>0</v>
      </c>
    </row>
    <row r="232">
      <c r="A232" s="19"/>
      <c r="B232" s="19"/>
      <c r="C232" s="13">
        <v>47849.0</v>
      </c>
      <c r="D232" s="12">
        <f>'Income per month'!B232</f>
        <v>1000</v>
      </c>
      <c r="E232" s="7">
        <f t="shared" si="1"/>
        <v>50</v>
      </c>
      <c r="F232" s="7">
        <f t="shared" si="2"/>
        <v>0</v>
      </c>
      <c r="G232" s="7">
        <f t="shared" si="3"/>
        <v>100</v>
      </c>
      <c r="H232" s="7">
        <f t="shared" si="4"/>
        <v>0</v>
      </c>
      <c r="I232" s="7">
        <f t="shared" si="5"/>
        <v>150</v>
      </c>
      <c r="J232" s="7">
        <f t="shared" si="6"/>
        <v>0</v>
      </c>
      <c r="K232" s="7">
        <f t="shared" si="7"/>
        <v>200</v>
      </c>
      <c r="L232" s="7">
        <f t="shared" si="8"/>
        <v>0</v>
      </c>
      <c r="M232" s="7">
        <f t="shared" si="9"/>
        <v>300</v>
      </c>
      <c r="N232" s="7">
        <f t="shared" si="10"/>
        <v>0</v>
      </c>
      <c r="O232" s="7">
        <f t="shared" si="11"/>
        <v>400</v>
      </c>
      <c r="P232" s="7">
        <f t="shared" si="12"/>
        <v>0</v>
      </c>
      <c r="Q232" s="7">
        <f t="shared" si="13"/>
        <v>500</v>
      </c>
      <c r="R232" s="7">
        <f t="shared" si="14"/>
        <v>0</v>
      </c>
      <c r="S232" s="7">
        <f t="shared" si="15"/>
        <v>600</v>
      </c>
      <c r="T232" s="7">
        <f t="shared" si="16"/>
        <v>0</v>
      </c>
      <c r="U232" s="7">
        <f t="shared" si="17"/>
        <v>700</v>
      </c>
      <c r="V232" s="7">
        <f t="shared" si="18"/>
        <v>0</v>
      </c>
      <c r="W232" s="7">
        <f t="shared" si="19"/>
        <v>800</v>
      </c>
      <c r="X232" s="7">
        <f t="shared" si="20"/>
        <v>0</v>
      </c>
      <c r="Y232" s="7">
        <f t="shared" si="21"/>
        <v>900</v>
      </c>
      <c r="Z232" s="7">
        <f t="shared" si="22"/>
        <v>0</v>
      </c>
    </row>
    <row r="233">
      <c r="A233" s="19"/>
      <c r="B233" s="19"/>
      <c r="C233" s="13">
        <v>47880.0</v>
      </c>
      <c r="D233" s="12">
        <f>'Income per month'!B233</f>
        <v>1000</v>
      </c>
      <c r="E233" s="7">
        <f t="shared" si="1"/>
        <v>50</v>
      </c>
      <c r="F233" s="7">
        <f t="shared" si="2"/>
        <v>0</v>
      </c>
      <c r="G233" s="7">
        <f t="shared" si="3"/>
        <v>100</v>
      </c>
      <c r="H233" s="7">
        <f t="shared" si="4"/>
        <v>0</v>
      </c>
      <c r="I233" s="7">
        <f t="shared" si="5"/>
        <v>150</v>
      </c>
      <c r="J233" s="7">
        <f t="shared" si="6"/>
        <v>0</v>
      </c>
      <c r="K233" s="7">
        <f t="shared" si="7"/>
        <v>200</v>
      </c>
      <c r="L233" s="7">
        <f t="shared" si="8"/>
        <v>0</v>
      </c>
      <c r="M233" s="7">
        <f t="shared" si="9"/>
        <v>300</v>
      </c>
      <c r="N233" s="7">
        <f t="shared" si="10"/>
        <v>0</v>
      </c>
      <c r="O233" s="7">
        <f t="shared" si="11"/>
        <v>400</v>
      </c>
      <c r="P233" s="7">
        <f t="shared" si="12"/>
        <v>0</v>
      </c>
      <c r="Q233" s="7">
        <f t="shared" si="13"/>
        <v>500</v>
      </c>
      <c r="R233" s="7">
        <f t="shared" si="14"/>
        <v>0</v>
      </c>
      <c r="S233" s="7">
        <f t="shared" si="15"/>
        <v>600</v>
      </c>
      <c r="T233" s="7">
        <f t="shared" si="16"/>
        <v>0</v>
      </c>
      <c r="U233" s="7">
        <f t="shared" si="17"/>
        <v>700</v>
      </c>
      <c r="V233" s="7">
        <f t="shared" si="18"/>
        <v>0</v>
      </c>
      <c r="W233" s="7">
        <f t="shared" si="19"/>
        <v>800</v>
      </c>
      <c r="X233" s="7">
        <f t="shared" si="20"/>
        <v>0</v>
      </c>
      <c r="Y233" s="7">
        <f t="shared" si="21"/>
        <v>900</v>
      </c>
      <c r="Z233" s="7">
        <f t="shared" si="22"/>
        <v>0</v>
      </c>
    </row>
    <row r="234">
      <c r="A234" s="19"/>
      <c r="B234" s="19"/>
      <c r="C234" s="13">
        <v>47908.0</v>
      </c>
      <c r="D234" s="12">
        <f>'Income per month'!B234</f>
        <v>1000</v>
      </c>
      <c r="E234" s="7">
        <f t="shared" si="1"/>
        <v>50</v>
      </c>
      <c r="F234" s="7">
        <f t="shared" si="2"/>
        <v>0</v>
      </c>
      <c r="G234" s="7">
        <f t="shared" si="3"/>
        <v>100</v>
      </c>
      <c r="H234" s="7">
        <f t="shared" si="4"/>
        <v>0</v>
      </c>
      <c r="I234" s="7">
        <f t="shared" si="5"/>
        <v>150</v>
      </c>
      <c r="J234" s="7">
        <f t="shared" si="6"/>
        <v>0</v>
      </c>
      <c r="K234" s="7">
        <f t="shared" si="7"/>
        <v>200</v>
      </c>
      <c r="L234" s="7">
        <f t="shared" si="8"/>
        <v>0</v>
      </c>
      <c r="M234" s="7">
        <f t="shared" si="9"/>
        <v>300</v>
      </c>
      <c r="N234" s="7">
        <f t="shared" si="10"/>
        <v>0</v>
      </c>
      <c r="O234" s="7">
        <f t="shared" si="11"/>
        <v>400</v>
      </c>
      <c r="P234" s="7">
        <f t="shared" si="12"/>
        <v>0</v>
      </c>
      <c r="Q234" s="7">
        <f t="shared" si="13"/>
        <v>500</v>
      </c>
      <c r="R234" s="7">
        <f t="shared" si="14"/>
        <v>0</v>
      </c>
      <c r="S234" s="7">
        <f t="shared" si="15"/>
        <v>600</v>
      </c>
      <c r="T234" s="7">
        <f t="shared" si="16"/>
        <v>0</v>
      </c>
      <c r="U234" s="7">
        <f t="shared" si="17"/>
        <v>700</v>
      </c>
      <c r="V234" s="7">
        <f t="shared" si="18"/>
        <v>0</v>
      </c>
      <c r="W234" s="7">
        <f t="shared" si="19"/>
        <v>800</v>
      </c>
      <c r="X234" s="7">
        <f t="shared" si="20"/>
        <v>0</v>
      </c>
      <c r="Y234" s="7">
        <f t="shared" si="21"/>
        <v>900</v>
      </c>
      <c r="Z234" s="7">
        <f t="shared" si="22"/>
        <v>0</v>
      </c>
    </row>
    <row r="235">
      <c r="A235" s="19"/>
      <c r="B235" s="19"/>
      <c r="C235" s="13">
        <v>47939.0</v>
      </c>
      <c r="D235" s="12">
        <f>'Income per month'!B235</f>
        <v>1000</v>
      </c>
      <c r="E235" s="7">
        <f t="shared" si="1"/>
        <v>50</v>
      </c>
      <c r="F235" s="7">
        <f t="shared" si="2"/>
        <v>0</v>
      </c>
      <c r="G235" s="7">
        <f t="shared" si="3"/>
        <v>100</v>
      </c>
      <c r="H235" s="7">
        <f t="shared" si="4"/>
        <v>0</v>
      </c>
      <c r="I235" s="7">
        <f t="shared" si="5"/>
        <v>150</v>
      </c>
      <c r="J235" s="7">
        <f t="shared" si="6"/>
        <v>0</v>
      </c>
      <c r="K235" s="7">
        <f t="shared" si="7"/>
        <v>200</v>
      </c>
      <c r="L235" s="7">
        <f t="shared" si="8"/>
        <v>0</v>
      </c>
      <c r="M235" s="7">
        <f t="shared" si="9"/>
        <v>300</v>
      </c>
      <c r="N235" s="7">
        <f t="shared" si="10"/>
        <v>0</v>
      </c>
      <c r="O235" s="7">
        <f t="shared" si="11"/>
        <v>400</v>
      </c>
      <c r="P235" s="7">
        <f t="shared" si="12"/>
        <v>0</v>
      </c>
      <c r="Q235" s="7">
        <f t="shared" si="13"/>
        <v>500</v>
      </c>
      <c r="R235" s="7">
        <f t="shared" si="14"/>
        <v>0</v>
      </c>
      <c r="S235" s="7">
        <f t="shared" si="15"/>
        <v>600</v>
      </c>
      <c r="T235" s="7">
        <f t="shared" si="16"/>
        <v>0</v>
      </c>
      <c r="U235" s="7">
        <f t="shared" si="17"/>
        <v>700</v>
      </c>
      <c r="V235" s="7">
        <f t="shared" si="18"/>
        <v>0</v>
      </c>
      <c r="W235" s="7">
        <f t="shared" si="19"/>
        <v>800</v>
      </c>
      <c r="X235" s="7">
        <f t="shared" si="20"/>
        <v>0</v>
      </c>
      <c r="Y235" s="7">
        <f t="shared" si="21"/>
        <v>900</v>
      </c>
      <c r="Z235" s="7">
        <f t="shared" si="22"/>
        <v>0</v>
      </c>
    </row>
    <row r="236">
      <c r="A236" s="19"/>
      <c r="B236" s="19"/>
      <c r="C236" s="13">
        <v>47969.0</v>
      </c>
      <c r="D236" s="12">
        <f>'Income per month'!B236</f>
        <v>1000</v>
      </c>
      <c r="E236" s="7">
        <f t="shared" si="1"/>
        <v>50</v>
      </c>
      <c r="F236" s="7">
        <f t="shared" si="2"/>
        <v>0</v>
      </c>
      <c r="G236" s="7">
        <f t="shared" si="3"/>
        <v>100</v>
      </c>
      <c r="H236" s="7">
        <f t="shared" si="4"/>
        <v>0</v>
      </c>
      <c r="I236" s="7">
        <f t="shared" si="5"/>
        <v>150</v>
      </c>
      <c r="J236" s="7">
        <f t="shared" si="6"/>
        <v>0</v>
      </c>
      <c r="K236" s="7">
        <f t="shared" si="7"/>
        <v>200</v>
      </c>
      <c r="L236" s="7">
        <f t="shared" si="8"/>
        <v>0</v>
      </c>
      <c r="M236" s="7">
        <f t="shared" si="9"/>
        <v>300</v>
      </c>
      <c r="N236" s="7">
        <f t="shared" si="10"/>
        <v>0</v>
      </c>
      <c r="O236" s="7">
        <f t="shared" si="11"/>
        <v>400</v>
      </c>
      <c r="P236" s="7">
        <f t="shared" si="12"/>
        <v>0</v>
      </c>
      <c r="Q236" s="7">
        <f t="shared" si="13"/>
        <v>500</v>
      </c>
      <c r="R236" s="7">
        <f t="shared" si="14"/>
        <v>0</v>
      </c>
      <c r="S236" s="7">
        <f t="shared" si="15"/>
        <v>600</v>
      </c>
      <c r="T236" s="7">
        <f t="shared" si="16"/>
        <v>0</v>
      </c>
      <c r="U236" s="7">
        <f t="shared" si="17"/>
        <v>700</v>
      </c>
      <c r="V236" s="7">
        <f t="shared" si="18"/>
        <v>0</v>
      </c>
      <c r="W236" s="7">
        <f t="shared" si="19"/>
        <v>800</v>
      </c>
      <c r="X236" s="7">
        <f t="shared" si="20"/>
        <v>0</v>
      </c>
      <c r="Y236" s="7">
        <f t="shared" si="21"/>
        <v>900</v>
      </c>
      <c r="Z236" s="7">
        <f t="shared" si="22"/>
        <v>0</v>
      </c>
    </row>
    <row r="237">
      <c r="A237" s="19"/>
      <c r="B237" s="19"/>
      <c r="C237" s="13">
        <v>48000.0</v>
      </c>
      <c r="D237" s="12">
        <f>'Income per month'!B237</f>
        <v>1000</v>
      </c>
      <c r="E237" s="7">
        <f t="shared" si="1"/>
        <v>50</v>
      </c>
      <c r="F237" s="7">
        <f t="shared" si="2"/>
        <v>0</v>
      </c>
      <c r="G237" s="7">
        <f t="shared" si="3"/>
        <v>100</v>
      </c>
      <c r="H237" s="7">
        <f t="shared" si="4"/>
        <v>0</v>
      </c>
      <c r="I237" s="7">
        <f t="shared" si="5"/>
        <v>150</v>
      </c>
      <c r="J237" s="7">
        <f t="shared" si="6"/>
        <v>0</v>
      </c>
      <c r="K237" s="7">
        <f t="shared" si="7"/>
        <v>200</v>
      </c>
      <c r="L237" s="7">
        <f t="shared" si="8"/>
        <v>0</v>
      </c>
      <c r="M237" s="7">
        <f t="shared" si="9"/>
        <v>300</v>
      </c>
      <c r="N237" s="7">
        <f t="shared" si="10"/>
        <v>0</v>
      </c>
      <c r="O237" s="7">
        <f t="shared" si="11"/>
        <v>400</v>
      </c>
      <c r="P237" s="7">
        <f t="shared" si="12"/>
        <v>0</v>
      </c>
      <c r="Q237" s="7">
        <f t="shared" si="13"/>
        <v>500</v>
      </c>
      <c r="R237" s="7">
        <f t="shared" si="14"/>
        <v>0</v>
      </c>
      <c r="S237" s="7">
        <f t="shared" si="15"/>
        <v>600</v>
      </c>
      <c r="T237" s="7">
        <f t="shared" si="16"/>
        <v>0</v>
      </c>
      <c r="U237" s="7">
        <f t="shared" si="17"/>
        <v>700</v>
      </c>
      <c r="V237" s="7">
        <f t="shared" si="18"/>
        <v>0</v>
      </c>
      <c r="W237" s="7">
        <f t="shared" si="19"/>
        <v>800</v>
      </c>
      <c r="X237" s="7">
        <f t="shared" si="20"/>
        <v>0</v>
      </c>
      <c r="Y237" s="7">
        <f t="shared" si="21"/>
        <v>900</v>
      </c>
      <c r="Z237" s="7">
        <f t="shared" si="22"/>
        <v>0</v>
      </c>
    </row>
    <row r="238">
      <c r="A238" s="19"/>
      <c r="B238" s="19"/>
      <c r="C238" s="13">
        <v>48030.0</v>
      </c>
      <c r="D238" s="12">
        <f>'Income per month'!B238</f>
        <v>1000</v>
      </c>
      <c r="E238" s="7">
        <f t="shared" si="1"/>
        <v>50</v>
      </c>
      <c r="F238" s="7">
        <f t="shared" si="2"/>
        <v>0</v>
      </c>
      <c r="G238" s="7">
        <f t="shared" si="3"/>
        <v>100</v>
      </c>
      <c r="H238" s="7">
        <f t="shared" si="4"/>
        <v>0</v>
      </c>
      <c r="I238" s="7">
        <f t="shared" si="5"/>
        <v>150</v>
      </c>
      <c r="J238" s="7">
        <f t="shared" si="6"/>
        <v>0</v>
      </c>
      <c r="K238" s="7">
        <f t="shared" si="7"/>
        <v>200</v>
      </c>
      <c r="L238" s="7">
        <f t="shared" si="8"/>
        <v>0</v>
      </c>
      <c r="M238" s="7">
        <f t="shared" si="9"/>
        <v>300</v>
      </c>
      <c r="N238" s="7">
        <f t="shared" si="10"/>
        <v>0</v>
      </c>
      <c r="O238" s="7">
        <f t="shared" si="11"/>
        <v>400</v>
      </c>
      <c r="P238" s="7">
        <f t="shared" si="12"/>
        <v>0</v>
      </c>
      <c r="Q238" s="7">
        <f t="shared" si="13"/>
        <v>500</v>
      </c>
      <c r="R238" s="7">
        <f t="shared" si="14"/>
        <v>0</v>
      </c>
      <c r="S238" s="7">
        <f t="shared" si="15"/>
        <v>600</v>
      </c>
      <c r="T238" s="7">
        <f t="shared" si="16"/>
        <v>0</v>
      </c>
      <c r="U238" s="7">
        <f t="shared" si="17"/>
        <v>700</v>
      </c>
      <c r="V238" s="7">
        <f t="shared" si="18"/>
        <v>0</v>
      </c>
      <c r="W238" s="7">
        <f t="shared" si="19"/>
        <v>800</v>
      </c>
      <c r="X238" s="7">
        <f t="shared" si="20"/>
        <v>0</v>
      </c>
      <c r="Y238" s="7">
        <f t="shared" si="21"/>
        <v>900</v>
      </c>
      <c r="Z238" s="7">
        <f t="shared" si="22"/>
        <v>0</v>
      </c>
    </row>
    <row r="239">
      <c r="A239" s="19"/>
      <c r="B239" s="19"/>
      <c r="C239" s="13">
        <v>48061.0</v>
      </c>
      <c r="D239" s="12">
        <f>'Income per month'!B239</f>
        <v>1000</v>
      </c>
      <c r="E239" s="7">
        <f t="shared" si="1"/>
        <v>50</v>
      </c>
      <c r="F239" s="7">
        <f t="shared" si="2"/>
        <v>0</v>
      </c>
      <c r="G239" s="7">
        <f t="shared" si="3"/>
        <v>100</v>
      </c>
      <c r="H239" s="7">
        <f t="shared" si="4"/>
        <v>0</v>
      </c>
      <c r="I239" s="7">
        <f t="shared" si="5"/>
        <v>150</v>
      </c>
      <c r="J239" s="7">
        <f t="shared" si="6"/>
        <v>0</v>
      </c>
      <c r="K239" s="7">
        <f t="shared" si="7"/>
        <v>200</v>
      </c>
      <c r="L239" s="7">
        <f t="shared" si="8"/>
        <v>0</v>
      </c>
      <c r="M239" s="7">
        <f t="shared" si="9"/>
        <v>300</v>
      </c>
      <c r="N239" s="7">
        <f t="shared" si="10"/>
        <v>0</v>
      </c>
      <c r="O239" s="7">
        <f t="shared" si="11"/>
        <v>400</v>
      </c>
      <c r="P239" s="7">
        <f t="shared" si="12"/>
        <v>0</v>
      </c>
      <c r="Q239" s="7">
        <f t="shared" si="13"/>
        <v>500</v>
      </c>
      <c r="R239" s="7">
        <f t="shared" si="14"/>
        <v>0</v>
      </c>
      <c r="S239" s="7">
        <f t="shared" si="15"/>
        <v>600</v>
      </c>
      <c r="T239" s="7">
        <f t="shared" si="16"/>
        <v>0</v>
      </c>
      <c r="U239" s="7">
        <f t="shared" si="17"/>
        <v>700</v>
      </c>
      <c r="V239" s="7">
        <f t="shared" si="18"/>
        <v>0</v>
      </c>
      <c r="W239" s="7">
        <f t="shared" si="19"/>
        <v>800</v>
      </c>
      <c r="X239" s="7">
        <f t="shared" si="20"/>
        <v>0</v>
      </c>
      <c r="Y239" s="7">
        <f t="shared" si="21"/>
        <v>900</v>
      </c>
      <c r="Z239" s="7">
        <f t="shared" si="22"/>
        <v>0</v>
      </c>
    </row>
    <row r="240">
      <c r="A240" s="19"/>
      <c r="B240" s="19"/>
      <c r="C240" s="13">
        <v>48092.0</v>
      </c>
      <c r="D240" s="12">
        <f>'Income per month'!B240</f>
        <v>1000</v>
      </c>
      <c r="E240" s="7">
        <f t="shared" si="1"/>
        <v>50</v>
      </c>
      <c r="F240" s="7">
        <f t="shared" si="2"/>
        <v>0</v>
      </c>
      <c r="G240" s="7">
        <f t="shared" si="3"/>
        <v>100</v>
      </c>
      <c r="H240" s="7">
        <f t="shared" si="4"/>
        <v>0</v>
      </c>
      <c r="I240" s="7">
        <f t="shared" si="5"/>
        <v>150</v>
      </c>
      <c r="J240" s="7">
        <f t="shared" si="6"/>
        <v>0</v>
      </c>
      <c r="K240" s="7">
        <f t="shared" si="7"/>
        <v>200</v>
      </c>
      <c r="L240" s="7">
        <f t="shared" si="8"/>
        <v>0</v>
      </c>
      <c r="M240" s="7">
        <f t="shared" si="9"/>
        <v>300</v>
      </c>
      <c r="N240" s="7">
        <f t="shared" si="10"/>
        <v>0</v>
      </c>
      <c r="O240" s="7">
        <f t="shared" si="11"/>
        <v>400</v>
      </c>
      <c r="P240" s="7">
        <f t="shared" si="12"/>
        <v>0</v>
      </c>
      <c r="Q240" s="7">
        <f t="shared" si="13"/>
        <v>500</v>
      </c>
      <c r="R240" s="7">
        <f t="shared" si="14"/>
        <v>0</v>
      </c>
      <c r="S240" s="7">
        <f t="shared" si="15"/>
        <v>600</v>
      </c>
      <c r="T240" s="7">
        <f t="shared" si="16"/>
        <v>0</v>
      </c>
      <c r="U240" s="7">
        <f t="shared" si="17"/>
        <v>700</v>
      </c>
      <c r="V240" s="7">
        <f t="shared" si="18"/>
        <v>0</v>
      </c>
      <c r="W240" s="7">
        <f t="shared" si="19"/>
        <v>800</v>
      </c>
      <c r="X240" s="7">
        <f t="shared" si="20"/>
        <v>0</v>
      </c>
      <c r="Y240" s="7">
        <f t="shared" si="21"/>
        <v>900</v>
      </c>
      <c r="Z240" s="7">
        <f t="shared" si="22"/>
        <v>0</v>
      </c>
    </row>
    <row r="241">
      <c r="A241" s="19"/>
      <c r="B241" s="19"/>
      <c r="C241" s="13">
        <v>48122.0</v>
      </c>
      <c r="D241" s="12">
        <f>'Income per month'!B241</f>
        <v>1000</v>
      </c>
      <c r="E241" s="7">
        <f t="shared" si="1"/>
        <v>50</v>
      </c>
      <c r="F241" s="7">
        <f t="shared" si="2"/>
        <v>0</v>
      </c>
      <c r="G241" s="7">
        <f t="shared" si="3"/>
        <v>100</v>
      </c>
      <c r="H241" s="7">
        <f t="shared" si="4"/>
        <v>0</v>
      </c>
      <c r="I241" s="7">
        <f t="shared" si="5"/>
        <v>150</v>
      </c>
      <c r="J241" s="7">
        <f t="shared" si="6"/>
        <v>0</v>
      </c>
      <c r="K241" s="7">
        <f t="shared" si="7"/>
        <v>200</v>
      </c>
      <c r="L241" s="7">
        <f t="shared" si="8"/>
        <v>0</v>
      </c>
      <c r="M241" s="7">
        <f t="shared" si="9"/>
        <v>300</v>
      </c>
      <c r="N241" s="7">
        <f t="shared" si="10"/>
        <v>0</v>
      </c>
      <c r="O241" s="7">
        <f t="shared" si="11"/>
        <v>400</v>
      </c>
      <c r="P241" s="7">
        <f t="shared" si="12"/>
        <v>0</v>
      </c>
      <c r="Q241" s="7">
        <f t="shared" si="13"/>
        <v>500</v>
      </c>
      <c r="R241" s="7">
        <f t="shared" si="14"/>
        <v>0</v>
      </c>
      <c r="S241" s="7">
        <f t="shared" si="15"/>
        <v>600</v>
      </c>
      <c r="T241" s="7">
        <f t="shared" si="16"/>
        <v>0</v>
      </c>
      <c r="U241" s="7">
        <f t="shared" si="17"/>
        <v>700</v>
      </c>
      <c r="V241" s="7">
        <f t="shared" si="18"/>
        <v>0</v>
      </c>
      <c r="W241" s="7">
        <f t="shared" si="19"/>
        <v>800</v>
      </c>
      <c r="X241" s="7">
        <f t="shared" si="20"/>
        <v>0</v>
      </c>
      <c r="Y241" s="7">
        <f t="shared" si="21"/>
        <v>900</v>
      </c>
      <c r="Z241" s="7">
        <f t="shared" si="22"/>
        <v>0</v>
      </c>
    </row>
    <row r="242">
      <c r="A242" s="19"/>
      <c r="B242" s="19"/>
      <c r="C242" s="13">
        <v>48153.0</v>
      </c>
      <c r="D242" s="12">
        <f>'Income per month'!B242</f>
        <v>1000</v>
      </c>
      <c r="E242" s="7">
        <f t="shared" si="1"/>
        <v>50</v>
      </c>
      <c r="F242" s="7">
        <f t="shared" si="2"/>
        <v>0</v>
      </c>
      <c r="G242" s="7">
        <f t="shared" si="3"/>
        <v>100</v>
      </c>
      <c r="H242" s="7">
        <f t="shared" si="4"/>
        <v>0</v>
      </c>
      <c r="I242" s="7">
        <f t="shared" si="5"/>
        <v>150</v>
      </c>
      <c r="J242" s="7">
        <f t="shared" si="6"/>
        <v>0</v>
      </c>
      <c r="K242" s="7">
        <f t="shared" si="7"/>
        <v>200</v>
      </c>
      <c r="L242" s="7">
        <f t="shared" si="8"/>
        <v>0</v>
      </c>
      <c r="M242" s="7">
        <f t="shared" si="9"/>
        <v>300</v>
      </c>
      <c r="N242" s="7">
        <f t="shared" si="10"/>
        <v>0</v>
      </c>
      <c r="O242" s="7">
        <f t="shared" si="11"/>
        <v>400</v>
      </c>
      <c r="P242" s="7">
        <f t="shared" si="12"/>
        <v>0</v>
      </c>
      <c r="Q242" s="7">
        <f t="shared" si="13"/>
        <v>500</v>
      </c>
      <c r="R242" s="7">
        <f t="shared" si="14"/>
        <v>0</v>
      </c>
      <c r="S242" s="7">
        <f t="shared" si="15"/>
        <v>600</v>
      </c>
      <c r="T242" s="7">
        <f t="shared" si="16"/>
        <v>0</v>
      </c>
      <c r="U242" s="7">
        <f t="shared" si="17"/>
        <v>700</v>
      </c>
      <c r="V242" s="7">
        <f t="shared" si="18"/>
        <v>0</v>
      </c>
      <c r="W242" s="7">
        <f t="shared" si="19"/>
        <v>800</v>
      </c>
      <c r="X242" s="7">
        <f t="shared" si="20"/>
        <v>0</v>
      </c>
      <c r="Y242" s="7">
        <f t="shared" si="21"/>
        <v>900</v>
      </c>
      <c r="Z242" s="7">
        <f t="shared" si="22"/>
        <v>0</v>
      </c>
    </row>
    <row r="243">
      <c r="A243" s="19"/>
      <c r="B243" s="19"/>
      <c r="C243" s="14">
        <v>48183.0</v>
      </c>
      <c r="D243" s="12">
        <f>'Income per month'!B243</f>
        <v>1000</v>
      </c>
      <c r="E243" s="7">
        <f t="shared" si="1"/>
        <v>50</v>
      </c>
      <c r="F243" s="7">
        <f t="shared" si="2"/>
        <v>0</v>
      </c>
      <c r="G243" s="7">
        <f t="shared" si="3"/>
        <v>100</v>
      </c>
      <c r="H243" s="7">
        <f t="shared" si="4"/>
        <v>0</v>
      </c>
      <c r="I243" s="7">
        <f t="shared" si="5"/>
        <v>150</v>
      </c>
      <c r="J243" s="7">
        <f t="shared" si="6"/>
        <v>0</v>
      </c>
      <c r="K243" s="7">
        <f t="shared" si="7"/>
        <v>200</v>
      </c>
      <c r="L243" s="7">
        <f t="shared" si="8"/>
        <v>0</v>
      </c>
      <c r="M243" s="7">
        <f t="shared" si="9"/>
        <v>300</v>
      </c>
      <c r="N243" s="7">
        <f t="shared" si="10"/>
        <v>0</v>
      </c>
      <c r="O243" s="7">
        <f t="shared" si="11"/>
        <v>400</v>
      </c>
      <c r="P243" s="7">
        <f t="shared" si="12"/>
        <v>0</v>
      </c>
      <c r="Q243" s="7">
        <f t="shared" si="13"/>
        <v>500</v>
      </c>
      <c r="R243" s="7">
        <f t="shared" si="14"/>
        <v>0</v>
      </c>
      <c r="S243" s="7">
        <f t="shared" si="15"/>
        <v>600</v>
      </c>
      <c r="T243" s="7">
        <f t="shared" si="16"/>
        <v>0</v>
      </c>
      <c r="U243" s="7">
        <f t="shared" si="17"/>
        <v>700</v>
      </c>
      <c r="V243" s="7">
        <f t="shared" si="18"/>
        <v>0</v>
      </c>
      <c r="W243" s="7">
        <f t="shared" si="19"/>
        <v>800</v>
      </c>
      <c r="X243" s="7">
        <f t="shared" si="20"/>
        <v>0</v>
      </c>
      <c r="Y243" s="7">
        <f t="shared" si="21"/>
        <v>900</v>
      </c>
      <c r="Z243" s="7">
        <f t="shared" si="22"/>
        <v>0</v>
      </c>
    </row>
    <row r="244">
      <c r="A244" s="19"/>
      <c r="B244" s="19"/>
      <c r="C244" s="13">
        <v>48214.0</v>
      </c>
      <c r="D244" s="12">
        <f>'Income per month'!B244</f>
        <v>1000</v>
      </c>
      <c r="E244" s="7">
        <f t="shared" si="1"/>
        <v>50</v>
      </c>
      <c r="F244" s="7">
        <f t="shared" si="2"/>
        <v>0</v>
      </c>
      <c r="G244" s="7">
        <f t="shared" si="3"/>
        <v>100</v>
      </c>
      <c r="H244" s="7">
        <f t="shared" si="4"/>
        <v>0</v>
      </c>
      <c r="I244" s="7">
        <f t="shared" si="5"/>
        <v>150</v>
      </c>
      <c r="J244" s="7">
        <f t="shared" si="6"/>
        <v>0</v>
      </c>
      <c r="K244" s="7">
        <f t="shared" si="7"/>
        <v>200</v>
      </c>
      <c r="L244" s="7">
        <f t="shared" si="8"/>
        <v>0</v>
      </c>
      <c r="M244" s="7">
        <f t="shared" si="9"/>
        <v>300</v>
      </c>
      <c r="N244" s="7">
        <f t="shared" si="10"/>
        <v>0</v>
      </c>
      <c r="O244" s="7">
        <f t="shared" si="11"/>
        <v>400</v>
      </c>
      <c r="P244" s="7">
        <f t="shared" si="12"/>
        <v>0</v>
      </c>
      <c r="Q244" s="7">
        <f t="shared" si="13"/>
        <v>500</v>
      </c>
      <c r="R244" s="7">
        <f t="shared" si="14"/>
        <v>0</v>
      </c>
      <c r="S244" s="7">
        <f t="shared" si="15"/>
        <v>600</v>
      </c>
      <c r="T244" s="7">
        <f t="shared" si="16"/>
        <v>0</v>
      </c>
      <c r="U244" s="7">
        <f t="shared" si="17"/>
        <v>700</v>
      </c>
      <c r="V244" s="7">
        <f t="shared" si="18"/>
        <v>0</v>
      </c>
      <c r="W244" s="7">
        <f t="shared" si="19"/>
        <v>800</v>
      </c>
      <c r="X244" s="7">
        <f t="shared" si="20"/>
        <v>0</v>
      </c>
      <c r="Y244" s="7">
        <f t="shared" si="21"/>
        <v>900</v>
      </c>
      <c r="Z244" s="7">
        <f t="shared" si="22"/>
        <v>0</v>
      </c>
    </row>
    <row r="245">
      <c r="A245" s="19"/>
      <c r="B245" s="19"/>
      <c r="C245" s="13">
        <v>48245.0</v>
      </c>
      <c r="D245" s="12">
        <f>'Income per month'!B245</f>
        <v>1000</v>
      </c>
      <c r="E245" s="7">
        <f t="shared" si="1"/>
        <v>50</v>
      </c>
      <c r="F245" s="7">
        <f t="shared" si="2"/>
        <v>0</v>
      </c>
      <c r="G245" s="7">
        <f t="shared" si="3"/>
        <v>100</v>
      </c>
      <c r="H245" s="7">
        <f t="shared" si="4"/>
        <v>0</v>
      </c>
      <c r="I245" s="7">
        <f t="shared" si="5"/>
        <v>150</v>
      </c>
      <c r="J245" s="7">
        <f t="shared" si="6"/>
        <v>0</v>
      </c>
      <c r="K245" s="7">
        <f t="shared" si="7"/>
        <v>200</v>
      </c>
      <c r="L245" s="7">
        <f t="shared" si="8"/>
        <v>0</v>
      </c>
      <c r="M245" s="7">
        <f t="shared" si="9"/>
        <v>300</v>
      </c>
      <c r="N245" s="7">
        <f t="shared" si="10"/>
        <v>0</v>
      </c>
      <c r="O245" s="7">
        <f t="shared" si="11"/>
        <v>400</v>
      </c>
      <c r="P245" s="7">
        <f t="shared" si="12"/>
        <v>0</v>
      </c>
      <c r="Q245" s="7">
        <f t="shared" si="13"/>
        <v>500</v>
      </c>
      <c r="R245" s="7">
        <f t="shared" si="14"/>
        <v>0</v>
      </c>
      <c r="S245" s="7">
        <f t="shared" si="15"/>
        <v>600</v>
      </c>
      <c r="T245" s="7">
        <f t="shared" si="16"/>
        <v>0</v>
      </c>
      <c r="U245" s="7">
        <f t="shared" si="17"/>
        <v>700</v>
      </c>
      <c r="V245" s="7">
        <f t="shared" si="18"/>
        <v>0</v>
      </c>
      <c r="W245" s="7">
        <f t="shared" si="19"/>
        <v>800</v>
      </c>
      <c r="X245" s="7">
        <f t="shared" si="20"/>
        <v>0</v>
      </c>
      <c r="Y245" s="7">
        <f t="shared" si="21"/>
        <v>900</v>
      </c>
      <c r="Z245" s="7">
        <f t="shared" si="22"/>
        <v>0</v>
      </c>
    </row>
    <row r="246">
      <c r="A246" s="19"/>
      <c r="B246" s="19"/>
      <c r="C246" s="13">
        <v>48274.0</v>
      </c>
      <c r="D246" s="12">
        <f>'Income per month'!B246</f>
        <v>1000</v>
      </c>
      <c r="E246" s="7">
        <f t="shared" si="1"/>
        <v>50</v>
      </c>
      <c r="F246" s="7">
        <f t="shared" si="2"/>
        <v>0</v>
      </c>
      <c r="G246" s="7">
        <f t="shared" si="3"/>
        <v>100</v>
      </c>
      <c r="H246" s="7">
        <f t="shared" si="4"/>
        <v>0</v>
      </c>
      <c r="I246" s="7">
        <f t="shared" si="5"/>
        <v>150</v>
      </c>
      <c r="J246" s="7">
        <f t="shared" si="6"/>
        <v>0</v>
      </c>
      <c r="K246" s="7">
        <f t="shared" si="7"/>
        <v>200</v>
      </c>
      <c r="L246" s="7">
        <f t="shared" si="8"/>
        <v>0</v>
      </c>
      <c r="M246" s="7">
        <f t="shared" si="9"/>
        <v>300</v>
      </c>
      <c r="N246" s="7">
        <f t="shared" si="10"/>
        <v>0</v>
      </c>
      <c r="O246" s="7">
        <f t="shared" si="11"/>
        <v>400</v>
      </c>
      <c r="P246" s="7">
        <f t="shared" si="12"/>
        <v>0</v>
      </c>
      <c r="Q246" s="7">
        <f t="shared" si="13"/>
        <v>500</v>
      </c>
      <c r="R246" s="7">
        <f t="shared" si="14"/>
        <v>0</v>
      </c>
      <c r="S246" s="7">
        <f t="shared" si="15"/>
        <v>600</v>
      </c>
      <c r="T246" s="7">
        <f t="shared" si="16"/>
        <v>0</v>
      </c>
      <c r="U246" s="7">
        <f t="shared" si="17"/>
        <v>700</v>
      </c>
      <c r="V246" s="7">
        <f t="shared" si="18"/>
        <v>0</v>
      </c>
      <c r="W246" s="7">
        <f t="shared" si="19"/>
        <v>800</v>
      </c>
      <c r="X246" s="7">
        <f t="shared" si="20"/>
        <v>0</v>
      </c>
      <c r="Y246" s="7">
        <f t="shared" si="21"/>
        <v>900</v>
      </c>
      <c r="Z246" s="7">
        <f t="shared" si="22"/>
        <v>0</v>
      </c>
    </row>
    <row r="247">
      <c r="A247" s="19"/>
      <c r="B247" s="19"/>
      <c r="C247" s="13">
        <v>48305.0</v>
      </c>
      <c r="D247" s="12">
        <f>'Income per month'!B247</f>
        <v>1000</v>
      </c>
      <c r="E247" s="7">
        <f t="shared" si="1"/>
        <v>50</v>
      </c>
      <c r="F247" s="7">
        <f t="shared" si="2"/>
        <v>0</v>
      </c>
      <c r="G247" s="7">
        <f t="shared" si="3"/>
        <v>100</v>
      </c>
      <c r="H247" s="7">
        <f t="shared" si="4"/>
        <v>0</v>
      </c>
      <c r="I247" s="7">
        <f t="shared" si="5"/>
        <v>150</v>
      </c>
      <c r="J247" s="7">
        <f t="shared" si="6"/>
        <v>0</v>
      </c>
      <c r="K247" s="7">
        <f t="shared" si="7"/>
        <v>200</v>
      </c>
      <c r="L247" s="7">
        <f t="shared" si="8"/>
        <v>0</v>
      </c>
      <c r="M247" s="7">
        <f t="shared" si="9"/>
        <v>300</v>
      </c>
      <c r="N247" s="7">
        <f t="shared" si="10"/>
        <v>0</v>
      </c>
      <c r="O247" s="7">
        <f t="shared" si="11"/>
        <v>400</v>
      </c>
      <c r="P247" s="7">
        <f t="shared" si="12"/>
        <v>0</v>
      </c>
      <c r="Q247" s="7">
        <f t="shared" si="13"/>
        <v>500</v>
      </c>
      <c r="R247" s="7">
        <f t="shared" si="14"/>
        <v>0</v>
      </c>
      <c r="S247" s="7">
        <f t="shared" si="15"/>
        <v>600</v>
      </c>
      <c r="T247" s="7">
        <f t="shared" si="16"/>
        <v>0</v>
      </c>
      <c r="U247" s="7">
        <f t="shared" si="17"/>
        <v>700</v>
      </c>
      <c r="V247" s="7">
        <f t="shared" si="18"/>
        <v>0</v>
      </c>
      <c r="W247" s="7">
        <f t="shared" si="19"/>
        <v>800</v>
      </c>
      <c r="X247" s="7">
        <f t="shared" si="20"/>
        <v>0</v>
      </c>
      <c r="Y247" s="7">
        <f t="shared" si="21"/>
        <v>900</v>
      </c>
      <c r="Z247" s="7">
        <f t="shared" si="22"/>
        <v>0</v>
      </c>
    </row>
    <row r="248">
      <c r="A248" s="19"/>
      <c r="B248" s="19"/>
      <c r="C248" s="13">
        <v>48335.0</v>
      </c>
      <c r="D248" s="12">
        <f>'Income per month'!B248</f>
        <v>1000</v>
      </c>
      <c r="E248" s="7">
        <f t="shared" si="1"/>
        <v>50</v>
      </c>
      <c r="F248" s="7">
        <f t="shared" si="2"/>
        <v>0</v>
      </c>
      <c r="G248" s="7">
        <f t="shared" si="3"/>
        <v>100</v>
      </c>
      <c r="H248" s="7">
        <f t="shared" si="4"/>
        <v>0</v>
      </c>
      <c r="I248" s="7">
        <f t="shared" si="5"/>
        <v>150</v>
      </c>
      <c r="J248" s="7">
        <f t="shared" si="6"/>
        <v>0</v>
      </c>
      <c r="K248" s="7">
        <f t="shared" si="7"/>
        <v>200</v>
      </c>
      <c r="L248" s="7">
        <f t="shared" si="8"/>
        <v>0</v>
      </c>
      <c r="M248" s="7">
        <f t="shared" si="9"/>
        <v>300</v>
      </c>
      <c r="N248" s="7">
        <f t="shared" si="10"/>
        <v>0</v>
      </c>
      <c r="O248" s="7">
        <f t="shared" si="11"/>
        <v>400</v>
      </c>
      <c r="P248" s="7">
        <f t="shared" si="12"/>
        <v>0</v>
      </c>
      <c r="Q248" s="7">
        <f t="shared" si="13"/>
        <v>500</v>
      </c>
      <c r="R248" s="7">
        <f t="shared" si="14"/>
        <v>0</v>
      </c>
      <c r="S248" s="7">
        <f t="shared" si="15"/>
        <v>600</v>
      </c>
      <c r="T248" s="7">
        <f t="shared" si="16"/>
        <v>0</v>
      </c>
      <c r="U248" s="7">
        <f t="shared" si="17"/>
        <v>700</v>
      </c>
      <c r="V248" s="7">
        <f t="shared" si="18"/>
        <v>0</v>
      </c>
      <c r="W248" s="7">
        <f t="shared" si="19"/>
        <v>800</v>
      </c>
      <c r="X248" s="7">
        <f t="shared" si="20"/>
        <v>0</v>
      </c>
      <c r="Y248" s="7">
        <f t="shared" si="21"/>
        <v>900</v>
      </c>
      <c r="Z248" s="7">
        <f t="shared" si="22"/>
        <v>0</v>
      </c>
    </row>
    <row r="249">
      <c r="A249" s="19"/>
      <c r="B249" s="19"/>
      <c r="C249" s="13">
        <v>48366.0</v>
      </c>
      <c r="D249" s="12">
        <f>'Income per month'!B249</f>
        <v>1000</v>
      </c>
      <c r="E249" s="7">
        <f t="shared" si="1"/>
        <v>50</v>
      </c>
      <c r="F249" s="7">
        <f t="shared" si="2"/>
        <v>0</v>
      </c>
      <c r="G249" s="7">
        <f t="shared" si="3"/>
        <v>100</v>
      </c>
      <c r="H249" s="7">
        <f t="shared" si="4"/>
        <v>0</v>
      </c>
      <c r="I249" s="7">
        <f t="shared" si="5"/>
        <v>150</v>
      </c>
      <c r="J249" s="7">
        <f t="shared" si="6"/>
        <v>0</v>
      </c>
      <c r="K249" s="7">
        <f t="shared" si="7"/>
        <v>200</v>
      </c>
      <c r="L249" s="7">
        <f t="shared" si="8"/>
        <v>0</v>
      </c>
      <c r="M249" s="7">
        <f t="shared" si="9"/>
        <v>300</v>
      </c>
      <c r="N249" s="7">
        <f t="shared" si="10"/>
        <v>0</v>
      </c>
      <c r="O249" s="7">
        <f t="shared" si="11"/>
        <v>400</v>
      </c>
      <c r="P249" s="7">
        <f t="shared" si="12"/>
        <v>0</v>
      </c>
      <c r="Q249" s="7">
        <f t="shared" si="13"/>
        <v>500</v>
      </c>
      <c r="R249" s="7">
        <f t="shared" si="14"/>
        <v>0</v>
      </c>
      <c r="S249" s="7">
        <f t="shared" si="15"/>
        <v>600</v>
      </c>
      <c r="T249" s="7">
        <f t="shared" si="16"/>
        <v>0</v>
      </c>
      <c r="U249" s="7">
        <f t="shared" si="17"/>
        <v>700</v>
      </c>
      <c r="V249" s="7">
        <f t="shared" si="18"/>
        <v>0</v>
      </c>
      <c r="W249" s="7">
        <f t="shared" si="19"/>
        <v>800</v>
      </c>
      <c r="X249" s="7">
        <f t="shared" si="20"/>
        <v>0</v>
      </c>
      <c r="Y249" s="7">
        <f t="shared" si="21"/>
        <v>900</v>
      </c>
      <c r="Z249" s="7">
        <f t="shared" si="22"/>
        <v>0</v>
      </c>
    </row>
    <row r="250">
      <c r="A250" s="19"/>
      <c r="B250" s="19"/>
      <c r="C250" s="13">
        <v>48396.0</v>
      </c>
      <c r="D250" s="12">
        <f>'Income per month'!B250</f>
        <v>1000</v>
      </c>
      <c r="E250" s="7">
        <f t="shared" si="1"/>
        <v>50</v>
      </c>
      <c r="F250" s="7">
        <f t="shared" si="2"/>
        <v>0</v>
      </c>
      <c r="G250" s="7">
        <f t="shared" si="3"/>
        <v>100</v>
      </c>
      <c r="H250" s="7">
        <f t="shared" si="4"/>
        <v>0</v>
      </c>
      <c r="I250" s="7">
        <f t="shared" si="5"/>
        <v>150</v>
      </c>
      <c r="J250" s="7">
        <f t="shared" si="6"/>
        <v>0</v>
      </c>
      <c r="K250" s="7">
        <f t="shared" si="7"/>
        <v>200</v>
      </c>
      <c r="L250" s="7">
        <f t="shared" si="8"/>
        <v>0</v>
      </c>
      <c r="M250" s="7">
        <f t="shared" si="9"/>
        <v>300</v>
      </c>
      <c r="N250" s="7">
        <f t="shared" si="10"/>
        <v>0</v>
      </c>
      <c r="O250" s="7">
        <f t="shared" si="11"/>
        <v>400</v>
      </c>
      <c r="P250" s="7">
        <f t="shared" si="12"/>
        <v>0</v>
      </c>
      <c r="Q250" s="7">
        <f t="shared" si="13"/>
        <v>500</v>
      </c>
      <c r="R250" s="7">
        <f t="shared" si="14"/>
        <v>0</v>
      </c>
      <c r="S250" s="7">
        <f t="shared" si="15"/>
        <v>600</v>
      </c>
      <c r="T250" s="7">
        <f t="shared" si="16"/>
        <v>0</v>
      </c>
      <c r="U250" s="7">
        <f t="shared" si="17"/>
        <v>700</v>
      </c>
      <c r="V250" s="7">
        <f t="shared" si="18"/>
        <v>0</v>
      </c>
      <c r="W250" s="7">
        <f t="shared" si="19"/>
        <v>800</v>
      </c>
      <c r="X250" s="7">
        <f t="shared" si="20"/>
        <v>0</v>
      </c>
      <c r="Y250" s="7">
        <f t="shared" si="21"/>
        <v>900</v>
      </c>
      <c r="Z250" s="7">
        <f t="shared" si="22"/>
        <v>0</v>
      </c>
    </row>
    <row r="251">
      <c r="A251" s="19"/>
      <c r="B251" s="19"/>
      <c r="C251" s="13">
        <v>48427.0</v>
      </c>
      <c r="D251" s="12">
        <f>'Income per month'!B251</f>
        <v>1000</v>
      </c>
      <c r="E251" s="7">
        <f t="shared" si="1"/>
        <v>50</v>
      </c>
      <c r="F251" s="7">
        <f t="shared" si="2"/>
        <v>0</v>
      </c>
      <c r="G251" s="7">
        <f t="shared" si="3"/>
        <v>100</v>
      </c>
      <c r="H251" s="7">
        <f t="shared" si="4"/>
        <v>0</v>
      </c>
      <c r="I251" s="7">
        <f t="shared" si="5"/>
        <v>150</v>
      </c>
      <c r="J251" s="7">
        <f t="shared" si="6"/>
        <v>0</v>
      </c>
      <c r="K251" s="7">
        <f t="shared" si="7"/>
        <v>200</v>
      </c>
      <c r="L251" s="7">
        <f t="shared" si="8"/>
        <v>0</v>
      </c>
      <c r="M251" s="7">
        <f t="shared" si="9"/>
        <v>300</v>
      </c>
      <c r="N251" s="7">
        <f t="shared" si="10"/>
        <v>0</v>
      </c>
      <c r="O251" s="7">
        <f t="shared" si="11"/>
        <v>400</v>
      </c>
      <c r="P251" s="7">
        <f t="shared" si="12"/>
        <v>0</v>
      </c>
      <c r="Q251" s="7">
        <f t="shared" si="13"/>
        <v>500</v>
      </c>
      <c r="R251" s="7">
        <f t="shared" si="14"/>
        <v>0</v>
      </c>
      <c r="S251" s="7">
        <f t="shared" si="15"/>
        <v>600</v>
      </c>
      <c r="T251" s="7">
        <f t="shared" si="16"/>
        <v>0</v>
      </c>
      <c r="U251" s="7">
        <f t="shared" si="17"/>
        <v>700</v>
      </c>
      <c r="V251" s="7">
        <f t="shared" si="18"/>
        <v>0</v>
      </c>
      <c r="W251" s="7">
        <f t="shared" si="19"/>
        <v>800</v>
      </c>
      <c r="X251" s="7">
        <f t="shared" si="20"/>
        <v>0</v>
      </c>
      <c r="Y251" s="7">
        <f t="shared" si="21"/>
        <v>900</v>
      </c>
      <c r="Z251" s="7">
        <f t="shared" si="22"/>
        <v>0</v>
      </c>
    </row>
    <row r="252">
      <c r="A252" s="19"/>
      <c r="B252" s="19"/>
      <c r="C252" s="13">
        <v>48458.0</v>
      </c>
      <c r="D252" s="12">
        <f>'Income per month'!B252</f>
        <v>1000</v>
      </c>
      <c r="E252" s="7">
        <f t="shared" si="1"/>
        <v>50</v>
      </c>
      <c r="F252" s="7">
        <f t="shared" si="2"/>
        <v>0</v>
      </c>
      <c r="G252" s="7">
        <f t="shared" si="3"/>
        <v>100</v>
      </c>
      <c r="H252" s="7">
        <f t="shared" si="4"/>
        <v>0</v>
      </c>
      <c r="I252" s="7">
        <f t="shared" si="5"/>
        <v>150</v>
      </c>
      <c r="J252" s="7">
        <f t="shared" si="6"/>
        <v>0</v>
      </c>
      <c r="K252" s="7">
        <f t="shared" si="7"/>
        <v>200</v>
      </c>
      <c r="L252" s="7">
        <f t="shared" si="8"/>
        <v>0</v>
      </c>
      <c r="M252" s="7">
        <f t="shared" si="9"/>
        <v>300</v>
      </c>
      <c r="N252" s="7">
        <f t="shared" si="10"/>
        <v>0</v>
      </c>
      <c r="O252" s="7">
        <f t="shared" si="11"/>
        <v>400</v>
      </c>
      <c r="P252" s="7">
        <f t="shared" si="12"/>
        <v>0</v>
      </c>
      <c r="Q252" s="7">
        <f t="shared" si="13"/>
        <v>500</v>
      </c>
      <c r="R252" s="7">
        <f t="shared" si="14"/>
        <v>0</v>
      </c>
      <c r="S252" s="7">
        <f t="shared" si="15"/>
        <v>600</v>
      </c>
      <c r="T252" s="7">
        <f t="shared" si="16"/>
        <v>0</v>
      </c>
      <c r="U252" s="7">
        <f t="shared" si="17"/>
        <v>700</v>
      </c>
      <c r="V252" s="7">
        <f t="shared" si="18"/>
        <v>0</v>
      </c>
      <c r="W252" s="7">
        <f t="shared" si="19"/>
        <v>800</v>
      </c>
      <c r="X252" s="7">
        <f t="shared" si="20"/>
        <v>0</v>
      </c>
      <c r="Y252" s="7">
        <f t="shared" si="21"/>
        <v>900</v>
      </c>
      <c r="Z252" s="7">
        <f t="shared" si="22"/>
        <v>0</v>
      </c>
    </row>
    <row r="253">
      <c r="A253" s="19"/>
      <c r="B253" s="19"/>
      <c r="C253" s="13">
        <v>48488.0</v>
      </c>
      <c r="D253" s="12">
        <f>'Income per month'!B253</f>
        <v>1000</v>
      </c>
      <c r="E253" s="7">
        <f t="shared" si="1"/>
        <v>50</v>
      </c>
      <c r="F253" s="7">
        <f t="shared" si="2"/>
        <v>0</v>
      </c>
      <c r="G253" s="7">
        <f t="shared" si="3"/>
        <v>100</v>
      </c>
      <c r="H253" s="7">
        <f t="shared" si="4"/>
        <v>0</v>
      </c>
      <c r="I253" s="7">
        <f t="shared" si="5"/>
        <v>150</v>
      </c>
      <c r="J253" s="7">
        <f t="shared" si="6"/>
        <v>0</v>
      </c>
      <c r="K253" s="7">
        <f t="shared" si="7"/>
        <v>200</v>
      </c>
      <c r="L253" s="7">
        <f t="shared" si="8"/>
        <v>0</v>
      </c>
      <c r="M253" s="7">
        <f t="shared" si="9"/>
        <v>300</v>
      </c>
      <c r="N253" s="7">
        <f t="shared" si="10"/>
        <v>0</v>
      </c>
      <c r="O253" s="7">
        <f t="shared" si="11"/>
        <v>400</v>
      </c>
      <c r="P253" s="7">
        <f t="shared" si="12"/>
        <v>0</v>
      </c>
      <c r="Q253" s="7">
        <f t="shared" si="13"/>
        <v>500</v>
      </c>
      <c r="R253" s="7">
        <f t="shared" si="14"/>
        <v>0</v>
      </c>
      <c r="S253" s="7">
        <f t="shared" si="15"/>
        <v>600</v>
      </c>
      <c r="T253" s="7">
        <f t="shared" si="16"/>
        <v>0</v>
      </c>
      <c r="U253" s="7">
        <f t="shared" si="17"/>
        <v>700</v>
      </c>
      <c r="V253" s="7">
        <f t="shared" si="18"/>
        <v>0</v>
      </c>
      <c r="W253" s="7">
        <f t="shared" si="19"/>
        <v>800</v>
      </c>
      <c r="X253" s="7">
        <f t="shared" si="20"/>
        <v>0</v>
      </c>
      <c r="Y253" s="7">
        <f t="shared" si="21"/>
        <v>900</v>
      </c>
      <c r="Z253" s="7">
        <f t="shared" si="22"/>
        <v>0</v>
      </c>
    </row>
    <row r="254">
      <c r="A254" s="19"/>
      <c r="B254" s="19"/>
      <c r="C254" s="13">
        <v>48519.0</v>
      </c>
      <c r="D254" s="12">
        <f>'Income per month'!B254</f>
        <v>1000</v>
      </c>
      <c r="E254" s="7">
        <f t="shared" si="1"/>
        <v>50</v>
      </c>
      <c r="F254" s="7">
        <f t="shared" si="2"/>
        <v>0</v>
      </c>
      <c r="G254" s="7">
        <f t="shared" si="3"/>
        <v>100</v>
      </c>
      <c r="H254" s="7">
        <f t="shared" si="4"/>
        <v>0</v>
      </c>
      <c r="I254" s="7">
        <f t="shared" si="5"/>
        <v>150</v>
      </c>
      <c r="J254" s="7">
        <f t="shared" si="6"/>
        <v>0</v>
      </c>
      <c r="K254" s="7">
        <f t="shared" si="7"/>
        <v>200</v>
      </c>
      <c r="L254" s="7">
        <f t="shared" si="8"/>
        <v>0</v>
      </c>
      <c r="M254" s="7">
        <f t="shared" si="9"/>
        <v>300</v>
      </c>
      <c r="N254" s="7">
        <f t="shared" si="10"/>
        <v>0</v>
      </c>
      <c r="O254" s="7">
        <f t="shared" si="11"/>
        <v>400</v>
      </c>
      <c r="P254" s="7">
        <f t="shared" si="12"/>
        <v>0</v>
      </c>
      <c r="Q254" s="7">
        <f t="shared" si="13"/>
        <v>500</v>
      </c>
      <c r="R254" s="7">
        <f t="shared" si="14"/>
        <v>0</v>
      </c>
      <c r="S254" s="7">
        <f t="shared" si="15"/>
        <v>600</v>
      </c>
      <c r="T254" s="7">
        <f t="shared" si="16"/>
        <v>0</v>
      </c>
      <c r="U254" s="7">
        <f t="shared" si="17"/>
        <v>700</v>
      </c>
      <c r="V254" s="7">
        <f t="shared" si="18"/>
        <v>0</v>
      </c>
      <c r="W254" s="7">
        <f t="shared" si="19"/>
        <v>800</v>
      </c>
      <c r="X254" s="7">
        <f t="shared" si="20"/>
        <v>0</v>
      </c>
      <c r="Y254" s="7">
        <f t="shared" si="21"/>
        <v>900</v>
      </c>
      <c r="Z254" s="7">
        <f t="shared" si="22"/>
        <v>0</v>
      </c>
    </row>
    <row r="255">
      <c r="A255" s="19"/>
      <c r="B255" s="19"/>
      <c r="C255" s="14">
        <v>48549.0</v>
      </c>
      <c r="D255" s="12">
        <f>'Income per month'!B255</f>
        <v>1000</v>
      </c>
      <c r="E255" s="7">
        <f t="shared" si="1"/>
        <v>50</v>
      </c>
      <c r="F255" s="7">
        <f t="shared" si="2"/>
        <v>0</v>
      </c>
      <c r="G255" s="7">
        <f t="shared" si="3"/>
        <v>100</v>
      </c>
      <c r="H255" s="7">
        <f t="shared" si="4"/>
        <v>0</v>
      </c>
      <c r="I255" s="7">
        <f t="shared" si="5"/>
        <v>150</v>
      </c>
      <c r="J255" s="7">
        <f t="shared" si="6"/>
        <v>0</v>
      </c>
      <c r="K255" s="7">
        <f t="shared" si="7"/>
        <v>200</v>
      </c>
      <c r="L255" s="7">
        <f t="shared" si="8"/>
        <v>0</v>
      </c>
      <c r="M255" s="7">
        <f t="shared" si="9"/>
        <v>300</v>
      </c>
      <c r="N255" s="7">
        <f t="shared" si="10"/>
        <v>0</v>
      </c>
      <c r="O255" s="7">
        <f t="shared" si="11"/>
        <v>400</v>
      </c>
      <c r="P255" s="7">
        <f t="shared" si="12"/>
        <v>0</v>
      </c>
      <c r="Q255" s="7">
        <f t="shared" si="13"/>
        <v>500</v>
      </c>
      <c r="R255" s="7">
        <f t="shared" si="14"/>
        <v>0</v>
      </c>
      <c r="S255" s="7">
        <f t="shared" si="15"/>
        <v>600</v>
      </c>
      <c r="T255" s="7">
        <f t="shared" si="16"/>
        <v>0</v>
      </c>
      <c r="U255" s="7">
        <f t="shared" si="17"/>
        <v>700</v>
      </c>
      <c r="V255" s="7">
        <f t="shared" si="18"/>
        <v>0</v>
      </c>
      <c r="W255" s="7">
        <f t="shared" si="19"/>
        <v>800</v>
      </c>
      <c r="X255" s="7">
        <f t="shared" si="20"/>
        <v>0</v>
      </c>
      <c r="Y255" s="7">
        <f t="shared" si="21"/>
        <v>900</v>
      </c>
      <c r="Z255" s="7">
        <f t="shared" si="22"/>
        <v>0</v>
      </c>
    </row>
    <row r="256">
      <c r="A256" s="19"/>
      <c r="B256" s="19"/>
      <c r="C256" s="13">
        <v>48580.0</v>
      </c>
      <c r="D256" s="12">
        <f>'Income per month'!B256</f>
        <v>1000</v>
      </c>
      <c r="E256" s="7">
        <f t="shared" si="1"/>
        <v>50</v>
      </c>
      <c r="F256" s="7">
        <f t="shared" si="2"/>
        <v>0</v>
      </c>
      <c r="G256" s="7">
        <f t="shared" si="3"/>
        <v>100</v>
      </c>
      <c r="H256" s="7">
        <f t="shared" si="4"/>
        <v>0</v>
      </c>
      <c r="I256" s="7">
        <f t="shared" si="5"/>
        <v>150</v>
      </c>
      <c r="J256" s="7">
        <f t="shared" si="6"/>
        <v>0</v>
      </c>
      <c r="K256" s="7">
        <f t="shared" si="7"/>
        <v>200</v>
      </c>
      <c r="L256" s="7">
        <f t="shared" si="8"/>
        <v>0</v>
      </c>
      <c r="M256" s="7">
        <f t="shared" si="9"/>
        <v>300</v>
      </c>
      <c r="N256" s="7">
        <f t="shared" si="10"/>
        <v>0</v>
      </c>
      <c r="O256" s="7">
        <f t="shared" si="11"/>
        <v>400</v>
      </c>
      <c r="P256" s="7">
        <f t="shared" si="12"/>
        <v>0</v>
      </c>
      <c r="Q256" s="7">
        <f t="shared" si="13"/>
        <v>500</v>
      </c>
      <c r="R256" s="7">
        <f t="shared" si="14"/>
        <v>0</v>
      </c>
      <c r="S256" s="7">
        <f t="shared" si="15"/>
        <v>600</v>
      </c>
      <c r="T256" s="7">
        <f t="shared" si="16"/>
        <v>0</v>
      </c>
      <c r="U256" s="7">
        <f t="shared" si="17"/>
        <v>700</v>
      </c>
      <c r="V256" s="7">
        <f t="shared" si="18"/>
        <v>0</v>
      </c>
      <c r="W256" s="7">
        <f t="shared" si="19"/>
        <v>800</v>
      </c>
      <c r="X256" s="7">
        <f t="shared" si="20"/>
        <v>0</v>
      </c>
      <c r="Y256" s="7">
        <f t="shared" si="21"/>
        <v>900</v>
      </c>
      <c r="Z256" s="7">
        <f t="shared" si="22"/>
        <v>0</v>
      </c>
    </row>
    <row r="257">
      <c r="A257" s="19"/>
      <c r="B257" s="19"/>
      <c r="C257" s="13">
        <v>48611.0</v>
      </c>
      <c r="D257" s="12">
        <f>'Income per month'!B257</f>
        <v>1000</v>
      </c>
      <c r="E257" s="7">
        <f t="shared" si="1"/>
        <v>50</v>
      </c>
      <c r="F257" s="7">
        <f t="shared" si="2"/>
        <v>0</v>
      </c>
      <c r="G257" s="7">
        <f t="shared" si="3"/>
        <v>100</v>
      </c>
      <c r="H257" s="7">
        <f t="shared" si="4"/>
        <v>0</v>
      </c>
      <c r="I257" s="7">
        <f t="shared" si="5"/>
        <v>150</v>
      </c>
      <c r="J257" s="7">
        <f t="shared" si="6"/>
        <v>0</v>
      </c>
      <c r="K257" s="7">
        <f t="shared" si="7"/>
        <v>200</v>
      </c>
      <c r="L257" s="7">
        <f t="shared" si="8"/>
        <v>0</v>
      </c>
      <c r="M257" s="7">
        <f t="shared" si="9"/>
        <v>300</v>
      </c>
      <c r="N257" s="7">
        <f t="shared" si="10"/>
        <v>0</v>
      </c>
      <c r="O257" s="7">
        <f t="shared" si="11"/>
        <v>400</v>
      </c>
      <c r="P257" s="7">
        <f t="shared" si="12"/>
        <v>0</v>
      </c>
      <c r="Q257" s="7">
        <f t="shared" si="13"/>
        <v>500</v>
      </c>
      <c r="R257" s="7">
        <f t="shared" si="14"/>
        <v>0</v>
      </c>
      <c r="S257" s="7">
        <f t="shared" si="15"/>
        <v>600</v>
      </c>
      <c r="T257" s="7">
        <f t="shared" si="16"/>
        <v>0</v>
      </c>
      <c r="U257" s="7">
        <f t="shared" si="17"/>
        <v>700</v>
      </c>
      <c r="V257" s="7">
        <f t="shared" si="18"/>
        <v>0</v>
      </c>
      <c r="W257" s="7">
        <f t="shared" si="19"/>
        <v>800</v>
      </c>
      <c r="X257" s="7">
        <f t="shared" si="20"/>
        <v>0</v>
      </c>
      <c r="Y257" s="7">
        <f t="shared" si="21"/>
        <v>900</v>
      </c>
      <c r="Z257" s="7">
        <f t="shared" si="22"/>
        <v>0</v>
      </c>
    </row>
    <row r="258">
      <c r="A258" s="19"/>
      <c r="B258" s="19"/>
      <c r="C258" s="13">
        <v>48639.0</v>
      </c>
      <c r="D258" s="12">
        <f>'Income per month'!B258</f>
        <v>1000</v>
      </c>
      <c r="E258" s="7">
        <f t="shared" si="1"/>
        <v>50</v>
      </c>
      <c r="F258" s="7">
        <f t="shared" si="2"/>
        <v>0</v>
      </c>
      <c r="G258" s="7">
        <f t="shared" si="3"/>
        <v>100</v>
      </c>
      <c r="H258" s="7">
        <f t="shared" si="4"/>
        <v>0</v>
      </c>
      <c r="I258" s="7">
        <f t="shared" si="5"/>
        <v>150</v>
      </c>
      <c r="J258" s="7">
        <f t="shared" si="6"/>
        <v>0</v>
      </c>
      <c r="K258" s="7">
        <f t="shared" si="7"/>
        <v>200</v>
      </c>
      <c r="L258" s="7">
        <f t="shared" si="8"/>
        <v>0</v>
      </c>
      <c r="M258" s="7">
        <f t="shared" si="9"/>
        <v>300</v>
      </c>
      <c r="N258" s="7">
        <f t="shared" si="10"/>
        <v>0</v>
      </c>
      <c r="O258" s="7">
        <f t="shared" si="11"/>
        <v>400</v>
      </c>
      <c r="P258" s="7">
        <f t="shared" si="12"/>
        <v>0</v>
      </c>
      <c r="Q258" s="7">
        <f t="shared" si="13"/>
        <v>500</v>
      </c>
      <c r="R258" s="7">
        <f t="shared" si="14"/>
        <v>0</v>
      </c>
      <c r="S258" s="7">
        <f t="shared" si="15"/>
        <v>600</v>
      </c>
      <c r="T258" s="7">
        <f t="shared" si="16"/>
        <v>0</v>
      </c>
      <c r="U258" s="7">
        <f t="shared" si="17"/>
        <v>700</v>
      </c>
      <c r="V258" s="7">
        <f t="shared" si="18"/>
        <v>0</v>
      </c>
      <c r="W258" s="7">
        <f t="shared" si="19"/>
        <v>800</v>
      </c>
      <c r="X258" s="7">
        <f t="shared" si="20"/>
        <v>0</v>
      </c>
      <c r="Y258" s="7">
        <f t="shared" si="21"/>
        <v>900</v>
      </c>
      <c r="Z258" s="7">
        <f t="shared" si="22"/>
        <v>0</v>
      </c>
    </row>
    <row r="259">
      <c r="A259" s="19"/>
      <c r="B259" s="19"/>
      <c r="C259" s="13">
        <v>48670.0</v>
      </c>
      <c r="D259" s="12">
        <f>'Income per month'!B259</f>
        <v>1000</v>
      </c>
      <c r="E259" s="7">
        <f t="shared" si="1"/>
        <v>50</v>
      </c>
      <c r="F259" s="7">
        <f t="shared" si="2"/>
        <v>0</v>
      </c>
      <c r="G259" s="7">
        <f t="shared" si="3"/>
        <v>100</v>
      </c>
      <c r="H259" s="7">
        <f t="shared" si="4"/>
        <v>0</v>
      </c>
      <c r="I259" s="7">
        <f t="shared" si="5"/>
        <v>150</v>
      </c>
      <c r="J259" s="7">
        <f t="shared" si="6"/>
        <v>0</v>
      </c>
      <c r="K259" s="7">
        <f t="shared" si="7"/>
        <v>200</v>
      </c>
      <c r="L259" s="7">
        <f t="shared" si="8"/>
        <v>0</v>
      </c>
      <c r="M259" s="7">
        <f t="shared" si="9"/>
        <v>300</v>
      </c>
      <c r="N259" s="7">
        <f t="shared" si="10"/>
        <v>0</v>
      </c>
      <c r="O259" s="7">
        <f t="shared" si="11"/>
        <v>400</v>
      </c>
      <c r="P259" s="7">
        <f t="shared" si="12"/>
        <v>0</v>
      </c>
      <c r="Q259" s="7">
        <f t="shared" si="13"/>
        <v>500</v>
      </c>
      <c r="R259" s="7">
        <f t="shared" si="14"/>
        <v>0</v>
      </c>
      <c r="S259" s="7">
        <f t="shared" si="15"/>
        <v>600</v>
      </c>
      <c r="T259" s="7">
        <f t="shared" si="16"/>
        <v>0</v>
      </c>
      <c r="U259" s="7">
        <f t="shared" si="17"/>
        <v>700</v>
      </c>
      <c r="V259" s="7">
        <f t="shared" si="18"/>
        <v>0</v>
      </c>
      <c r="W259" s="7">
        <f t="shared" si="19"/>
        <v>800</v>
      </c>
      <c r="X259" s="7">
        <f t="shared" si="20"/>
        <v>0</v>
      </c>
      <c r="Y259" s="7">
        <f t="shared" si="21"/>
        <v>900</v>
      </c>
      <c r="Z259" s="7">
        <f t="shared" si="22"/>
        <v>0</v>
      </c>
    </row>
    <row r="260">
      <c r="A260" s="19"/>
      <c r="B260" s="19"/>
      <c r="C260" s="13">
        <v>48700.0</v>
      </c>
      <c r="D260" s="12">
        <f>'Income per month'!B260</f>
        <v>1000</v>
      </c>
      <c r="E260" s="7">
        <f t="shared" si="1"/>
        <v>50</v>
      </c>
      <c r="F260" s="7">
        <f t="shared" si="2"/>
        <v>0</v>
      </c>
      <c r="G260" s="7">
        <f t="shared" si="3"/>
        <v>100</v>
      </c>
      <c r="H260" s="7">
        <f t="shared" si="4"/>
        <v>0</v>
      </c>
      <c r="I260" s="7">
        <f t="shared" si="5"/>
        <v>150</v>
      </c>
      <c r="J260" s="7">
        <f t="shared" si="6"/>
        <v>0</v>
      </c>
      <c r="K260" s="7">
        <f t="shared" si="7"/>
        <v>200</v>
      </c>
      <c r="L260" s="7">
        <f t="shared" si="8"/>
        <v>0</v>
      </c>
      <c r="M260" s="7">
        <f t="shared" si="9"/>
        <v>300</v>
      </c>
      <c r="N260" s="7">
        <f t="shared" si="10"/>
        <v>0</v>
      </c>
      <c r="O260" s="7">
        <f t="shared" si="11"/>
        <v>400</v>
      </c>
      <c r="P260" s="7">
        <f t="shared" si="12"/>
        <v>0</v>
      </c>
      <c r="Q260" s="7">
        <f t="shared" si="13"/>
        <v>500</v>
      </c>
      <c r="R260" s="7">
        <f t="shared" si="14"/>
        <v>0</v>
      </c>
      <c r="S260" s="7">
        <f t="shared" si="15"/>
        <v>600</v>
      </c>
      <c r="T260" s="7">
        <f t="shared" si="16"/>
        <v>0</v>
      </c>
      <c r="U260" s="7">
        <f t="shared" si="17"/>
        <v>700</v>
      </c>
      <c r="V260" s="7">
        <f t="shared" si="18"/>
        <v>0</v>
      </c>
      <c r="W260" s="7">
        <f t="shared" si="19"/>
        <v>800</v>
      </c>
      <c r="X260" s="7">
        <f t="shared" si="20"/>
        <v>0</v>
      </c>
      <c r="Y260" s="7">
        <f t="shared" si="21"/>
        <v>900</v>
      </c>
      <c r="Z260" s="7">
        <f t="shared" si="22"/>
        <v>0</v>
      </c>
    </row>
    <row r="261">
      <c r="A261" s="19"/>
      <c r="B261" s="19"/>
      <c r="C261" s="13">
        <v>48731.0</v>
      </c>
      <c r="D261" s="12">
        <f>'Income per month'!B261</f>
        <v>1000</v>
      </c>
      <c r="E261" s="7">
        <f t="shared" si="1"/>
        <v>50</v>
      </c>
      <c r="F261" s="7">
        <f t="shared" si="2"/>
        <v>0</v>
      </c>
      <c r="G261" s="7">
        <f t="shared" si="3"/>
        <v>100</v>
      </c>
      <c r="H261" s="7">
        <f t="shared" si="4"/>
        <v>0</v>
      </c>
      <c r="I261" s="7">
        <f t="shared" si="5"/>
        <v>150</v>
      </c>
      <c r="J261" s="7">
        <f t="shared" si="6"/>
        <v>0</v>
      </c>
      <c r="K261" s="7">
        <f t="shared" si="7"/>
        <v>200</v>
      </c>
      <c r="L261" s="7">
        <f t="shared" si="8"/>
        <v>0</v>
      </c>
      <c r="M261" s="7">
        <f t="shared" si="9"/>
        <v>300</v>
      </c>
      <c r="N261" s="7">
        <f t="shared" si="10"/>
        <v>0</v>
      </c>
      <c r="O261" s="7">
        <f t="shared" si="11"/>
        <v>400</v>
      </c>
      <c r="P261" s="7">
        <f t="shared" si="12"/>
        <v>0</v>
      </c>
      <c r="Q261" s="7">
        <f t="shared" si="13"/>
        <v>500</v>
      </c>
      <c r="R261" s="7">
        <f t="shared" si="14"/>
        <v>0</v>
      </c>
      <c r="S261" s="7">
        <f t="shared" si="15"/>
        <v>600</v>
      </c>
      <c r="T261" s="7">
        <f t="shared" si="16"/>
        <v>0</v>
      </c>
      <c r="U261" s="7">
        <f t="shared" si="17"/>
        <v>700</v>
      </c>
      <c r="V261" s="7">
        <f t="shared" si="18"/>
        <v>0</v>
      </c>
      <c r="W261" s="7">
        <f t="shared" si="19"/>
        <v>800</v>
      </c>
      <c r="X261" s="7">
        <f t="shared" si="20"/>
        <v>0</v>
      </c>
      <c r="Y261" s="7">
        <f t="shared" si="21"/>
        <v>900</v>
      </c>
      <c r="Z261" s="7">
        <f t="shared" si="22"/>
        <v>0</v>
      </c>
    </row>
    <row r="262">
      <c r="A262" s="19"/>
      <c r="B262" s="19"/>
      <c r="C262" s="13">
        <v>48761.0</v>
      </c>
      <c r="D262" s="12">
        <f>'Income per month'!B262</f>
        <v>1000</v>
      </c>
      <c r="E262" s="7">
        <f t="shared" si="1"/>
        <v>50</v>
      </c>
      <c r="F262" s="7">
        <f t="shared" si="2"/>
        <v>0</v>
      </c>
      <c r="G262" s="7">
        <f t="shared" si="3"/>
        <v>100</v>
      </c>
      <c r="H262" s="7">
        <f t="shared" si="4"/>
        <v>0</v>
      </c>
      <c r="I262" s="7">
        <f t="shared" si="5"/>
        <v>150</v>
      </c>
      <c r="J262" s="7">
        <f t="shared" si="6"/>
        <v>0</v>
      </c>
      <c r="K262" s="7">
        <f t="shared" si="7"/>
        <v>200</v>
      </c>
      <c r="L262" s="7">
        <f t="shared" si="8"/>
        <v>0</v>
      </c>
      <c r="M262" s="7">
        <f t="shared" si="9"/>
        <v>300</v>
      </c>
      <c r="N262" s="7">
        <f t="shared" si="10"/>
        <v>0</v>
      </c>
      <c r="O262" s="7">
        <f t="shared" si="11"/>
        <v>400</v>
      </c>
      <c r="P262" s="7">
        <f t="shared" si="12"/>
        <v>0</v>
      </c>
      <c r="Q262" s="7">
        <f t="shared" si="13"/>
        <v>500</v>
      </c>
      <c r="R262" s="7">
        <f t="shared" si="14"/>
        <v>0</v>
      </c>
      <c r="S262" s="7">
        <f t="shared" si="15"/>
        <v>600</v>
      </c>
      <c r="T262" s="7">
        <f t="shared" si="16"/>
        <v>0</v>
      </c>
      <c r="U262" s="7">
        <f t="shared" si="17"/>
        <v>700</v>
      </c>
      <c r="V262" s="7">
        <f t="shared" si="18"/>
        <v>0</v>
      </c>
      <c r="W262" s="7">
        <f t="shared" si="19"/>
        <v>800</v>
      </c>
      <c r="X262" s="7">
        <f t="shared" si="20"/>
        <v>0</v>
      </c>
      <c r="Y262" s="7">
        <f t="shared" si="21"/>
        <v>900</v>
      </c>
      <c r="Z262" s="7">
        <f t="shared" si="22"/>
        <v>0</v>
      </c>
    </row>
    <row r="263">
      <c r="A263" s="19"/>
      <c r="B263" s="19"/>
      <c r="C263" s="13">
        <v>48792.0</v>
      </c>
      <c r="D263" s="12">
        <f>'Income per month'!B263</f>
        <v>1000</v>
      </c>
      <c r="E263" s="7">
        <f t="shared" si="1"/>
        <v>50</v>
      </c>
      <c r="F263" s="7">
        <f t="shared" si="2"/>
        <v>0</v>
      </c>
      <c r="G263" s="7">
        <f t="shared" si="3"/>
        <v>100</v>
      </c>
      <c r="H263" s="7">
        <f t="shared" si="4"/>
        <v>0</v>
      </c>
      <c r="I263" s="7">
        <f t="shared" si="5"/>
        <v>150</v>
      </c>
      <c r="J263" s="7">
        <f t="shared" si="6"/>
        <v>0</v>
      </c>
      <c r="K263" s="7">
        <f t="shared" si="7"/>
        <v>200</v>
      </c>
      <c r="L263" s="7">
        <f t="shared" si="8"/>
        <v>0</v>
      </c>
      <c r="M263" s="7">
        <f t="shared" si="9"/>
        <v>300</v>
      </c>
      <c r="N263" s="7">
        <f t="shared" si="10"/>
        <v>0</v>
      </c>
      <c r="O263" s="7">
        <f t="shared" si="11"/>
        <v>400</v>
      </c>
      <c r="P263" s="7">
        <f t="shared" si="12"/>
        <v>0</v>
      </c>
      <c r="Q263" s="7">
        <f t="shared" si="13"/>
        <v>500</v>
      </c>
      <c r="R263" s="7">
        <f t="shared" si="14"/>
        <v>0</v>
      </c>
      <c r="S263" s="7">
        <f t="shared" si="15"/>
        <v>600</v>
      </c>
      <c r="T263" s="7">
        <f t="shared" si="16"/>
        <v>0</v>
      </c>
      <c r="U263" s="7">
        <f t="shared" si="17"/>
        <v>700</v>
      </c>
      <c r="V263" s="7">
        <f t="shared" si="18"/>
        <v>0</v>
      </c>
      <c r="W263" s="7">
        <f t="shared" si="19"/>
        <v>800</v>
      </c>
      <c r="X263" s="7">
        <f t="shared" si="20"/>
        <v>0</v>
      </c>
      <c r="Y263" s="7">
        <f t="shared" si="21"/>
        <v>900</v>
      </c>
      <c r="Z263" s="7">
        <f t="shared" si="22"/>
        <v>0</v>
      </c>
    </row>
    <row r="264">
      <c r="A264" s="19"/>
      <c r="B264" s="19"/>
      <c r="C264" s="13">
        <v>48823.0</v>
      </c>
      <c r="D264" s="12">
        <f>'Income per month'!B264</f>
        <v>1000</v>
      </c>
      <c r="E264" s="7">
        <f t="shared" si="1"/>
        <v>50</v>
      </c>
      <c r="F264" s="7">
        <f t="shared" si="2"/>
        <v>0</v>
      </c>
      <c r="G264" s="7">
        <f t="shared" si="3"/>
        <v>100</v>
      </c>
      <c r="H264" s="7">
        <f t="shared" si="4"/>
        <v>0</v>
      </c>
      <c r="I264" s="7">
        <f t="shared" si="5"/>
        <v>150</v>
      </c>
      <c r="J264" s="7">
        <f t="shared" si="6"/>
        <v>0</v>
      </c>
      <c r="K264" s="7">
        <f t="shared" si="7"/>
        <v>200</v>
      </c>
      <c r="L264" s="7">
        <f t="shared" si="8"/>
        <v>0</v>
      </c>
      <c r="M264" s="7">
        <f t="shared" si="9"/>
        <v>300</v>
      </c>
      <c r="N264" s="7">
        <f t="shared" si="10"/>
        <v>0</v>
      </c>
      <c r="O264" s="7">
        <f t="shared" si="11"/>
        <v>400</v>
      </c>
      <c r="P264" s="7">
        <f t="shared" si="12"/>
        <v>0</v>
      </c>
      <c r="Q264" s="7">
        <f t="shared" si="13"/>
        <v>500</v>
      </c>
      <c r="R264" s="7">
        <f t="shared" si="14"/>
        <v>0</v>
      </c>
      <c r="S264" s="7">
        <f t="shared" si="15"/>
        <v>600</v>
      </c>
      <c r="T264" s="7">
        <f t="shared" si="16"/>
        <v>0</v>
      </c>
      <c r="U264" s="7">
        <f t="shared" si="17"/>
        <v>700</v>
      </c>
      <c r="V264" s="7">
        <f t="shared" si="18"/>
        <v>0</v>
      </c>
      <c r="W264" s="7">
        <f t="shared" si="19"/>
        <v>800</v>
      </c>
      <c r="X264" s="7">
        <f t="shared" si="20"/>
        <v>0</v>
      </c>
      <c r="Y264" s="7">
        <f t="shared" si="21"/>
        <v>900</v>
      </c>
      <c r="Z264" s="7">
        <f t="shared" si="22"/>
        <v>0</v>
      </c>
    </row>
    <row r="265">
      <c r="A265" s="19"/>
      <c r="B265" s="19"/>
      <c r="C265" s="13">
        <v>48853.0</v>
      </c>
      <c r="D265" s="12">
        <f>'Income per month'!B265</f>
        <v>1000</v>
      </c>
      <c r="E265" s="7">
        <f t="shared" si="1"/>
        <v>50</v>
      </c>
      <c r="F265" s="7">
        <f t="shared" si="2"/>
        <v>0</v>
      </c>
      <c r="G265" s="7">
        <f t="shared" si="3"/>
        <v>100</v>
      </c>
      <c r="H265" s="7">
        <f t="shared" si="4"/>
        <v>0</v>
      </c>
      <c r="I265" s="7">
        <f t="shared" si="5"/>
        <v>150</v>
      </c>
      <c r="J265" s="7">
        <f t="shared" si="6"/>
        <v>0</v>
      </c>
      <c r="K265" s="7">
        <f t="shared" si="7"/>
        <v>200</v>
      </c>
      <c r="L265" s="7">
        <f t="shared" si="8"/>
        <v>0</v>
      </c>
      <c r="M265" s="7">
        <f t="shared" si="9"/>
        <v>300</v>
      </c>
      <c r="N265" s="7">
        <f t="shared" si="10"/>
        <v>0</v>
      </c>
      <c r="O265" s="7">
        <f t="shared" si="11"/>
        <v>400</v>
      </c>
      <c r="P265" s="7">
        <f t="shared" si="12"/>
        <v>0</v>
      </c>
      <c r="Q265" s="7">
        <f t="shared" si="13"/>
        <v>500</v>
      </c>
      <c r="R265" s="7">
        <f t="shared" si="14"/>
        <v>0</v>
      </c>
      <c r="S265" s="7">
        <f t="shared" si="15"/>
        <v>600</v>
      </c>
      <c r="T265" s="7">
        <f t="shared" si="16"/>
        <v>0</v>
      </c>
      <c r="U265" s="7">
        <f t="shared" si="17"/>
        <v>700</v>
      </c>
      <c r="V265" s="7">
        <f t="shared" si="18"/>
        <v>0</v>
      </c>
      <c r="W265" s="7">
        <f t="shared" si="19"/>
        <v>800</v>
      </c>
      <c r="X265" s="7">
        <f t="shared" si="20"/>
        <v>0</v>
      </c>
      <c r="Y265" s="7">
        <f t="shared" si="21"/>
        <v>900</v>
      </c>
      <c r="Z265" s="7">
        <f t="shared" si="22"/>
        <v>0</v>
      </c>
    </row>
    <row r="266">
      <c r="A266" s="19"/>
      <c r="B266" s="19"/>
      <c r="C266" s="13">
        <v>48884.0</v>
      </c>
      <c r="D266" s="12">
        <f>'Income per month'!B266</f>
        <v>1000</v>
      </c>
      <c r="E266" s="7">
        <f t="shared" si="1"/>
        <v>50</v>
      </c>
      <c r="F266" s="7">
        <f t="shared" si="2"/>
        <v>0</v>
      </c>
      <c r="G266" s="7">
        <f t="shared" si="3"/>
        <v>100</v>
      </c>
      <c r="H266" s="7">
        <f t="shared" si="4"/>
        <v>0</v>
      </c>
      <c r="I266" s="7">
        <f t="shared" si="5"/>
        <v>150</v>
      </c>
      <c r="J266" s="7">
        <f t="shared" si="6"/>
        <v>0</v>
      </c>
      <c r="K266" s="7">
        <f t="shared" si="7"/>
        <v>200</v>
      </c>
      <c r="L266" s="7">
        <f t="shared" si="8"/>
        <v>0</v>
      </c>
      <c r="M266" s="7">
        <f t="shared" si="9"/>
        <v>300</v>
      </c>
      <c r="N266" s="7">
        <f t="shared" si="10"/>
        <v>0</v>
      </c>
      <c r="O266" s="7">
        <f t="shared" si="11"/>
        <v>400</v>
      </c>
      <c r="P266" s="7">
        <f t="shared" si="12"/>
        <v>0</v>
      </c>
      <c r="Q266" s="7">
        <f t="shared" si="13"/>
        <v>500</v>
      </c>
      <c r="R266" s="7">
        <f t="shared" si="14"/>
        <v>0</v>
      </c>
      <c r="S266" s="7">
        <f t="shared" si="15"/>
        <v>600</v>
      </c>
      <c r="T266" s="7">
        <f t="shared" si="16"/>
        <v>0</v>
      </c>
      <c r="U266" s="7">
        <f t="shared" si="17"/>
        <v>700</v>
      </c>
      <c r="V266" s="7">
        <f t="shared" si="18"/>
        <v>0</v>
      </c>
      <c r="W266" s="7">
        <f t="shared" si="19"/>
        <v>800</v>
      </c>
      <c r="X266" s="7">
        <f t="shared" si="20"/>
        <v>0</v>
      </c>
      <c r="Y266" s="7">
        <f t="shared" si="21"/>
        <v>900</v>
      </c>
      <c r="Z266" s="7">
        <f t="shared" si="22"/>
        <v>0</v>
      </c>
    </row>
    <row r="267">
      <c r="A267" s="19"/>
      <c r="B267" s="19"/>
      <c r="C267" s="14">
        <v>48914.0</v>
      </c>
      <c r="D267" s="12">
        <f>'Income per month'!B267</f>
        <v>1000</v>
      </c>
      <c r="E267" s="7">
        <f t="shared" si="1"/>
        <v>50</v>
      </c>
      <c r="F267" s="7">
        <f t="shared" si="2"/>
        <v>0</v>
      </c>
      <c r="G267" s="7">
        <f t="shared" si="3"/>
        <v>100</v>
      </c>
      <c r="H267" s="7">
        <f t="shared" si="4"/>
        <v>0</v>
      </c>
      <c r="I267" s="7">
        <f t="shared" si="5"/>
        <v>150</v>
      </c>
      <c r="J267" s="7">
        <f t="shared" si="6"/>
        <v>0</v>
      </c>
      <c r="K267" s="7">
        <f t="shared" si="7"/>
        <v>200</v>
      </c>
      <c r="L267" s="7">
        <f t="shared" si="8"/>
        <v>0</v>
      </c>
      <c r="M267" s="7">
        <f t="shared" si="9"/>
        <v>300</v>
      </c>
      <c r="N267" s="7">
        <f t="shared" si="10"/>
        <v>0</v>
      </c>
      <c r="O267" s="7">
        <f t="shared" si="11"/>
        <v>400</v>
      </c>
      <c r="P267" s="7">
        <f t="shared" si="12"/>
        <v>0</v>
      </c>
      <c r="Q267" s="7">
        <f t="shared" si="13"/>
        <v>500</v>
      </c>
      <c r="R267" s="7">
        <f t="shared" si="14"/>
        <v>0</v>
      </c>
      <c r="S267" s="7">
        <f t="shared" si="15"/>
        <v>600</v>
      </c>
      <c r="T267" s="7">
        <f t="shared" si="16"/>
        <v>0</v>
      </c>
      <c r="U267" s="7">
        <f t="shared" si="17"/>
        <v>700</v>
      </c>
      <c r="V267" s="7">
        <f t="shared" si="18"/>
        <v>0</v>
      </c>
      <c r="W267" s="7">
        <f t="shared" si="19"/>
        <v>800</v>
      </c>
      <c r="X267" s="7">
        <f t="shared" si="20"/>
        <v>0</v>
      </c>
      <c r="Y267" s="7">
        <f t="shared" si="21"/>
        <v>900</v>
      </c>
      <c r="Z267" s="7">
        <f t="shared" si="22"/>
        <v>0</v>
      </c>
    </row>
    <row r="268">
      <c r="A268" s="19"/>
      <c r="B268" s="19"/>
      <c r="C268" s="13">
        <v>48945.0</v>
      </c>
      <c r="D268" s="12">
        <f>'Income per month'!B268</f>
        <v>1000</v>
      </c>
      <c r="E268" s="7">
        <f t="shared" si="1"/>
        <v>50</v>
      </c>
      <c r="F268" s="7">
        <f t="shared" si="2"/>
        <v>0</v>
      </c>
      <c r="G268" s="7">
        <f t="shared" si="3"/>
        <v>100</v>
      </c>
      <c r="H268" s="7">
        <f t="shared" si="4"/>
        <v>0</v>
      </c>
      <c r="I268" s="7">
        <f t="shared" si="5"/>
        <v>150</v>
      </c>
      <c r="J268" s="7">
        <f t="shared" si="6"/>
        <v>0</v>
      </c>
      <c r="K268" s="7">
        <f t="shared" si="7"/>
        <v>200</v>
      </c>
      <c r="L268" s="7">
        <f t="shared" si="8"/>
        <v>0</v>
      </c>
      <c r="M268" s="7">
        <f t="shared" si="9"/>
        <v>300</v>
      </c>
      <c r="N268" s="7">
        <f t="shared" si="10"/>
        <v>0</v>
      </c>
      <c r="O268" s="7">
        <f t="shared" si="11"/>
        <v>400</v>
      </c>
      <c r="P268" s="7">
        <f t="shared" si="12"/>
        <v>0</v>
      </c>
      <c r="Q268" s="7">
        <f t="shared" si="13"/>
        <v>500</v>
      </c>
      <c r="R268" s="7">
        <f t="shared" si="14"/>
        <v>0</v>
      </c>
      <c r="S268" s="7">
        <f t="shared" si="15"/>
        <v>600</v>
      </c>
      <c r="T268" s="7">
        <f t="shared" si="16"/>
        <v>0</v>
      </c>
      <c r="U268" s="7">
        <f t="shared" si="17"/>
        <v>700</v>
      </c>
      <c r="V268" s="7">
        <f t="shared" si="18"/>
        <v>0</v>
      </c>
      <c r="W268" s="7">
        <f t="shared" si="19"/>
        <v>800</v>
      </c>
      <c r="X268" s="7">
        <f t="shared" si="20"/>
        <v>0</v>
      </c>
      <c r="Y268" s="7">
        <f t="shared" si="21"/>
        <v>900</v>
      </c>
      <c r="Z268" s="7">
        <f t="shared" si="22"/>
        <v>0</v>
      </c>
    </row>
    <row r="269">
      <c r="A269" s="19"/>
      <c r="B269" s="19"/>
      <c r="C269" s="13">
        <v>48976.0</v>
      </c>
      <c r="D269" s="12">
        <f>'Income per month'!B269</f>
        <v>1000</v>
      </c>
      <c r="E269" s="7">
        <f t="shared" si="1"/>
        <v>50</v>
      </c>
      <c r="F269" s="7">
        <f t="shared" si="2"/>
        <v>0</v>
      </c>
      <c r="G269" s="7">
        <f t="shared" si="3"/>
        <v>100</v>
      </c>
      <c r="H269" s="7">
        <f t="shared" si="4"/>
        <v>0</v>
      </c>
      <c r="I269" s="7">
        <f t="shared" si="5"/>
        <v>150</v>
      </c>
      <c r="J269" s="7">
        <f t="shared" si="6"/>
        <v>0</v>
      </c>
      <c r="K269" s="7">
        <f t="shared" si="7"/>
        <v>200</v>
      </c>
      <c r="L269" s="7">
        <f t="shared" si="8"/>
        <v>0</v>
      </c>
      <c r="M269" s="7">
        <f t="shared" si="9"/>
        <v>300</v>
      </c>
      <c r="N269" s="7">
        <f t="shared" si="10"/>
        <v>0</v>
      </c>
      <c r="O269" s="7">
        <f t="shared" si="11"/>
        <v>400</v>
      </c>
      <c r="P269" s="7">
        <f t="shared" si="12"/>
        <v>0</v>
      </c>
      <c r="Q269" s="7">
        <f t="shared" si="13"/>
        <v>500</v>
      </c>
      <c r="R269" s="7">
        <f t="shared" si="14"/>
        <v>0</v>
      </c>
      <c r="S269" s="7">
        <f t="shared" si="15"/>
        <v>600</v>
      </c>
      <c r="T269" s="7">
        <f t="shared" si="16"/>
        <v>0</v>
      </c>
      <c r="U269" s="7">
        <f t="shared" si="17"/>
        <v>700</v>
      </c>
      <c r="V269" s="7">
        <f t="shared" si="18"/>
        <v>0</v>
      </c>
      <c r="W269" s="7">
        <f t="shared" si="19"/>
        <v>800</v>
      </c>
      <c r="X269" s="7">
        <f t="shared" si="20"/>
        <v>0</v>
      </c>
      <c r="Y269" s="7">
        <f t="shared" si="21"/>
        <v>900</v>
      </c>
      <c r="Z269" s="7">
        <f t="shared" si="22"/>
        <v>0</v>
      </c>
    </row>
    <row r="270">
      <c r="A270" s="19"/>
      <c r="B270" s="19"/>
      <c r="C270" s="13">
        <v>49004.0</v>
      </c>
      <c r="D270" s="12">
        <f>'Income per month'!B270</f>
        <v>1000</v>
      </c>
      <c r="E270" s="7">
        <f t="shared" si="1"/>
        <v>50</v>
      </c>
      <c r="F270" s="7">
        <f t="shared" si="2"/>
        <v>0</v>
      </c>
      <c r="G270" s="7">
        <f t="shared" si="3"/>
        <v>100</v>
      </c>
      <c r="H270" s="7">
        <f t="shared" si="4"/>
        <v>0</v>
      </c>
      <c r="I270" s="7">
        <f t="shared" si="5"/>
        <v>150</v>
      </c>
      <c r="J270" s="7">
        <f t="shared" si="6"/>
        <v>0</v>
      </c>
      <c r="K270" s="7">
        <f t="shared" si="7"/>
        <v>200</v>
      </c>
      <c r="L270" s="7">
        <f t="shared" si="8"/>
        <v>0</v>
      </c>
      <c r="M270" s="7">
        <f t="shared" si="9"/>
        <v>300</v>
      </c>
      <c r="N270" s="7">
        <f t="shared" si="10"/>
        <v>0</v>
      </c>
      <c r="O270" s="7">
        <f t="shared" si="11"/>
        <v>400</v>
      </c>
      <c r="P270" s="7">
        <f t="shared" si="12"/>
        <v>0</v>
      </c>
      <c r="Q270" s="7">
        <f t="shared" si="13"/>
        <v>500</v>
      </c>
      <c r="R270" s="7">
        <f t="shared" si="14"/>
        <v>0</v>
      </c>
      <c r="S270" s="7">
        <f t="shared" si="15"/>
        <v>600</v>
      </c>
      <c r="T270" s="7">
        <f t="shared" si="16"/>
        <v>0</v>
      </c>
      <c r="U270" s="7">
        <f t="shared" si="17"/>
        <v>700</v>
      </c>
      <c r="V270" s="7">
        <f t="shared" si="18"/>
        <v>0</v>
      </c>
      <c r="W270" s="7">
        <f t="shared" si="19"/>
        <v>800</v>
      </c>
      <c r="X270" s="7">
        <f t="shared" si="20"/>
        <v>0</v>
      </c>
      <c r="Y270" s="7">
        <f t="shared" si="21"/>
        <v>900</v>
      </c>
      <c r="Z270" s="7">
        <f t="shared" si="22"/>
        <v>0</v>
      </c>
    </row>
    <row r="271">
      <c r="A271" s="19"/>
      <c r="B271" s="19"/>
      <c r="C271" s="13">
        <v>49035.0</v>
      </c>
      <c r="D271" s="12">
        <f>'Income per month'!B271</f>
        <v>1000</v>
      </c>
      <c r="E271" s="7">
        <f t="shared" si="1"/>
        <v>50</v>
      </c>
      <c r="F271" s="7">
        <f t="shared" si="2"/>
        <v>0</v>
      </c>
      <c r="G271" s="7">
        <f t="shared" si="3"/>
        <v>100</v>
      </c>
      <c r="H271" s="7">
        <f t="shared" si="4"/>
        <v>0</v>
      </c>
      <c r="I271" s="7">
        <f t="shared" si="5"/>
        <v>150</v>
      </c>
      <c r="J271" s="7">
        <f t="shared" si="6"/>
        <v>0</v>
      </c>
      <c r="K271" s="7">
        <f t="shared" si="7"/>
        <v>200</v>
      </c>
      <c r="L271" s="7">
        <f t="shared" si="8"/>
        <v>0</v>
      </c>
      <c r="M271" s="7">
        <f t="shared" si="9"/>
        <v>300</v>
      </c>
      <c r="N271" s="7">
        <f t="shared" si="10"/>
        <v>0</v>
      </c>
      <c r="O271" s="7">
        <f t="shared" si="11"/>
        <v>400</v>
      </c>
      <c r="P271" s="7">
        <f t="shared" si="12"/>
        <v>0</v>
      </c>
      <c r="Q271" s="7">
        <f t="shared" si="13"/>
        <v>500</v>
      </c>
      <c r="R271" s="7">
        <f t="shared" si="14"/>
        <v>0</v>
      </c>
      <c r="S271" s="7">
        <f t="shared" si="15"/>
        <v>600</v>
      </c>
      <c r="T271" s="7">
        <f t="shared" si="16"/>
        <v>0</v>
      </c>
      <c r="U271" s="7">
        <f t="shared" si="17"/>
        <v>700</v>
      </c>
      <c r="V271" s="7">
        <f t="shared" si="18"/>
        <v>0</v>
      </c>
      <c r="W271" s="7">
        <f t="shared" si="19"/>
        <v>800</v>
      </c>
      <c r="X271" s="7">
        <f t="shared" si="20"/>
        <v>0</v>
      </c>
      <c r="Y271" s="7">
        <f t="shared" si="21"/>
        <v>900</v>
      </c>
      <c r="Z271" s="7">
        <f t="shared" si="22"/>
        <v>0</v>
      </c>
    </row>
    <row r="272">
      <c r="A272" s="19"/>
      <c r="B272" s="19"/>
      <c r="C272" s="13">
        <v>49065.0</v>
      </c>
      <c r="D272" s="12">
        <f>'Income per month'!B272</f>
        <v>1000</v>
      </c>
      <c r="E272" s="7">
        <f t="shared" si="1"/>
        <v>50</v>
      </c>
      <c r="F272" s="7">
        <f t="shared" si="2"/>
        <v>0</v>
      </c>
      <c r="G272" s="7">
        <f t="shared" si="3"/>
        <v>100</v>
      </c>
      <c r="H272" s="7">
        <f t="shared" si="4"/>
        <v>0</v>
      </c>
      <c r="I272" s="7">
        <f t="shared" si="5"/>
        <v>150</v>
      </c>
      <c r="J272" s="7">
        <f t="shared" si="6"/>
        <v>0</v>
      </c>
      <c r="K272" s="7">
        <f t="shared" si="7"/>
        <v>200</v>
      </c>
      <c r="L272" s="7">
        <f t="shared" si="8"/>
        <v>0</v>
      </c>
      <c r="M272" s="7">
        <f t="shared" si="9"/>
        <v>300</v>
      </c>
      <c r="N272" s="7">
        <f t="shared" si="10"/>
        <v>0</v>
      </c>
      <c r="O272" s="7">
        <f t="shared" si="11"/>
        <v>400</v>
      </c>
      <c r="P272" s="7">
        <f t="shared" si="12"/>
        <v>0</v>
      </c>
      <c r="Q272" s="7">
        <f t="shared" si="13"/>
        <v>500</v>
      </c>
      <c r="R272" s="7">
        <f t="shared" si="14"/>
        <v>0</v>
      </c>
      <c r="S272" s="7">
        <f t="shared" si="15"/>
        <v>600</v>
      </c>
      <c r="T272" s="7">
        <f t="shared" si="16"/>
        <v>0</v>
      </c>
      <c r="U272" s="7">
        <f t="shared" si="17"/>
        <v>700</v>
      </c>
      <c r="V272" s="7">
        <f t="shared" si="18"/>
        <v>0</v>
      </c>
      <c r="W272" s="7">
        <f t="shared" si="19"/>
        <v>800</v>
      </c>
      <c r="X272" s="7">
        <f t="shared" si="20"/>
        <v>0</v>
      </c>
      <c r="Y272" s="7">
        <f t="shared" si="21"/>
        <v>900</v>
      </c>
      <c r="Z272" s="7">
        <f t="shared" si="22"/>
        <v>0</v>
      </c>
    </row>
    <row r="273">
      <c r="A273" s="19"/>
      <c r="B273" s="19"/>
      <c r="C273" s="13">
        <v>49096.0</v>
      </c>
      <c r="D273" s="12">
        <f>'Income per month'!B273</f>
        <v>1000</v>
      </c>
      <c r="E273" s="7">
        <f t="shared" si="1"/>
        <v>50</v>
      </c>
      <c r="F273" s="7">
        <f t="shared" si="2"/>
        <v>0</v>
      </c>
      <c r="G273" s="7">
        <f t="shared" si="3"/>
        <v>100</v>
      </c>
      <c r="H273" s="7">
        <f t="shared" si="4"/>
        <v>0</v>
      </c>
      <c r="I273" s="7">
        <f t="shared" si="5"/>
        <v>150</v>
      </c>
      <c r="J273" s="7">
        <f t="shared" si="6"/>
        <v>0</v>
      </c>
      <c r="K273" s="7">
        <f t="shared" si="7"/>
        <v>200</v>
      </c>
      <c r="L273" s="7">
        <f t="shared" si="8"/>
        <v>0</v>
      </c>
      <c r="M273" s="7">
        <f t="shared" si="9"/>
        <v>300</v>
      </c>
      <c r="N273" s="7">
        <f t="shared" si="10"/>
        <v>0</v>
      </c>
      <c r="O273" s="7">
        <f t="shared" si="11"/>
        <v>400</v>
      </c>
      <c r="P273" s="7">
        <f t="shared" si="12"/>
        <v>0</v>
      </c>
      <c r="Q273" s="7">
        <f t="shared" si="13"/>
        <v>500</v>
      </c>
      <c r="R273" s="7">
        <f t="shared" si="14"/>
        <v>0</v>
      </c>
      <c r="S273" s="7">
        <f t="shared" si="15"/>
        <v>600</v>
      </c>
      <c r="T273" s="7">
        <f t="shared" si="16"/>
        <v>0</v>
      </c>
      <c r="U273" s="7">
        <f t="shared" si="17"/>
        <v>700</v>
      </c>
      <c r="V273" s="7">
        <f t="shared" si="18"/>
        <v>0</v>
      </c>
      <c r="W273" s="7">
        <f t="shared" si="19"/>
        <v>800</v>
      </c>
      <c r="X273" s="7">
        <f t="shared" si="20"/>
        <v>0</v>
      </c>
      <c r="Y273" s="7">
        <f t="shared" si="21"/>
        <v>900</v>
      </c>
      <c r="Z273" s="7">
        <f t="shared" si="22"/>
        <v>0</v>
      </c>
    </row>
    <row r="274">
      <c r="A274" s="19"/>
      <c r="B274" s="19"/>
      <c r="C274" s="13">
        <v>49126.0</v>
      </c>
      <c r="D274" s="12">
        <f>'Income per month'!B274</f>
        <v>1000</v>
      </c>
      <c r="E274" s="7">
        <f t="shared" si="1"/>
        <v>50</v>
      </c>
      <c r="F274" s="7">
        <f t="shared" si="2"/>
        <v>0</v>
      </c>
      <c r="G274" s="7">
        <f t="shared" si="3"/>
        <v>100</v>
      </c>
      <c r="H274" s="7">
        <f t="shared" si="4"/>
        <v>0</v>
      </c>
      <c r="I274" s="7">
        <f t="shared" si="5"/>
        <v>150</v>
      </c>
      <c r="J274" s="7">
        <f t="shared" si="6"/>
        <v>0</v>
      </c>
      <c r="K274" s="7">
        <f t="shared" si="7"/>
        <v>200</v>
      </c>
      <c r="L274" s="7">
        <f t="shared" si="8"/>
        <v>0</v>
      </c>
      <c r="M274" s="7">
        <f t="shared" si="9"/>
        <v>300</v>
      </c>
      <c r="N274" s="7">
        <f t="shared" si="10"/>
        <v>0</v>
      </c>
      <c r="O274" s="7">
        <f t="shared" si="11"/>
        <v>400</v>
      </c>
      <c r="P274" s="7">
        <f t="shared" si="12"/>
        <v>0</v>
      </c>
      <c r="Q274" s="7">
        <f t="shared" si="13"/>
        <v>500</v>
      </c>
      <c r="R274" s="7">
        <f t="shared" si="14"/>
        <v>0</v>
      </c>
      <c r="S274" s="7">
        <f t="shared" si="15"/>
        <v>600</v>
      </c>
      <c r="T274" s="7">
        <f t="shared" si="16"/>
        <v>0</v>
      </c>
      <c r="U274" s="7">
        <f t="shared" si="17"/>
        <v>700</v>
      </c>
      <c r="V274" s="7">
        <f t="shared" si="18"/>
        <v>0</v>
      </c>
      <c r="W274" s="7">
        <f t="shared" si="19"/>
        <v>800</v>
      </c>
      <c r="X274" s="7">
        <f t="shared" si="20"/>
        <v>0</v>
      </c>
      <c r="Y274" s="7">
        <f t="shared" si="21"/>
        <v>900</v>
      </c>
      <c r="Z274" s="7">
        <f t="shared" si="22"/>
        <v>0</v>
      </c>
    </row>
    <row r="275">
      <c r="A275" s="19"/>
      <c r="B275" s="19"/>
      <c r="C275" s="13">
        <v>49157.0</v>
      </c>
      <c r="D275" s="12">
        <f>'Income per month'!B275</f>
        <v>1000</v>
      </c>
      <c r="E275" s="7">
        <f t="shared" si="1"/>
        <v>50</v>
      </c>
      <c r="F275" s="7">
        <f t="shared" si="2"/>
        <v>0</v>
      </c>
      <c r="G275" s="7">
        <f t="shared" si="3"/>
        <v>100</v>
      </c>
      <c r="H275" s="7">
        <f t="shared" si="4"/>
        <v>0</v>
      </c>
      <c r="I275" s="7">
        <f t="shared" si="5"/>
        <v>150</v>
      </c>
      <c r="J275" s="7">
        <f t="shared" si="6"/>
        <v>0</v>
      </c>
      <c r="K275" s="7">
        <f t="shared" si="7"/>
        <v>200</v>
      </c>
      <c r="L275" s="7">
        <f t="shared" si="8"/>
        <v>0</v>
      </c>
      <c r="M275" s="7">
        <f t="shared" si="9"/>
        <v>300</v>
      </c>
      <c r="N275" s="7">
        <f t="shared" si="10"/>
        <v>0</v>
      </c>
      <c r="O275" s="7">
        <f t="shared" si="11"/>
        <v>400</v>
      </c>
      <c r="P275" s="7">
        <f t="shared" si="12"/>
        <v>0</v>
      </c>
      <c r="Q275" s="7">
        <f t="shared" si="13"/>
        <v>500</v>
      </c>
      <c r="R275" s="7">
        <f t="shared" si="14"/>
        <v>0</v>
      </c>
      <c r="S275" s="7">
        <f t="shared" si="15"/>
        <v>600</v>
      </c>
      <c r="T275" s="7">
        <f t="shared" si="16"/>
        <v>0</v>
      </c>
      <c r="U275" s="7">
        <f t="shared" si="17"/>
        <v>700</v>
      </c>
      <c r="V275" s="7">
        <f t="shared" si="18"/>
        <v>0</v>
      </c>
      <c r="W275" s="7">
        <f t="shared" si="19"/>
        <v>800</v>
      </c>
      <c r="X275" s="7">
        <f t="shared" si="20"/>
        <v>0</v>
      </c>
      <c r="Y275" s="7">
        <f t="shared" si="21"/>
        <v>900</v>
      </c>
      <c r="Z275" s="7">
        <f t="shared" si="22"/>
        <v>0</v>
      </c>
    </row>
    <row r="276">
      <c r="A276" s="19"/>
      <c r="B276" s="19"/>
      <c r="C276" s="13">
        <v>49188.0</v>
      </c>
      <c r="D276" s="12">
        <f>'Income per month'!B276</f>
        <v>1000</v>
      </c>
      <c r="E276" s="7">
        <f t="shared" si="1"/>
        <v>50</v>
      </c>
      <c r="F276" s="7">
        <f t="shared" si="2"/>
        <v>0</v>
      </c>
      <c r="G276" s="7">
        <f t="shared" si="3"/>
        <v>100</v>
      </c>
      <c r="H276" s="7">
        <f t="shared" si="4"/>
        <v>0</v>
      </c>
      <c r="I276" s="7">
        <f t="shared" si="5"/>
        <v>150</v>
      </c>
      <c r="J276" s="7">
        <f t="shared" si="6"/>
        <v>0</v>
      </c>
      <c r="K276" s="7">
        <f t="shared" si="7"/>
        <v>200</v>
      </c>
      <c r="L276" s="7">
        <f t="shared" si="8"/>
        <v>0</v>
      </c>
      <c r="M276" s="7">
        <f t="shared" si="9"/>
        <v>300</v>
      </c>
      <c r="N276" s="7">
        <f t="shared" si="10"/>
        <v>0</v>
      </c>
      <c r="O276" s="7">
        <f t="shared" si="11"/>
        <v>400</v>
      </c>
      <c r="P276" s="7">
        <f t="shared" si="12"/>
        <v>0</v>
      </c>
      <c r="Q276" s="7">
        <f t="shared" si="13"/>
        <v>500</v>
      </c>
      <c r="R276" s="7">
        <f t="shared" si="14"/>
        <v>0</v>
      </c>
      <c r="S276" s="7">
        <f t="shared" si="15"/>
        <v>600</v>
      </c>
      <c r="T276" s="7">
        <f t="shared" si="16"/>
        <v>0</v>
      </c>
      <c r="U276" s="7">
        <f t="shared" si="17"/>
        <v>700</v>
      </c>
      <c r="V276" s="7">
        <f t="shared" si="18"/>
        <v>0</v>
      </c>
      <c r="W276" s="7">
        <f t="shared" si="19"/>
        <v>800</v>
      </c>
      <c r="X276" s="7">
        <f t="shared" si="20"/>
        <v>0</v>
      </c>
      <c r="Y276" s="7">
        <f t="shared" si="21"/>
        <v>900</v>
      </c>
      <c r="Z276" s="7">
        <f t="shared" si="22"/>
        <v>0</v>
      </c>
    </row>
    <row r="277">
      <c r="A277" s="19"/>
      <c r="B277" s="19"/>
      <c r="C277" s="13">
        <v>49218.0</v>
      </c>
      <c r="D277" s="12">
        <f>'Income per month'!B277</f>
        <v>1000</v>
      </c>
      <c r="E277" s="7">
        <f t="shared" si="1"/>
        <v>50</v>
      </c>
      <c r="F277" s="7">
        <f t="shared" si="2"/>
        <v>0</v>
      </c>
      <c r="G277" s="7">
        <f t="shared" si="3"/>
        <v>100</v>
      </c>
      <c r="H277" s="7">
        <f t="shared" si="4"/>
        <v>0</v>
      </c>
      <c r="I277" s="7">
        <f t="shared" si="5"/>
        <v>150</v>
      </c>
      <c r="J277" s="7">
        <f t="shared" si="6"/>
        <v>0</v>
      </c>
      <c r="K277" s="7">
        <f t="shared" si="7"/>
        <v>200</v>
      </c>
      <c r="L277" s="7">
        <f t="shared" si="8"/>
        <v>0</v>
      </c>
      <c r="M277" s="7">
        <f t="shared" si="9"/>
        <v>300</v>
      </c>
      <c r="N277" s="7">
        <f t="shared" si="10"/>
        <v>0</v>
      </c>
      <c r="O277" s="7">
        <f t="shared" si="11"/>
        <v>400</v>
      </c>
      <c r="P277" s="7">
        <f t="shared" si="12"/>
        <v>0</v>
      </c>
      <c r="Q277" s="7">
        <f t="shared" si="13"/>
        <v>500</v>
      </c>
      <c r="R277" s="7">
        <f t="shared" si="14"/>
        <v>0</v>
      </c>
      <c r="S277" s="7">
        <f t="shared" si="15"/>
        <v>600</v>
      </c>
      <c r="T277" s="7">
        <f t="shared" si="16"/>
        <v>0</v>
      </c>
      <c r="U277" s="7">
        <f t="shared" si="17"/>
        <v>700</v>
      </c>
      <c r="V277" s="7">
        <f t="shared" si="18"/>
        <v>0</v>
      </c>
      <c r="W277" s="7">
        <f t="shared" si="19"/>
        <v>800</v>
      </c>
      <c r="X277" s="7">
        <f t="shared" si="20"/>
        <v>0</v>
      </c>
      <c r="Y277" s="7">
        <f t="shared" si="21"/>
        <v>900</v>
      </c>
      <c r="Z277" s="7">
        <f t="shared" si="22"/>
        <v>0</v>
      </c>
    </row>
    <row r="278">
      <c r="A278" s="19"/>
      <c r="B278" s="19"/>
      <c r="C278" s="13">
        <v>49249.0</v>
      </c>
      <c r="D278" s="12">
        <f>'Income per month'!B278</f>
        <v>1000</v>
      </c>
      <c r="E278" s="7">
        <f t="shared" si="1"/>
        <v>50</v>
      </c>
      <c r="F278" s="7">
        <f t="shared" si="2"/>
        <v>0</v>
      </c>
      <c r="G278" s="7">
        <f t="shared" si="3"/>
        <v>100</v>
      </c>
      <c r="H278" s="7">
        <f t="shared" si="4"/>
        <v>0</v>
      </c>
      <c r="I278" s="7">
        <f t="shared" si="5"/>
        <v>150</v>
      </c>
      <c r="J278" s="7">
        <f t="shared" si="6"/>
        <v>0</v>
      </c>
      <c r="K278" s="7">
        <f t="shared" si="7"/>
        <v>200</v>
      </c>
      <c r="L278" s="7">
        <f t="shared" si="8"/>
        <v>0</v>
      </c>
      <c r="M278" s="7">
        <f t="shared" si="9"/>
        <v>300</v>
      </c>
      <c r="N278" s="7">
        <f t="shared" si="10"/>
        <v>0</v>
      </c>
      <c r="O278" s="7">
        <f t="shared" si="11"/>
        <v>400</v>
      </c>
      <c r="P278" s="7">
        <f t="shared" si="12"/>
        <v>0</v>
      </c>
      <c r="Q278" s="7">
        <f t="shared" si="13"/>
        <v>500</v>
      </c>
      <c r="R278" s="7">
        <f t="shared" si="14"/>
        <v>0</v>
      </c>
      <c r="S278" s="7">
        <f t="shared" si="15"/>
        <v>600</v>
      </c>
      <c r="T278" s="7">
        <f t="shared" si="16"/>
        <v>0</v>
      </c>
      <c r="U278" s="7">
        <f t="shared" si="17"/>
        <v>700</v>
      </c>
      <c r="V278" s="7">
        <f t="shared" si="18"/>
        <v>0</v>
      </c>
      <c r="W278" s="7">
        <f t="shared" si="19"/>
        <v>800</v>
      </c>
      <c r="X278" s="7">
        <f t="shared" si="20"/>
        <v>0</v>
      </c>
      <c r="Y278" s="7">
        <f t="shared" si="21"/>
        <v>900</v>
      </c>
      <c r="Z278" s="7">
        <f t="shared" si="22"/>
        <v>0</v>
      </c>
    </row>
    <row r="279">
      <c r="A279" s="19"/>
      <c r="B279" s="19"/>
      <c r="C279" s="14">
        <v>49279.0</v>
      </c>
      <c r="D279" s="12">
        <f>'Income per month'!B279</f>
        <v>1000</v>
      </c>
      <c r="E279" s="7">
        <f t="shared" si="1"/>
        <v>50</v>
      </c>
      <c r="F279" s="7">
        <f t="shared" si="2"/>
        <v>0</v>
      </c>
      <c r="G279" s="7">
        <f t="shared" si="3"/>
        <v>100</v>
      </c>
      <c r="H279" s="7">
        <f t="shared" si="4"/>
        <v>0</v>
      </c>
      <c r="I279" s="7">
        <f t="shared" si="5"/>
        <v>150</v>
      </c>
      <c r="J279" s="7">
        <f t="shared" si="6"/>
        <v>0</v>
      </c>
      <c r="K279" s="7">
        <f t="shared" si="7"/>
        <v>200</v>
      </c>
      <c r="L279" s="7">
        <f t="shared" si="8"/>
        <v>0</v>
      </c>
      <c r="M279" s="7">
        <f t="shared" si="9"/>
        <v>300</v>
      </c>
      <c r="N279" s="7">
        <f t="shared" si="10"/>
        <v>0</v>
      </c>
      <c r="O279" s="7">
        <f t="shared" si="11"/>
        <v>400</v>
      </c>
      <c r="P279" s="7">
        <f t="shared" si="12"/>
        <v>0</v>
      </c>
      <c r="Q279" s="7">
        <f t="shared" si="13"/>
        <v>500</v>
      </c>
      <c r="R279" s="7">
        <f t="shared" si="14"/>
        <v>0</v>
      </c>
      <c r="S279" s="7">
        <f t="shared" si="15"/>
        <v>600</v>
      </c>
      <c r="T279" s="7">
        <f t="shared" si="16"/>
        <v>0</v>
      </c>
      <c r="U279" s="7">
        <f t="shared" si="17"/>
        <v>700</v>
      </c>
      <c r="V279" s="7">
        <f t="shared" si="18"/>
        <v>0</v>
      </c>
      <c r="W279" s="7">
        <f t="shared" si="19"/>
        <v>800</v>
      </c>
      <c r="X279" s="7">
        <f t="shared" si="20"/>
        <v>0</v>
      </c>
      <c r="Y279" s="7">
        <f t="shared" si="21"/>
        <v>900</v>
      </c>
      <c r="Z279" s="7">
        <f t="shared" si="22"/>
        <v>0</v>
      </c>
    </row>
    <row r="280">
      <c r="A280" s="19"/>
      <c r="B280" s="19"/>
      <c r="C280" s="13">
        <v>49310.0</v>
      </c>
      <c r="D280" s="12">
        <f>'Income per month'!B280</f>
        <v>1000</v>
      </c>
      <c r="E280" s="7">
        <f t="shared" si="1"/>
        <v>50</v>
      </c>
      <c r="F280" s="7">
        <f t="shared" si="2"/>
        <v>0</v>
      </c>
      <c r="G280" s="7">
        <f t="shared" si="3"/>
        <v>100</v>
      </c>
      <c r="H280" s="7">
        <f t="shared" si="4"/>
        <v>0</v>
      </c>
      <c r="I280" s="7">
        <f t="shared" si="5"/>
        <v>150</v>
      </c>
      <c r="J280" s="7">
        <f t="shared" si="6"/>
        <v>0</v>
      </c>
      <c r="K280" s="7">
        <f t="shared" si="7"/>
        <v>200</v>
      </c>
      <c r="L280" s="7">
        <f t="shared" si="8"/>
        <v>0</v>
      </c>
      <c r="M280" s="7">
        <f t="shared" si="9"/>
        <v>300</v>
      </c>
      <c r="N280" s="7">
        <f t="shared" si="10"/>
        <v>0</v>
      </c>
      <c r="O280" s="7">
        <f t="shared" si="11"/>
        <v>400</v>
      </c>
      <c r="P280" s="7">
        <f t="shared" si="12"/>
        <v>0</v>
      </c>
      <c r="Q280" s="7">
        <f t="shared" si="13"/>
        <v>500</v>
      </c>
      <c r="R280" s="7">
        <f t="shared" si="14"/>
        <v>0</v>
      </c>
      <c r="S280" s="7">
        <f t="shared" si="15"/>
        <v>600</v>
      </c>
      <c r="T280" s="7">
        <f t="shared" si="16"/>
        <v>0</v>
      </c>
      <c r="U280" s="7">
        <f t="shared" si="17"/>
        <v>700</v>
      </c>
      <c r="V280" s="7">
        <f t="shared" si="18"/>
        <v>0</v>
      </c>
      <c r="W280" s="7">
        <f t="shared" si="19"/>
        <v>800</v>
      </c>
      <c r="X280" s="7">
        <f t="shared" si="20"/>
        <v>0</v>
      </c>
      <c r="Y280" s="7">
        <f t="shared" si="21"/>
        <v>900</v>
      </c>
      <c r="Z280" s="7">
        <f t="shared" si="22"/>
        <v>0</v>
      </c>
    </row>
    <row r="281">
      <c r="A281" s="19"/>
      <c r="B281" s="19"/>
      <c r="C281" s="13">
        <v>49341.0</v>
      </c>
      <c r="D281" s="12">
        <f>'Income per month'!B281</f>
        <v>1000</v>
      </c>
      <c r="E281" s="7">
        <f t="shared" si="1"/>
        <v>50</v>
      </c>
      <c r="F281" s="7">
        <f t="shared" si="2"/>
        <v>0</v>
      </c>
      <c r="G281" s="7">
        <f t="shared" si="3"/>
        <v>100</v>
      </c>
      <c r="H281" s="7">
        <f t="shared" si="4"/>
        <v>0</v>
      </c>
      <c r="I281" s="7">
        <f t="shared" si="5"/>
        <v>150</v>
      </c>
      <c r="J281" s="7">
        <f t="shared" si="6"/>
        <v>0</v>
      </c>
      <c r="K281" s="7">
        <f t="shared" si="7"/>
        <v>200</v>
      </c>
      <c r="L281" s="7">
        <f t="shared" si="8"/>
        <v>0</v>
      </c>
      <c r="M281" s="7">
        <f t="shared" si="9"/>
        <v>300</v>
      </c>
      <c r="N281" s="7">
        <f t="shared" si="10"/>
        <v>0</v>
      </c>
      <c r="O281" s="7">
        <f t="shared" si="11"/>
        <v>400</v>
      </c>
      <c r="P281" s="7">
        <f t="shared" si="12"/>
        <v>0</v>
      </c>
      <c r="Q281" s="7">
        <f t="shared" si="13"/>
        <v>500</v>
      </c>
      <c r="R281" s="7">
        <f t="shared" si="14"/>
        <v>0</v>
      </c>
      <c r="S281" s="7">
        <f t="shared" si="15"/>
        <v>600</v>
      </c>
      <c r="T281" s="7">
        <f t="shared" si="16"/>
        <v>0</v>
      </c>
      <c r="U281" s="7">
        <f t="shared" si="17"/>
        <v>700</v>
      </c>
      <c r="V281" s="7">
        <f t="shared" si="18"/>
        <v>0</v>
      </c>
      <c r="W281" s="7">
        <f t="shared" si="19"/>
        <v>800</v>
      </c>
      <c r="X281" s="7">
        <f t="shared" si="20"/>
        <v>0</v>
      </c>
      <c r="Y281" s="7">
        <f t="shared" si="21"/>
        <v>900</v>
      </c>
      <c r="Z281" s="7">
        <f t="shared" si="22"/>
        <v>0</v>
      </c>
    </row>
    <row r="282">
      <c r="A282" s="19"/>
      <c r="B282" s="19"/>
      <c r="C282" s="13">
        <v>49369.0</v>
      </c>
      <c r="D282" s="12">
        <f>'Income per month'!B282</f>
        <v>1000</v>
      </c>
      <c r="E282" s="7">
        <f t="shared" si="1"/>
        <v>50</v>
      </c>
      <c r="F282" s="7">
        <f t="shared" si="2"/>
        <v>0</v>
      </c>
      <c r="G282" s="7">
        <f t="shared" si="3"/>
        <v>100</v>
      </c>
      <c r="H282" s="7">
        <f t="shared" si="4"/>
        <v>0</v>
      </c>
      <c r="I282" s="7">
        <f t="shared" si="5"/>
        <v>150</v>
      </c>
      <c r="J282" s="7">
        <f t="shared" si="6"/>
        <v>0</v>
      </c>
      <c r="K282" s="7">
        <f t="shared" si="7"/>
        <v>200</v>
      </c>
      <c r="L282" s="7">
        <f t="shared" si="8"/>
        <v>0</v>
      </c>
      <c r="M282" s="7">
        <f t="shared" si="9"/>
        <v>300</v>
      </c>
      <c r="N282" s="7">
        <f t="shared" si="10"/>
        <v>0</v>
      </c>
      <c r="O282" s="7">
        <f t="shared" si="11"/>
        <v>400</v>
      </c>
      <c r="P282" s="7">
        <f t="shared" si="12"/>
        <v>0</v>
      </c>
      <c r="Q282" s="7">
        <f t="shared" si="13"/>
        <v>500</v>
      </c>
      <c r="R282" s="7">
        <f t="shared" si="14"/>
        <v>0</v>
      </c>
      <c r="S282" s="7">
        <f t="shared" si="15"/>
        <v>600</v>
      </c>
      <c r="T282" s="7">
        <f t="shared" si="16"/>
        <v>0</v>
      </c>
      <c r="U282" s="7">
        <f t="shared" si="17"/>
        <v>700</v>
      </c>
      <c r="V282" s="7">
        <f t="shared" si="18"/>
        <v>0</v>
      </c>
      <c r="W282" s="7">
        <f t="shared" si="19"/>
        <v>800</v>
      </c>
      <c r="X282" s="7">
        <f t="shared" si="20"/>
        <v>0</v>
      </c>
      <c r="Y282" s="7">
        <f t="shared" si="21"/>
        <v>900</v>
      </c>
      <c r="Z282" s="7">
        <f t="shared" si="22"/>
        <v>0</v>
      </c>
    </row>
    <row r="283">
      <c r="A283" s="19"/>
      <c r="B283" s="19"/>
      <c r="C283" s="13">
        <v>49400.0</v>
      </c>
      <c r="D283" s="12">
        <f>'Income per month'!B283</f>
        <v>1000</v>
      </c>
      <c r="E283" s="7">
        <f t="shared" si="1"/>
        <v>50</v>
      </c>
      <c r="F283" s="7">
        <f t="shared" si="2"/>
        <v>0</v>
      </c>
      <c r="G283" s="7">
        <f t="shared" si="3"/>
        <v>100</v>
      </c>
      <c r="H283" s="7">
        <f t="shared" si="4"/>
        <v>0</v>
      </c>
      <c r="I283" s="7">
        <f t="shared" si="5"/>
        <v>150</v>
      </c>
      <c r="J283" s="7">
        <f t="shared" si="6"/>
        <v>0</v>
      </c>
      <c r="K283" s="7">
        <f t="shared" si="7"/>
        <v>200</v>
      </c>
      <c r="L283" s="7">
        <f t="shared" si="8"/>
        <v>0</v>
      </c>
      <c r="M283" s="7">
        <f t="shared" si="9"/>
        <v>300</v>
      </c>
      <c r="N283" s="7">
        <f t="shared" si="10"/>
        <v>0</v>
      </c>
      <c r="O283" s="7">
        <f t="shared" si="11"/>
        <v>400</v>
      </c>
      <c r="P283" s="7">
        <f t="shared" si="12"/>
        <v>0</v>
      </c>
      <c r="Q283" s="7">
        <f t="shared" si="13"/>
        <v>500</v>
      </c>
      <c r="R283" s="7">
        <f t="shared" si="14"/>
        <v>0</v>
      </c>
      <c r="S283" s="7">
        <f t="shared" si="15"/>
        <v>600</v>
      </c>
      <c r="T283" s="7">
        <f t="shared" si="16"/>
        <v>0</v>
      </c>
      <c r="U283" s="7">
        <f t="shared" si="17"/>
        <v>700</v>
      </c>
      <c r="V283" s="7">
        <f t="shared" si="18"/>
        <v>0</v>
      </c>
      <c r="W283" s="7">
        <f t="shared" si="19"/>
        <v>800</v>
      </c>
      <c r="X283" s="7">
        <f t="shared" si="20"/>
        <v>0</v>
      </c>
      <c r="Y283" s="7">
        <f t="shared" si="21"/>
        <v>900</v>
      </c>
      <c r="Z283" s="7">
        <f t="shared" si="22"/>
        <v>0</v>
      </c>
    </row>
    <row r="284">
      <c r="A284" s="19"/>
      <c r="B284" s="19"/>
      <c r="C284" s="13">
        <v>49430.0</v>
      </c>
      <c r="D284" s="12">
        <f>'Income per month'!B284</f>
        <v>1000</v>
      </c>
      <c r="E284" s="7">
        <f t="shared" si="1"/>
        <v>50</v>
      </c>
      <c r="F284" s="7">
        <f t="shared" si="2"/>
        <v>0</v>
      </c>
      <c r="G284" s="7">
        <f t="shared" si="3"/>
        <v>100</v>
      </c>
      <c r="H284" s="7">
        <f t="shared" si="4"/>
        <v>0</v>
      </c>
      <c r="I284" s="7">
        <f t="shared" si="5"/>
        <v>150</v>
      </c>
      <c r="J284" s="7">
        <f t="shared" si="6"/>
        <v>0</v>
      </c>
      <c r="K284" s="7">
        <f t="shared" si="7"/>
        <v>200</v>
      </c>
      <c r="L284" s="7">
        <f t="shared" si="8"/>
        <v>0</v>
      </c>
      <c r="M284" s="7">
        <f t="shared" si="9"/>
        <v>300</v>
      </c>
      <c r="N284" s="7">
        <f t="shared" si="10"/>
        <v>0</v>
      </c>
      <c r="O284" s="7">
        <f t="shared" si="11"/>
        <v>400</v>
      </c>
      <c r="P284" s="7">
        <f t="shared" si="12"/>
        <v>0</v>
      </c>
      <c r="Q284" s="7">
        <f t="shared" si="13"/>
        <v>500</v>
      </c>
      <c r="R284" s="7">
        <f t="shared" si="14"/>
        <v>0</v>
      </c>
      <c r="S284" s="7">
        <f t="shared" si="15"/>
        <v>600</v>
      </c>
      <c r="T284" s="7">
        <f t="shared" si="16"/>
        <v>0</v>
      </c>
      <c r="U284" s="7">
        <f t="shared" si="17"/>
        <v>700</v>
      </c>
      <c r="V284" s="7">
        <f t="shared" si="18"/>
        <v>0</v>
      </c>
      <c r="W284" s="7">
        <f t="shared" si="19"/>
        <v>800</v>
      </c>
      <c r="X284" s="7">
        <f t="shared" si="20"/>
        <v>0</v>
      </c>
      <c r="Y284" s="7">
        <f t="shared" si="21"/>
        <v>900</v>
      </c>
      <c r="Z284" s="7">
        <f t="shared" si="22"/>
        <v>0</v>
      </c>
    </row>
    <row r="285">
      <c r="A285" s="19"/>
      <c r="B285" s="19"/>
      <c r="C285" s="13">
        <v>49461.0</v>
      </c>
      <c r="D285" s="12">
        <f>'Income per month'!B285</f>
        <v>1000</v>
      </c>
      <c r="E285" s="7">
        <f t="shared" si="1"/>
        <v>50</v>
      </c>
      <c r="F285" s="7">
        <f t="shared" si="2"/>
        <v>0</v>
      </c>
      <c r="G285" s="7">
        <f t="shared" si="3"/>
        <v>100</v>
      </c>
      <c r="H285" s="7">
        <f t="shared" si="4"/>
        <v>0</v>
      </c>
      <c r="I285" s="7">
        <f t="shared" si="5"/>
        <v>150</v>
      </c>
      <c r="J285" s="7">
        <f t="shared" si="6"/>
        <v>0</v>
      </c>
      <c r="K285" s="7">
        <f t="shared" si="7"/>
        <v>200</v>
      </c>
      <c r="L285" s="7">
        <f t="shared" si="8"/>
        <v>0</v>
      </c>
      <c r="M285" s="7">
        <f t="shared" si="9"/>
        <v>300</v>
      </c>
      <c r="N285" s="7">
        <f t="shared" si="10"/>
        <v>0</v>
      </c>
      <c r="O285" s="7">
        <f t="shared" si="11"/>
        <v>400</v>
      </c>
      <c r="P285" s="7">
        <f t="shared" si="12"/>
        <v>0</v>
      </c>
      <c r="Q285" s="7">
        <f t="shared" si="13"/>
        <v>500</v>
      </c>
      <c r="R285" s="7">
        <f t="shared" si="14"/>
        <v>0</v>
      </c>
      <c r="S285" s="7">
        <f t="shared" si="15"/>
        <v>600</v>
      </c>
      <c r="T285" s="7">
        <f t="shared" si="16"/>
        <v>0</v>
      </c>
      <c r="U285" s="7">
        <f t="shared" si="17"/>
        <v>700</v>
      </c>
      <c r="V285" s="7">
        <f t="shared" si="18"/>
        <v>0</v>
      </c>
      <c r="W285" s="7">
        <f t="shared" si="19"/>
        <v>800</v>
      </c>
      <c r="X285" s="7">
        <f t="shared" si="20"/>
        <v>0</v>
      </c>
      <c r="Y285" s="7">
        <f t="shared" si="21"/>
        <v>900</v>
      </c>
      <c r="Z285" s="7">
        <f t="shared" si="22"/>
        <v>0</v>
      </c>
    </row>
    <row r="286">
      <c r="A286" s="19"/>
      <c r="B286" s="19"/>
      <c r="C286" s="13">
        <v>49491.0</v>
      </c>
      <c r="D286" s="12">
        <f>'Income per month'!B286</f>
        <v>1000</v>
      </c>
      <c r="E286" s="7">
        <f t="shared" si="1"/>
        <v>50</v>
      </c>
      <c r="F286" s="7">
        <f t="shared" si="2"/>
        <v>0</v>
      </c>
      <c r="G286" s="7">
        <f t="shared" si="3"/>
        <v>100</v>
      </c>
      <c r="H286" s="7">
        <f t="shared" si="4"/>
        <v>0</v>
      </c>
      <c r="I286" s="7">
        <f t="shared" si="5"/>
        <v>150</v>
      </c>
      <c r="J286" s="7">
        <f t="shared" si="6"/>
        <v>0</v>
      </c>
      <c r="K286" s="7">
        <f t="shared" si="7"/>
        <v>200</v>
      </c>
      <c r="L286" s="7">
        <f t="shared" si="8"/>
        <v>0</v>
      </c>
      <c r="M286" s="7">
        <f t="shared" si="9"/>
        <v>300</v>
      </c>
      <c r="N286" s="7">
        <f t="shared" si="10"/>
        <v>0</v>
      </c>
      <c r="O286" s="7">
        <f t="shared" si="11"/>
        <v>400</v>
      </c>
      <c r="P286" s="7">
        <f t="shared" si="12"/>
        <v>0</v>
      </c>
      <c r="Q286" s="7">
        <f t="shared" si="13"/>
        <v>500</v>
      </c>
      <c r="R286" s="7">
        <f t="shared" si="14"/>
        <v>0</v>
      </c>
      <c r="S286" s="7">
        <f t="shared" si="15"/>
        <v>600</v>
      </c>
      <c r="T286" s="7">
        <f t="shared" si="16"/>
        <v>0</v>
      </c>
      <c r="U286" s="7">
        <f t="shared" si="17"/>
        <v>700</v>
      </c>
      <c r="V286" s="7">
        <f t="shared" si="18"/>
        <v>0</v>
      </c>
      <c r="W286" s="7">
        <f t="shared" si="19"/>
        <v>800</v>
      </c>
      <c r="X286" s="7">
        <f t="shared" si="20"/>
        <v>0</v>
      </c>
      <c r="Y286" s="7">
        <f t="shared" si="21"/>
        <v>900</v>
      </c>
      <c r="Z286" s="7">
        <f t="shared" si="22"/>
        <v>0</v>
      </c>
    </row>
    <row r="287">
      <c r="A287" s="19"/>
      <c r="B287" s="19"/>
      <c r="C287" s="13">
        <v>49522.0</v>
      </c>
      <c r="D287" s="12">
        <f>'Income per month'!B287</f>
        <v>1000</v>
      </c>
      <c r="E287" s="7">
        <f t="shared" si="1"/>
        <v>50</v>
      </c>
      <c r="F287" s="7">
        <f t="shared" si="2"/>
        <v>0</v>
      </c>
      <c r="G287" s="7">
        <f t="shared" si="3"/>
        <v>100</v>
      </c>
      <c r="H287" s="7">
        <f t="shared" si="4"/>
        <v>0</v>
      </c>
      <c r="I287" s="7">
        <f t="shared" si="5"/>
        <v>150</v>
      </c>
      <c r="J287" s="7">
        <f t="shared" si="6"/>
        <v>0</v>
      </c>
      <c r="K287" s="7">
        <f t="shared" si="7"/>
        <v>200</v>
      </c>
      <c r="L287" s="7">
        <f t="shared" si="8"/>
        <v>0</v>
      </c>
      <c r="M287" s="7">
        <f t="shared" si="9"/>
        <v>300</v>
      </c>
      <c r="N287" s="7">
        <f t="shared" si="10"/>
        <v>0</v>
      </c>
      <c r="O287" s="7">
        <f t="shared" si="11"/>
        <v>400</v>
      </c>
      <c r="P287" s="7">
        <f t="shared" si="12"/>
        <v>0</v>
      </c>
      <c r="Q287" s="7">
        <f t="shared" si="13"/>
        <v>500</v>
      </c>
      <c r="R287" s="7">
        <f t="shared" si="14"/>
        <v>0</v>
      </c>
      <c r="S287" s="7">
        <f t="shared" si="15"/>
        <v>600</v>
      </c>
      <c r="T287" s="7">
        <f t="shared" si="16"/>
        <v>0</v>
      </c>
      <c r="U287" s="7">
        <f t="shared" si="17"/>
        <v>700</v>
      </c>
      <c r="V287" s="7">
        <f t="shared" si="18"/>
        <v>0</v>
      </c>
      <c r="W287" s="7">
        <f t="shared" si="19"/>
        <v>800</v>
      </c>
      <c r="X287" s="7">
        <f t="shared" si="20"/>
        <v>0</v>
      </c>
      <c r="Y287" s="7">
        <f t="shared" si="21"/>
        <v>900</v>
      </c>
      <c r="Z287" s="7">
        <f t="shared" si="22"/>
        <v>0</v>
      </c>
    </row>
    <row r="288">
      <c r="A288" s="19"/>
      <c r="B288" s="19"/>
      <c r="C288" s="13">
        <v>49553.0</v>
      </c>
      <c r="D288" s="12">
        <f>'Income per month'!B288</f>
        <v>1000</v>
      </c>
      <c r="E288" s="7">
        <f t="shared" si="1"/>
        <v>50</v>
      </c>
      <c r="F288" s="7">
        <f t="shared" si="2"/>
        <v>0</v>
      </c>
      <c r="G288" s="7">
        <f t="shared" si="3"/>
        <v>100</v>
      </c>
      <c r="H288" s="7">
        <f t="shared" si="4"/>
        <v>0</v>
      </c>
      <c r="I288" s="7">
        <f t="shared" si="5"/>
        <v>150</v>
      </c>
      <c r="J288" s="7">
        <f t="shared" si="6"/>
        <v>0</v>
      </c>
      <c r="K288" s="7">
        <f t="shared" si="7"/>
        <v>200</v>
      </c>
      <c r="L288" s="7">
        <f t="shared" si="8"/>
        <v>0</v>
      </c>
      <c r="M288" s="7">
        <f t="shared" si="9"/>
        <v>300</v>
      </c>
      <c r="N288" s="7">
        <f t="shared" si="10"/>
        <v>0</v>
      </c>
      <c r="O288" s="7">
        <f t="shared" si="11"/>
        <v>400</v>
      </c>
      <c r="P288" s="7">
        <f t="shared" si="12"/>
        <v>0</v>
      </c>
      <c r="Q288" s="7">
        <f t="shared" si="13"/>
        <v>500</v>
      </c>
      <c r="R288" s="7">
        <f t="shared" si="14"/>
        <v>0</v>
      </c>
      <c r="S288" s="7">
        <f t="shared" si="15"/>
        <v>600</v>
      </c>
      <c r="T288" s="7">
        <f t="shared" si="16"/>
        <v>0</v>
      </c>
      <c r="U288" s="7">
        <f t="shared" si="17"/>
        <v>700</v>
      </c>
      <c r="V288" s="7">
        <f t="shared" si="18"/>
        <v>0</v>
      </c>
      <c r="W288" s="7">
        <f t="shared" si="19"/>
        <v>800</v>
      </c>
      <c r="X288" s="7">
        <f t="shared" si="20"/>
        <v>0</v>
      </c>
      <c r="Y288" s="7">
        <f t="shared" si="21"/>
        <v>900</v>
      </c>
      <c r="Z288" s="7">
        <f t="shared" si="22"/>
        <v>0</v>
      </c>
    </row>
    <row r="289">
      <c r="A289" s="19"/>
      <c r="B289" s="19"/>
      <c r="C289" s="13">
        <v>49583.0</v>
      </c>
      <c r="D289" s="12">
        <f>'Income per month'!B289</f>
        <v>1000</v>
      </c>
      <c r="E289" s="7">
        <f t="shared" si="1"/>
        <v>50</v>
      </c>
      <c r="F289" s="7">
        <f t="shared" si="2"/>
        <v>0</v>
      </c>
      <c r="G289" s="7">
        <f t="shared" si="3"/>
        <v>100</v>
      </c>
      <c r="H289" s="7">
        <f t="shared" si="4"/>
        <v>0</v>
      </c>
      <c r="I289" s="7">
        <f t="shared" si="5"/>
        <v>150</v>
      </c>
      <c r="J289" s="7">
        <f t="shared" si="6"/>
        <v>0</v>
      </c>
      <c r="K289" s="7">
        <f t="shared" si="7"/>
        <v>200</v>
      </c>
      <c r="L289" s="7">
        <f t="shared" si="8"/>
        <v>0</v>
      </c>
      <c r="M289" s="7">
        <f t="shared" si="9"/>
        <v>300</v>
      </c>
      <c r="N289" s="7">
        <f t="shared" si="10"/>
        <v>0</v>
      </c>
      <c r="O289" s="7">
        <f t="shared" si="11"/>
        <v>400</v>
      </c>
      <c r="P289" s="7">
        <f t="shared" si="12"/>
        <v>0</v>
      </c>
      <c r="Q289" s="7">
        <f t="shared" si="13"/>
        <v>500</v>
      </c>
      <c r="R289" s="7">
        <f t="shared" si="14"/>
        <v>0</v>
      </c>
      <c r="S289" s="7">
        <f t="shared" si="15"/>
        <v>600</v>
      </c>
      <c r="T289" s="7">
        <f t="shared" si="16"/>
        <v>0</v>
      </c>
      <c r="U289" s="7">
        <f t="shared" si="17"/>
        <v>700</v>
      </c>
      <c r="V289" s="7">
        <f t="shared" si="18"/>
        <v>0</v>
      </c>
      <c r="W289" s="7">
        <f t="shared" si="19"/>
        <v>800</v>
      </c>
      <c r="X289" s="7">
        <f t="shared" si="20"/>
        <v>0</v>
      </c>
      <c r="Y289" s="7">
        <f t="shared" si="21"/>
        <v>900</v>
      </c>
      <c r="Z289" s="7">
        <f t="shared" si="22"/>
        <v>0</v>
      </c>
    </row>
    <row r="290">
      <c r="A290" s="19"/>
      <c r="B290" s="19"/>
      <c r="C290" s="13">
        <v>49614.0</v>
      </c>
      <c r="D290" s="12">
        <f>'Income per month'!B290</f>
        <v>1000</v>
      </c>
      <c r="E290" s="7">
        <f t="shared" si="1"/>
        <v>50</v>
      </c>
      <c r="F290" s="7">
        <f t="shared" si="2"/>
        <v>0</v>
      </c>
      <c r="G290" s="7">
        <f t="shared" si="3"/>
        <v>100</v>
      </c>
      <c r="H290" s="7">
        <f t="shared" si="4"/>
        <v>0</v>
      </c>
      <c r="I290" s="7">
        <f t="shared" si="5"/>
        <v>150</v>
      </c>
      <c r="J290" s="7">
        <f t="shared" si="6"/>
        <v>0</v>
      </c>
      <c r="K290" s="7">
        <f t="shared" si="7"/>
        <v>200</v>
      </c>
      <c r="L290" s="7">
        <f t="shared" si="8"/>
        <v>0</v>
      </c>
      <c r="M290" s="7">
        <f t="shared" si="9"/>
        <v>300</v>
      </c>
      <c r="N290" s="7">
        <f t="shared" si="10"/>
        <v>0</v>
      </c>
      <c r="O290" s="7">
        <f t="shared" si="11"/>
        <v>400</v>
      </c>
      <c r="P290" s="7">
        <f t="shared" si="12"/>
        <v>0</v>
      </c>
      <c r="Q290" s="7">
        <f t="shared" si="13"/>
        <v>500</v>
      </c>
      <c r="R290" s="7">
        <f t="shared" si="14"/>
        <v>0</v>
      </c>
      <c r="S290" s="7">
        <f t="shared" si="15"/>
        <v>600</v>
      </c>
      <c r="T290" s="7">
        <f t="shared" si="16"/>
        <v>0</v>
      </c>
      <c r="U290" s="7">
        <f t="shared" si="17"/>
        <v>700</v>
      </c>
      <c r="V290" s="7">
        <f t="shared" si="18"/>
        <v>0</v>
      </c>
      <c r="W290" s="7">
        <f t="shared" si="19"/>
        <v>800</v>
      </c>
      <c r="X290" s="7">
        <f t="shared" si="20"/>
        <v>0</v>
      </c>
      <c r="Y290" s="7">
        <f t="shared" si="21"/>
        <v>900</v>
      </c>
      <c r="Z290" s="7">
        <f t="shared" si="22"/>
        <v>0</v>
      </c>
    </row>
    <row r="291">
      <c r="A291" s="19"/>
      <c r="B291" s="19"/>
      <c r="C291" s="14">
        <v>49644.0</v>
      </c>
      <c r="D291" s="12">
        <f>'Income per month'!B291</f>
        <v>1000</v>
      </c>
      <c r="E291" s="7">
        <f t="shared" si="1"/>
        <v>50</v>
      </c>
      <c r="F291" s="7">
        <f t="shared" si="2"/>
        <v>0</v>
      </c>
      <c r="G291" s="7">
        <f t="shared" si="3"/>
        <v>100</v>
      </c>
      <c r="H291" s="7">
        <f t="shared" si="4"/>
        <v>0</v>
      </c>
      <c r="I291" s="7">
        <f t="shared" si="5"/>
        <v>150</v>
      </c>
      <c r="J291" s="7">
        <f t="shared" si="6"/>
        <v>0</v>
      </c>
      <c r="K291" s="7">
        <f t="shared" si="7"/>
        <v>200</v>
      </c>
      <c r="L291" s="7">
        <f t="shared" si="8"/>
        <v>0</v>
      </c>
      <c r="M291" s="7">
        <f t="shared" si="9"/>
        <v>300</v>
      </c>
      <c r="N291" s="7">
        <f t="shared" si="10"/>
        <v>0</v>
      </c>
      <c r="O291" s="7">
        <f t="shared" si="11"/>
        <v>400</v>
      </c>
      <c r="P291" s="7">
        <f t="shared" si="12"/>
        <v>0</v>
      </c>
      <c r="Q291" s="7">
        <f t="shared" si="13"/>
        <v>500</v>
      </c>
      <c r="R291" s="7">
        <f t="shared" si="14"/>
        <v>0</v>
      </c>
      <c r="S291" s="7">
        <f t="shared" si="15"/>
        <v>600</v>
      </c>
      <c r="T291" s="7">
        <f t="shared" si="16"/>
        <v>0</v>
      </c>
      <c r="U291" s="7">
        <f t="shared" si="17"/>
        <v>700</v>
      </c>
      <c r="V291" s="7">
        <f t="shared" si="18"/>
        <v>0</v>
      </c>
      <c r="W291" s="7">
        <f t="shared" si="19"/>
        <v>800</v>
      </c>
      <c r="X291" s="7">
        <f t="shared" si="20"/>
        <v>0</v>
      </c>
      <c r="Y291" s="7">
        <f t="shared" si="21"/>
        <v>900</v>
      </c>
      <c r="Z291" s="7">
        <f t="shared" si="22"/>
        <v>0</v>
      </c>
    </row>
    <row r="292">
      <c r="A292" s="19"/>
      <c r="B292" s="19"/>
      <c r="C292" s="13">
        <v>49675.0</v>
      </c>
      <c r="D292" s="12">
        <f>'Income per month'!B292</f>
        <v>1000</v>
      </c>
      <c r="E292" s="7">
        <f t="shared" si="1"/>
        <v>50</v>
      </c>
      <c r="F292" s="7">
        <f t="shared" si="2"/>
        <v>0</v>
      </c>
      <c r="G292" s="7">
        <f t="shared" si="3"/>
        <v>100</v>
      </c>
      <c r="H292" s="7">
        <f t="shared" si="4"/>
        <v>0</v>
      </c>
      <c r="I292" s="7">
        <f t="shared" si="5"/>
        <v>150</v>
      </c>
      <c r="J292" s="7">
        <f t="shared" si="6"/>
        <v>0</v>
      </c>
      <c r="K292" s="7">
        <f t="shared" si="7"/>
        <v>200</v>
      </c>
      <c r="L292" s="7">
        <f t="shared" si="8"/>
        <v>0</v>
      </c>
      <c r="M292" s="7">
        <f t="shared" si="9"/>
        <v>300</v>
      </c>
      <c r="N292" s="7">
        <f t="shared" si="10"/>
        <v>0</v>
      </c>
      <c r="O292" s="7">
        <f t="shared" si="11"/>
        <v>400</v>
      </c>
      <c r="P292" s="7">
        <f t="shared" si="12"/>
        <v>0</v>
      </c>
      <c r="Q292" s="7">
        <f t="shared" si="13"/>
        <v>500</v>
      </c>
      <c r="R292" s="7">
        <f t="shared" si="14"/>
        <v>0</v>
      </c>
      <c r="S292" s="7">
        <f t="shared" si="15"/>
        <v>600</v>
      </c>
      <c r="T292" s="7">
        <f t="shared" si="16"/>
        <v>0</v>
      </c>
      <c r="U292" s="7">
        <f t="shared" si="17"/>
        <v>700</v>
      </c>
      <c r="V292" s="7">
        <f t="shared" si="18"/>
        <v>0</v>
      </c>
      <c r="W292" s="7">
        <f t="shared" si="19"/>
        <v>800</v>
      </c>
      <c r="X292" s="7">
        <f t="shared" si="20"/>
        <v>0</v>
      </c>
      <c r="Y292" s="7">
        <f t="shared" si="21"/>
        <v>900</v>
      </c>
      <c r="Z292" s="7">
        <f t="shared" si="22"/>
        <v>0</v>
      </c>
    </row>
    <row r="293">
      <c r="A293" s="19"/>
      <c r="B293" s="19"/>
      <c r="C293" s="13">
        <v>49706.0</v>
      </c>
      <c r="D293" s="12">
        <f>'Income per month'!B293</f>
        <v>1000</v>
      </c>
      <c r="E293" s="7">
        <f t="shared" si="1"/>
        <v>50</v>
      </c>
      <c r="F293" s="7">
        <f t="shared" si="2"/>
        <v>0</v>
      </c>
      <c r="G293" s="7">
        <f t="shared" si="3"/>
        <v>100</v>
      </c>
      <c r="H293" s="7">
        <f t="shared" si="4"/>
        <v>0</v>
      </c>
      <c r="I293" s="7">
        <f t="shared" si="5"/>
        <v>150</v>
      </c>
      <c r="J293" s="7">
        <f t="shared" si="6"/>
        <v>0</v>
      </c>
      <c r="K293" s="7">
        <f t="shared" si="7"/>
        <v>200</v>
      </c>
      <c r="L293" s="7">
        <f t="shared" si="8"/>
        <v>0</v>
      </c>
      <c r="M293" s="7">
        <f t="shared" si="9"/>
        <v>300</v>
      </c>
      <c r="N293" s="7">
        <f t="shared" si="10"/>
        <v>0</v>
      </c>
      <c r="O293" s="7">
        <f t="shared" si="11"/>
        <v>400</v>
      </c>
      <c r="P293" s="7">
        <f t="shared" si="12"/>
        <v>0</v>
      </c>
      <c r="Q293" s="7">
        <f t="shared" si="13"/>
        <v>500</v>
      </c>
      <c r="R293" s="7">
        <f t="shared" si="14"/>
        <v>0</v>
      </c>
      <c r="S293" s="7">
        <f t="shared" si="15"/>
        <v>600</v>
      </c>
      <c r="T293" s="7">
        <f t="shared" si="16"/>
        <v>0</v>
      </c>
      <c r="U293" s="7">
        <f t="shared" si="17"/>
        <v>700</v>
      </c>
      <c r="V293" s="7">
        <f t="shared" si="18"/>
        <v>0</v>
      </c>
      <c r="W293" s="7">
        <f t="shared" si="19"/>
        <v>800</v>
      </c>
      <c r="X293" s="7">
        <f t="shared" si="20"/>
        <v>0</v>
      </c>
      <c r="Y293" s="7">
        <f t="shared" si="21"/>
        <v>900</v>
      </c>
      <c r="Z293" s="7">
        <f t="shared" si="22"/>
        <v>0</v>
      </c>
    </row>
    <row r="294">
      <c r="A294" s="19"/>
      <c r="B294" s="19"/>
      <c r="C294" s="13">
        <v>49735.0</v>
      </c>
      <c r="D294" s="12">
        <f>'Income per month'!B294</f>
        <v>1000</v>
      </c>
      <c r="E294" s="7">
        <f t="shared" si="1"/>
        <v>50</v>
      </c>
      <c r="F294" s="7">
        <f t="shared" si="2"/>
        <v>0</v>
      </c>
      <c r="G294" s="7">
        <f t="shared" si="3"/>
        <v>100</v>
      </c>
      <c r="H294" s="7">
        <f t="shared" si="4"/>
        <v>0</v>
      </c>
      <c r="I294" s="7">
        <f t="shared" si="5"/>
        <v>150</v>
      </c>
      <c r="J294" s="7">
        <f t="shared" si="6"/>
        <v>0</v>
      </c>
      <c r="K294" s="7">
        <f t="shared" si="7"/>
        <v>200</v>
      </c>
      <c r="L294" s="7">
        <f t="shared" si="8"/>
        <v>0</v>
      </c>
      <c r="M294" s="7">
        <f t="shared" si="9"/>
        <v>300</v>
      </c>
      <c r="N294" s="7">
        <f t="shared" si="10"/>
        <v>0</v>
      </c>
      <c r="O294" s="7">
        <f t="shared" si="11"/>
        <v>400</v>
      </c>
      <c r="P294" s="7">
        <f t="shared" si="12"/>
        <v>0</v>
      </c>
      <c r="Q294" s="7">
        <f t="shared" si="13"/>
        <v>500</v>
      </c>
      <c r="R294" s="7">
        <f t="shared" si="14"/>
        <v>0</v>
      </c>
      <c r="S294" s="7">
        <f t="shared" si="15"/>
        <v>600</v>
      </c>
      <c r="T294" s="7">
        <f t="shared" si="16"/>
        <v>0</v>
      </c>
      <c r="U294" s="7">
        <f t="shared" si="17"/>
        <v>700</v>
      </c>
      <c r="V294" s="7">
        <f t="shared" si="18"/>
        <v>0</v>
      </c>
      <c r="W294" s="7">
        <f t="shared" si="19"/>
        <v>800</v>
      </c>
      <c r="X294" s="7">
        <f t="shared" si="20"/>
        <v>0</v>
      </c>
      <c r="Y294" s="7">
        <f t="shared" si="21"/>
        <v>900</v>
      </c>
      <c r="Z294" s="7">
        <f t="shared" si="22"/>
        <v>0</v>
      </c>
    </row>
    <row r="295">
      <c r="A295" s="19"/>
      <c r="B295" s="19"/>
      <c r="C295" s="13">
        <v>49766.0</v>
      </c>
      <c r="D295" s="12">
        <f>'Income per month'!B295</f>
        <v>1000</v>
      </c>
      <c r="E295" s="7">
        <f t="shared" si="1"/>
        <v>50</v>
      </c>
      <c r="F295" s="7">
        <f t="shared" si="2"/>
        <v>0</v>
      </c>
      <c r="G295" s="7">
        <f t="shared" si="3"/>
        <v>100</v>
      </c>
      <c r="H295" s="7">
        <f t="shared" si="4"/>
        <v>0</v>
      </c>
      <c r="I295" s="7">
        <f t="shared" si="5"/>
        <v>150</v>
      </c>
      <c r="J295" s="7">
        <f t="shared" si="6"/>
        <v>0</v>
      </c>
      <c r="K295" s="7">
        <f t="shared" si="7"/>
        <v>200</v>
      </c>
      <c r="L295" s="7">
        <f t="shared" si="8"/>
        <v>0</v>
      </c>
      <c r="M295" s="7">
        <f t="shared" si="9"/>
        <v>300</v>
      </c>
      <c r="N295" s="7">
        <f t="shared" si="10"/>
        <v>0</v>
      </c>
      <c r="O295" s="7">
        <f t="shared" si="11"/>
        <v>400</v>
      </c>
      <c r="P295" s="7">
        <f t="shared" si="12"/>
        <v>0</v>
      </c>
      <c r="Q295" s="7">
        <f t="shared" si="13"/>
        <v>500</v>
      </c>
      <c r="R295" s="7">
        <f t="shared" si="14"/>
        <v>0</v>
      </c>
      <c r="S295" s="7">
        <f t="shared" si="15"/>
        <v>600</v>
      </c>
      <c r="T295" s="7">
        <f t="shared" si="16"/>
        <v>0</v>
      </c>
      <c r="U295" s="7">
        <f t="shared" si="17"/>
        <v>700</v>
      </c>
      <c r="V295" s="7">
        <f t="shared" si="18"/>
        <v>0</v>
      </c>
      <c r="W295" s="7">
        <f t="shared" si="19"/>
        <v>800</v>
      </c>
      <c r="X295" s="7">
        <f t="shared" si="20"/>
        <v>0</v>
      </c>
      <c r="Y295" s="7">
        <f t="shared" si="21"/>
        <v>900</v>
      </c>
      <c r="Z295" s="7">
        <f t="shared" si="22"/>
        <v>0</v>
      </c>
    </row>
    <row r="296">
      <c r="A296" s="19"/>
      <c r="B296" s="19"/>
      <c r="C296" s="13">
        <v>49796.0</v>
      </c>
      <c r="D296" s="12">
        <f>'Income per month'!B296</f>
        <v>1000</v>
      </c>
      <c r="E296" s="7">
        <f t="shared" si="1"/>
        <v>50</v>
      </c>
      <c r="F296" s="7">
        <f t="shared" si="2"/>
        <v>0</v>
      </c>
      <c r="G296" s="7">
        <f t="shared" si="3"/>
        <v>100</v>
      </c>
      <c r="H296" s="7">
        <f t="shared" si="4"/>
        <v>0</v>
      </c>
      <c r="I296" s="7">
        <f t="shared" si="5"/>
        <v>150</v>
      </c>
      <c r="J296" s="7">
        <f t="shared" si="6"/>
        <v>0</v>
      </c>
      <c r="K296" s="7">
        <f t="shared" si="7"/>
        <v>200</v>
      </c>
      <c r="L296" s="7">
        <f t="shared" si="8"/>
        <v>0</v>
      </c>
      <c r="M296" s="7">
        <f t="shared" si="9"/>
        <v>300</v>
      </c>
      <c r="N296" s="7">
        <f t="shared" si="10"/>
        <v>0</v>
      </c>
      <c r="O296" s="7">
        <f t="shared" si="11"/>
        <v>400</v>
      </c>
      <c r="P296" s="7">
        <f t="shared" si="12"/>
        <v>0</v>
      </c>
      <c r="Q296" s="7">
        <f t="shared" si="13"/>
        <v>500</v>
      </c>
      <c r="R296" s="7">
        <f t="shared" si="14"/>
        <v>0</v>
      </c>
      <c r="S296" s="7">
        <f t="shared" si="15"/>
        <v>600</v>
      </c>
      <c r="T296" s="7">
        <f t="shared" si="16"/>
        <v>0</v>
      </c>
      <c r="U296" s="7">
        <f t="shared" si="17"/>
        <v>700</v>
      </c>
      <c r="V296" s="7">
        <f t="shared" si="18"/>
        <v>0</v>
      </c>
      <c r="W296" s="7">
        <f t="shared" si="19"/>
        <v>800</v>
      </c>
      <c r="X296" s="7">
        <f t="shared" si="20"/>
        <v>0</v>
      </c>
      <c r="Y296" s="7">
        <f t="shared" si="21"/>
        <v>900</v>
      </c>
      <c r="Z296" s="7">
        <f t="shared" si="22"/>
        <v>0</v>
      </c>
    </row>
    <row r="297">
      <c r="A297" s="19"/>
      <c r="B297" s="19"/>
      <c r="C297" s="13">
        <v>49827.0</v>
      </c>
      <c r="D297" s="12">
        <f>'Income per month'!B297</f>
        <v>1000</v>
      </c>
      <c r="E297" s="7">
        <f t="shared" si="1"/>
        <v>50</v>
      </c>
      <c r="F297" s="7">
        <f t="shared" si="2"/>
        <v>0</v>
      </c>
      <c r="G297" s="7">
        <f t="shared" si="3"/>
        <v>100</v>
      </c>
      <c r="H297" s="7">
        <f t="shared" si="4"/>
        <v>0</v>
      </c>
      <c r="I297" s="7">
        <f t="shared" si="5"/>
        <v>150</v>
      </c>
      <c r="J297" s="7">
        <f t="shared" si="6"/>
        <v>0</v>
      </c>
      <c r="K297" s="7">
        <f t="shared" si="7"/>
        <v>200</v>
      </c>
      <c r="L297" s="7">
        <f t="shared" si="8"/>
        <v>0</v>
      </c>
      <c r="M297" s="7">
        <f t="shared" si="9"/>
        <v>300</v>
      </c>
      <c r="N297" s="7">
        <f t="shared" si="10"/>
        <v>0</v>
      </c>
      <c r="O297" s="7">
        <f t="shared" si="11"/>
        <v>400</v>
      </c>
      <c r="P297" s="7">
        <f t="shared" si="12"/>
        <v>0</v>
      </c>
      <c r="Q297" s="7">
        <f t="shared" si="13"/>
        <v>500</v>
      </c>
      <c r="R297" s="7">
        <f t="shared" si="14"/>
        <v>0</v>
      </c>
      <c r="S297" s="7">
        <f t="shared" si="15"/>
        <v>600</v>
      </c>
      <c r="T297" s="7">
        <f t="shared" si="16"/>
        <v>0</v>
      </c>
      <c r="U297" s="7">
        <f t="shared" si="17"/>
        <v>700</v>
      </c>
      <c r="V297" s="7">
        <f t="shared" si="18"/>
        <v>0</v>
      </c>
      <c r="W297" s="7">
        <f t="shared" si="19"/>
        <v>800</v>
      </c>
      <c r="X297" s="7">
        <f t="shared" si="20"/>
        <v>0</v>
      </c>
      <c r="Y297" s="7">
        <f t="shared" si="21"/>
        <v>900</v>
      </c>
      <c r="Z297" s="7">
        <f t="shared" si="22"/>
        <v>0</v>
      </c>
    </row>
    <row r="298">
      <c r="A298" s="19"/>
      <c r="B298" s="19"/>
      <c r="C298" s="13">
        <v>49857.0</v>
      </c>
      <c r="D298" s="12">
        <f>'Income per month'!B298</f>
        <v>1000</v>
      </c>
      <c r="E298" s="7">
        <f t="shared" si="1"/>
        <v>50</v>
      </c>
      <c r="F298" s="7">
        <f t="shared" si="2"/>
        <v>0</v>
      </c>
      <c r="G298" s="7">
        <f t="shared" si="3"/>
        <v>100</v>
      </c>
      <c r="H298" s="7">
        <f t="shared" si="4"/>
        <v>0</v>
      </c>
      <c r="I298" s="7">
        <f t="shared" si="5"/>
        <v>150</v>
      </c>
      <c r="J298" s="7">
        <f t="shared" si="6"/>
        <v>0</v>
      </c>
      <c r="K298" s="7">
        <f t="shared" si="7"/>
        <v>200</v>
      </c>
      <c r="L298" s="7">
        <f t="shared" si="8"/>
        <v>0</v>
      </c>
      <c r="M298" s="7">
        <f t="shared" si="9"/>
        <v>300</v>
      </c>
      <c r="N298" s="7">
        <f t="shared" si="10"/>
        <v>0</v>
      </c>
      <c r="O298" s="7">
        <f t="shared" si="11"/>
        <v>400</v>
      </c>
      <c r="P298" s="7">
        <f t="shared" si="12"/>
        <v>0</v>
      </c>
      <c r="Q298" s="7">
        <f t="shared" si="13"/>
        <v>500</v>
      </c>
      <c r="R298" s="7">
        <f t="shared" si="14"/>
        <v>0</v>
      </c>
      <c r="S298" s="7">
        <f t="shared" si="15"/>
        <v>600</v>
      </c>
      <c r="T298" s="7">
        <f t="shared" si="16"/>
        <v>0</v>
      </c>
      <c r="U298" s="7">
        <f t="shared" si="17"/>
        <v>700</v>
      </c>
      <c r="V298" s="7">
        <f t="shared" si="18"/>
        <v>0</v>
      </c>
      <c r="W298" s="7">
        <f t="shared" si="19"/>
        <v>800</v>
      </c>
      <c r="X298" s="7">
        <f t="shared" si="20"/>
        <v>0</v>
      </c>
      <c r="Y298" s="7">
        <f t="shared" si="21"/>
        <v>900</v>
      </c>
      <c r="Z298" s="7">
        <f t="shared" si="22"/>
        <v>0</v>
      </c>
    </row>
    <row r="299">
      <c r="A299" s="19"/>
      <c r="B299" s="19"/>
      <c r="C299" s="13">
        <v>49888.0</v>
      </c>
      <c r="D299" s="12">
        <f>'Income per month'!B299</f>
        <v>1000</v>
      </c>
      <c r="E299" s="7">
        <f t="shared" si="1"/>
        <v>50</v>
      </c>
      <c r="F299" s="7">
        <f t="shared" si="2"/>
        <v>0</v>
      </c>
      <c r="G299" s="7">
        <f t="shared" si="3"/>
        <v>100</v>
      </c>
      <c r="H299" s="7">
        <f t="shared" si="4"/>
        <v>0</v>
      </c>
      <c r="I299" s="7">
        <f t="shared" si="5"/>
        <v>150</v>
      </c>
      <c r="J299" s="7">
        <f t="shared" si="6"/>
        <v>0</v>
      </c>
      <c r="K299" s="7">
        <f t="shared" si="7"/>
        <v>200</v>
      </c>
      <c r="L299" s="7">
        <f t="shared" si="8"/>
        <v>0</v>
      </c>
      <c r="M299" s="7">
        <f t="shared" si="9"/>
        <v>300</v>
      </c>
      <c r="N299" s="7">
        <f t="shared" si="10"/>
        <v>0</v>
      </c>
      <c r="O299" s="7">
        <f t="shared" si="11"/>
        <v>400</v>
      </c>
      <c r="P299" s="7">
        <f t="shared" si="12"/>
        <v>0</v>
      </c>
      <c r="Q299" s="7">
        <f t="shared" si="13"/>
        <v>500</v>
      </c>
      <c r="R299" s="7">
        <f t="shared" si="14"/>
        <v>0</v>
      </c>
      <c r="S299" s="7">
        <f t="shared" si="15"/>
        <v>600</v>
      </c>
      <c r="T299" s="7">
        <f t="shared" si="16"/>
        <v>0</v>
      </c>
      <c r="U299" s="7">
        <f t="shared" si="17"/>
        <v>700</v>
      </c>
      <c r="V299" s="7">
        <f t="shared" si="18"/>
        <v>0</v>
      </c>
      <c r="W299" s="7">
        <f t="shared" si="19"/>
        <v>800</v>
      </c>
      <c r="X299" s="7">
        <f t="shared" si="20"/>
        <v>0</v>
      </c>
      <c r="Y299" s="7">
        <f t="shared" si="21"/>
        <v>900</v>
      </c>
      <c r="Z299" s="7">
        <f t="shared" si="22"/>
        <v>0</v>
      </c>
    </row>
    <row r="300">
      <c r="A300" s="19"/>
      <c r="B300" s="19"/>
      <c r="C300" s="13">
        <v>49919.0</v>
      </c>
      <c r="D300" s="12">
        <f>'Income per month'!B300</f>
        <v>1000</v>
      </c>
      <c r="E300" s="7">
        <f t="shared" si="1"/>
        <v>50</v>
      </c>
      <c r="F300" s="7">
        <f t="shared" si="2"/>
        <v>0</v>
      </c>
      <c r="G300" s="7">
        <f t="shared" si="3"/>
        <v>100</v>
      </c>
      <c r="H300" s="7">
        <f t="shared" si="4"/>
        <v>0</v>
      </c>
      <c r="I300" s="7">
        <f t="shared" si="5"/>
        <v>150</v>
      </c>
      <c r="J300" s="7">
        <f t="shared" si="6"/>
        <v>0</v>
      </c>
      <c r="K300" s="7">
        <f t="shared" si="7"/>
        <v>200</v>
      </c>
      <c r="L300" s="7">
        <f t="shared" si="8"/>
        <v>0</v>
      </c>
      <c r="M300" s="7">
        <f t="shared" si="9"/>
        <v>300</v>
      </c>
      <c r="N300" s="7">
        <f t="shared" si="10"/>
        <v>0</v>
      </c>
      <c r="O300" s="7">
        <f t="shared" si="11"/>
        <v>400</v>
      </c>
      <c r="P300" s="7">
        <f t="shared" si="12"/>
        <v>0</v>
      </c>
      <c r="Q300" s="7">
        <f t="shared" si="13"/>
        <v>500</v>
      </c>
      <c r="R300" s="7">
        <f t="shared" si="14"/>
        <v>0</v>
      </c>
      <c r="S300" s="7">
        <f t="shared" si="15"/>
        <v>600</v>
      </c>
      <c r="T300" s="7">
        <f t="shared" si="16"/>
        <v>0</v>
      </c>
      <c r="U300" s="7">
        <f t="shared" si="17"/>
        <v>700</v>
      </c>
      <c r="V300" s="7">
        <f t="shared" si="18"/>
        <v>0</v>
      </c>
      <c r="W300" s="7">
        <f t="shared" si="19"/>
        <v>800</v>
      </c>
      <c r="X300" s="7">
        <f t="shared" si="20"/>
        <v>0</v>
      </c>
      <c r="Y300" s="7">
        <f t="shared" si="21"/>
        <v>900</v>
      </c>
      <c r="Z300" s="7">
        <f t="shared" si="22"/>
        <v>0</v>
      </c>
    </row>
    <row r="301">
      <c r="A301" s="19"/>
      <c r="B301" s="19"/>
      <c r="C301" s="13">
        <v>49949.0</v>
      </c>
      <c r="D301" s="12">
        <f>'Income per month'!B301</f>
        <v>1000</v>
      </c>
      <c r="E301" s="7">
        <f t="shared" si="1"/>
        <v>50</v>
      </c>
      <c r="F301" s="7">
        <f t="shared" si="2"/>
        <v>0</v>
      </c>
      <c r="G301" s="7">
        <f t="shared" si="3"/>
        <v>100</v>
      </c>
      <c r="H301" s="7">
        <f t="shared" si="4"/>
        <v>0</v>
      </c>
      <c r="I301" s="7">
        <f t="shared" si="5"/>
        <v>150</v>
      </c>
      <c r="J301" s="7">
        <f t="shared" si="6"/>
        <v>0</v>
      </c>
      <c r="K301" s="7">
        <f t="shared" si="7"/>
        <v>200</v>
      </c>
      <c r="L301" s="7">
        <f t="shared" si="8"/>
        <v>0</v>
      </c>
      <c r="M301" s="7">
        <f t="shared" si="9"/>
        <v>300</v>
      </c>
      <c r="N301" s="7">
        <f t="shared" si="10"/>
        <v>0</v>
      </c>
      <c r="O301" s="7">
        <f t="shared" si="11"/>
        <v>400</v>
      </c>
      <c r="P301" s="7">
        <f t="shared" si="12"/>
        <v>0</v>
      </c>
      <c r="Q301" s="7">
        <f t="shared" si="13"/>
        <v>500</v>
      </c>
      <c r="R301" s="7">
        <f t="shared" si="14"/>
        <v>0</v>
      </c>
      <c r="S301" s="7">
        <f t="shared" si="15"/>
        <v>600</v>
      </c>
      <c r="T301" s="7">
        <f t="shared" si="16"/>
        <v>0</v>
      </c>
      <c r="U301" s="7">
        <f t="shared" si="17"/>
        <v>700</v>
      </c>
      <c r="V301" s="7">
        <f t="shared" si="18"/>
        <v>0</v>
      </c>
      <c r="W301" s="7">
        <f t="shared" si="19"/>
        <v>800</v>
      </c>
      <c r="X301" s="7">
        <f t="shared" si="20"/>
        <v>0</v>
      </c>
      <c r="Y301" s="7">
        <f t="shared" si="21"/>
        <v>900</v>
      </c>
      <c r="Z301" s="7">
        <f t="shared" si="22"/>
        <v>0</v>
      </c>
    </row>
    <row r="302">
      <c r="A302" s="19"/>
      <c r="B302" s="19"/>
      <c r="C302" s="13">
        <v>49980.0</v>
      </c>
      <c r="D302" s="12">
        <f>'Income per month'!B302</f>
        <v>1000</v>
      </c>
      <c r="E302" s="7">
        <f t="shared" si="1"/>
        <v>50</v>
      </c>
      <c r="F302" s="7">
        <f t="shared" si="2"/>
        <v>0</v>
      </c>
      <c r="G302" s="7">
        <f t="shared" si="3"/>
        <v>100</v>
      </c>
      <c r="H302" s="7">
        <f t="shared" si="4"/>
        <v>0</v>
      </c>
      <c r="I302" s="7">
        <f t="shared" si="5"/>
        <v>150</v>
      </c>
      <c r="J302" s="7">
        <f t="shared" si="6"/>
        <v>0</v>
      </c>
      <c r="K302" s="7">
        <f t="shared" si="7"/>
        <v>200</v>
      </c>
      <c r="L302" s="7">
        <f t="shared" si="8"/>
        <v>0</v>
      </c>
      <c r="M302" s="7">
        <f t="shared" si="9"/>
        <v>300</v>
      </c>
      <c r="N302" s="7">
        <f t="shared" si="10"/>
        <v>0</v>
      </c>
      <c r="O302" s="7">
        <f t="shared" si="11"/>
        <v>400</v>
      </c>
      <c r="P302" s="7">
        <f t="shared" si="12"/>
        <v>0</v>
      </c>
      <c r="Q302" s="7">
        <f t="shared" si="13"/>
        <v>500</v>
      </c>
      <c r="R302" s="7">
        <f t="shared" si="14"/>
        <v>0</v>
      </c>
      <c r="S302" s="7">
        <f t="shared" si="15"/>
        <v>600</v>
      </c>
      <c r="T302" s="7">
        <f t="shared" si="16"/>
        <v>0</v>
      </c>
      <c r="U302" s="7">
        <f t="shared" si="17"/>
        <v>700</v>
      </c>
      <c r="V302" s="7">
        <f t="shared" si="18"/>
        <v>0</v>
      </c>
      <c r="W302" s="7">
        <f t="shared" si="19"/>
        <v>800</v>
      </c>
      <c r="X302" s="7">
        <f t="shared" si="20"/>
        <v>0</v>
      </c>
      <c r="Y302" s="7">
        <f t="shared" si="21"/>
        <v>900</v>
      </c>
      <c r="Z302" s="7">
        <f t="shared" si="22"/>
        <v>0</v>
      </c>
    </row>
    <row r="303">
      <c r="A303" s="19"/>
      <c r="B303" s="19"/>
      <c r="C303" s="14">
        <v>50010.0</v>
      </c>
      <c r="D303" s="12">
        <f>'Income per month'!B303</f>
        <v>1000</v>
      </c>
      <c r="E303" s="7">
        <f t="shared" si="1"/>
        <v>50</v>
      </c>
      <c r="F303" s="7">
        <f t="shared" si="2"/>
        <v>0</v>
      </c>
      <c r="G303" s="7">
        <f t="shared" si="3"/>
        <v>100</v>
      </c>
      <c r="H303" s="7">
        <f t="shared" si="4"/>
        <v>0</v>
      </c>
      <c r="I303" s="7">
        <f t="shared" si="5"/>
        <v>150</v>
      </c>
      <c r="J303" s="7">
        <f t="shared" si="6"/>
        <v>0</v>
      </c>
      <c r="K303" s="7">
        <f t="shared" si="7"/>
        <v>200</v>
      </c>
      <c r="L303" s="7">
        <f t="shared" si="8"/>
        <v>0</v>
      </c>
      <c r="M303" s="7">
        <f t="shared" si="9"/>
        <v>300</v>
      </c>
      <c r="N303" s="7">
        <f t="shared" si="10"/>
        <v>0</v>
      </c>
      <c r="O303" s="7">
        <f t="shared" si="11"/>
        <v>400</v>
      </c>
      <c r="P303" s="7">
        <f t="shared" si="12"/>
        <v>0</v>
      </c>
      <c r="Q303" s="7">
        <f t="shared" si="13"/>
        <v>500</v>
      </c>
      <c r="R303" s="7">
        <f t="shared" si="14"/>
        <v>0</v>
      </c>
      <c r="S303" s="7">
        <f t="shared" si="15"/>
        <v>600</v>
      </c>
      <c r="T303" s="7">
        <f t="shared" si="16"/>
        <v>0</v>
      </c>
      <c r="U303" s="7">
        <f t="shared" si="17"/>
        <v>700</v>
      </c>
      <c r="V303" s="7">
        <f t="shared" si="18"/>
        <v>0</v>
      </c>
      <c r="W303" s="7">
        <f t="shared" si="19"/>
        <v>800</v>
      </c>
      <c r="X303" s="7">
        <f t="shared" si="20"/>
        <v>0</v>
      </c>
      <c r="Y303" s="7">
        <f t="shared" si="21"/>
        <v>900</v>
      </c>
      <c r="Z303" s="7">
        <f t="shared" si="22"/>
        <v>0</v>
      </c>
    </row>
    <row r="304">
      <c r="A304" s="19"/>
      <c r="B304" s="19"/>
      <c r="C304" s="13">
        <v>50041.0</v>
      </c>
      <c r="D304" s="12">
        <f>'Income per month'!B304</f>
        <v>1000</v>
      </c>
      <c r="E304" s="7">
        <f t="shared" si="1"/>
        <v>50</v>
      </c>
      <c r="F304" s="7">
        <f t="shared" si="2"/>
        <v>0</v>
      </c>
      <c r="G304" s="7">
        <f t="shared" si="3"/>
        <v>100</v>
      </c>
      <c r="H304" s="7">
        <f t="shared" si="4"/>
        <v>0</v>
      </c>
      <c r="I304" s="7">
        <f t="shared" si="5"/>
        <v>150</v>
      </c>
      <c r="J304" s="7">
        <f t="shared" si="6"/>
        <v>0</v>
      </c>
      <c r="K304" s="7">
        <f t="shared" si="7"/>
        <v>200</v>
      </c>
      <c r="L304" s="7">
        <f t="shared" si="8"/>
        <v>0</v>
      </c>
      <c r="M304" s="7">
        <f t="shared" si="9"/>
        <v>300</v>
      </c>
      <c r="N304" s="7">
        <f t="shared" si="10"/>
        <v>0</v>
      </c>
      <c r="O304" s="7">
        <f t="shared" si="11"/>
        <v>400</v>
      </c>
      <c r="P304" s="7">
        <f t="shared" si="12"/>
        <v>0</v>
      </c>
      <c r="Q304" s="7">
        <f t="shared" si="13"/>
        <v>500</v>
      </c>
      <c r="R304" s="7">
        <f t="shared" si="14"/>
        <v>0</v>
      </c>
      <c r="S304" s="7">
        <f t="shared" si="15"/>
        <v>600</v>
      </c>
      <c r="T304" s="7">
        <f t="shared" si="16"/>
        <v>0</v>
      </c>
      <c r="U304" s="7">
        <f t="shared" si="17"/>
        <v>700</v>
      </c>
      <c r="V304" s="7">
        <f t="shared" si="18"/>
        <v>0</v>
      </c>
      <c r="W304" s="7">
        <f t="shared" si="19"/>
        <v>800</v>
      </c>
      <c r="X304" s="7">
        <f t="shared" si="20"/>
        <v>0</v>
      </c>
      <c r="Y304" s="7">
        <f t="shared" si="21"/>
        <v>900</v>
      </c>
      <c r="Z304" s="7">
        <f t="shared" si="22"/>
        <v>0</v>
      </c>
    </row>
    <row r="305">
      <c r="A305" s="19"/>
      <c r="B305" s="19"/>
      <c r="C305" s="13">
        <v>50072.0</v>
      </c>
      <c r="D305" s="12">
        <f>'Income per month'!B305</f>
        <v>1000</v>
      </c>
      <c r="E305" s="7">
        <f t="shared" si="1"/>
        <v>50</v>
      </c>
      <c r="F305" s="7">
        <f t="shared" si="2"/>
        <v>0</v>
      </c>
      <c r="G305" s="7">
        <f t="shared" si="3"/>
        <v>100</v>
      </c>
      <c r="H305" s="7">
        <f t="shared" si="4"/>
        <v>0</v>
      </c>
      <c r="I305" s="7">
        <f t="shared" si="5"/>
        <v>150</v>
      </c>
      <c r="J305" s="7">
        <f t="shared" si="6"/>
        <v>0</v>
      </c>
      <c r="K305" s="7">
        <f t="shared" si="7"/>
        <v>200</v>
      </c>
      <c r="L305" s="7">
        <f t="shared" si="8"/>
        <v>0</v>
      </c>
      <c r="M305" s="7">
        <f t="shared" si="9"/>
        <v>300</v>
      </c>
      <c r="N305" s="7">
        <f t="shared" si="10"/>
        <v>0</v>
      </c>
      <c r="O305" s="7">
        <f t="shared" si="11"/>
        <v>400</v>
      </c>
      <c r="P305" s="7">
        <f t="shared" si="12"/>
        <v>0</v>
      </c>
      <c r="Q305" s="7">
        <f t="shared" si="13"/>
        <v>500</v>
      </c>
      <c r="R305" s="7">
        <f t="shared" si="14"/>
        <v>0</v>
      </c>
      <c r="S305" s="7">
        <f t="shared" si="15"/>
        <v>600</v>
      </c>
      <c r="T305" s="7">
        <f t="shared" si="16"/>
        <v>0</v>
      </c>
      <c r="U305" s="7">
        <f t="shared" si="17"/>
        <v>700</v>
      </c>
      <c r="V305" s="7">
        <f t="shared" si="18"/>
        <v>0</v>
      </c>
      <c r="W305" s="7">
        <f t="shared" si="19"/>
        <v>800</v>
      </c>
      <c r="X305" s="7">
        <f t="shared" si="20"/>
        <v>0</v>
      </c>
      <c r="Y305" s="7">
        <f t="shared" si="21"/>
        <v>900</v>
      </c>
      <c r="Z305" s="7">
        <f t="shared" si="22"/>
        <v>0</v>
      </c>
    </row>
    <row r="306">
      <c r="A306" s="19"/>
      <c r="B306" s="19"/>
      <c r="C306" s="13">
        <v>50100.0</v>
      </c>
      <c r="D306" s="12">
        <f>'Income per month'!B306</f>
        <v>1000</v>
      </c>
      <c r="E306" s="7">
        <f t="shared" si="1"/>
        <v>50</v>
      </c>
      <c r="F306" s="7">
        <f t="shared" si="2"/>
        <v>0</v>
      </c>
      <c r="G306" s="7">
        <f t="shared" si="3"/>
        <v>100</v>
      </c>
      <c r="H306" s="7">
        <f t="shared" si="4"/>
        <v>0</v>
      </c>
      <c r="I306" s="7">
        <f t="shared" si="5"/>
        <v>150</v>
      </c>
      <c r="J306" s="7">
        <f t="shared" si="6"/>
        <v>0</v>
      </c>
      <c r="K306" s="7">
        <f t="shared" si="7"/>
        <v>200</v>
      </c>
      <c r="L306" s="7">
        <f t="shared" si="8"/>
        <v>0</v>
      </c>
      <c r="M306" s="7">
        <f t="shared" si="9"/>
        <v>300</v>
      </c>
      <c r="N306" s="7">
        <f t="shared" si="10"/>
        <v>0</v>
      </c>
      <c r="O306" s="7">
        <f t="shared" si="11"/>
        <v>400</v>
      </c>
      <c r="P306" s="7">
        <f t="shared" si="12"/>
        <v>0</v>
      </c>
      <c r="Q306" s="7">
        <f t="shared" si="13"/>
        <v>500</v>
      </c>
      <c r="R306" s="7">
        <f t="shared" si="14"/>
        <v>0</v>
      </c>
      <c r="S306" s="7">
        <f t="shared" si="15"/>
        <v>600</v>
      </c>
      <c r="T306" s="7">
        <f t="shared" si="16"/>
        <v>0</v>
      </c>
      <c r="U306" s="7">
        <f t="shared" si="17"/>
        <v>700</v>
      </c>
      <c r="V306" s="7">
        <f t="shared" si="18"/>
        <v>0</v>
      </c>
      <c r="W306" s="7">
        <f t="shared" si="19"/>
        <v>800</v>
      </c>
      <c r="X306" s="7">
        <f t="shared" si="20"/>
        <v>0</v>
      </c>
      <c r="Y306" s="7">
        <f t="shared" si="21"/>
        <v>900</v>
      </c>
      <c r="Z306" s="7">
        <f t="shared" si="22"/>
        <v>0</v>
      </c>
    </row>
    <row r="307">
      <c r="A307" s="19"/>
      <c r="B307" s="19"/>
      <c r="C307" s="13">
        <v>50131.0</v>
      </c>
      <c r="D307" s="12">
        <f>'Income per month'!B307</f>
        <v>1000</v>
      </c>
      <c r="E307" s="7">
        <f t="shared" si="1"/>
        <v>50</v>
      </c>
      <c r="F307" s="7">
        <f t="shared" si="2"/>
        <v>0</v>
      </c>
      <c r="G307" s="7">
        <f t="shared" si="3"/>
        <v>100</v>
      </c>
      <c r="H307" s="7">
        <f t="shared" si="4"/>
        <v>0</v>
      </c>
      <c r="I307" s="7">
        <f t="shared" si="5"/>
        <v>150</v>
      </c>
      <c r="J307" s="7">
        <f t="shared" si="6"/>
        <v>0</v>
      </c>
      <c r="K307" s="7">
        <f t="shared" si="7"/>
        <v>200</v>
      </c>
      <c r="L307" s="7">
        <f t="shared" si="8"/>
        <v>0</v>
      </c>
      <c r="M307" s="7">
        <f t="shared" si="9"/>
        <v>300</v>
      </c>
      <c r="N307" s="7">
        <f t="shared" si="10"/>
        <v>0</v>
      </c>
      <c r="O307" s="7">
        <f t="shared" si="11"/>
        <v>400</v>
      </c>
      <c r="P307" s="7">
        <f t="shared" si="12"/>
        <v>0</v>
      </c>
      <c r="Q307" s="7">
        <f t="shared" si="13"/>
        <v>500</v>
      </c>
      <c r="R307" s="7">
        <f t="shared" si="14"/>
        <v>0</v>
      </c>
      <c r="S307" s="7">
        <f t="shared" si="15"/>
        <v>600</v>
      </c>
      <c r="T307" s="7">
        <f t="shared" si="16"/>
        <v>0</v>
      </c>
      <c r="U307" s="7">
        <f t="shared" si="17"/>
        <v>700</v>
      </c>
      <c r="V307" s="7">
        <f t="shared" si="18"/>
        <v>0</v>
      </c>
      <c r="W307" s="7">
        <f t="shared" si="19"/>
        <v>800</v>
      </c>
      <c r="X307" s="7">
        <f t="shared" si="20"/>
        <v>0</v>
      </c>
      <c r="Y307" s="7">
        <f t="shared" si="21"/>
        <v>900</v>
      </c>
      <c r="Z307" s="7">
        <f t="shared" si="22"/>
        <v>0</v>
      </c>
    </row>
    <row r="308">
      <c r="A308" s="19"/>
      <c r="B308" s="19"/>
      <c r="C308" s="13">
        <v>50161.0</v>
      </c>
      <c r="D308" s="12">
        <f>'Income per month'!B308</f>
        <v>1000</v>
      </c>
      <c r="E308" s="7">
        <f t="shared" si="1"/>
        <v>50</v>
      </c>
      <c r="F308" s="7">
        <f t="shared" si="2"/>
        <v>0</v>
      </c>
      <c r="G308" s="7">
        <f t="shared" si="3"/>
        <v>100</v>
      </c>
      <c r="H308" s="7">
        <f t="shared" si="4"/>
        <v>0</v>
      </c>
      <c r="I308" s="7">
        <f t="shared" si="5"/>
        <v>150</v>
      </c>
      <c r="J308" s="7">
        <f t="shared" si="6"/>
        <v>0</v>
      </c>
      <c r="K308" s="7">
        <f t="shared" si="7"/>
        <v>200</v>
      </c>
      <c r="L308" s="7">
        <f t="shared" si="8"/>
        <v>0</v>
      </c>
      <c r="M308" s="7">
        <f t="shared" si="9"/>
        <v>300</v>
      </c>
      <c r="N308" s="7">
        <f t="shared" si="10"/>
        <v>0</v>
      </c>
      <c r="O308" s="7">
        <f t="shared" si="11"/>
        <v>400</v>
      </c>
      <c r="P308" s="7">
        <f t="shared" si="12"/>
        <v>0</v>
      </c>
      <c r="Q308" s="7">
        <f t="shared" si="13"/>
        <v>500</v>
      </c>
      <c r="R308" s="7">
        <f t="shared" si="14"/>
        <v>0</v>
      </c>
      <c r="S308" s="7">
        <f t="shared" si="15"/>
        <v>600</v>
      </c>
      <c r="T308" s="7">
        <f t="shared" si="16"/>
        <v>0</v>
      </c>
      <c r="U308" s="7">
        <f t="shared" si="17"/>
        <v>700</v>
      </c>
      <c r="V308" s="7">
        <f t="shared" si="18"/>
        <v>0</v>
      </c>
      <c r="W308" s="7">
        <f t="shared" si="19"/>
        <v>800</v>
      </c>
      <c r="X308" s="7">
        <f t="shared" si="20"/>
        <v>0</v>
      </c>
      <c r="Y308" s="7">
        <f t="shared" si="21"/>
        <v>900</v>
      </c>
      <c r="Z308" s="7">
        <f t="shared" si="22"/>
        <v>0</v>
      </c>
    </row>
    <row r="309">
      <c r="A309" s="19"/>
      <c r="B309" s="19"/>
      <c r="C309" s="13">
        <v>50192.0</v>
      </c>
      <c r="D309" s="12">
        <f>'Income per month'!B309</f>
        <v>1000</v>
      </c>
      <c r="E309" s="7">
        <f t="shared" si="1"/>
        <v>50</v>
      </c>
      <c r="F309" s="7">
        <f t="shared" si="2"/>
        <v>0</v>
      </c>
      <c r="G309" s="7">
        <f t="shared" si="3"/>
        <v>100</v>
      </c>
      <c r="H309" s="7">
        <f t="shared" si="4"/>
        <v>0</v>
      </c>
      <c r="I309" s="7">
        <f t="shared" si="5"/>
        <v>150</v>
      </c>
      <c r="J309" s="7">
        <f t="shared" si="6"/>
        <v>0</v>
      </c>
      <c r="K309" s="7">
        <f t="shared" si="7"/>
        <v>200</v>
      </c>
      <c r="L309" s="7">
        <f t="shared" si="8"/>
        <v>0</v>
      </c>
      <c r="M309" s="7">
        <f t="shared" si="9"/>
        <v>300</v>
      </c>
      <c r="N309" s="7">
        <f t="shared" si="10"/>
        <v>0</v>
      </c>
      <c r="O309" s="7">
        <f t="shared" si="11"/>
        <v>400</v>
      </c>
      <c r="P309" s="7">
        <f t="shared" si="12"/>
        <v>0</v>
      </c>
      <c r="Q309" s="7">
        <f t="shared" si="13"/>
        <v>500</v>
      </c>
      <c r="R309" s="7">
        <f t="shared" si="14"/>
        <v>0</v>
      </c>
      <c r="S309" s="7">
        <f t="shared" si="15"/>
        <v>600</v>
      </c>
      <c r="T309" s="7">
        <f t="shared" si="16"/>
        <v>0</v>
      </c>
      <c r="U309" s="7">
        <f t="shared" si="17"/>
        <v>700</v>
      </c>
      <c r="V309" s="7">
        <f t="shared" si="18"/>
        <v>0</v>
      </c>
      <c r="W309" s="7">
        <f t="shared" si="19"/>
        <v>800</v>
      </c>
      <c r="X309" s="7">
        <f t="shared" si="20"/>
        <v>0</v>
      </c>
      <c r="Y309" s="7">
        <f t="shared" si="21"/>
        <v>900</v>
      </c>
      <c r="Z309" s="7">
        <f t="shared" si="22"/>
        <v>0</v>
      </c>
    </row>
    <row r="310">
      <c r="A310" s="19"/>
      <c r="B310" s="19"/>
      <c r="C310" s="13">
        <v>50222.0</v>
      </c>
      <c r="D310" s="12">
        <f>'Income per month'!B310</f>
        <v>1000</v>
      </c>
      <c r="E310" s="7">
        <f t="shared" si="1"/>
        <v>50</v>
      </c>
      <c r="F310" s="7">
        <f t="shared" si="2"/>
        <v>0</v>
      </c>
      <c r="G310" s="7">
        <f t="shared" si="3"/>
        <v>100</v>
      </c>
      <c r="H310" s="7">
        <f t="shared" si="4"/>
        <v>0</v>
      </c>
      <c r="I310" s="7">
        <f t="shared" si="5"/>
        <v>150</v>
      </c>
      <c r="J310" s="7">
        <f t="shared" si="6"/>
        <v>0</v>
      </c>
      <c r="K310" s="7">
        <f t="shared" si="7"/>
        <v>200</v>
      </c>
      <c r="L310" s="7">
        <f t="shared" si="8"/>
        <v>0</v>
      </c>
      <c r="M310" s="7">
        <f t="shared" si="9"/>
        <v>300</v>
      </c>
      <c r="N310" s="7">
        <f t="shared" si="10"/>
        <v>0</v>
      </c>
      <c r="O310" s="7">
        <f t="shared" si="11"/>
        <v>400</v>
      </c>
      <c r="P310" s="7">
        <f t="shared" si="12"/>
        <v>0</v>
      </c>
      <c r="Q310" s="7">
        <f t="shared" si="13"/>
        <v>500</v>
      </c>
      <c r="R310" s="7">
        <f t="shared" si="14"/>
        <v>0</v>
      </c>
      <c r="S310" s="7">
        <f t="shared" si="15"/>
        <v>600</v>
      </c>
      <c r="T310" s="7">
        <f t="shared" si="16"/>
        <v>0</v>
      </c>
      <c r="U310" s="7">
        <f t="shared" si="17"/>
        <v>700</v>
      </c>
      <c r="V310" s="7">
        <f t="shared" si="18"/>
        <v>0</v>
      </c>
      <c r="W310" s="7">
        <f t="shared" si="19"/>
        <v>800</v>
      </c>
      <c r="X310" s="7">
        <f t="shared" si="20"/>
        <v>0</v>
      </c>
      <c r="Y310" s="7">
        <f t="shared" si="21"/>
        <v>900</v>
      </c>
      <c r="Z310" s="7">
        <f t="shared" si="22"/>
        <v>0</v>
      </c>
    </row>
    <row r="311">
      <c r="A311" s="19"/>
      <c r="B311" s="19"/>
      <c r="C311" s="13">
        <v>50253.0</v>
      </c>
      <c r="D311" s="12">
        <f>'Income per month'!B311</f>
        <v>1000</v>
      </c>
      <c r="E311" s="7">
        <f t="shared" si="1"/>
        <v>50</v>
      </c>
      <c r="F311" s="7">
        <f t="shared" si="2"/>
        <v>0</v>
      </c>
      <c r="G311" s="7">
        <f t="shared" si="3"/>
        <v>100</v>
      </c>
      <c r="H311" s="7">
        <f t="shared" si="4"/>
        <v>0</v>
      </c>
      <c r="I311" s="7">
        <f t="shared" si="5"/>
        <v>150</v>
      </c>
      <c r="J311" s="7">
        <f t="shared" si="6"/>
        <v>0</v>
      </c>
      <c r="K311" s="7">
        <f t="shared" si="7"/>
        <v>200</v>
      </c>
      <c r="L311" s="7">
        <f t="shared" si="8"/>
        <v>0</v>
      </c>
      <c r="M311" s="7">
        <f t="shared" si="9"/>
        <v>300</v>
      </c>
      <c r="N311" s="7">
        <f t="shared" si="10"/>
        <v>0</v>
      </c>
      <c r="O311" s="7">
        <f t="shared" si="11"/>
        <v>400</v>
      </c>
      <c r="P311" s="7">
        <f t="shared" si="12"/>
        <v>0</v>
      </c>
      <c r="Q311" s="7">
        <f t="shared" si="13"/>
        <v>500</v>
      </c>
      <c r="R311" s="7">
        <f t="shared" si="14"/>
        <v>0</v>
      </c>
      <c r="S311" s="7">
        <f t="shared" si="15"/>
        <v>600</v>
      </c>
      <c r="T311" s="7">
        <f t="shared" si="16"/>
        <v>0</v>
      </c>
      <c r="U311" s="7">
        <f t="shared" si="17"/>
        <v>700</v>
      </c>
      <c r="V311" s="7">
        <f t="shared" si="18"/>
        <v>0</v>
      </c>
      <c r="W311" s="7">
        <f t="shared" si="19"/>
        <v>800</v>
      </c>
      <c r="X311" s="7">
        <f t="shared" si="20"/>
        <v>0</v>
      </c>
      <c r="Y311" s="7">
        <f t="shared" si="21"/>
        <v>900</v>
      </c>
      <c r="Z311" s="7">
        <f t="shared" si="22"/>
        <v>0</v>
      </c>
    </row>
    <row r="312">
      <c r="A312" s="19"/>
      <c r="B312" s="19"/>
      <c r="C312" s="13">
        <v>50284.0</v>
      </c>
      <c r="D312" s="12">
        <f>'Income per month'!B312</f>
        <v>1000</v>
      </c>
      <c r="E312" s="7">
        <f t="shared" si="1"/>
        <v>50</v>
      </c>
      <c r="F312" s="7">
        <f t="shared" si="2"/>
        <v>0</v>
      </c>
      <c r="G312" s="7">
        <f t="shared" si="3"/>
        <v>100</v>
      </c>
      <c r="H312" s="7">
        <f t="shared" si="4"/>
        <v>0</v>
      </c>
      <c r="I312" s="7">
        <f t="shared" si="5"/>
        <v>150</v>
      </c>
      <c r="J312" s="7">
        <f t="shared" si="6"/>
        <v>0</v>
      </c>
      <c r="K312" s="7">
        <f t="shared" si="7"/>
        <v>200</v>
      </c>
      <c r="L312" s="7">
        <f t="shared" si="8"/>
        <v>0</v>
      </c>
      <c r="M312" s="7">
        <f t="shared" si="9"/>
        <v>300</v>
      </c>
      <c r="N312" s="7">
        <f t="shared" si="10"/>
        <v>0</v>
      </c>
      <c r="O312" s="7">
        <f t="shared" si="11"/>
        <v>400</v>
      </c>
      <c r="P312" s="7">
        <f t="shared" si="12"/>
        <v>0</v>
      </c>
      <c r="Q312" s="7">
        <f t="shared" si="13"/>
        <v>500</v>
      </c>
      <c r="R312" s="7">
        <f t="shared" si="14"/>
        <v>0</v>
      </c>
      <c r="S312" s="7">
        <f t="shared" si="15"/>
        <v>600</v>
      </c>
      <c r="T312" s="7">
        <f t="shared" si="16"/>
        <v>0</v>
      </c>
      <c r="U312" s="7">
        <f t="shared" si="17"/>
        <v>700</v>
      </c>
      <c r="V312" s="7">
        <f t="shared" si="18"/>
        <v>0</v>
      </c>
      <c r="W312" s="7">
        <f t="shared" si="19"/>
        <v>800</v>
      </c>
      <c r="X312" s="7">
        <f t="shared" si="20"/>
        <v>0</v>
      </c>
      <c r="Y312" s="7">
        <f t="shared" si="21"/>
        <v>900</v>
      </c>
      <c r="Z312" s="7">
        <f t="shared" si="22"/>
        <v>0</v>
      </c>
    </row>
    <row r="313">
      <c r="A313" s="19"/>
      <c r="B313" s="19"/>
      <c r="C313" s="13">
        <v>50314.0</v>
      </c>
      <c r="D313" s="12">
        <f>'Income per month'!B313</f>
        <v>1000</v>
      </c>
      <c r="E313" s="7">
        <f t="shared" si="1"/>
        <v>50</v>
      </c>
      <c r="F313" s="7">
        <f t="shared" si="2"/>
        <v>0</v>
      </c>
      <c r="G313" s="7">
        <f t="shared" si="3"/>
        <v>100</v>
      </c>
      <c r="H313" s="7">
        <f t="shared" si="4"/>
        <v>0</v>
      </c>
      <c r="I313" s="7">
        <f t="shared" si="5"/>
        <v>150</v>
      </c>
      <c r="J313" s="7">
        <f t="shared" si="6"/>
        <v>0</v>
      </c>
      <c r="K313" s="7">
        <f t="shared" si="7"/>
        <v>200</v>
      </c>
      <c r="L313" s="7">
        <f t="shared" si="8"/>
        <v>0</v>
      </c>
      <c r="M313" s="7">
        <f t="shared" si="9"/>
        <v>300</v>
      </c>
      <c r="N313" s="7">
        <f t="shared" si="10"/>
        <v>0</v>
      </c>
      <c r="O313" s="7">
        <f t="shared" si="11"/>
        <v>400</v>
      </c>
      <c r="P313" s="7">
        <f t="shared" si="12"/>
        <v>0</v>
      </c>
      <c r="Q313" s="7">
        <f t="shared" si="13"/>
        <v>500</v>
      </c>
      <c r="R313" s="7">
        <f t="shared" si="14"/>
        <v>0</v>
      </c>
      <c r="S313" s="7">
        <f t="shared" si="15"/>
        <v>600</v>
      </c>
      <c r="T313" s="7">
        <f t="shared" si="16"/>
        <v>0</v>
      </c>
      <c r="U313" s="7">
        <f t="shared" si="17"/>
        <v>700</v>
      </c>
      <c r="V313" s="7">
        <f t="shared" si="18"/>
        <v>0</v>
      </c>
      <c r="W313" s="7">
        <f t="shared" si="19"/>
        <v>800</v>
      </c>
      <c r="X313" s="7">
        <f t="shared" si="20"/>
        <v>0</v>
      </c>
      <c r="Y313" s="7">
        <f t="shared" si="21"/>
        <v>900</v>
      </c>
      <c r="Z313" s="7">
        <f t="shared" si="22"/>
        <v>0</v>
      </c>
    </row>
    <row r="314">
      <c r="A314" s="19"/>
      <c r="B314" s="19"/>
      <c r="C314" s="13">
        <v>50345.0</v>
      </c>
      <c r="D314" s="12">
        <f>'Income per month'!B314</f>
        <v>1000</v>
      </c>
      <c r="E314" s="7">
        <f t="shared" si="1"/>
        <v>50</v>
      </c>
      <c r="F314" s="7">
        <f t="shared" si="2"/>
        <v>0</v>
      </c>
      <c r="G314" s="7">
        <f t="shared" si="3"/>
        <v>100</v>
      </c>
      <c r="H314" s="7">
        <f t="shared" si="4"/>
        <v>0</v>
      </c>
      <c r="I314" s="7">
        <f t="shared" si="5"/>
        <v>150</v>
      </c>
      <c r="J314" s="7">
        <f t="shared" si="6"/>
        <v>0</v>
      </c>
      <c r="K314" s="7">
        <f t="shared" si="7"/>
        <v>200</v>
      </c>
      <c r="L314" s="7">
        <f t="shared" si="8"/>
        <v>0</v>
      </c>
      <c r="M314" s="7">
        <f t="shared" si="9"/>
        <v>300</v>
      </c>
      <c r="N314" s="7">
        <f t="shared" si="10"/>
        <v>0</v>
      </c>
      <c r="O314" s="7">
        <f t="shared" si="11"/>
        <v>400</v>
      </c>
      <c r="P314" s="7">
        <f t="shared" si="12"/>
        <v>0</v>
      </c>
      <c r="Q314" s="7">
        <f t="shared" si="13"/>
        <v>500</v>
      </c>
      <c r="R314" s="7">
        <f t="shared" si="14"/>
        <v>0</v>
      </c>
      <c r="S314" s="7">
        <f t="shared" si="15"/>
        <v>600</v>
      </c>
      <c r="T314" s="7">
        <f t="shared" si="16"/>
        <v>0</v>
      </c>
      <c r="U314" s="7">
        <f t="shared" si="17"/>
        <v>700</v>
      </c>
      <c r="V314" s="7">
        <f t="shared" si="18"/>
        <v>0</v>
      </c>
      <c r="W314" s="7">
        <f t="shared" si="19"/>
        <v>800</v>
      </c>
      <c r="X314" s="7">
        <f t="shared" si="20"/>
        <v>0</v>
      </c>
      <c r="Y314" s="7">
        <f t="shared" si="21"/>
        <v>900</v>
      </c>
      <c r="Z314" s="7">
        <f t="shared" si="22"/>
        <v>0</v>
      </c>
    </row>
    <row r="315">
      <c r="A315" s="19"/>
      <c r="B315" s="19"/>
      <c r="C315" s="14">
        <v>50375.0</v>
      </c>
      <c r="D315" s="12">
        <f>'Income per month'!B315</f>
        <v>1000</v>
      </c>
      <c r="E315" s="7">
        <f t="shared" si="1"/>
        <v>50</v>
      </c>
      <c r="F315" s="7">
        <f t="shared" si="2"/>
        <v>0</v>
      </c>
      <c r="G315" s="7">
        <f t="shared" si="3"/>
        <v>100</v>
      </c>
      <c r="H315" s="7">
        <f t="shared" si="4"/>
        <v>0</v>
      </c>
      <c r="I315" s="7">
        <f t="shared" si="5"/>
        <v>150</v>
      </c>
      <c r="J315" s="7">
        <f t="shared" si="6"/>
        <v>0</v>
      </c>
      <c r="K315" s="7">
        <f t="shared" si="7"/>
        <v>200</v>
      </c>
      <c r="L315" s="7">
        <f t="shared" si="8"/>
        <v>0</v>
      </c>
      <c r="M315" s="7">
        <f t="shared" si="9"/>
        <v>300</v>
      </c>
      <c r="N315" s="7">
        <f t="shared" si="10"/>
        <v>0</v>
      </c>
      <c r="O315" s="7">
        <f t="shared" si="11"/>
        <v>400</v>
      </c>
      <c r="P315" s="7">
        <f t="shared" si="12"/>
        <v>0</v>
      </c>
      <c r="Q315" s="7">
        <f t="shared" si="13"/>
        <v>500</v>
      </c>
      <c r="R315" s="7">
        <f t="shared" si="14"/>
        <v>0</v>
      </c>
      <c r="S315" s="7">
        <f t="shared" si="15"/>
        <v>600</v>
      </c>
      <c r="T315" s="7">
        <f t="shared" si="16"/>
        <v>0</v>
      </c>
      <c r="U315" s="7">
        <f t="shared" si="17"/>
        <v>700</v>
      </c>
      <c r="V315" s="7">
        <f t="shared" si="18"/>
        <v>0</v>
      </c>
      <c r="W315" s="7">
        <f t="shared" si="19"/>
        <v>800</v>
      </c>
      <c r="X315" s="7">
        <f t="shared" si="20"/>
        <v>0</v>
      </c>
      <c r="Y315" s="7">
        <f t="shared" si="21"/>
        <v>900</v>
      </c>
      <c r="Z315" s="7">
        <f t="shared" si="22"/>
        <v>0</v>
      </c>
    </row>
    <row r="316">
      <c r="A316" s="19"/>
      <c r="B316" s="19"/>
      <c r="C316" s="13">
        <v>50406.0</v>
      </c>
      <c r="D316" s="12">
        <f>'Income per month'!B316</f>
        <v>1000</v>
      </c>
      <c r="E316" s="7">
        <f t="shared" si="1"/>
        <v>50</v>
      </c>
      <c r="F316" s="7">
        <f t="shared" si="2"/>
        <v>0</v>
      </c>
      <c r="G316" s="7">
        <f t="shared" si="3"/>
        <v>100</v>
      </c>
      <c r="H316" s="7">
        <f t="shared" si="4"/>
        <v>0</v>
      </c>
      <c r="I316" s="7">
        <f t="shared" si="5"/>
        <v>150</v>
      </c>
      <c r="J316" s="7">
        <f t="shared" si="6"/>
        <v>0</v>
      </c>
      <c r="K316" s="7">
        <f t="shared" si="7"/>
        <v>200</v>
      </c>
      <c r="L316" s="7">
        <f t="shared" si="8"/>
        <v>0</v>
      </c>
      <c r="M316" s="7">
        <f t="shared" si="9"/>
        <v>300</v>
      </c>
      <c r="N316" s="7">
        <f t="shared" si="10"/>
        <v>0</v>
      </c>
      <c r="O316" s="7">
        <f t="shared" si="11"/>
        <v>400</v>
      </c>
      <c r="P316" s="7">
        <f t="shared" si="12"/>
        <v>0</v>
      </c>
      <c r="Q316" s="7">
        <f t="shared" si="13"/>
        <v>500</v>
      </c>
      <c r="R316" s="7">
        <f t="shared" si="14"/>
        <v>0</v>
      </c>
      <c r="S316" s="7">
        <f t="shared" si="15"/>
        <v>600</v>
      </c>
      <c r="T316" s="7">
        <f t="shared" si="16"/>
        <v>0</v>
      </c>
      <c r="U316" s="7">
        <f t="shared" si="17"/>
        <v>700</v>
      </c>
      <c r="V316" s="7">
        <f t="shared" si="18"/>
        <v>0</v>
      </c>
      <c r="W316" s="7">
        <f t="shared" si="19"/>
        <v>800</v>
      </c>
      <c r="X316" s="7">
        <f t="shared" si="20"/>
        <v>0</v>
      </c>
      <c r="Y316" s="7">
        <f t="shared" si="21"/>
        <v>900</v>
      </c>
      <c r="Z316" s="7">
        <f t="shared" si="22"/>
        <v>0</v>
      </c>
    </row>
    <row r="317">
      <c r="A317" s="19"/>
      <c r="B317" s="19"/>
      <c r="C317" s="13">
        <v>50437.0</v>
      </c>
      <c r="D317" s="12">
        <f>'Income per month'!B317</f>
        <v>1000</v>
      </c>
      <c r="E317" s="7">
        <f t="shared" si="1"/>
        <v>50</v>
      </c>
      <c r="F317" s="7">
        <f t="shared" si="2"/>
        <v>0</v>
      </c>
      <c r="G317" s="7">
        <f t="shared" si="3"/>
        <v>100</v>
      </c>
      <c r="H317" s="7">
        <f t="shared" si="4"/>
        <v>0</v>
      </c>
      <c r="I317" s="7">
        <f t="shared" si="5"/>
        <v>150</v>
      </c>
      <c r="J317" s="7">
        <f t="shared" si="6"/>
        <v>0</v>
      </c>
      <c r="K317" s="7">
        <f t="shared" si="7"/>
        <v>200</v>
      </c>
      <c r="L317" s="7">
        <f t="shared" si="8"/>
        <v>0</v>
      </c>
      <c r="M317" s="7">
        <f t="shared" si="9"/>
        <v>300</v>
      </c>
      <c r="N317" s="7">
        <f t="shared" si="10"/>
        <v>0</v>
      </c>
      <c r="O317" s="7">
        <f t="shared" si="11"/>
        <v>400</v>
      </c>
      <c r="P317" s="7">
        <f t="shared" si="12"/>
        <v>0</v>
      </c>
      <c r="Q317" s="7">
        <f t="shared" si="13"/>
        <v>500</v>
      </c>
      <c r="R317" s="7">
        <f t="shared" si="14"/>
        <v>0</v>
      </c>
      <c r="S317" s="7">
        <f t="shared" si="15"/>
        <v>600</v>
      </c>
      <c r="T317" s="7">
        <f t="shared" si="16"/>
        <v>0</v>
      </c>
      <c r="U317" s="7">
        <f t="shared" si="17"/>
        <v>700</v>
      </c>
      <c r="V317" s="7">
        <f t="shared" si="18"/>
        <v>0</v>
      </c>
      <c r="W317" s="7">
        <f t="shared" si="19"/>
        <v>800</v>
      </c>
      <c r="X317" s="7">
        <f t="shared" si="20"/>
        <v>0</v>
      </c>
      <c r="Y317" s="7">
        <f t="shared" si="21"/>
        <v>900</v>
      </c>
      <c r="Z317" s="7">
        <f t="shared" si="22"/>
        <v>0</v>
      </c>
    </row>
    <row r="318">
      <c r="A318" s="19"/>
      <c r="B318" s="19"/>
      <c r="C318" s="13">
        <v>50465.0</v>
      </c>
      <c r="D318" s="12">
        <f>'Income per month'!B318</f>
        <v>1000</v>
      </c>
      <c r="E318" s="7">
        <f t="shared" si="1"/>
        <v>50</v>
      </c>
      <c r="F318" s="7">
        <f t="shared" si="2"/>
        <v>0</v>
      </c>
      <c r="G318" s="7">
        <f t="shared" si="3"/>
        <v>100</v>
      </c>
      <c r="H318" s="7">
        <f t="shared" si="4"/>
        <v>0</v>
      </c>
      <c r="I318" s="7">
        <f t="shared" si="5"/>
        <v>150</v>
      </c>
      <c r="J318" s="7">
        <f t="shared" si="6"/>
        <v>0</v>
      </c>
      <c r="K318" s="7">
        <f t="shared" si="7"/>
        <v>200</v>
      </c>
      <c r="L318" s="7">
        <f t="shared" si="8"/>
        <v>0</v>
      </c>
      <c r="M318" s="7">
        <f t="shared" si="9"/>
        <v>300</v>
      </c>
      <c r="N318" s="7">
        <f t="shared" si="10"/>
        <v>0</v>
      </c>
      <c r="O318" s="7">
        <f t="shared" si="11"/>
        <v>400</v>
      </c>
      <c r="P318" s="7">
        <f t="shared" si="12"/>
        <v>0</v>
      </c>
      <c r="Q318" s="7">
        <f t="shared" si="13"/>
        <v>500</v>
      </c>
      <c r="R318" s="7">
        <f t="shared" si="14"/>
        <v>0</v>
      </c>
      <c r="S318" s="7">
        <f t="shared" si="15"/>
        <v>600</v>
      </c>
      <c r="T318" s="7">
        <f t="shared" si="16"/>
        <v>0</v>
      </c>
      <c r="U318" s="7">
        <f t="shared" si="17"/>
        <v>700</v>
      </c>
      <c r="V318" s="7">
        <f t="shared" si="18"/>
        <v>0</v>
      </c>
      <c r="W318" s="7">
        <f t="shared" si="19"/>
        <v>800</v>
      </c>
      <c r="X318" s="7">
        <f t="shared" si="20"/>
        <v>0</v>
      </c>
      <c r="Y318" s="7">
        <f t="shared" si="21"/>
        <v>900</v>
      </c>
      <c r="Z318" s="7">
        <f t="shared" si="22"/>
        <v>0</v>
      </c>
    </row>
    <row r="319">
      <c r="A319" s="19"/>
      <c r="B319" s="19"/>
      <c r="C319" s="13">
        <v>50496.0</v>
      </c>
      <c r="D319" s="12">
        <f>'Income per month'!B319</f>
        <v>1000</v>
      </c>
      <c r="E319" s="7">
        <f t="shared" si="1"/>
        <v>50</v>
      </c>
      <c r="F319" s="7">
        <f t="shared" si="2"/>
        <v>0</v>
      </c>
      <c r="G319" s="7">
        <f t="shared" si="3"/>
        <v>100</v>
      </c>
      <c r="H319" s="7">
        <f t="shared" si="4"/>
        <v>0</v>
      </c>
      <c r="I319" s="7">
        <f t="shared" si="5"/>
        <v>150</v>
      </c>
      <c r="J319" s="7">
        <f t="shared" si="6"/>
        <v>0</v>
      </c>
      <c r="K319" s="7">
        <f t="shared" si="7"/>
        <v>200</v>
      </c>
      <c r="L319" s="7">
        <f t="shared" si="8"/>
        <v>0</v>
      </c>
      <c r="M319" s="7">
        <f t="shared" si="9"/>
        <v>300</v>
      </c>
      <c r="N319" s="7">
        <f t="shared" si="10"/>
        <v>0</v>
      </c>
      <c r="O319" s="7">
        <f t="shared" si="11"/>
        <v>400</v>
      </c>
      <c r="P319" s="7">
        <f t="shared" si="12"/>
        <v>0</v>
      </c>
      <c r="Q319" s="7">
        <f t="shared" si="13"/>
        <v>500</v>
      </c>
      <c r="R319" s="7">
        <f t="shared" si="14"/>
        <v>0</v>
      </c>
      <c r="S319" s="7">
        <f t="shared" si="15"/>
        <v>600</v>
      </c>
      <c r="T319" s="7">
        <f t="shared" si="16"/>
        <v>0</v>
      </c>
      <c r="U319" s="7">
        <f t="shared" si="17"/>
        <v>700</v>
      </c>
      <c r="V319" s="7">
        <f t="shared" si="18"/>
        <v>0</v>
      </c>
      <c r="W319" s="7">
        <f t="shared" si="19"/>
        <v>800</v>
      </c>
      <c r="X319" s="7">
        <f t="shared" si="20"/>
        <v>0</v>
      </c>
      <c r="Y319" s="7">
        <f t="shared" si="21"/>
        <v>900</v>
      </c>
      <c r="Z319" s="7">
        <f t="shared" si="22"/>
        <v>0</v>
      </c>
    </row>
    <row r="320">
      <c r="A320" s="19"/>
      <c r="B320" s="19"/>
      <c r="C320" s="13">
        <v>50526.0</v>
      </c>
      <c r="D320" s="12">
        <f>'Income per month'!B320</f>
        <v>1000</v>
      </c>
      <c r="E320" s="7">
        <f t="shared" si="1"/>
        <v>50</v>
      </c>
      <c r="F320" s="7">
        <f t="shared" si="2"/>
        <v>0</v>
      </c>
      <c r="G320" s="7">
        <f t="shared" si="3"/>
        <v>100</v>
      </c>
      <c r="H320" s="7">
        <f t="shared" si="4"/>
        <v>0</v>
      </c>
      <c r="I320" s="7">
        <f t="shared" si="5"/>
        <v>150</v>
      </c>
      <c r="J320" s="7">
        <f t="shared" si="6"/>
        <v>0</v>
      </c>
      <c r="K320" s="7">
        <f t="shared" si="7"/>
        <v>200</v>
      </c>
      <c r="L320" s="7">
        <f t="shared" si="8"/>
        <v>0</v>
      </c>
      <c r="M320" s="7">
        <f t="shared" si="9"/>
        <v>300</v>
      </c>
      <c r="N320" s="7">
        <f t="shared" si="10"/>
        <v>0</v>
      </c>
      <c r="O320" s="7">
        <f t="shared" si="11"/>
        <v>400</v>
      </c>
      <c r="P320" s="7">
        <f t="shared" si="12"/>
        <v>0</v>
      </c>
      <c r="Q320" s="7">
        <f t="shared" si="13"/>
        <v>500</v>
      </c>
      <c r="R320" s="7">
        <f t="shared" si="14"/>
        <v>0</v>
      </c>
      <c r="S320" s="7">
        <f t="shared" si="15"/>
        <v>600</v>
      </c>
      <c r="T320" s="7">
        <f t="shared" si="16"/>
        <v>0</v>
      </c>
      <c r="U320" s="7">
        <f t="shared" si="17"/>
        <v>700</v>
      </c>
      <c r="V320" s="7">
        <f t="shared" si="18"/>
        <v>0</v>
      </c>
      <c r="W320" s="7">
        <f t="shared" si="19"/>
        <v>800</v>
      </c>
      <c r="X320" s="7">
        <f t="shared" si="20"/>
        <v>0</v>
      </c>
      <c r="Y320" s="7">
        <f t="shared" si="21"/>
        <v>900</v>
      </c>
      <c r="Z320" s="7">
        <f t="shared" si="22"/>
        <v>0</v>
      </c>
    </row>
    <row r="321">
      <c r="A321" s="19"/>
      <c r="B321" s="19"/>
      <c r="C321" s="13">
        <v>50557.0</v>
      </c>
      <c r="D321" s="12">
        <f>'Income per month'!B321</f>
        <v>1000</v>
      </c>
      <c r="E321" s="7">
        <f t="shared" si="1"/>
        <v>50</v>
      </c>
      <c r="F321" s="7">
        <f t="shared" si="2"/>
        <v>0</v>
      </c>
      <c r="G321" s="7">
        <f t="shared" si="3"/>
        <v>100</v>
      </c>
      <c r="H321" s="7">
        <f t="shared" si="4"/>
        <v>0</v>
      </c>
      <c r="I321" s="7">
        <f t="shared" si="5"/>
        <v>150</v>
      </c>
      <c r="J321" s="7">
        <f t="shared" si="6"/>
        <v>0</v>
      </c>
      <c r="K321" s="7">
        <f t="shared" si="7"/>
        <v>200</v>
      </c>
      <c r="L321" s="7">
        <f t="shared" si="8"/>
        <v>0</v>
      </c>
      <c r="M321" s="7">
        <f t="shared" si="9"/>
        <v>300</v>
      </c>
      <c r="N321" s="7">
        <f t="shared" si="10"/>
        <v>0</v>
      </c>
      <c r="O321" s="7">
        <f t="shared" si="11"/>
        <v>400</v>
      </c>
      <c r="P321" s="7">
        <f t="shared" si="12"/>
        <v>0</v>
      </c>
      <c r="Q321" s="7">
        <f t="shared" si="13"/>
        <v>500</v>
      </c>
      <c r="R321" s="7">
        <f t="shared" si="14"/>
        <v>0</v>
      </c>
      <c r="S321" s="7">
        <f t="shared" si="15"/>
        <v>600</v>
      </c>
      <c r="T321" s="7">
        <f t="shared" si="16"/>
        <v>0</v>
      </c>
      <c r="U321" s="7">
        <f t="shared" si="17"/>
        <v>700</v>
      </c>
      <c r="V321" s="7">
        <f t="shared" si="18"/>
        <v>0</v>
      </c>
      <c r="W321" s="7">
        <f t="shared" si="19"/>
        <v>800</v>
      </c>
      <c r="X321" s="7">
        <f t="shared" si="20"/>
        <v>0</v>
      </c>
      <c r="Y321" s="7">
        <f t="shared" si="21"/>
        <v>900</v>
      </c>
      <c r="Z321" s="7">
        <f t="shared" si="22"/>
        <v>0</v>
      </c>
    </row>
    <row r="322">
      <c r="A322" s="19"/>
      <c r="B322" s="19"/>
      <c r="C322" s="13">
        <v>50587.0</v>
      </c>
      <c r="D322" s="12">
        <f>'Income per month'!B322</f>
        <v>1000</v>
      </c>
      <c r="E322" s="7">
        <f t="shared" si="1"/>
        <v>50</v>
      </c>
      <c r="F322" s="7">
        <f t="shared" si="2"/>
        <v>0</v>
      </c>
      <c r="G322" s="7">
        <f t="shared" si="3"/>
        <v>100</v>
      </c>
      <c r="H322" s="7">
        <f t="shared" si="4"/>
        <v>0</v>
      </c>
      <c r="I322" s="7">
        <f t="shared" si="5"/>
        <v>150</v>
      </c>
      <c r="J322" s="7">
        <f t="shared" si="6"/>
        <v>0</v>
      </c>
      <c r="K322" s="7">
        <f t="shared" si="7"/>
        <v>200</v>
      </c>
      <c r="L322" s="7">
        <f t="shared" si="8"/>
        <v>0</v>
      </c>
      <c r="M322" s="7">
        <f t="shared" si="9"/>
        <v>300</v>
      </c>
      <c r="N322" s="7">
        <f t="shared" si="10"/>
        <v>0</v>
      </c>
      <c r="O322" s="7">
        <f t="shared" si="11"/>
        <v>400</v>
      </c>
      <c r="P322" s="7">
        <f t="shared" si="12"/>
        <v>0</v>
      </c>
      <c r="Q322" s="7">
        <f t="shared" si="13"/>
        <v>500</v>
      </c>
      <c r="R322" s="7">
        <f t="shared" si="14"/>
        <v>0</v>
      </c>
      <c r="S322" s="7">
        <f t="shared" si="15"/>
        <v>600</v>
      </c>
      <c r="T322" s="7">
        <f t="shared" si="16"/>
        <v>0</v>
      </c>
      <c r="U322" s="7">
        <f t="shared" si="17"/>
        <v>700</v>
      </c>
      <c r="V322" s="7">
        <f t="shared" si="18"/>
        <v>0</v>
      </c>
      <c r="W322" s="7">
        <f t="shared" si="19"/>
        <v>800</v>
      </c>
      <c r="X322" s="7">
        <f t="shared" si="20"/>
        <v>0</v>
      </c>
      <c r="Y322" s="7">
        <f t="shared" si="21"/>
        <v>900</v>
      </c>
      <c r="Z322" s="7">
        <f t="shared" si="22"/>
        <v>0</v>
      </c>
    </row>
    <row r="323">
      <c r="A323" s="19"/>
      <c r="B323" s="19"/>
      <c r="C323" s="13">
        <v>50618.0</v>
      </c>
      <c r="D323" s="12">
        <f>'Income per month'!B323</f>
        <v>1000</v>
      </c>
      <c r="E323" s="7">
        <f t="shared" si="1"/>
        <v>50</v>
      </c>
      <c r="F323" s="7">
        <f t="shared" si="2"/>
        <v>0</v>
      </c>
      <c r="G323" s="7">
        <f t="shared" si="3"/>
        <v>100</v>
      </c>
      <c r="H323" s="7">
        <f t="shared" si="4"/>
        <v>0</v>
      </c>
      <c r="I323" s="7">
        <f t="shared" si="5"/>
        <v>150</v>
      </c>
      <c r="J323" s="7">
        <f t="shared" si="6"/>
        <v>0</v>
      </c>
      <c r="K323" s="7">
        <f t="shared" si="7"/>
        <v>200</v>
      </c>
      <c r="L323" s="7">
        <f t="shared" si="8"/>
        <v>0</v>
      </c>
      <c r="M323" s="7">
        <f t="shared" si="9"/>
        <v>300</v>
      </c>
      <c r="N323" s="7">
        <f t="shared" si="10"/>
        <v>0</v>
      </c>
      <c r="O323" s="7">
        <f t="shared" si="11"/>
        <v>400</v>
      </c>
      <c r="P323" s="7">
        <f t="shared" si="12"/>
        <v>0</v>
      </c>
      <c r="Q323" s="7">
        <f t="shared" si="13"/>
        <v>500</v>
      </c>
      <c r="R323" s="7">
        <f t="shared" si="14"/>
        <v>0</v>
      </c>
      <c r="S323" s="7">
        <f t="shared" si="15"/>
        <v>600</v>
      </c>
      <c r="T323" s="7">
        <f t="shared" si="16"/>
        <v>0</v>
      </c>
      <c r="U323" s="7">
        <f t="shared" si="17"/>
        <v>700</v>
      </c>
      <c r="V323" s="7">
        <f t="shared" si="18"/>
        <v>0</v>
      </c>
      <c r="W323" s="7">
        <f t="shared" si="19"/>
        <v>800</v>
      </c>
      <c r="X323" s="7">
        <f t="shared" si="20"/>
        <v>0</v>
      </c>
      <c r="Y323" s="7">
        <f t="shared" si="21"/>
        <v>900</v>
      </c>
      <c r="Z323" s="7">
        <f t="shared" si="22"/>
        <v>0</v>
      </c>
    </row>
    <row r="324">
      <c r="A324" s="19"/>
      <c r="B324" s="19"/>
      <c r="C324" s="13">
        <v>50649.0</v>
      </c>
      <c r="D324" s="12">
        <f>'Income per month'!B324</f>
        <v>1000</v>
      </c>
      <c r="E324" s="7">
        <f t="shared" si="1"/>
        <v>50</v>
      </c>
      <c r="F324" s="7">
        <f t="shared" si="2"/>
        <v>0</v>
      </c>
      <c r="G324" s="7">
        <f t="shared" si="3"/>
        <v>100</v>
      </c>
      <c r="H324" s="7">
        <f t="shared" si="4"/>
        <v>0</v>
      </c>
      <c r="I324" s="7">
        <f t="shared" si="5"/>
        <v>150</v>
      </c>
      <c r="J324" s="7">
        <f t="shared" si="6"/>
        <v>0</v>
      </c>
      <c r="K324" s="7">
        <f t="shared" si="7"/>
        <v>200</v>
      </c>
      <c r="L324" s="7">
        <f t="shared" si="8"/>
        <v>0</v>
      </c>
      <c r="M324" s="7">
        <f t="shared" si="9"/>
        <v>300</v>
      </c>
      <c r="N324" s="7">
        <f t="shared" si="10"/>
        <v>0</v>
      </c>
      <c r="O324" s="7">
        <f t="shared" si="11"/>
        <v>400</v>
      </c>
      <c r="P324" s="7">
        <f t="shared" si="12"/>
        <v>0</v>
      </c>
      <c r="Q324" s="7">
        <f t="shared" si="13"/>
        <v>500</v>
      </c>
      <c r="R324" s="7">
        <f t="shared" si="14"/>
        <v>0</v>
      </c>
      <c r="S324" s="7">
        <f t="shared" si="15"/>
        <v>600</v>
      </c>
      <c r="T324" s="7">
        <f t="shared" si="16"/>
        <v>0</v>
      </c>
      <c r="U324" s="7">
        <f t="shared" si="17"/>
        <v>700</v>
      </c>
      <c r="V324" s="7">
        <f t="shared" si="18"/>
        <v>0</v>
      </c>
      <c r="W324" s="7">
        <f t="shared" si="19"/>
        <v>800</v>
      </c>
      <c r="X324" s="7">
        <f t="shared" si="20"/>
        <v>0</v>
      </c>
      <c r="Y324" s="7">
        <f t="shared" si="21"/>
        <v>900</v>
      </c>
      <c r="Z324" s="7">
        <f t="shared" si="22"/>
        <v>0</v>
      </c>
    </row>
    <row r="325">
      <c r="A325" s="19"/>
      <c r="B325" s="19"/>
      <c r="C325" s="13">
        <v>50679.0</v>
      </c>
      <c r="D325" s="12">
        <f>'Income per month'!B325</f>
        <v>1000</v>
      </c>
      <c r="E325" s="7">
        <f t="shared" si="1"/>
        <v>50</v>
      </c>
      <c r="F325" s="7">
        <f t="shared" si="2"/>
        <v>0</v>
      </c>
      <c r="G325" s="7">
        <f t="shared" si="3"/>
        <v>100</v>
      </c>
      <c r="H325" s="7">
        <f t="shared" si="4"/>
        <v>0</v>
      </c>
      <c r="I325" s="7">
        <f t="shared" si="5"/>
        <v>150</v>
      </c>
      <c r="J325" s="7">
        <f t="shared" si="6"/>
        <v>0</v>
      </c>
      <c r="K325" s="7">
        <f t="shared" si="7"/>
        <v>200</v>
      </c>
      <c r="L325" s="7">
        <f t="shared" si="8"/>
        <v>0</v>
      </c>
      <c r="M325" s="7">
        <f t="shared" si="9"/>
        <v>300</v>
      </c>
      <c r="N325" s="7">
        <f t="shared" si="10"/>
        <v>0</v>
      </c>
      <c r="O325" s="7">
        <f t="shared" si="11"/>
        <v>400</v>
      </c>
      <c r="P325" s="7">
        <f t="shared" si="12"/>
        <v>0</v>
      </c>
      <c r="Q325" s="7">
        <f t="shared" si="13"/>
        <v>500</v>
      </c>
      <c r="R325" s="7">
        <f t="shared" si="14"/>
        <v>0</v>
      </c>
      <c r="S325" s="7">
        <f t="shared" si="15"/>
        <v>600</v>
      </c>
      <c r="T325" s="7">
        <f t="shared" si="16"/>
        <v>0</v>
      </c>
      <c r="U325" s="7">
        <f t="shared" si="17"/>
        <v>700</v>
      </c>
      <c r="V325" s="7">
        <f t="shared" si="18"/>
        <v>0</v>
      </c>
      <c r="W325" s="7">
        <f t="shared" si="19"/>
        <v>800</v>
      </c>
      <c r="X325" s="7">
        <f t="shared" si="20"/>
        <v>0</v>
      </c>
      <c r="Y325" s="7">
        <f t="shared" si="21"/>
        <v>900</v>
      </c>
      <c r="Z325" s="7">
        <f t="shared" si="22"/>
        <v>0</v>
      </c>
    </row>
    <row r="326">
      <c r="A326" s="19"/>
      <c r="B326" s="19"/>
      <c r="C326" s="13">
        <v>50710.0</v>
      </c>
      <c r="D326" s="12">
        <f>'Income per month'!B326</f>
        <v>1000</v>
      </c>
      <c r="E326" s="7">
        <f t="shared" si="1"/>
        <v>50</v>
      </c>
      <c r="F326" s="7">
        <f t="shared" si="2"/>
        <v>0</v>
      </c>
      <c r="G326" s="7">
        <f t="shared" si="3"/>
        <v>100</v>
      </c>
      <c r="H326" s="7">
        <f t="shared" si="4"/>
        <v>0</v>
      </c>
      <c r="I326" s="7">
        <f t="shared" si="5"/>
        <v>150</v>
      </c>
      <c r="J326" s="7">
        <f t="shared" si="6"/>
        <v>0</v>
      </c>
      <c r="K326" s="7">
        <f t="shared" si="7"/>
        <v>200</v>
      </c>
      <c r="L326" s="7">
        <f t="shared" si="8"/>
        <v>0</v>
      </c>
      <c r="M326" s="7">
        <f t="shared" si="9"/>
        <v>300</v>
      </c>
      <c r="N326" s="7">
        <f t="shared" si="10"/>
        <v>0</v>
      </c>
      <c r="O326" s="7">
        <f t="shared" si="11"/>
        <v>400</v>
      </c>
      <c r="P326" s="7">
        <f t="shared" si="12"/>
        <v>0</v>
      </c>
      <c r="Q326" s="7">
        <f t="shared" si="13"/>
        <v>500</v>
      </c>
      <c r="R326" s="7">
        <f t="shared" si="14"/>
        <v>0</v>
      </c>
      <c r="S326" s="7">
        <f t="shared" si="15"/>
        <v>600</v>
      </c>
      <c r="T326" s="7">
        <f t="shared" si="16"/>
        <v>0</v>
      </c>
      <c r="U326" s="7">
        <f t="shared" si="17"/>
        <v>700</v>
      </c>
      <c r="V326" s="7">
        <f t="shared" si="18"/>
        <v>0</v>
      </c>
      <c r="W326" s="7">
        <f t="shared" si="19"/>
        <v>800</v>
      </c>
      <c r="X326" s="7">
        <f t="shared" si="20"/>
        <v>0</v>
      </c>
      <c r="Y326" s="7">
        <f t="shared" si="21"/>
        <v>900</v>
      </c>
      <c r="Z326" s="7">
        <f t="shared" si="22"/>
        <v>0</v>
      </c>
    </row>
    <row r="327">
      <c r="A327" s="19"/>
      <c r="B327" s="19"/>
      <c r="C327" s="14">
        <v>50740.0</v>
      </c>
      <c r="D327" s="12">
        <f>'Income per month'!B327</f>
        <v>1000</v>
      </c>
      <c r="E327" s="7">
        <f t="shared" si="1"/>
        <v>50</v>
      </c>
      <c r="F327" s="7">
        <f t="shared" si="2"/>
        <v>0</v>
      </c>
      <c r="G327" s="7">
        <f t="shared" si="3"/>
        <v>100</v>
      </c>
      <c r="H327" s="7">
        <f t="shared" si="4"/>
        <v>0</v>
      </c>
      <c r="I327" s="7">
        <f t="shared" si="5"/>
        <v>150</v>
      </c>
      <c r="J327" s="7">
        <f t="shared" si="6"/>
        <v>0</v>
      </c>
      <c r="K327" s="7">
        <f t="shared" si="7"/>
        <v>200</v>
      </c>
      <c r="L327" s="7">
        <f t="shared" si="8"/>
        <v>0</v>
      </c>
      <c r="M327" s="7">
        <f t="shared" si="9"/>
        <v>300</v>
      </c>
      <c r="N327" s="7">
        <f t="shared" si="10"/>
        <v>0</v>
      </c>
      <c r="O327" s="7">
        <f t="shared" si="11"/>
        <v>400</v>
      </c>
      <c r="P327" s="7">
        <f t="shared" si="12"/>
        <v>0</v>
      </c>
      <c r="Q327" s="7">
        <f t="shared" si="13"/>
        <v>500</v>
      </c>
      <c r="R327" s="7">
        <f t="shared" si="14"/>
        <v>0</v>
      </c>
      <c r="S327" s="7">
        <f t="shared" si="15"/>
        <v>600</v>
      </c>
      <c r="T327" s="7">
        <f t="shared" si="16"/>
        <v>0</v>
      </c>
      <c r="U327" s="7">
        <f t="shared" si="17"/>
        <v>700</v>
      </c>
      <c r="V327" s="7">
        <f t="shared" si="18"/>
        <v>0</v>
      </c>
      <c r="W327" s="7">
        <f t="shared" si="19"/>
        <v>800</v>
      </c>
      <c r="X327" s="7">
        <f t="shared" si="20"/>
        <v>0</v>
      </c>
      <c r="Y327" s="7">
        <f t="shared" si="21"/>
        <v>900</v>
      </c>
      <c r="Z327" s="7">
        <f t="shared" si="22"/>
        <v>0</v>
      </c>
    </row>
    <row r="328">
      <c r="A328" s="19"/>
      <c r="B328" s="19"/>
      <c r="C328" s="13">
        <v>50771.0</v>
      </c>
      <c r="D328" s="12">
        <f>'Income per month'!B328</f>
        <v>1000</v>
      </c>
      <c r="E328" s="7">
        <f t="shared" si="1"/>
        <v>50</v>
      </c>
      <c r="F328" s="7">
        <f t="shared" si="2"/>
        <v>0</v>
      </c>
      <c r="G328" s="7">
        <f t="shared" si="3"/>
        <v>100</v>
      </c>
      <c r="H328" s="7">
        <f t="shared" si="4"/>
        <v>0</v>
      </c>
      <c r="I328" s="7">
        <f t="shared" si="5"/>
        <v>150</v>
      </c>
      <c r="J328" s="7">
        <f t="shared" si="6"/>
        <v>0</v>
      </c>
      <c r="K328" s="7">
        <f t="shared" si="7"/>
        <v>200</v>
      </c>
      <c r="L328" s="7">
        <f t="shared" si="8"/>
        <v>0</v>
      </c>
      <c r="M328" s="7">
        <f t="shared" si="9"/>
        <v>300</v>
      </c>
      <c r="N328" s="7">
        <f t="shared" si="10"/>
        <v>0</v>
      </c>
      <c r="O328" s="7">
        <f t="shared" si="11"/>
        <v>400</v>
      </c>
      <c r="P328" s="7">
        <f t="shared" si="12"/>
        <v>0</v>
      </c>
      <c r="Q328" s="7">
        <f t="shared" si="13"/>
        <v>500</v>
      </c>
      <c r="R328" s="7">
        <f t="shared" si="14"/>
        <v>0</v>
      </c>
      <c r="S328" s="7">
        <f t="shared" si="15"/>
        <v>600</v>
      </c>
      <c r="T328" s="7">
        <f t="shared" si="16"/>
        <v>0</v>
      </c>
      <c r="U328" s="7">
        <f t="shared" si="17"/>
        <v>700</v>
      </c>
      <c r="V328" s="7">
        <f t="shared" si="18"/>
        <v>0</v>
      </c>
      <c r="W328" s="7">
        <f t="shared" si="19"/>
        <v>800</v>
      </c>
      <c r="X328" s="7">
        <f t="shared" si="20"/>
        <v>0</v>
      </c>
      <c r="Y328" s="7">
        <f t="shared" si="21"/>
        <v>900</v>
      </c>
      <c r="Z328" s="7">
        <f t="shared" si="22"/>
        <v>0</v>
      </c>
    </row>
    <row r="329">
      <c r="A329" s="19"/>
      <c r="B329" s="19"/>
      <c r="C329" s="13">
        <v>50802.0</v>
      </c>
      <c r="D329" s="12">
        <f>'Income per month'!B329</f>
        <v>1000</v>
      </c>
      <c r="E329" s="7">
        <f t="shared" si="1"/>
        <v>50</v>
      </c>
      <c r="F329" s="7">
        <f t="shared" si="2"/>
        <v>0</v>
      </c>
      <c r="G329" s="7">
        <f t="shared" si="3"/>
        <v>100</v>
      </c>
      <c r="H329" s="7">
        <f t="shared" si="4"/>
        <v>0</v>
      </c>
      <c r="I329" s="7">
        <f t="shared" si="5"/>
        <v>150</v>
      </c>
      <c r="J329" s="7">
        <f t="shared" si="6"/>
        <v>0</v>
      </c>
      <c r="K329" s="7">
        <f t="shared" si="7"/>
        <v>200</v>
      </c>
      <c r="L329" s="7">
        <f t="shared" si="8"/>
        <v>0</v>
      </c>
      <c r="M329" s="7">
        <f t="shared" si="9"/>
        <v>300</v>
      </c>
      <c r="N329" s="7">
        <f t="shared" si="10"/>
        <v>0</v>
      </c>
      <c r="O329" s="7">
        <f t="shared" si="11"/>
        <v>400</v>
      </c>
      <c r="P329" s="7">
        <f t="shared" si="12"/>
        <v>0</v>
      </c>
      <c r="Q329" s="7">
        <f t="shared" si="13"/>
        <v>500</v>
      </c>
      <c r="R329" s="7">
        <f t="shared" si="14"/>
        <v>0</v>
      </c>
      <c r="S329" s="7">
        <f t="shared" si="15"/>
        <v>600</v>
      </c>
      <c r="T329" s="7">
        <f t="shared" si="16"/>
        <v>0</v>
      </c>
      <c r="U329" s="7">
        <f t="shared" si="17"/>
        <v>700</v>
      </c>
      <c r="V329" s="7">
        <f t="shared" si="18"/>
        <v>0</v>
      </c>
      <c r="W329" s="7">
        <f t="shared" si="19"/>
        <v>800</v>
      </c>
      <c r="X329" s="7">
        <f t="shared" si="20"/>
        <v>0</v>
      </c>
      <c r="Y329" s="7">
        <f t="shared" si="21"/>
        <v>900</v>
      </c>
      <c r="Z329" s="7">
        <f t="shared" si="22"/>
        <v>0</v>
      </c>
    </row>
    <row r="330">
      <c r="A330" s="19"/>
      <c r="B330" s="19"/>
      <c r="C330" s="13">
        <v>50830.0</v>
      </c>
      <c r="D330" s="12">
        <f>'Income per month'!B330</f>
        <v>1000</v>
      </c>
      <c r="E330" s="7">
        <f t="shared" si="1"/>
        <v>50</v>
      </c>
      <c r="F330" s="7">
        <f t="shared" si="2"/>
        <v>0</v>
      </c>
      <c r="G330" s="7">
        <f t="shared" si="3"/>
        <v>100</v>
      </c>
      <c r="H330" s="7">
        <f t="shared" si="4"/>
        <v>0</v>
      </c>
      <c r="I330" s="7">
        <f t="shared" si="5"/>
        <v>150</v>
      </c>
      <c r="J330" s="7">
        <f t="shared" si="6"/>
        <v>0</v>
      </c>
      <c r="K330" s="7">
        <f t="shared" si="7"/>
        <v>200</v>
      </c>
      <c r="L330" s="7">
        <f t="shared" si="8"/>
        <v>0</v>
      </c>
      <c r="M330" s="7">
        <f t="shared" si="9"/>
        <v>300</v>
      </c>
      <c r="N330" s="7">
        <f t="shared" si="10"/>
        <v>0</v>
      </c>
      <c r="O330" s="7">
        <f t="shared" si="11"/>
        <v>400</v>
      </c>
      <c r="P330" s="7">
        <f t="shared" si="12"/>
        <v>0</v>
      </c>
      <c r="Q330" s="7">
        <f t="shared" si="13"/>
        <v>500</v>
      </c>
      <c r="R330" s="7">
        <f t="shared" si="14"/>
        <v>0</v>
      </c>
      <c r="S330" s="7">
        <f t="shared" si="15"/>
        <v>600</v>
      </c>
      <c r="T330" s="7">
        <f t="shared" si="16"/>
        <v>0</v>
      </c>
      <c r="U330" s="7">
        <f t="shared" si="17"/>
        <v>700</v>
      </c>
      <c r="V330" s="7">
        <f t="shared" si="18"/>
        <v>0</v>
      </c>
      <c r="W330" s="7">
        <f t="shared" si="19"/>
        <v>800</v>
      </c>
      <c r="X330" s="7">
        <f t="shared" si="20"/>
        <v>0</v>
      </c>
      <c r="Y330" s="7">
        <f t="shared" si="21"/>
        <v>900</v>
      </c>
      <c r="Z330" s="7">
        <f t="shared" si="22"/>
        <v>0</v>
      </c>
    </row>
    <row r="331">
      <c r="A331" s="19"/>
      <c r="B331" s="19"/>
      <c r="C331" s="13">
        <v>50861.0</v>
      </c>
      <c r="D331" s="12">
        <f>'Income per month'!B331</f>
        <v>1000</v>
      </c>
      <c r="E331" s="7">
        <f t="shared" si="1"/>
        <v>50</v>
      </c>
      <c r="F331" s="7">
        <f t="shared" si="2"/>
        <v>0</v>
      </c>
      <c r="G331" s="7">
        <f t="shared" si="3"/>
        <v>100</v>
      </c>
      <c r="H331" s="7">
        <f t="shared" si="4"/>
        <v>0</v>
      </c>
      <c r="I331" s="7">
        <f t="shared" si="5"/>
        <v>150</v>
      </c>
      <c r="J331" s="7">
        <f t="shared" si="6"/>
        <v>0</v>
      </c>
      <c r="K331" s="7">
        <f t="shared" si="7"/>
        <v>200</v>
      </c>
      <c r="L331" s="7">
        <f t="shared" si="8"/>
        <v>0</v>
      </c>
      <c r="M331" s="7">
        <f t="shared" si="9"/>
        <v>300</v>
      </c>
      <c r="N331" s="7">
        <f t="shared" si="10"/>
        <v>0</v>
      </c>
      <c r="O331" s="7">
        <f t="shared" si="11"/>
        <v>400</v>
      </c>
      <c r="P331" s="7">
        <f t="shared" si="12"/>
        <v>0</v>
      </c>
      <c r="Q331" s="7">
        <f t="shared" si="13"/>
        <v>500</v>
      </c>
      <c r="R331" s="7">
        <f t="shared" si="14"/>
        <v>0</v>
      </c>
      <c r="S331" s="7">
        <f t="shared" si="15"/>
        <v>600</v>
      </c>
      <c r="T331" s="7">
        <f t="shared" si="16"/>
        <v>0</v>
      </c>
      <c r="U331" s="7">
        <f t="shared" si="17"/>
        <v>700</v>
      </c>
      <c r="V331" s="7">
        <f t="shared" si="18"/>
        <v>0</v>
      </c>
      <c r="W331" s="7">
        <f t="shared" si="19"/>
        <v>800</v>
      </c>
      <c r="X331" s="7">
        <f t="shared" si="20"/>
        <v>0</v>
      </c>
      <c r="Y331" s="7">
        <f t="shared" si="21"/>
        <v>900</v>
      </c>
      <c r="Z331" s="7">
        <f t="shared" si="22"/>
        <v>0</v>
      </c>
    </row>
    <row r="332">
      <c r="A332" s="19"/>
      <c r="B332" s="19"/>
      <c r="C332" s="13">
        <v>50891.0</v>
      </c>
      <c r="D332" s="12">
        <f>'Income per month'!B332</f>
        <v>1000</v>
      </c>
      <c r="E332" s="7">
        <f t="shared" si="1"/>
        <v>50</v>
      </c>
      <c r="F332" s="7">
        <f t="shared" si="2"/>
        <v>0</v>
      </c>
      <c r="G332" s="7">
        <f t="shared" si="3"/>
        <v>100</v>
      </c>
      <c r="H332" s="7">
        <f t="shared" si="4"/>
        <v>0</v>
      </c>
      <c r="I332" s="7">
        <f t="shared" si="5"/>
        <v>150</v>
      </c>
      <c r="J332" s="7">
        <f t="shared" si="6"/>
        <v>0</v>
      </c>
      <c r="K332" s="7">
        <f t="shared" si="7"/>
        <v>200</v>
      </c>
      <c r="L332" s="7">
        <f t="shared" si="8"/>
        <v>0</v>
      </c>
      <c r="M332" s="7">
        <f t="shared" si="9"/>
        <v>300</v>
      </c>
      <c r="N332" s="7">
        <f t="shared" si="10"/>
        <v>0</v>
      </c>
      <c r="O332" s="7">
        <f t="shared" si="11"/>
        <v>400</v>
      </c>
      <c r="P332" s="7">
        <f t="shared" si="12"/>
        <v>0</v>
      </c>
      <c r="Q332" s="7">
        <f t="shared" si="13"/>
        <v>500</v>
      </c>
      <c r="R332" s="7">
        <f t="shared" si="14"/>
        <v>0</v>
      </c>
      <c r="S332" s="7">
        <f t="shared" si="15"/>
        <v>600</v>
      </c>
      <c r="T332" s="7">
        <f t="shared" si="16"/>
        <v>0</v>
      </c>
      <c r="U332" s="7">
        <f t="shared" si="17"/>
        <v>700</v>
      </c>
      <c r="V332" s="7">
        <f t="shared" si="18"/>
        <v>0</v>
      </c>
      <c r="W332" s="7">
        <f t="shared" si="19"/>
        <v>800</v>
      </c>
      <c r="X332" s="7">
        <f t="shared" si="20"/>
        <v>0</v>
      </c>
      <c r="Y332" s="7">
        <f t="shared" si="21"/>
        <v>900</v>
      </c>
      <c r="Z332" s="7">
        <f t="shared" si="22"/>
        <v>0</v>
      </c>
    </row>
    <row r="333">
      <c r="A333" s="19"/>
      <c r="B333" s="19"/>
      <c r="C333" s="13">
        <v>50922.0</v>
      </c>
      <c r="D333" s="12">
        <f>'Income per month'!B333</f>
        <v>1000</v>
      </c>
      <c r="E333" s="7">
        <f t="shared" si="1"/>
        <v>50</v>
      </c>
      <c r="F333" s="7">
        <f t="shared" si="2"/>
        <v>0</v>
      </c>
      <c r="G333" s="7">
        <f t="shared" si="3"/>
        <v>100</v>
      </c>
      <c r="H333" s="7">
        <f t="shared" si="4"/>
        <v>0</v>
      </c>
      <c r="I333" s="7">
        <f t="shared" si="5"/>
        <v>150</v>
      </c>
      <c r="J333" s="7">
        <f t="shared" si="6"/>
        <v>0</v>
      </c>
      <c r="K333" s="7">
        <f t="shared" si="7"/>
        <v>200</v>
      </c>
      <c r="L333" s="7">
        <f t="shared" si="8"/>
        <v>0</v>
      </c>
      <c r="M333" s="7">
        <f t="shared" si="9"/>
        <v>300</v>
      </c>
      <c r="N333" s="7">
        <f t="shared" si="10"/>
        <v>0</v>
      </c>
      <c r="O333" s="7">
        <f t="shared" si="11"/>
        <v>400</v>
      </c>
      <c r="P333" s="7">
        <f t="shared" si="12"/>
        <v>0</v>
      </c>
      <c r="Q333" s="7">
        <f t="shared" si="13"/>
        <v>500</v>
      </c>
      <c r="R333" s="7">
        <f t="shared" si="14"/>
        <v>0</v>
      </c>
      <c r="S333" s="7">
        <f t="shared" si="15"/>
        <v>600</v>
      </c>
      <c r="T333" s="7">
        <f t="shared" si="16"/>
        <v>0</v>
      </c>
      <c r="U333" s="7">
        <f t="shared" si="17"/>
        <v>700</v>
      </c>
      <c r="V333" s="7">
        <f t="shared" si="18"/>
        <v>0</v>
      </c>
      <c r="W333" s="7">
        <f t="shared" si="19"/>
        <v>800</v>
      </c>
      <c r="X333" s="7">
        <f t="shared" si="20"/>
        <v>0</v>
      </c>
      <c r="Y333" s="7">
        <f t="shared" si="21"/>
        <v>900</v>
      </c>
      <c r="Z333" s="7">
        <f t="shared" si="22"/>
        <v>0</v>
      </c>
    </row>
    <row r="334">
      <c r="A334" s="19"/>
      <c r="B334" s="19"/>
      <c r="C334" s="13">
        <v>50952.0</v>
      </c>
      <c r="D334" s="12">
        <f>'Income per month'!B334</f>
        <v>1000</v>
      </c>
      <c r="E334" s="7">
        <f t="shared" si="1"/>
        <v>50</v>
      </c>
      <c r="F334" s="7">
        <f t="shared" si="2"/>
        <v>0</v>
      </c>
      <c r="G334" s="7">
        <f t="shared" si="3"/>
        <v>100</v>
      </c>
      <c r="H334" s="7">
        <f t="shared" si="4"/>
        <v>0</v>
      </c>
      <c r="I334" s="7">
        <f t="shared" si="5"/>
        <v>150</v>
      </c>
      <c r="J334" s="7">
        <f t="shared" si="6"/>
        <v>0</v>
      </c>
      <c r="K334" s="7">
        <f t="shared" si="7"/>
        <v>200</v>
      </c>
      <c r="L334" s="7">
        <f t="shared" si="8"/>
        <v>0</v>
      </c>
      <c r="M334" s="7">
        <f t="shared" si="9"/>
        <v>300</v>
      </c>
      <c r="N334" s="7">
        <f t="shared" si="10"/>
        <v>0</v>
      </c>
      <c r="O334" s="7">
        <f t="shared" si="11"/>
        <v>400</v>
      </c>
      <c r="P334" s="7">
        <f t="shared" si="12"/>
        <v>0</v>
      </c>
      <c r="Q334" s="7">
        <f t="shared" si="13"/>
        <v>500</v>
      </c>
      <c r="R334" s="7">
        <f t="shared" si="14"/>
        <v>0</v>
      </c>
      <c r="S334" s="7">
        <f t="shared" si="15"/>
        <v>600</v>
      </c>
      <c r="T334" s="7">
        <f t="shared" si="16"/>
        <v>0</v>
      </c>
      <c r="U334" s="7">
        <f t="shared" si="17"/>
        <v>700</v>
      </c>
      <c r="V334" s="7">
        <f t="shared" si="18"/>
        <v>0</v>
      </c>
      <c r="W334" s="7">
        <f t="shared" si="19"/>
        <v>800</v>
      </c>
      <c r="X334" s="7">
        <f t="shared" si="20"/>
        <v>0</v>
      </c>
      <c r="Y334" s="7">
        <f t="shared" si="21"/>
        <v>900</v>
      </c>
      <c r="Z334" s="7">
        <f t="shared" si="22"/>
        <v>0</v>
      </c>
    </row>
    <row r="335">
      <c r="A335" s="19"/>
      <c r="B335" s="19"/>
      <c r="C335" s="13">
        <v>50983.0</v>
      </c>
      <c r="D335" s="12">
        <f>'Income per month'!B335</f>
        <v>1000</v>
      </c>
      <c r="E335" s="7">
        <f t="shared" si="1"/>
        <v>50</v>
      </c>
      <c r="F335" s="7">
        <f t="shared" si="2"/>
        <v>0</v>
      </c>
      <c r="G335" s="7">
        <f t="shared" si="3"/>
        <v>100</v>
      </c>
      <c r="H335" s="7">
        <f t="shared" si="4"/>
        <v>0</v>
      </c>
      <c r="I335" s="7">
        <f t="shared" si="5"/>
        <v>150</v>
      </c>
      <c r="J335" s="7">
        <f t="shared" si="6"/>
        <v>0</v>
      </c>
      <c r="K335" s="7">
        <f t="shared" si="7"/>
        <v>200</v>
      </c>
      <c r="L335" s="7">
        <f t="shared" si="8"/>
        <v>0</v>
      </c>
      <c r="M335" s="7">
        <f t="shared" si="9"/>
        <v>300</v>
      </c>
      <c r="N335" s="7">
        <f t="shared" si="10"/>
        <v>0</v>
      </c>
      <c r="O335" s="7">
        <f t="shared" si="11"/>
        <v>400</v>
      </c>
      <c r="P335" s="7">
        <f t="shared" si="12"/>
        <v>0</v>
      </c>
      <c r="Q335" s="7">
        <f t="shared" si="13"/>
        <v>500</v>
      </c>
      <c r="R335" s="7">
        <f t="shared" si="14"/>
        <v>0</v>
      </c>
      <c r="S335" s="7">
        <f t="shared" si="15"/>
        <v>600</v>
      </c>
      <c r="T335" s="7">
        <f t="shared" si="16"/>
        <v>0</v>
      </c>
      <c r="U335" s="7">
        <f t="shared" si="17"/>
        <v>700</v>
      </c>
      <c r="V335" s="7">
        <f t="shared" si="18"/>
        <v>0</v>
      </c>
      <c r="W335" s="7">
        <f t="shared" si="19"/>
        <v>800</v>
      </c>
      <c r="X335" s="7">
        <f t="shared" si="20"/>
        <v>0</v>
      </c>
      <c r="Y335" s="7">
        <f t="shared" si="21"/>
        <v>900</v>
      </c>
      <c r="Z335" s="7">
        <f t="shared" si="22"/>
        <v>0</v>
      </c>
    </row>
    <row r="336">
      <c r="A336" s="19"/>
      <c r="B336" s="19"/>
      <c r="C336" s="13">
        <v>51014.0</v>
      </c>
      <c r="D336" s="12">
        <f>'Income per month'!B336</f>
        <v>1000</v>
      </c>
      <c r="E336" s="7">
        <f t="shared" si="1"/>
        <v>50</v>
      </c>
      <c r="F336" s="7">
        <f t="shared" si="2"/>
        <v>0</v>
      </c>
      <c r="G336" s="7">
        <f t="shared" si="3"/>
        <v>100</v>
      </c>
      <c r="H336" s="7">
        <f t="shared" si="4"/>
        <v>0</v>
      </c>
      <c r="I336" s="7">
        <f t="shared" si="5"/>
        <v>150</v>
      </c>
      <c r="J336" s="7">
        <f t="shared" si="6"/>
        <v>0</v>
      </c>
      <c r="K336" s="7">
        <f t="shared" si="7"/>
        <v>200</v>
      </c>
      <c r="L336" s="7">
        <f t="shared" si="8"/>
        <v>0</v>
      </c>
      <c r="M336" s="7">
        <f t="shared" si="9"/>
        <v>300</v>
      </c>
      <c r="N336" s="7">
        <f t="shared" si="10"/>
        <v>0</v>
      </c>
      <c r="O336" s="7">
        <f t="shared" si="11"/>
        <v>400</v>
      </c>
      <c r="P336" s="7">
        <f t="shared" si="12"/>
        <v>0</v>
      </c>
      <c r="Q336" s="7">
        <f t="shared" si="13"/>
        <v>500</v>
      </c>
      <c r="R336" s="7">
        <f t="shared" si="14"/>
        <v>0</v>
      </c>
      <c r="S336" s="7">
        <f t="shared" si="15"/>
        <v>600</v>
      </c>
      <c r="T336" s="7">
        <f t="shared" si="16"/>
        <v>0</v>
      </c>
      <c r="U336" s="7">
        <f t="shared" si="17"/>
        <v>700</v>
      </c>
      <c r="V336" s="7">
        <f t="shared" si="18"/>
        <v>0</v>
      </c>
      <c r="W336" s="7">
        <f t="shared" si="19"/>
        <v>800</v>
      </c>
      <c r="X336" s="7">
        <f t="shared" si="20"/>
        <v>0</v>
      </c>
      <c r="Y336" s="7">
        <f t="shared" si="21"/>
        <v>900</v>
      </c>
      <c r="Z336" s="7">
        <f t="shared" si="22"/>
        <v>0</v>
      </c>
    </row>
    <row r="337">
      <c r="A337" s="19"/>
      <c r="B337" s="19"/>
      <c r="C337" s="13">
        <v>51044.0</v>
      </c>
      <c r="D337" s="12">
        <f>'Income per month'!B337</f>
        <v>1000</v>
      </c>
      <c r="E337" s="7">
        <f t="shared" si="1"/>
        <v>50</v>
      </c>
      <c r="F337" s="7">
        <f t="shared" si="2"/>
        <v>0</v>
      </c>
      <c r="G337" s="7">
        <f t="shared" si="3"/>
        <v>100</v>
      </c>
      <c r="H337" s="7">
        <f t="shared" si="4"/>
        <v>0</v>
      </c>
      <c r="I337" s="7">
        <f t="shared" si="5"/>
        <v>150</v>
      </c>
      <c r="J337" s="7">
        <f t="shared" si="6"/>
        <v>0</v>
      </c>
      <c r="K337" s="7">
        <f t="shared" si="7"/>
        <v>200</v>
      </c>
      <c r="L337" s="7">
        <f t="shared" si="8"/>
        <v>0</v>
      </c>
      <c r="M337" s="7">
        <f t="shared" si="9"/>
        <v>300</v>
      </c>
      <c r="N337" s="7">
        <f t="shared" si="10"/>
        <v>0</v>
      </c>
      <c r="O337" s="7">
        <f t="shared" si="11"/>
        <v>400</v>
      </c>
      <c r="P337" s="7">
        <f t="shared" si="12"/>
        <v>0</v>
      </c>
      <c r="Q337" s="7">
        <f t="shared" si="13"/>
        <v>500</v>
      </c>
      <c r="R337" s="7">
        <f t="shared" si="14"/>
        <v>0</v>
      </c>
      <c r="S337" s="7">
        <f t="shared" si="15"/>
        <v>600</v>
      </c>
      <c r="T337" s="7">
        <f t="shared" si="16"/>
        <v>0</v>
      </c>
      <c r="U337" s="7">
        <f t="shared" si="17"/>
        <v>700</v>
      </c>
      <c r="V337" s="7">
        <f t="shared" si="18"/>
        <v>0</v>
      </c>
      <c r="W337" s="7">
        <f t="shared" si="19"/>
        <v>800</v>
      </c>
      <c r="X337" s="7">
        <f t="shared" si="20"/>
        <v>0</v>
      </c>
      <c r="Y337" s="7">
        <f t="shared" si="21"/>
        <v>900</v>
      </c>
      <c r="Z337" s="7">
        <f t="shared" si="22"/>
        <v>0</v>
      </c>
    </row>
    <row r="338">
      <c r="A338" s="19"/>
      <c r="B338" s="19"/>
      <c r="C338" s="13">
        <v>51075.0</v>
      </c>
      <c r="D338" s="12">
        <f>'Income per month'!B338</f>
        <v>1000</v>
      </c>
      <c r="E338" s="7">
        <f t="shared" si="1"/>
        <v>50</v>
      </c>
      <c r="F338" s="7">
        <f t="shared" si="2"/>
        <v>0</v>
      </c>
      <c r="G338" s="7">
        <f t="shared" si="3"/>
        <v>100</v>
      </c>
      <c r="H338" s="7">
        <f t="shared" si="4"/>
        <v>0</v>
      </c>
      <c r="I338" s="7">
        <f t="shared" si="5"/>
        <v>150</v>
      </c>
      <c r="J338" s="7">
        <f t="shared" si="6"/>
        <v>0</v>
      </c>
      <c r="K338" s="7">
        <f t="shared" si="7"/>
        <v>200</v>
      </c>
      <c r="L338" s="7">
        <f t="shared" si="8"/>
        <v>0</v>
      </c>
      <c r="M338" s="7">
        <f t="shared" si="9"/>
        <v>300</v>
      </c>
      <c r="N338" s="7">
        <f t="shared" si="10"/>
        <v>0</v>
      </c>
      <c r="O338" s="7">
        <f t="shared" si="11"/>
        <v>400</v>
      </c>
      <c r="P338" s="7">
        <f t="shared" si="12"/>
        <v>0</v>
      </c>
      <c r="Q338" s="7">
        <f t="shared" si="13"/>
        <v>500</v>
      </c>
      <c r="R338" s="7">
        <f t="shared" si="14"/>
        <v>0</v>
      </c>
      <c r="S338" s="7">
        <f t="shared" si="15"/>
        <v>600</v>
      </c>
      <c r="T338" s="7">
        <f t="shared" si="16"/>
        <v>0</v>
      </c>
      <c r="U338" s="7">
        <f t="shared" si="17"/>
        <v>700</v>
      </c>
      <c r="V338" s="7">
        <f t="shared" si="18"/>
        <v>0</v>
      </c>
      <c r="W338" s="7">
        <f t="shared" si="19"/>
        <v>800</v>
      </c>
      <c r="X338" s="7">
        <f t="shared" si="20"/>
        <v>0</v>
      </c>
      <c r="Y338" s="7">
        <f t="shared" si="21"/>
        <v>900</v>
      </c>
      <c r="Z338" s="7">
        <f t="shared" si="22"/>
        <v>0</v>
      </c>
    </row>
    <row r="339">
      <c r="A339" s="19"/>
      <c r="B339" s="19"/>
      <c r="C339" s="14">
        <v>51105.0</v>
      </c>
      <c r="D339" s="12">
        <f>'Income per month'!B339</f>
        <v>1000</v>
      </c>
      <c r="E339" s="7">
        <f t="shared" si="1"/>
        <v>50</v>
      </c>
      <c r="F339" s="7">
        <f t="shared" si="2"/>
        <v>0</v>
      </c>
      <c r="G339" s="7">
        <f t="shared" si="3"/>
        <v>100</v>
      </c>
      <c r="H339" s="7">
        <f t="shared" si="4"/>
        <v>0</v>
      </c>
      <c r="I339" s="7">
        <f t="shared" si="5"/>
        <v>150</v>
      </c>
      <c r="J339" s="7">
        <f t="shared" si="6"/>
        <v>0</v>
      </c>
      <c r="K339" s="7">
        <f t="shared" si="7"/>
        <v>200</v>
      </c>
      <c r="L339" s="7">
        <f t="shared" si="8"/>
        <v>0</v>
      </c>
      <c r="M339" s="7">
        <f t="shared" si="9"/>
        <v>300</v>
      </c>
      <c r="N339" s="7">
        <f t="shared" si="10"/>
        <v>0</v>
      </c>
      <c r="O339" s="7">
        <f t="shared" si="11"/>
        <v>400</v>
      </c>
      <c r="P339" s="7">
        <f t="shared" si="12"/>
        <v>0</v>
      </c>
      <c r="Q339" s="7">
        <f t="shared" si="13"/>
        <v>500</v>
      </c>
      <c r="R339" s="7">
        <f t="shared" si="14"/>
        <v>0</v>
      </c>
      <c r="S339" s="7">
        <f t="shared" si="15"/>
        <v>600</v>
      </c>
      <c r="T339" s="7">
        <f t="shared" si="16"/>
        <v>0</v>
      </c>
      <c r="U339" s="7">
        <f t="shared" si="17"/>
        <v>700</v>
      </c>
      <c r="V339" s="7">
        <f t="shared" si="18"/>
        <v>0</v>
      </c>
      <c r="W339" s="7">
        <f t="shared" si="19"/>
        <v>800</v>
      </c>
      <c r="X339" s="7">
        <f t="shared" si="20"/>
        <v>0</v>
      </c>
      <c r="Y339" s="7">
        <f t="shared" si="21"/>
        <v>900</v>
      </c>
      <c r="Z339" s="7">
        <f t="shared" si="22"/>
        <v>0</v>
      </c>
    </row>
    <row r="340">
      <c r="A340" s="19"/>
      <c r="B340" s="19"/>
      <c r="C340" s="13">
        <v>51136.0</v>
      </c>
      <c r="D340" s="12">
        <f>'Income per month'!B340</f>
        <v>1000</v>
      </c>
      <c r="E340" s="7">
        <f t="shared" si="1"/>
        <v>50</v>
      </c>
      <c r="F340" s="7">
        <f t="shared" si="2"/>
        <v>0</v>
      </c>
      <c r="G340" s="7">
        <f t="shared" si="3"/>
        <v>100</v>
      </c>
      <c r="H340" s="7">
        <f t="shared" si="4"/>
        <v>0</v>
      </c>
      <c r="I340" s="7">
        <f t="shared" si="5"/>
        <v>150</v>
      </c>
      <c r="J340" s="7">
        <f t="shared" si="6"/>
        <v>0</v>
      </c>
      <c r="K340" s="7">
        <f t="shared" si="7"/>
        <v>200</v>
      </c>
      <c r="L340" s="7">
        <f t="shared" si="8"/>
        <v>0</v>
      </c>
      <c r="M340" s="7">
        <f t="shared" si="9"/>
        <v>300</v>
      </c>
      <c r="N340" s="7">
        <f t="shared" si="10"/>
        <v>0</v>
      </c>
      <c r="O340" s="7">
        <f t="shared" si="11"/>
        <v>400</v>
      </c>
      <c r="P340" s="7">
        <f t="shared" si="12"/>
        <v>0</v>
      </c>
      <c r="Q340" s="7">
        <f t="shared" si="13"/>
        <v>500</v>
      </c>
      <c r="R340" s="7">
        <f t="shared" si="14"/>
        <v>0</v>
      </c>
      <c r="S340" s="7">
        <f t="shared" si="15"/>
        <v>600</v>
      </c>
      <c r="T340" s="7">
        <f t="shared" si="16"/>
        <v>0</v>
      </c>
      <c r="U340" s="7">
        <f t="shared" si="17"/>
        <v>700</v>
      </c>
      <c r="V340" s="7">
        <f t="shared" si="18"/>
        <v>0</v>
      </c>
      <c r="W340" s="7">
        <f t="shared" si="19"/>
        <v>800</v>
      </c>
      <c r="X340" s="7">
        <f t="shared" si="20"/>
        <v>0</v>
      </c>
      <c r="Y340" s="7">
        <f t="shared" si="21"/>
        <v>900</v>
      </c>
      <c r="Z340" s="7">
        <f t="shared" si="22"/>
        <v>0</v>
      </c>
    </row>
    <row r="341">
      <c r="A341" s="19"/>
      <c r="B341" s="19"/>
      <c r="C341" s="13">
        <v>51167.0</v>
      </c>
      <c r="D341" s="12">
        <f>'Income per month'!B341</f>
        <v>1000</v>
      </c>
      <c r="E341" s="7">
        <f t="shared" si="1"/>
        <v>50</v>
      </c>
      <c r="F341" s="7">
        <f t="shared" si="2"/>
        <v>0</v>
      </c>
      <c r="G341" s="7">
        <f t="shared" si="3"/>
        <v>100</v>
      </c>
      <c r="H341" s="7">
        <f t="shared" si="4"/>
        <v>0</v>
      </c>
      <c r="I341" s="7">
        <f t="shared" si="5"/>
        <v>150</v>
      </c>
      <c r="J341" s="7">
        <f t="shared" si="6"/>
        <v>0</v>
      </c>
      <c r="K341" s="7">
        <f t="shared" si="7"/>
        <v>200</v>
      </c>
      <c r="L341" s="7">
        <f t="shared" si="8"/>
        <v>0</v>
      </c>
      <c r="M341" s="7">
        <f t="shared" si="9"/>
        <v>300</v>
      </c>
      <c r="N341" s="7">
        <f t="shared" si="10"/>
        <v>0</v>
      </c>
      <c r="O341" s="7">
        <f t="shared" si="11"/>
        <v>400</v>
      </c>
      <c r="P341" s="7">
        <f t="shared" si="12"/>
        <v>0</v>
      </c>
      <c r="Q341" s="7">
        <f t="shared" si="13"/>
        <v>500</v>
      </c>
      <c r="R341" s="7">
        <f t="shared" si="14"/>
        <v>0</v>
      </c>
      <c r="S341" s="7">
        <f t="shared" si="15"/>
        <v>600</v>
      </c>
      <c r="T341" s="7">
        <f t="shared" si="16"/>
        <v>0</v>
      </c>
      <c r="U341" s="7">
        <f t="shared" si="17"/>
        <v>700</v>
      </c>
      <c r="V341" s="7">
        <f t="shared" si="18"/>
        <v>0</v>
      </c>
      <c r="W341" s="7">
        <f t="shared" si="19"/>
        <v>800</v>
      </c>
      <c r="X341" s="7">
        <f t="shared" si="20"/>
        <v>0</v>
      </c>
      <c r="Y341" s="7">
        <f t="shared" si="21"/>
        <v>900</v>
      </c>
      <c r="Z341" s="7">
        <f t="shared" si="22"/>
        <v>0</v>
      </c>
    </row>
    <row r="342">
      <c r="A342" s="19"/>
      <c r="B342" s="19"/>
      <c r="C342" s="13">
        <v>51196.0</v>
      </c>
      <c r="D342" s="12">
        <f>'Income per month'!B342</f>
        <v>1000</v>
      </c>
      <c r="E342" s="7">
        <f t="shared" si="1"/>
        <v>50</v>
      </c>
      <c r="F342" s="7">
        <f t="shared" si="2"/>
        <v>0</v>
      </c>
      <c r="G342" s="7">
        <f t="shared" si="3"/>
        <v>100</v>
      </c>
      <c r="H342" s="7">
        <f t="shared" si="4"/>
        <v>0</v>
      </c>
      <c r="I342" s="7">
        <f t="shared" si="5"/>
        <v>150</v>
      </c>
      <c r="J342" s="7">
        <f t="shared" si="6"/>
        <v>0</v>
      </c>
      <c r="K342" s="7">
        <f t="shared" si="7"/>
        <v>200</v>
      </c>
      <c r="L342" s="7">
        <f t="shared" si="8"/>
        <v>0</v>
      </c>
      <c r="M342" s="7">
        <f t="shared" si="9"/>
        <v>300</v>
      </c>
      <c r="N342" s="7">
        <f t="shared" si="10"/>
        <v>0</v>
      </c>
      <c r="O342" s="7">
        <f t="shared" si="11"/>
        <v>400</v>
      </c>
      <c r="P342" s="7">
        <f t="shared" si="12"/>
        <v>0</v>
      </c>
      <c r="Q342" s="7">
        <f t="shared" si="13"/>
        <v>500</v>
      </c>
      <c r="R342" s="7">
        <f t="shared" si="14"/>
        <v>0</v>
      </c>
      <c r="S342" s="7">
        <f t="shared" si="15"/>
        <v>600</v>
      </c>
      <c r="T342" s="7">
        <f t="shared" si="16"/>
        <v>0</v>
      </c>
      <c r="U342" s="7">
        <f t="shared" si="17"/>
        <v>700</v>
      </c>
      <c r="V342" s="7">
        <f t="shared" si="18"/>
        <v>0</v>
      </c>
      <c r="W342" s="7">
        <f t="shared" si="19"/>
        <v>800</v>
      </c>
      <c r="X342" s="7">
        <f t="shared" si="20"/>
        <v>0</v>
      </c>
      <c r="Y342" s="7">
        <f t="shared" si="21"/>
        <v>900</v>
      </c>
      <c r="Z342" s="7">
        <f t="shared" si="22"/>
        <v>0</v>
      </c>
    </row>
    <row r="343">
      <c r="A343" s="19"/>
      <c r="B343" s="19"/>
      <c r="C343" s="13">
        <v>51227.0</v>
      </c>
      <c r="D343" s="12">
        <f>'Income per month'!B343</f>
        <v>1000</v>
      </c>
      <c r="E343" s="7">
        <f t="shared" si="1"/>
        <v>50</v>
      </c>
      <c r="F343" s="7">
        <f t="shared" si="2"/>
        <v>0</v>
      </c>
      <c r="G343" s="7">
        <f t="shared" si="3"/>
        <v>100</v>
      </c>
      <c r="H343" s="7">
        <f t="shared" si="4"/>
        <v>0</v>
      </c>
      <c r="I343" s="7">
        <f t="shared" si="5"/>
        <v>150</v>
      </c>
      <c r="J343" s="7">
        <f t="shared" si="6"/>
        <v>0</v>
      </c>
      <c r="K343" s="7">
        <f t="shared" si="7"/>
        <v>200</v>
      </c>
      <c r="L343" s="7">
        <f t="shared" si="8"/>
        <v>0</v>
      </c>
      <c r="M343" s="7">
        <f t="shared" si="9"/>
        <v>300</v>
      </c>
      <c r="N343" s="7">
        <f t="shared" si="10"/>
        <v>0</v>
      </c>
      <c r="O343" s="7">
        <f t="shared" si="11"/>
        <v>400</v>
      </c>
      <c r="P343" s="7">
        <f t="shared" si="12"/>
        <v>0</v>
      </c>
      <c r="Q343" s="7">
        <f t="shared" si="13"/>
        <v>500</v>
      </c>
      <c r="R343" s="7">
        <f t="shared" si="14"/>
        <v>0</v>
      </c>
      <c r="S343" s="7">
        <f t="shared" si="15"/>
        <v>600</v>
      </c>
      <c r="T343" s="7">
        <f t="shared" si="16"/>
        <v>0</v>
      </c>
      <c r="U343" s="7">
        <f t="shared" si="17"/>
        <v>700</v>
      </c>
      <c r="V343" s="7">
        <f t="shared" si="18"/>
        <v>0</v>
      </c>
      <c r="W343" s="7">
        <f t="shared" si="19"/>
        <v>800</v>
      </c>
      <c r="X343" s="7">
        <f t="shared" si="20"/>
        <v>0</v>
      </c>
      <c r="Y343" s="7">
        <f t="shared" si="21"/>
        <v>900</v>
      </c>
      <c r="Z343" s="7">
        <f t="shared" si="22"/>
        <v>0</v>
      </c>
    </row>
    <row r="344">
      <c r="A344" s="19"/>
      <c r="B344" s="19"/>
      <c r="C344" s="13">
        <v>51257.0</v>
      </c>
      <c r="D344" s="12">
        <f>'Income per month'!B344</f>
        <v>1000</v>
      </c>
      <c r="E344" s="7">
        <f t="shared" si="1"/>
        <v>50</v>
      </c>
      <c r="F344" s="7">
        <f t="shared" si="2"/>
        <v>0</v>
      </c>
      <c r="G344" s="7">
        <f t="shared" si="3"/>
        <v>100</v>
      </c>
      <c r="H344" s="7">
        <f t="shared" si="4"/>
        <v>0</v>
      </c>
      <c r="I344" s="7">
        <f t="shared" si="5"/>
        <v>150</v>
      </c>
      <c r="J344" s="7">
        <f t="shared" si="6"/>
        <v>0</v>
      </c>
      <c r="K344" s="7">
        <f t="shared" si="7"/>
        <v>200</v>
      </c>
      <c r="L344" s="7">
        <f t="shared" si="8"/>
        <v>0</v>
      </c>
      <c r="M344" s="7">
        <f t="shared" si="9"/>
        <v>300</v>
      </c>
      <c r="N344" s="7">
        <f t="shared" si="10"/>
        <v>0</v>
      </c>
      <c r="O344" s="7">
        <f t="shared" si="11"/>
        <v>400</v>
      </c>
      <c r="P344" s="7">
        <f t="shared" si="12"/>
        <v>0</v>
      </c>
      <c r="Q344" s="7">
        <f t="shared" si="13"/>
        <v>500</v>
      </c>
      <c r="R344" s="7">
        <f t="shared" si="14"/>
        <v>0</v>
      </c>
      <c r="S344" s="7">
        <f t="shared" si="15"/>
        <v>600</v>
      </c>
      <c r="T344" s="7">
        <f t="shared" si="16"/>
        <v>0</v>
      </c>
      <c r="U344" s="7">
        <f t="shared" si="17"/>
        <v>700</v>
      </c>
      <c r="V344" s="7">
        <f t="shared" si="18"/>
        <v>0</v>
      </c>
      <c r="W344" s="7">
        <f t="shared" si="19"/>
        <v>800</v>
      </c>
      <c r="X344" s="7">
        <f t="shared" si="20"/>
        <v>0</v>
      </c>
      <c r="Y344" s="7">
        <f t="shared" si="21"/>
        <v>900</v>
      </c>
      <c r="Z344" s="7">
        <f t="shared" si="22"/>
        <v>0</v>
      </c>
    </row>
    <row r="345">
      <c r="A345" s="19"/>
      <c r="B345" s="19"/>
      <c r="C345" s="13">
        <v>51288.0</v>
      </c>
      <c r="D345" s="12">
        <f>'Income per month'!B345</f>
        <v>1000</v>
      </c>
      <c r="E345" s="7">
        <f t="shared" si="1"/>
        <v>50</v>
      </c>
      <c r="F345" s="7">
        <f t="shared" si="2"/>
        <v>0</v>
      </c>
      <c r="G345" s="7">
        <f t="shared" si="3"/>
        <v>100</v>
      </c>
      <c r="H345" s="7">
        <f t="shared" si="4"/>
        <v>0</v>
      </c>
      <c r="I345" s="7">
        <f t="shared" si="5"/>
        <v>150</v>
      </c>
      <c r="J345" s="7">
        <f t="shared" si="6"/>
        <v>0</v>
      </c>
      <c r="K345" s="7">
        <f t="shared" si="7"/>
        <v>200</v>
      </c>
      <c r="L345" s="7">
        <f t="shared" si="8"/>
        <v>0</v>
      </c>
      <c r="M345" s="7">
        <f t="shared" si="9"/>
        <v>300</v>
      </c>
      <c r="N345" s="7">
        <f t="shared" si="10"/>
        <v>0</v>
      </c>
      <c r="O345" s="7">
        <f t="shared" si="11"/>
        <v>400</v>
      </c>
      <c r="P345" s="7">
        <f t="shared" si="12"/>
        <v>0</v>
      </c>
      <c r="Q345" s="7">
        <f t="shared" si="13"/>
        <v>500</v>
      </c>
      <c r="R345" s="7">
        <f t="shared" si="14"/>
        <v>0</v>
      </c>
      <c r="S345" s="7">
        <f t="shared" si="15"/>
        <v>600</v>
      </c>
      <c r="T345" s="7">
        <f t="shared" si="16"/>
        <v>0</v>
      </c>
      <c r="U345" s="7">
        <f t="shared" si="17"/>
        <v>700</v>
      </c>
      <c r="V345" s="7">
        <f t="shared" si="18"/>
        <v>0</v>
      </c>
      <c r="W345" s="7">
        <f t="shared" si="19"/>
        <v>800</v>
      </c>
      <c r="X345" s="7">
        <f t="shared" si="20"/>
        <v>0</v>
      </c>
      <c r="Y345" s="7">
        <f t="shared" si="21"/>
        <v>900</v>
      </c>
      <c r="Z345" s="7">
        <f t="shared" si="22"/>
        <v>0</v>
      </c>
    </row>
    <row r="346">
      <c r="A346" s="19"/>
      <c r="B346" s="19"/>
      <c r="C346" s="13">
        <v>51318.0</v>
      </c>
      <c r="D346" s="12">
        <f>'Income per month'!B346</f>
        <v>1000</v>
      </c>
      <c r="E346" s="7">
        <f t="shared" si="1"/>
        <v>50</v>
      </c>
      <c r="F346" s="7">
        <f t="shared" si="2"/>
        <v>0</v>
      </c>
      <c r="G346" s="7">
        <f t="shared" si="3"/>
        <v>100</v>
      </c>
      <c r="H346" s="7">
        <f t="shared" si="4"/>
        <v>0</v>
      </c>
      <c r="I346" s="7">
        <f t="shared" si="5"/>
        <v>150</v>
      </c>
      <c r="J346" s="7">
        <f t="shared" si="6"/>
        <v>0</v>
      </c>
      <c r="K346" s="7">
        <f t="shared" si="7"/>
        <v>200</v>
      </c>
      <c r="L346" s="7">
        <f t="shared" si="8"/>
        <v>0</v>
      </c>
      <c r="M346" s="7">
        <f t="shared" si="9"/>
        <v>300</v>
      </c>
      <c r="N346" s="7">
        <f t="shared" si="10"/>
        <v>0</v>
      </c>
      <c r="O346" s="7">
        <f t="shared" si="11"/>
        <v>400</v>
      </c>
      <c r="P346" s="7">
        <f t="shared" si="12"/>
        <v>0</v>
      </c>
      <c r="Q346" s="7">
        <f t="shared" si="13"/>
        <v>500</v>
      </c>
      <c r="R346" s="7">
        <f t="shared" si="14"/>
        <v>0</v>
      </c>
      <c r="S346" s="7">
        <f t="shared" si="15"/>
        <v>600</v>
      </c>
      <c r="T346" s="7">
        <f t="shared" si="16"/>
        <v>0</v>
      </c>
      <c r="U346" s="7">
        <f t="shared" si="17"/>
        <v>700</v>
      </c>
      <c r="V346" s="7">
        <f t="shared" si="18"/>
        <v>0</v>
      </c>
      <c r="W346" s="7">
        <f t="shared" si="19"/>
        <v>800</v>
      </c>
      <c r="X346" s="7">
        <f t="shared" si="20"/>
        <v>0</v>
      </c>
      <c r="Y346" s="7">
        <f t="shared" si="21"/>
        <v>900</v>
      </c>
      <c r="Z346" s="7">
        <f t="shared" si="22"/>
        <v>0</v>
      </c>
    </row>
    <row r="347">
      <c r="A347" s="19"/>
      <c r="B347" s="19"/>
      <c r="C347" s="13">
        <v>51349.0</v>
      </c>
      <c r="D347" s="12">
        <f>'Income per month'!B347</f>
        <v>1000</v>
      </c>
      <c r="E347" s="7">
        <f t="shared" si="1"/>
        <v>50</v>
      </c>
      <c r="F347" s="7">
        <f t="shared" si="2"/>
        <v>0</v>
      </c>
      <c r="G347" s="7">
        <f t="shared" si="3"/>
        <v>100</v>
      </c>
      <c r="H347" s="7">
        <f t="shared" si="4"/>
        <v>0</v>
      </c>
      <c r="I347" s="7">
        <f t="shared" si="5"/>
        <v>150</v>
      </c>
      <c r="J347" s="7">
        <f t="shared" si="6"/>
        <v>0</v>
      </c>
      <c r="K347" s="7">
        <f t="shared" si="7"/>
        <v>200</v>
      </c>
      <c r="L347" s="7">
        <f t="shared" si="8"/>
        <v>0</v>
      </c>
      <c r="M347" s="7">
        <f t="shared" si="9"/>
        <v>300</v>
      </c>
      <c r="N347" s="7">
        <f t="shared" si="10"/>
        <v>0</v>
      </c>
      <c r="O347" s="7">
        <f t="shared" si="11"/>
        <v>400</v>
      </c>
      <c r="P347" s="7">
        <f t="shared" si="12"/>
        <v>0</v>
      </c>
      <c r="Q347" s="7">
        <f t="shared" si="13"/>
        <v>500</v>
      </c>
      <c r="R347" s="7">
        <f t="shared" si="14"/>
        <v>0</v>
      </c>
      <c r="S347" s="7">
        <f t="shared" si="15"/>
        <v>600</v>
      </c>
      <c r="T347" s="7">
        <f t="shared" si="16"/>
        <v>0</v>
      </c>
      <c r="U347" s="7">
        <f t="shared" si="17"/>
        <v>700</v>
      </c>
      <c r="V347" s="7">
        <f t="shared" si="18"/>
        <v>0</v>
      </c>
      <c r="W347" s="7">
        <f t="shared" si="19"/>
        <v>800</v>
      </c>
      <c r="X347" s="7">
        <f t="shared" si="20"/>
        <v>0</v>
      </c>
      <c r="Y347" s="7">
        <f t="shared" si="21"/>
        <v>900</v>
      </c>
      <c r="Z347" s="7">
        <f t="shared" si="22"/>
        <v>0</v>
      </c>
    </row>
    <row r="348">
      <c r="A348" s="19"/>
      <c r="B348" s="19"/>
      <c r="C348" s="13">
        <v>51380.0</v>
      </c>
      <c r="D348" s="12">
        <f>'Income per month'!B348</f>
        <v>1000</v>
      </c>
      <c r="E348" s="7">
        <f t="shared" si="1"/>
        <v>50</v>
      </c>
      <c r="F348" s="7">
        <f t="shared" si="2"/>
        <v>0</v>
      </c>
      <c r="G348" s="7">
        <f t="shared" si="3"/>
        <v>100</v>
      </c>
      <c r="H348" s="7">
        <f t="shared" si="4"/>
        <v>0</v>
      </c>
      <c r="I348" s="7">
        <f t="shared" si="5"/>
        <v>150</v>
      </c>
      <c r="J348" s="7">
        <f t="shared" si="6"/>
        <v>0</v>
      </c>
      <c r="K348" s="7">
        <f t="shared" si="7"/>
        <v>200</v>
      </c>
      <c r="L348" s="7">
        <f t="shared" si="8"/>
        <v>0</v>
      </c>
      <c r="M348" s="7">
        <f t="shared" si="9"/>
        <v>300</v>
      </c>
      <c r="N348" s="7">
        <f t="shared" si="10"/>
        <v>0</v>
      </c>
      <c r="O348" s="7">
        <f t="shared" si="11"/>
        <v>400</v>
      </c>
      <c r="P348" s="7">
        <f t="shared" si="12"/>
        <v>0</v>
      </c>
      <c r="Q348" s="7">
        <f t="shared" si="13"/>
        <v>500</v>
      </c>
      <c r="R348" s="7">
        <f t="shared" si="14"/>
        <v>0</v>
      </c>
      <c r="S348" s="7">
        <f t="shared" si="15"/>
        <v>600</v>
      </c>
      <c r="T348" s="7">
        <f t="shared" si="16"/>
        <v>0</v>
      </c>
      <c r="U348" s="7">
        <f t="shared" si="17"/>
        <v>700</v>
      </c>
      <c r="V348" s="7">
        <f t="shared" si="18"/>
        <v>0</v>
      </c>
      <c r="W348" s="7">
        <f t="shared" si="19"/>
        <v>800</v>
      </c>
      <c r="X348" s="7">
        <f t="shared" si="20"/>
        <v>0</v>
      </c>
      <c r="Y348" s="7">
        <f t="shared" si="21"/>
        <v>900</v>
      </c>
      <c r="Z348" s="7">
        <f t="shared" si="22"/>
        <v>0</v>
      </c>
    </row>
    <row r="349">
      <c r="A349" s="19"/>
      <c r="B349" s="19"/>
      <c r="C349" s="13">
        <v>51410.0</v>
      </c>
      <c r="D349" s="12">
        <f>'Income per month'!B349</f>
        <v>1000</v>
      </c>
      <c r="E349" s="7">
        <f t="shared" si="1"/>
        <v>50</v>
      </c>
      <c r="F349" s="7">
        <f t="shared" si="2"/>
        <v>0</v>
      </c>
      <c r="G349" s="7">
        <f t="shared" si="3"/>
        <v>100</v>
      </c>
      <c r="H349" s="7">
        <f t="shared" si="4"/>
        <v>0</v>
      </c>
      <c r="I349" s="7">
        <f t="shared" si="5"/>
        <v>150</v>
      </c>
      <c r="J349" s="7">
        <f t="shared" si="6"/>
        <v>0</v>
      </c>
      <c r="K349" s="7">
        <f t="shared" si="7"/>
        <v>200</v>
      </c>
      <c r="L349" s="7">
        <f t="shared" si="8"/>
        <v>0</v>
      </c>
      <c r="M349" s="7">
        <f t="shared" si="9"/>
        <v>300</v>
      </c>
      <c r="N349" s="7">
        <f t="shared" si="10"/>
        <v>0</v>
      </c>
      <c r="O349" s="7">
        <f t="shared" si="11"/>
        <v>400</v>
      </c>
      <c r="P349" s="7">
        <f t="shared" si="12"/>
        <v>0</v>
      </c>
      <c r="Q349" s="7">
        <f t="shared" si="13"/>
        <v>500</v>
      </c>
      <c r="R349" s="7">
        <f t="shared" si="14"/>
        <v>0</v>
      </c>
      <c r="S349" s="7">
        <f t="shared" si="15"/>
        <v>600</v>
      </c>
      <c r="T349" s="7">
        <f t="shared" si="16"/>
        <v>0</v>
      </c>
      <c r="U349" s="7">
        <f t="shared" si="17"/>
        <v>700</v>
      </c>
      <c r="V349" s="7">
        <f t="shared" si="18"/>
        <v>0</v>
      </c>
      <c r="W349" s="7">
        <f t="shared" si="19"/>
        <v>800</v>
      </c>
      <c r="X349" s="7">
        <f t="shared" si="20"/>
        <v>0</v>
      </c>
      <c r="Y349" s="7">
        <f t="shared" si="21"/>
        <v>900</v>
      </c>
      <c r="Z349" s="7">
        <f t="shared" si="22"/>
        <v>0</v>
      </c>
    </row>
    <row r="350">
      <c r="A350" s="19"/>
      <c r="B350" s="19"/>
      <c r="C350" s="13">
        <v>51441.0</v>
      </c>
      <c r="D350" s="12">
        <f>'Income per month'!B350</f>
        <v>1000</v>
      </c>
      <c r="E350" s="7">
        <f t="shared" si="1"/>
        <v>50</v>
      </c>
      <c r="F350" s="7">
        <f t="shared" si="2"/>
        <v>0</v>
      </c>
      <c r="G350" s="7">
        <f t="shared" si="3"/>
        <v>100</v>
      </c>
      <c r="H350" s="7">
        <f t="shared" si="4"/>
        <v>0</v>
      </c>
      <c r="I350" s="7">
        <f t="shared" si="5"/>
        <v>150</v>
      </c>
      <c r="J350" s="7">
        <f t="shared" si="6"/>
        <v>0</v>
      </c>
      <c r="K350" s="7">
        <f t="shared" si="7"/>
        <v>200</v>
      </c>
      <c r="L350" s="7">
        <f t="shared" si="8"/>
        <v>0</v>
      </c>
      <c r="M350" s="7">
        <f t="shared" si="9"/>
        <v>300</v>
      </c>
      <c r="N350" s="7">
        <f t="shared" si="10"/>
        <v>0</v>
      </c>
      <c r="O350" s="7">
        <f t="shared" si="11"/>
        <v>400</v>
      </c>
      <c r="P350" s="7">
        <f t="shared" si="12"/>
        <v>0</v>
      </c>
      <c r="Q350" s="7">
        <f t="shared" si="13"/>
        <v>500</v>
      </c>
      <c r="R350" s="7">
        <f t="shared" si="14"/>
        <v>0</v>
      </c>
      <c r="S350" s="7">
        <f t="shared" si="15"/>
        <v>600</v>
      </c>
      <c r="T350" s="7">
        <f t="shared" si="16"/>
        <v>0</v>
      </c>
      <c r="U350" s="7">
        <f t="shared" si="17"/>
        <v>700</v>
      </c>
      <c r="V350" s="7">
        <f t="shared" si="18"/>
        <v>0</v>
      </c>
      <c r="W350" s="7">
        <f t="shared" si="19"/>
        <v>800</v>
      </c>
      <c r="X350" s="7">
        <f t="shared" si="20"/>
        <v>0</v>
      </c>
      <c r="Y350" s="7">
        <f t="shared" si="21"/>
        <v>900</v>
      </c>
      <c r="Z350" s="7">
        <f t="shared" si="22"/>
        <v>0</v>
      </c>
    </row>
    <row r="351">
      <c r="A351" s="19"/>
      <c r="B351" s="19"/>
      <c r="C351" s="14">
        <v>51471.0</v>
      </c>
      <c r="D351" s="12">
        <f>'Income per month'!B351</f>
        <v>1000</v>
      </c>
      <c r="E351" s="7">
        <f t="shared" si="1"/>
        <v>50</v>
      </c>
      <c r="F351" s="7">
        <f t="shared" si="2"/>
        <v>0</v>
      </c>
      <c r="G351" s="7">
        <f t="shared" si="3"/>
        <v>100</v>
      </c>
      <c r="H351" s="7">
        <f t="shared" si="4"/>
        <v>0</v>
      </c>
      <c r="I351" s="7">
        <f t="shared" si="5"/>
        <v>150</v>
      </c>
      <c r="J351" s="7">
        <f t="shared" si="6"/>
        <v>0</v>
      </c>
      <c r="K351" s="7">
        <f t="shared" si="7"/>
        <v>200</v>
      </c>
      <c r="L351" s="7">
        <f t="shared" si="8"/>
        <v>0</v>
      </c>
      <c r="M351" s="7">
        <f t="shared" si="9"/>
        <v>300</v>
      </c>
      <c r="N351" s="7">
        <f t="shared" si="10"/>
        <v>0</v>
      </c>
      <c r="O351" s="7">
        <f t="shared" si="11"/>
        <v>400</v>
      </c>
      <c r="P351" s="7">
        <f t="shared" si="12"/>
        <v>0</v>
      </c>
      <c r="Q351" s="7">
        <f t="shared" si="13"/>
        <v>500</v>
      </c>
      <c r="R351" s="7">
        <f t="shared" si="14"/>
        <v>0</v>
      </c>
      <c r="S351" s="7">
        <f t="shared" si="15"/>
        <v>600</v>
      </c>
      <c r="T351" s="7">
        <f t="shared" si="16"/>
        <v>0</v>
      </c>
      <c r="U351" s="7">
        <f t="shared" si="17"/>
        <v>700</v>
      </c>
      <c r="V351" s="7">
        <f t="shared" si="18"/>
        <v>0</v>
      </c>
      <c r="W351" s="7">
        <f t="shared" si="19"/>
        <v>800</v>
      </c>
      <c r="X351" s="7">
        <f t="shared" si="20"/>
        <v>0</v>
      </c>
      <c r="Y351" s="7">
        <f t="shared" si="21"/>
        <v>900</v>
      </c>
      <c r="Z351" s="7">
        <f t="shared" si="22"/>
        <v>0</v>
      </c>
    </row>
    <row r="352">
      <c r="A352" s="31"/>
      <c r="B352" s="31"/>
      <c r="C352" s="32"/>
      <c r="D352" s="1"/>
      <c r="E352" s="33"/>
      <c r="F352" s="34">
        <f>SUMIF(F3:F351,"&lt;&gt;#DIV/0!")</f>
        <v>113.4979197</v>
      </c>
      <c r="G352" s="33"/>
      <c r="H352" s="34">
        <f>SUMIF(H3:H351,"&lt;&gt;#DIV/0!")</f>
        <v>226.9958395</v>
      </c>
      <c r="I352" s="33"/>
      <c r="J352" s="34">
        <f>SUMIF(J3:J351,"&lt;&gt;#DIV/0!")</f>
        <v>340.4937592</v>
      </c>
      <c r="K352" s="33"/>
      <c r="L352" s="34">
        <f>SUMIF(L3:L351,"&lt;&gt;#DIV/0!")</f>
        <v>453.9916789</v>
      </c>
      <c r="M352" s="33"/>
      <c r="N352" s="34">
        <f>SUMIF(N3:N351,"&lt;&gt;#DIV/0!")</f>
        <v>680.9875184</v>
      </c>
      <c r="O352" s="33"/>
      <c r="P352" s="34">
        <f>SUMIF(P3:P351,"&lt;&gt;#DIV/0!")</f>
        <v>907.9833578</v>
      </c>
      <c r="Q352" s="33"/>
      <c r="R352" s="34">
        <f>SUMIF(R3:R351,"&lt;&gt;#DIV/0!")</f>
        <v>1134.979197</v>
      </c>
      <c r="S352" s="33"/>
      <c r="T352" s="34">
        <f>SUMIF(T3:T351,"&lt;&gt;#DIV/0!")</f>
        <v>1361.975037</v>
      </c>
      <c r="U352" s="33"/>
      <c r="V352" s="34">
        <f>SUMIF(V3:V351,"&lt;&gt;#DIV/0!")</f>
        <v>1588.970876</v>
      </c>
      <c r="W352" s="33"/>
      <c r="X352" s="34">
        <f>SUMIF(X3:X351,"&lt;&gt;#DIV/0!")</f>
        <v>1815.966716</v>
      </c>
      <c r="Y352" s="33"/>
      <c r="Z352" s="34">
        <f>SUMIF(Z3:Z351,"&lt;&gt;#DIV/0!")</f>
        <v>2042.962555</v>
      </c>
      <c r="AA352" s="35"/>
    </row>
    <row r="353">
      <c r="A353" s="19"/>
      <c r="B353" s="19"/>
      <c r="C353" s="16"/>
      <c r="D353" s="1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</sheetData>
  <drawing r:id="rId1"/>
</worksheet>
</file>