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culs" sheetId="1" r:id="rId4"/>
    <sheet state="visible" name="Secteurs" sheetId="2" r:id="rId5"/>
    <sheet state="visible" name="Paramètres" sheetId="3" r:id="rId6"/>
    <sheet state="visible" name="Résultats" sheetId="4" r:id="rId7"/>
    <sheet state="hidden" name="Infobulles" sheetId="5" r:id="rId8"/>
  </sheets>
  <definedNames>
    <definedName name="FE_amont_construction_VE">Calculs!$D$380</definedName>
    <definedName name="Gain_eff_Informatique">'Paramètres'!$J$27</definedName>
    <definedName name="Gain_eff_Autres_biens">'Paramètres'!$J$31</definedName>
    <definedName name="Taux_Informatique">'Paramètres'!$J$26</definedName>
    <definedName name="B2_Empreinte_carbone_égalité">Calculs!$D$81</definedName>
    <definedName name="Part_Bati_rénové_2030">'Paramètres'!$J$3</definedName>
    <definedName name="BudgetCO2_strict15">Calculs!$D$24</definedName>
    <definedName name="S_moyenne_logement">Calculs!$D$254</definedName>
    <definedName name="BudgetCO2_faible_dep">Calculs!$D$23</definedName>
    <definedName name="Var_qté_marchandises_2020_2030">'Paramètres'!$J$17</definedName>
    <definedName name="Pop_monde_avec_effort">Calculs!$D$30</definedName>
    <definedName name="B3_Tot_émissions_indirectes_fr_2030">Calculs!$D$101</definedName>
    <definedName name="A2_Tot_empreinte_fr_2030">Calculs!$D$64</definedName>
    <definedName name="FE_Electricité_2020">Calculs!$D$289</definedName>
    <definedName name="FE_Electricité">'Paramètres'!$J$32</definedName>
    <definedName name="BudgetCO2_COP21">Calculs!$D$22</definedName>
    <definedName name="FE_chauffage_enr">Calculs!$D$285</definedName>
    <definedName name="Nb_log_gaz">Calculs!$D$265</definedName>
    <definedName name="Ratio_log_tertiaire">Calculs!$D$304</definedName>
    <definedName name="S_tot_logement_2020">Calculs!$D$251</definedName>
    <definedName name="Nb_log_ren">Calculs!$D$274</definedName>
    <definedName name="A2_Empreinte_carbone_égalité">Calculs!$D$52</definedName>
    <definedName name="FE_amont_elec_VE_2020">Calculs!$D$381</definedName>
    <definedName name="Conso_hors_élec_spé_m2_ancien">Calculs!$D$259</definedName>
    <definedName name="Année_référence">Calculs!$D$8</definedName>
    <definedName name="km_moyen_VP">Calculs!$D$370</definedName>
    <definedName name="A3_Tot_émissions_nationales_fr_2030">Calculs!$D$71</definedName>
    <definedName name="FE_Gaz_2020">Calculs!$D$290</definedName>
    <definedName name="FE_amont_elec_VE">Calculs!$D$382</definedName>
    <definedName name="FE_chauffage_fioul">Calculs!$D$280</definedName>
    <definedName name="FE_chauffage_cu">Calculs!$D$283</definedName>
    <definedName name="Taux_remplacement_Marchandises">'Paramètres'!$J$16</definedName>
    <definedName name="FE_Gaz">'Paramètres'!$J$33</definedName>
    <definedName name="Gain_eff_carbone_aérien">'Paramètres'!$J$15</definedName>
    <definedName name="FE_chauffage_carburants">Calculs!$D$282</definedName>
    <definedName name="P_effort_rupture">'Paramètres'!$J$34</definedName>
    <definedName name="A1_Tot_émissions_nationales_fr_2030">Calculs!$D$59</definedName>
    <definedName name="B3_Empreinte_carbone_réhausse_proportionnelle">Calculs!$D$82</definedName>
    <definedName name="Part_exploitations_agricoles_exemplaires">'Paramètres'!$J$21</definedName>
    <definedName name="Part_chauffage_électrique_remplacé_2030">'Paramètres'!$J$9</definedName>
    <definedName name="T_moyenne_chauffage_2020">Calculs!$D$257</definedName>
    <definedName name="Part_chauffage_gaz_remplacé_2030">'Paramètres'!$J$4</definedName>
    <definedName name="S_chauffée_par_p_2020">Calculs!$D$250</definedName>
    <definedName name="Voyageurs_km_2020_VP">Calculs!$D$367</definedName>
    <definedName name="FE_carburant_amont_2">Calculs!$D$387</definedName>
    <definedName name="Taux_Services_publics">'Paramètres'!$J$24</definedName>
    <definedName name="Surfaces_afforestées">'Paramètres'!$J$23</definedName>
    <definedName name="Conso_élec_spécifique_m2_ancien">Calculs!$D$255</definedName>
    <definedName name="FE_carburant">Calculs!$D$385</definedName>
    <definedName name="Nb_voyageurs_2020">Calculs!$D$372</definedName>
    <definedName name="Engagements_fr_2018">Calculs!$D$42</definedName>
    <definedName name="B1_Empreinte_carbone_inégalités">Calculs!$D$80</definedName>
    <definedName name="FE_carburant_combustion">Calculs!$D$389</definedName>
    <definedName name="Gain_eff_carbone_exploitations">'Paramètres'!$J$22</definedName>
    <definedName name="P_partage_effort">'Paramètres'!$J$37</definedName>
    <definedName name="Nb_log_EnR">Calculs!$D$269</definedName>
    <definedName name="FE_Vtherm_construction">Calculs!$D$388</definedName>
    <definedName name="Nb_res_2020">Calculs!$D$253</definedName>
    <definedName name="A2_Tot_émissions_indirectes_fr_2030">Calculs!$D$66</definedName>
    <definedName name="A1_Tot_émissions_indirectes_fr_2030">Calculs!$D$60</definedName>
    <definedName name="Conso_VE">#REF!</definedName>
    <definedName name="Nb_log_gaz_remplacés">Calculs!$D$298</definedName>
    <definedName name="Gain_ecoconduite">'Paramètres'!$J$18</definedName>
    <definedName name="Nb_log_anciens">Calculs!$D$275</definedName>
    <definedName name="Nb_années">Calculs!$D$7</definedName>
    <definedName name="Var_distance_VU_2020_2030">'Paramètres'!$J$19</definedName>
    <definedName name="Nb_log_bois">Calculs!$D$268</definedName>
    <definedName name="B1_Tot_émissions_nationales_fr_2030">Calculs!$D$88</definedName>
    <definedName name="Conso_moyenne_2030">Calculs!$D$369</definedName>
    <definedName name="Nb_res_principales_2020">Calculs!$D$252</definedName>
    <definedName name="Taux_Textiles">'Paramètres'!$J$28</definedName>
    <definedName name="Passager_covoit_2030">'Paramètres'!$J$11</definedName>
    <definedName name="BudgetCO2_2020">Calculs!$D$21</definedName>
    <definedName name="B2_Tot_émissions_indirectes_fr_2030">Calculs!$D$95</definedName>
    <definedName name="B_Pop_fr_2030">Calculs!$D$79</definedName>
    <definedName name="A3_Tot_empreinte_fr_2030">Calculs!$D$70</definedName>
    <definedName name="EmissionsCO2_fr_2018">Calculs!$D$41</definedName>
    <definedName name="FE_gaz_amont">Calculs!$D$279</definedName>
    <definedName name="Nb_log_fioul_remplacés">Calculs!$D$297</definedName>
    <definedName name="Var_conso_viande_2020_2030">'Paramètres'!$J$20</definedName>
    <definedName name="Conso_élec_spécifique_m2_neuf">Calculs!$D$256</definedName>
    <definedName name="Pop_fr_2018">Calculs!$D$9</definedName>
    <definedName name="Pop_monde_2018">Calculs!$D$10</definedName>
    <definedName name="B3_Tot_empreinte_fr_2030">Calculs!$D$99</definedName>
    <definedName name="Nb_log_BBC">Calculs!$D$273</definedName>
    <definedName name="Consommation_electricité_spécifique">'Paramètres'!$J$8</definedName>
    <definedName name="FE_rénovation">Calculs!$D$288</definedName>
    <definedName name="A1_Tot_empreinte_fr_2030">Calculs!$D$58</definedName>
    <definedName name="Passager_covoit_2020">Calculs!$D$373</definedName>
    <definedName name="P_trajectoire">#REF!</definedName>
    <definedName name="P_population">'Paramètres'!$J$36</definedName>
    <definedName name="Eff_VE">#REF!</definedName>
    <definedName name="A_Pop_fr_2030">Calculs!$D$50</definedName>
    <definedName name="Nb_log_total_remplacés">Calculs!$D$300</definedName>
    <definedName name="B2_Tot_empreinte_fr_2030">Calculs!$D$93</definedName>
    <definedName name="A2_Tot_émissions_nationales_fr_2030">Calculs!$D$65</definedName>
    <definedName name="B3_Tot_émissions_nationales_fr_2030">Calculs!$D$100</definedName>
    <definedName name="Ratio_S_bati">Calculs!$D$260</definedName>
    <definedName name="A1_Empreinte_carbone_inégalités">Calculs!$D$51</definedName>
    <definedName name="NB_vols_2030">'Paramètres'!$J$14</definedName>
    <definedName name="Nb_véhicules_VU">Calculs!$D$468</definedName>
    <definedName name="Emissions_GES_par_personne_2018">Calculs!$D$12</definedName>
    <definedName name="B1_Tot_empreinte_fr_2030">Calculs!$D$87</definedName>
    <definedName name="FE_carburant_Amont">Calculs!$D$390</definedName>
    <definedName name="Conso_hors_élec_spé_m2_BBC">Calculs!$D$258</definedName>
    <definedName name="B1_Tot_émissions_indirectes_fr_2030">Calculs!$D$89</definedName>
    <definedName name="Emissions_GES_2018">Calculs!$D$11</definedName>
    <definedName name="Taux_remplacement_VT">'Paramètres'!$J$12</definedName>
    <definedName name="Nb_log_fioul">Calculs!$D$264</definedName>
    <definedName name="Conso_moyenne_2020">Calculs!$D$369</definedName>
    <definedName name="Surface_chauffée_par_personne">'Paramètres'!$J$6</definedName>
    <definedName name="Nb_véhicules_2020">Calculs!$D$371</definedName>
    <definedName name="Taux_Autres_biens">'Paramètres'!$J$30</definedName>
    <definedName name="A3_Tot_émissions_indirectes_fr_2030">Calculs!$D$72</definedName>
    <definedName name="TCAM_2020_2030">Calculs!$D$192</definedName>
    <definedName name="B2_Tot_émissions_nationales_fr_2030">Calculs!$D$94</definedName>
    <definedName name="Nb_vols_2020">Calculs!$D$521</definedName>
    <definedName name="Hyp_chauffage_degré">Calculs!$D$261</definedName>
    <definedName name="Nb_log_élec">Calculs!$D$266</definedName>
    <definedName name="P_rupture_effort_pct">Calculs!$D$143</definedName>
    <definedName name="FE_carburant_direct">Calculs!$D$386</definedName>
    <definedName name="Pop_monde_sans_effort">Calculs!$D$29</definedName>
    <definedName name="Part_chauffage_fioul_remplacé_2030">'Paramètres'!$J$5</definedName>
    <definedName name="FE_chauffage_fioulgaz">Calculs!$D$286</definedName>
    <definedName name="Empreinte_carbone_fr_2018">Calculs!$D$40</definedName>
    <definedName name="Vehicules_km_2020_VP">Calculs!$D$368</definedName>
    <definedName name="Part_ecoconduite_2030">'Paramètres'!$J$13</definedName>
    <definedName name="Nb_log_élec_remplacés">Calculs!$D$299</definedName>
    <definedName name="Gain_eff_Services">'Paramètres'!$J$25</definedName>
    <definedName name="Var_distance_2020_2030">'Paramètres'!$J$10</definedName>
    <definedName name="Conso_carburant_VU">Calculs!$D$471</definedName>
    <definedName name="P_année_rupture">'Paramètres'!$J$35</definedName>
    <definedName name="Nb_log_CU">Calculs!$D$267</definedName>
    <definedName name="T_moyenne_logement">'Paramètres'!$J$7</definedName>
    <definedName name="Emissions_GES_tertiaire">Calculs!$D$303</definedName>
    <definedName name="FE_chauffage_bois">Calculs!$D$284</definedName>
    <definedName name="FE_construction">Calculs!$D$287</definedName>
    <definedName name="A3_Empreinte_carbone_réhausse_proportionnelle">Calculs!$D$53</definedName>
    <definedName name="Gain_eff_Textiles">'Paramètres'!$J$29</definedName>
    <definedName name="Emissions_GES_Aérien_Fr_2020">Calculs!$D$520</definedName>
  </definedNames>
  <calcPr/>
</workbook>
</file>

<file path=xl/sharedStrings.xml><?xml version="1.0" encoding="utf-8"?>
<sst xmlns="http://schemas.openxmlformats.org/spreadsheetml/2006/main" count="2181" uniqueCount="1194">
  <si>
    <t>id</t>
  </si>
  <si>
    <t>scope</t>
  </si>
  <si>
    <t>category</t>
  </si>
  <si>
    <t>description</t>
  </si>
  <si>
    <t>emissions-v15</t>
  </si>
  <si>
    <t>emissions-vScenario</t>
  </si>
  <si>
    <t>emissions-vbau</t>
  </si>
  <si>
    <t>couleur</t>
  </si>
  <si>
    <t>couleur-hover</t>
  </si>
  <si>
    <t>nom secteur</t>
  </si>
  <si>
    <t>description du secteur, des enjeux, etc.</t>
  </si>
  <si>
    <t>couleur de fond du titre / paramètres</t>
  </si>
  <si>
    <t>couleur-hover / nav</t>
  </si>
  <si>
    <t>France</t>
  </si>
  <si>
    <t>Bâtiments</t>
  </si>
  <si>
    <t>#E7F5FE</t>
  </si>
  <si>
    <t>#87CEFA</t>
  </si>
  <si>
    <t>Transports</t>
  </si>
  <si>
    <t>#FFEAEA</t>
  </si>
  <si>
    <t>#FFB8B8</t>
  </si>
  <si>
    <t>Agriculture et alimentation</t>
  </si>
  <si>
    <t>#E8FFF3</t>
  </si>
  <si>
    <t>#7FFFD4</t>
  </si>
  <si>
    <t>Biens et services</t>
  </si>
  <si>
    <t>#F8E9FF</t>
  </si>
  <si>
    <t>#DA8FFF</t>
  </si>
  <si>
    <t>Énergie</t>
  </si>
  <si>
    <t>#EFF9FA</t>
  </si>
  <si>
    <t>#B0E0E6</t>
  </si>
  <si>
    <t>Trajectoire</t>
  </si>
  <si>
    <t>#E4E4E4</t>
  </si>
  <si>
    <t>Monde</t>
  </si>
  <si>
    <t>Paramètres</t>
  </si>
  <si>
    <t>title</t>
  </si>
  <si>
    <t>index</t>
  </si>
  <si>
    <t>Nom-variable</t>
  </si>
  <si>
    <t>Emissions CO2 par secteur</t>
  </si>
  <si>
    <t>secteur</t>
  </si>
  <si>
    <t>Secteur</t>
  </si>
  <si>
    <t>name</t>
  </si>
  <si>
    <t>unit</t>
  </si>
  <si>
    <t>type-parametre</t>
  </si>
  <si>
    <t>Sous-secteur</t>
  </si>
  <si>
    <t>Colors SS</t>
  </si>
  <si>
    <t>expert</t>
  </si>
  <si>
    <t>value</t>
  </si>
  <si>
    <t>possibleValues</t>
  </si>
  <si>
    <t>min</t>
  </si>
  <si>
    <t>max</t>
  </si>
  <si>
    <t>v1-5</t>
  </si>
  <si>
    <t>vBaU</t>
  </si>
  <si>
    <t>info-calcul</t>
  </si>
  <si>
    <t>TOTAL</t>
  </si>
  <si>
    <t>Colors S</t>
  </si>
  <si>
    <t>xTitle</t>
  </si>
  <si>
    <t>Année</t>
  </si>
  <si>
    <t>tendance</t>
  </si>
  <si>
    <t>contraintes</t>
  </si>
  <si>
    <t>#4169E1</t>
  </si>
  <si>
    <t>co-benefices</t>
  </si>
  <si>
    <t>sources</t>
  </si>
  <si>
    <t>nom concis du paramètre</t>
  </si>
  <si>
    <t>description en une ligne du paramètre</t>
  </si>
  <si>
    <t>définit comment le paramètre sera configuré par l'utilisateur</t>
  </si>
  <si>
    <t>définit si le paramètre n'est accessible qu'en mode expert</t>
  </si>
  <si>
    <t>valeur initiale (format nombre pour tous les nombres, y compris les pourcents)</t>
  </si>
  <si>
    <t>valeurs possibles du paramètre (format : v1, v2, v3)</t>
  </si>
  <si>
    <t>valeur minimale configurable</t>
  </si>
  <si>
    <t>valeur maximale configurable</t>
  </si>
  <si>
    <t>valeur pour un scnéario 1.5 type</t>
  </si>
  <si>
    <t>valeur "Business as usual"</t>
  </si>
  <si>
    <t>explication du mode de calcul</t>
  </si>
  <si>
    <t>description des tendances actuelles, projetées (ex: nb voyages en avion actuels, prévus en 2030)</t>
  </si>
  <si>
    <t>ex: nécessite la formation de x artisans</t>
  </si>
  <si>
    <t>liste des co-bénéfices économiques, sociaux, environementaux, associés à la mesure</t>
  </si>
  <si>
    <t>yTitle</t>
  </si>
  <si>
    <t>MtCO2</t>
  </si>
  <si>
    <t>liste des impacts négatifs (économiques, sociaux, environementaux) associés à la mesure</t>
  </si>
  <si>
    <t>détail des sources utilisées (avec liens web qd possible)</t>
  </si>
  <si>
    <t>#6495ED</t>
  </si>
  <si>
    <t>Part_Bati_rénové_2030</t>
  </si>
  <si>
    <t>Rénovation thermique</t>
  </si>
  <si>
    <t>%</t>
  </si>
  <si>
    <t>Part de bâtiments rénovés en 2030 (%)</t>
  </si>
  <si>
    <t>slider</t>
  </si>
  <si>
    <t>0</t>
  </si>
  <si>
    <t>En 2020 : environ 30 millions de logements sont à rénover. 
On considère que la rénovation d'un bâtiment émet l'équivalent de 100 kgCO2e par m2. Le gain de cette rénovation est de 90 kWh/m2 soit un gain de 23 kgCO2e économisé/an. La rénovation est donc rentabilisé en 5 ans d'un point de vue carbone.</t>
  </si>
  <si>
    <t xml:space="preserve">Actuellement seulement 20 000 logements par an sont rénovés pour atteindre des performances énergétiques exemplaires (label BBC rénovation) et requises pour faire réellement baisser les émissions du secteur. </t>
  </si>
  <si>
    <t xml:space="preserve">Il est difficile de mobiliser les propriétaires (individuels ou bailleurs privés) pour organiser la rénovation des logements. La demande de financement est énorme. La filière manque de main d'œuvre qualifiée pour réaliser des rénovations vraiment performantes. </t>
  </si>
  <si>
    <t xml:space="preserve">Le développement de la filière peut entrainer une création importante d'emplois. La rénovation thermique permet de considérablement augmenter le confort de l'habitat et de réduire la précarité énergétique (en  moyenne, un ménage dépense 1500 euros par an pour la consommation énergétique du logement). </t>
  </si>
  <si>
    <t>Part_chauffage_gaz_remplacé_2030</t>
  </si>
  <si>
    <t>Chauffages gaz</t>
  </si>
  <si>
    <t>Part de chauffages au gaz remplacés en 2030 (%)</t>
  </si>
  <si>
    <t>En 2020 : environ 11,5 millions de logements sont chauffés au gaz (FE = 0,243 tCO2/MWh). 
On considère ici que chaque chauffage au gaz est remplacé par un chauffage à base d'énergie renouvelable (FE = 0,025 tCO2/MWh).</t>
  </si>
  <si>
    <t xml:space="preserve">La tendance est à la baisse de la consommation de gaz fossile dans le résidentiel entre 2015 et 2018 (-1,7% par an). Environ 1 million de chaudières (fioul et gaz confondues) sont remplacées chaque année (soit 6% du parc existant) mais bien souvent, une autre chaudière gaz (certe plus performante) est installée à la place d'une chaudière fioul ou gaz. </t>
  </si>
  <si>
    <t xml:space="preserve">Il est difficile de mobiliser les propriétaires (individuels ou bailleurs privés) pour remplacer leur chaudière. La demande de financement est énorme. Les alternatives en énergies renouvelables sont souvent plus chères et parfois peu adaptées au logement ou à son climat d'implentation. </t>
  </si>
  <si>
    <t>Le remplacement et l'entretien des chaudières est une filière riche en emplois. Par exemple, la filière du bois énergie compte près de 40 000 emplois directs en France. L'usage d'énergies renouvelables pour le chauffage des logements est aussi un moyen de faire baisser la facture énergétique de la France qui importe toute l'énergie fossile qu'elle consomme.</t>
  </si>
  <si>
    <t>Part_chauffage_fioul_remplacé_2030</t>
  </si>
  <si>
    <t>#E6E6FA</t>
  </si>
  <si>
    <t>Chauffages fioul</t>
  </si>
  <si>
    <t>Part de chauffages au fioul en remplacés 2030 (%)</t>
  </si>
  <si>
    <t>En 2020 : environ 5 millions de logements sont chauffés au fioul (FE = 0,324 tCO2/MWh). Le fioul est l'énergie fossile la plus polluante.  
On considère ici que chaque chauffage au fioul est remplacé par un chauffage à base d'énergie renouvelable (FE = 0,025 tCO2/MWh).</t>
  </si>
  <si>
    <t xml:space="preserve">La tendance est à la baisse de la consommation de fioul dans le résidentiel (-4% par an). Environ 1 million de chaudières (fioul et gaz confondues) sont remplacées chaque année (soit 6% du parc existant) mais bien souvent, une autre chaudière gaz (certe plus performante) est installée à la place d'une chaudière fioul ou gaz. </t>
  </si>
  <si>
    <t>Surface_chauffée_par_personne</t>
  </si>
  <si>
    <t>Surface chauffée</t>
  </si>
  <si>
    <t>m²</t>
  </si>
  <si>
    <t>Surface chauffée par personne (m2)</t>
  </si>
  <si>
    <t>40</t>
  </si>
  <si>
    <t xml:space="preserve">En 2020 : la surface moyenne chauffée par personne équivaut à 40 m2. 
La modification de la surface chauffée par personne entraîne la modification de la consommation énergétique moyenne du logement. Elle influe également sur la surface à construire et donc sur l'urbanisation et l'artificialisation des sols. </t>
  </si>
  <si>
    <t xml:space="preserve">La tendance est à l'augmentation de la surface chauffée par personne du fait de la décohabitation entre les générations (nous ne vivons plus avec nos parents comme jadis) et de la multiplication des familles monoparentales. Entre 1985 et 2006, la surface des logements a augmenté en France de 9 m². Cette hausse est d'autant plus importante en zone rurale ou péri-urbaine. </t>
  </si>
  <si>
    <t xml:space="preserve">Le phénomène de décohabitation semble difficile à enrayer. Il ne s'agit pas de revenir sur certains progrès sociaux notamment vis-à-vis des femmes. 
Par ailleurs, disposer d'une grande maison est devenu un symbole social fort. </t>
  </si>
  <si>
    <t xml:space="preserve">On peut facilement faire baisser cette surface chauffée par personne en évitant de chauffer des pièces inutilisées comme des espaces de stockage, des couloirs ou des chambres vides en journées. Par ailleurs, des formes d'habitat collectifs avec des espaces mutualisés permettent également de faire baisser cette surface chauffée par personne et de favoriser le lien social. </t>
  </si>
  <si>
    <t>#9370DB</t>
  </si>
  <si>
    <t>T_moyenne_logement</t>
  </si>
  <si>
    <t>Température chauffage</t>
  </si>
  <si>
    <t>°C</t>
  </si>
  <si>
    <t>Température moyenne des logements en 2030 (°C)</t>
  </si>
  <si>
    <t>21</t>
  </si>
  <si>
    <t xml:space="preserve">En 2020, on considère que la température moyenne des logements est égale à 21°C. </t>
  </si>
  <si>
    <t xml:space="preserve">Peu d'informations permettent de trancher sur l'évolution de ce paramètre au cours du temps. Les témoignages de nos anciens nous invitent à supposer que lorsque l'énergie était moins abondante ou plus chère qu'aujourd'hui, on faisait un peu plus attention à ne pas se chauffer inutilement. </t>
  </si>
  <si>
    <t xml:space="preserve">La baisse de la facture énergétique (par exemple suite à une rénovation) entraine souvent un effet rebond : pour le même prix, on augmente la température de chauffage pour augmenter son confort plutôt que pour faire des économies. 
Par ailleurs, le confort thermique est très variable en fonction des personnes et de leurs habitudes. </t>
  </si>
  <si>
    <t xml:space="preserve">Certaines études médicales concluent que vivre dans un logement trop chaud (supérieur à 19°C de moyenne) notamment la nuit serait mauvais pour la santé. </t>
  </si>
  <si>
    <t>Consommation_electricité_spécifique</t>
  </si>
  <si>
    <t>Consommation d'électricité</t>
  </si>
  <si>
    <t>Consommation d'électricité spécifique par personne en 2030</t>
  </si>
  <si>
    <t>1</t>
  </si>
  <si>
    <t xml:space="preserve">L'électricité spécifique correspond aux usages de l'électricité en dehors du chauffage, de l'eau chaude sanitaire ou de la climatisation soit l'ensemble des appareils électriques que nous utilisons au quotidien. </t>
  </si>
  <si>
    <t xml:space="preserve">Les consommations d’électricité spécifique
des logements augmentent légèrement chaque année (+0,3% par an) notamment, la hausse du nombre d'appareils électriques compense les gains d'efficacité énergétique de chaque nouvel appareil. </t>
  </si>
  <si>
    <t xml:space="preserve">La tendance actuelle à la hausse du nombre d'appareils électriques ou électroniques dans nos foyers ne favorise pas une baisse de la consommation d'électricité spécifique. </t>
  </si>
  <si>
    <t xml:space="preserve">Une baisse de la consommation d'éléctricité en France, notamment aux heures de pointe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</si>
  <si>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Part_chauffage_électrique_remplacé_2030</t>
  </si>
  <si>
    <t>#663399</t>
  </si>
  <si>
    <t>Chauffage électrique</t>
  </si>
  <si>
    <t>Part des chauffages électriques remplacés d'ici 2030 (%)</t>
  </si>
  <si>
    <t xml:space="preserve">En 2020, la France compte 5 millions de chauffages électriques. Grâce à l'énergie nucléaire et hydraulique, la consommation d'électricité engendre peu d'émission de CO2 comparé à d'autres pays. </t>
  </si>
  <si>
    <t xml:space="preserve">Le parc français de chauffages électriques représente la moitié du parc européen. Cela s'explique par une politique forte à partir des années 1970 accompagnant le développement de l'énergie nucléaire. </t>
  </si>
  <si>
    <t xml:space="preserve">Le remplacement d'un système de chauffage électrique peut engendrer des travaux importants puisque contrairement à une chaudière thermique, il n'y a pas de réseau de distribution et d'échanges de chaleur. </t>
  </si>
  <si>
    <t xml:space="preserve">Une baisse de la consommation d'éléctricité en France, notamment aux heures de pointes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</si>
  <si>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Var_distance_2020_2030</t>
  </si>
  <si>
    <t>Distance parcourue en voiture</t>
  </si>
  <si>
    <t>Distance parcourue en voiture en 2030 par rapport à 2020 (%)</t>
  </si>
  <si>
    <t>#9400D3</t>
  </si>
  <si>
    <t xml:space="preserve">En 2020 : 82 MtCO2 pour le carburant et 20 MtCO2 pour construction de véhicules. Emissions calculées sur la base de 760 milliards de km parcourus chaque année. </t>
  </si>
  <si>
    <t xml:space="preserve">En moyenne, un français parcourt 30 km par jour en voiture. Plus de 70% des déplacements sont effectués en voiture (INSEE). 
L'usage de l'automobile a progressé jusqu'aux années 1990. Depuis, il baisse légèrement en France (près de -1% par an entre 2008 et 2016). </t>
  </si>
  <si>
    <t xml:space="preserve">Le secteur automobile est un des grands pourvoyeurs d'emplois en France (200 000 emplois directs et 2 millions d'emplois induits). La baisse de l'usage de l'automobile implique une refonte des services locaux afin de diminuer les besoins de dépacements et une amélioration des services de transports à faible émissions (train, vélo, transports en commun). </t>
  </si>
  <si>
    <t xml:space="preserve">La baisse de la distance parcourue en voiture permettrait d'améliorer la qualité de l'air, de développer le commerce local, de faire baisser l'accidentologie routière ou de développer de nouvelles filières industrielles axées sur la mobilité (transports en commun, vélo…). Pour les ménages, la baisse de l'usage de la voiture au quotidien est un poste d'économies substancielles et un gage d'une meilleure santée induite par une activitié physique plus régulière. </t>
  </si>
  <si>
    <t>Passager_covoit_2030</t>
  </si>
  <si>
    <t>Nombre de passagers par véhicule</t>
  </si>
  <si>
    <t>Nombre moyen de passagers par véhicule en 2030</t>
  </si>
  <si>
    <t>1,2</t>
  </si>
  <si>
    <t xml:space="preserve">En 2020, on estime le taux d'occupation des véhicules autour de 1,2 personnes par voiture. </t>
  </si>
  <si>
    <t xml:space="preserve">Au débuts de l'histoire de l'automobile en France, les taux de remplissages était très élevés et s'organisaient de manière informelle. Depuis quelques années, le covoiturage longue distance s'est bien développé. Le covoiturage régulier pour les déplacements domicile travail est beaucoup moins développé. </t>
  </si>
  <si>
    <t xml:space="preserve">La voiture individuelle est un symbole culturel très important. 
Par ailleurs, par effet rebond, certaines études montre que le co-voiturage, générant des économies pour les passagers et le conducteur, par rapport à un trajet individuel, a tendance à augmenter le nombre de déplacements et la distance parcourue (effet rebond). </t>
  </si>
  <si>
    <t xml:space="preserve">Un meilleur remplissage des véhicule pourrait diminuer la congestion routière, entrainant une baisse des émissions de polluants atmosphériques et une amélioration de la qualité de l'air. En mutualisant les frais de carburant et d'entretien du véhicule, le co-voiturage permet également de générer des économies pour les ménages.  </t>
  </si>
  <si>
    <t>Taux_remplacement_VT</t>
  </si>
  <si>
    <t>Remplacement des véhicules particuliers</t>
  </si>
  <si>
    <t>Part de voitures remplacées par des Véhicules à Très Faibles Emissions en 2030 (%)</t>
  </si>
  <si>
    <t>#00CED1</t>
  </si>
  <si>
    <t xml:space="preserve">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</si>
  <si>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Actuellement, ce parc se renouvèle de 3% chaque année soit un renouvèlement global de 30% du parc d'ici à 2030. En 2019, seulement 2% des nouveaux véhicules vendus étaient électriques mais la part de marché des véhicules électriques est en forte hausse (+8% sur 2019). </t>
  </si>
  <si>
    <t xml:space="preserve">La construction d'un véhicule électrique entraine l'émission de 7 à 10 tonnes de CO2 en fonction de la taille du véhicule. Nous disposons d'une capacité industrielle à renouveler le parc relativement limitée dans son état actuel. 
Un véhicule électrique nécessitant moins d'entretien, ce facteur pourrait entrainer la destruction de nombreux emplois dans le secteur. </t>
  </si>
  <si>
    <t xml:space="preserve">L'utilisation d'un véhicule électrique permet de limiter la production de polluants atmosphériques participant ainsi à l'amélioration de la qualité de l'air. A condition que la production de l'électricité utilisée n'entraine pas une exportation des émissions ailleurs. </t>
  </si>
  <si>
    <t>Part_ecoconduite_2030</t>
  </si>
  <si>
    <t>Eco-conduite</t>
  </si>
  <si>
    <t>Part de conducteurs pratiquant l'éco-conduite en 2030 (%)</t>
  </si>
  <si>
    <t xml:space="preserve">L'éco-conduite permet de faire baisser la consommation de carburant sur un même trajet en optimisant les performances du véhicule et la gestion de l'accélération / du frein. </t>
  </si>
  <si>
    <t xml:space="preserve">Aucune information disponible. </t>
  </si>
  <si>
    <t xml:space="preserve">Pour les ménages, la baisse de la consommation de carburant induit par l'éco-conduite est un poste d'économies substancielles. </t>
  </si>
  <si>
    <t>NB_vols_2030</t>
  </si>
  <si>
    <t>Transport aérien</t>
  </si>
  <si>
    <t>#40E0D0</t>
  </si>
  <si>
    <t>Nombre de vols par an en 2030 (en millions)</t>
  </si>
  <si>
    <t xml:space="preserve">En 2020 : 31,7 MtCO2 pour 77M de passagers. 
Prise en compte de l'ensembe des émissions liées à la fabrication et consommation de carburant ainsi que les trainées de condensations pour les vols internationaux effectués par les français à destination ou en provenance de la France. 
</t>
  </si>
  <si>
    <t>Aujourd'hui, hors vols intérieurs, la France représente 140 millions de vols par an. Dans le monde, le trafic aérien croit de 6% par an. L’Organisation de l’Aviation Civile Internationale prévoit un doublement du trafic d'ici 2030. Il existe de nombreux projets d'agrandissements d'aéroports.</t>
  </si>
  <si>
    <t>Aujourd'hui, le secteur aérien représente 320 000 emplois directs.</t>
  </si>
  <si>
    <t xml:space="preserve">La baisse du transport aérien vers l'international peut permettre de valoriser le patrimoine naturel et culturel et les territoires français contribuant au développement d'un tourisme plus local et à la création d'emplois en France. </t>
  </si>
  <si>
    <t>Gains annuels d'efficacité carbone dans le transport aérien (%)</t>
  </si>
  <si>
    <t>0,01</t>
  </si>
  <si>
    <t xml:space="preserve">Ce paramètre permet, à volume constant d'appliquer une baisse de l'intensité carbone du secteur du transport aérien. </t>
  </si>
  <si>
    <t xml:space="preserve">Sur les dernières années, l'efficacité énergétique des avions progresse en moyenne de 1,5 à 2% par an. </t>
  </si>
  <si>
    <t>Les avionneurs ont déjà entrepris des efforts importants pour faire baisser la consommation de carburant des appareils. Leur capacité à maintenir cet effort dans la durée n'est pas démontrée. 
Par ailleurs, on estime que 50% de l'impact du transport aérien est dû à des facteurs non énergétiques (trainées de condensation par exemple) qui ne sont pas couverts par ces gains énergétiques.</t>
  </si>
  <si>
    <t xml:space="preserve">La baisse de la consommation de carburant est un intérêt économique prépondérant pour l'ensemble des compagnies aériennes. </t>
  </si>
  <si>
    <t>Taux_remplacement_Marchandises</t>
  </si>
  <si>
    <t>Remplacement des véhicules de transports de marchandises</t>
  </si>
  <si>
    <t>Part de véhicules de transports de marchandises et véhicules utilitaires remplacés par des Véhicules à Très Faibles Emissions en 2030 (%)</t>
  </si>
  <si>
    <t xml:space="preserve">En 2020 : 33 MtCO2 pour le transport de marchandises et 30 MtCO2 pour les véhicules utilitaires. 
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</si>
  <si>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Pour l'instant, le nombre de poids-lourds ou de véhicules utilitaires électriques ou fonctionnant au biogaz est marginal. </t>
  </si>
  <si>
    <t xml:space="preserve">La filière industrielle de transport de marchandises électriques en est encore à ses balbutiments. Des incertitudes demeurent sur la fiabilité et le coût de ce genre de véhicules. Peu d'information sont disponibles sur le coût carbone de leur construction. 
La filière industrielle de transport de marchandise au biogaz est plus mature mais pose la question de la production et la distribution de ce biogaz. </t>
  </si>
  <si>
    <t>Séquestration carbone</t>
  </si>
  <si>
    <t>Var_qté_marchandises_2020_2030</t>
  </si>
  <si>
    <t>Marchandises transportées</t>
  </si>
  <si>
    <t>Quantité de marchandises.km transportées en 2030 par rapport à 2020 (%)</t>
  </si>
  <si>
    <t xml:space="preserve">En 2020 : 300 milliards de tonnes.km transportées (FE = 0,11 kgCO2e / t.km).  
On considère que les marchandises transportées en moins sont transférées au fret ferroviaire et fluvial ou ne sont pas remplacées. </t>
  </si>
  <si>
    <t xml:space="preserve">Entre 2011 et 2016, la quantité de marchandises transportées a baissé de 5%. En comparaison, le fret féroviaire sont respectivement 10 et 40 fois moins développés que le fret routier. </t>
  </si>
  <si>
    <t>Implique une refonte des systèmes de distribution et de production locaux permettant des circuits courts et une ligne plus directe entre le producteur et le consommateur (réellement intéressant si le consommateur ne se rend pas en voiture pour acheter ses produits).</t>
  </si>
  <si>
    <t xml:space="preserve">La baisse des quantités de marchandises transportées par la route permettrait d'améliorer la qualité de l'air, de développer le commerce local, de faire baisser l'accidentologie routière ou le ressenti d'insécurité sur les routes (favorisant les mobilités actives en zone rurale). </t>
  </si>
  <si>
    <t>Gain_ecoconduite</t>
  </si>
  <si>
    <t>Gains liés à l'éco-conduite</t>
  </si>
  <si>
    <t>Gains de consommation de carburant par l'éco-conduite (%)</t>
  </si>
  <si>
    <t>0,2</t>
  </si>
  <si>
    <t xml:space="preserve">En fonction des véhicules et de la technique du conducteur, les gains actuels sont autour de 20% à 30% d'économies pour un même trajet. </t>
  </si>
  <si>
    <t>Non concerné</t>
  </si>
  <si>
    <t>#FF1493</t>
  </si>
  <si>
    <t>Var_distance_VU_2020_2030</t>
  </si>
  <si>
    <t xml:space="preserve">Distance parcourue - Véhicules utilitaires </t>
  </si>
  <si>
    <t>Distance parcourue par des véhicules utilitaires professionnels en 2030 par rapport à 2020 (%)</t>
  </si>
  <si>
    <t xml:space="preserve">En 2020 :  30 MtCO2 pour les véhicules utilitaires pour 100 milliards de km parcourus (75% par des véhicules professionnels). </t>
  </si>
  <si>
    <t xml:space="preserve">Un artisan parcourt en moyenne 50 km par jour en véhicule utilitaire. </t>
  </si>
  <si>
    <t xml:space="preserve">Le secteur automobile est un des grands pourvoyeurs d'emplois en France (200 000 emplois directs et 2 millions d'emplois induits). La baisse de l'usage des véhicules utilitaires implique la création de nouvelles filières (vélo cargo) et un réaménagement du territoire pour favoriser des déplacements courts en zone rurale. </t>
  </si>
  <si>
    <t xml:space="preserve">La baisse de la distance parcourue permettrait d'améliorer la qualité de l'air, de développer le commerce local, de faire baisser l'accidentologie routière ou de développer de nouvelles filières industrielles (vélo cargo...). </t>
  </si>
  <si>
    <t>Var_conso_viande_2020_2030</t>
  </si>
  <si>
    <t>Consommation de viande</t>
  </si>
  <si>
    <t>Consommation de viande (hors élevages extensifs) en 2030 par rapport à 2020 (%)</t>
  </si>
  <si>
    <t>#FF69B4</t>
  </si>
  <si>
    <t xml:space="preserve">En 2020 : 43 MtCO2. On considère que les élevages extensifs ont un impact neutre sur les émissions de gaz à effet de serre (effet de puit de carbone des prairies). </t>
  </si>
  <si>
    <t xml:space="preserve">La tendance générale est à la baisse de la consommation de viande (-12% en 10 ans) et à l'intensification des exploitations d'élevage pour suivre la concurrence imposée à l'échelle européenne et internationale. </t>
  </si>
  <si>
    <t xml:space="preserve">L'élevage extensif n'est pas possible partout et ne peut pas être généralisé à la consommation de viande actuelle. Ce mode de production entraine un surcoût important pour le consommateur comparé à la même quantité de viande produite en élevage intensif. </t>
  </si>
  <si>
    <t xml:space="preserve">La baisse de la consommation de viande de mauvaise qualité a un impact positif sur la santé. Une consommation moins régulière d'une viande de plus grande qualité permettrait de favoriser les élevages français et faire baisser les importations de viande à bas coût. L'élevage extensif a moins d'impact sur la biodiversité et la qualité de l'eau que l'élevage intensif. </t>
  </si>
  <si>
    <t>Part_exploitations_agricoles_exemplaires</t>
  </si>
  <si>
    <t>Exploitations agricoles exemplaires</t>
  </si>
  <si>
    <t>Part des exploitations contribuant à la baisse des émissions en 2030 (%)</t>
  </si>
  <si>
    <t xml:space="preserve">Certaines pratiques agricoles permettent de faire baisser les émissions de gaz à effet de serre (moindre labour, modification des rations animales…etc). Faute d'évaluation, on considère que ces parcelles contributives (0,8 tCO2/ha) sont, en 2020, du même ordre que la surface en agriculture biologique (1,3Ma) à comparer avec l'ensemble des parcelles hors élevage estimé à 18 Mha (2,4 tCO2/ha). </t>
  </si>
  <si>
    <t>Chiffres non disponibles</t>
  </si>
  <si>
    <t xml:space="preserve">Certaines pratiques devraient entrainer un surcoût que le consommateur doit être prêt à payer. </t>
  </si>
  <si>
    <t xml:space="preserve">Certaines pratiques agricoles moins émetrices de gaz à effet de serre sont également moins consommatrices d'énergie fossile (moindre labour) ou plus intense en emplois. </t>
  </si>
  <si>
    <t>Gain_eff_carbone_exploitations</t>
  </si>
  <si>
    <t>Gain d'efficacité des pratiques agricoles par an</t>
  </si>
  <si>
    <t>Gain d'efficacité carbone des pratiques agricoles par an (%)</t>
  </si>
  <si>
    <t>#DB7093</t>
  </si>
  <si>
    <t xml:space="preserve">On considère que sans une transformation globale des moyens de production, l'efficacité de toutes les exploitations agricoles s'améliore chaque année grâce à de meilleures formations ou à l'amélioration des équipements. </t>
  </si>
  <si>
    <t>Surfaces_afforestées</t>
  </si>
  <si>
    <t>Surfaces afforestées</t>
  </si>
  <si>
    <t>Part de terres agricoles converties à l'afforestation (%)</t>
  </si>
  <si>
    <t xml:space="preserve">On considère que 2/3 des surfaces agricoles françaises sont dédiées à l'élevage (dont 1/3 pour l'alimentation des bêtes). La baisse de la consommation de viande permet de libérer des espaces agricoles pouvant être convertis en en friche ou en forêts (puit de carbone). </t>
  </si>
  <si>
    <t xml:space="preserve">Environ 10 000 à 20 000 ha de surfaces agricoles sont laissées à l'abandon chaque année (Terres de Liens). </t>
  </si>
  <si>
    <t xml:space="preserve">A condition que des pratiques forestières durables soient appliquées, ces espaces peuvent également contribuer à la préservation de la biodiversité. </t>
  </si>
  <si>
    <t>#FFC0CB</t>
  </si>
  <si>
    <t>Taux_Services_publics</t>
  </si>
  <si>
    <t>Services</t>
  </si>
  <si>
    <t xml:space="preserve">Quantité de services (dont services publics) en 2030 par rapport à 2020 (%) </t>
  </si>
  <si>
    <t xml:space="preserve">Emissions du secteur des services en 2020 : 120 MtCO2 selon les calculs du cabinet Carbone 4 sur l'empreinte carbone des Français en 2010. Le périmètre et le contenu détails des services concernés n'est pas connu. </t>
  </si>
  <si>
    <t>La baisse des services pose la question de quels sont les services à conserver. Plus ou moins d'éducation ? Plus ou moins de Santé ? …etc</t>
  </si>
  <si>
    <t>Gain_eff_Services</t>
  </si>
  <si>
    <t>Gain d'efficacité carbone des services par an (%)</t>
  </si>
  <si>
    <t xml:space="preserve">Le modèle applique un gain d'efficacité annuel (réduction de l'intensité carbone du secteur, à volume de production constante). </t>
  </si>
  <si>
    <t xml:space="preserve">Estimé entre 0% et 1% sur les années précédentes. </t>
  </si>
  <si>
    <t>Taux_Informatique</t>
  </si>
  <si>
    <t>Biens informatiques</t>
  </si>
  <si>
    <t>Quantité de biens informatiques et Hifi neufs en 2030 par rapport à 2020 (%)</t>
  </si>
  <si>
    <t xml:space="preserve">Emissions du secteur des biens informatiques et Hifi en 2020 : 43 MtCO2 selon les calculs du cabinet Carbone 4 sur l'empreinte carbone des Français en 2010. </t>
  </si>
  <si>
    <t>La part des ménages équipés d'un ordinateur est passée de 62 % en 2008 à 77 % en 2017. Durant la même période, la part des ménages équipés d’une tablette tactile est passée de 2 % en 2011 à 42 % en 2017 et celle des ménages équipés en ordinateur portable, netbook ou ultraportable de 48 % à 62 % (INSEE).</t>
  </si>
  <si>
    <t xml:space="preserve">De nombreux services se développent et créént de nouveaux usages qui peuvent imposer ou favoriser l'utilisation de matériel informatique. </t>
  </si>
  <si>
    <t xml:space="preserve">La baisse de l'achat de matériel neuf peut favoriser la création ou le développement de filières d'échanges, de réemploi et de réparation de matériel créant ainsi des emplois sur le territoire français alors que les appareils sont principalement produits en dehors. </t>
  </si>
  <si>
    <t>Gain_eff_Informatique</t>
  </si>
  <si>
    <t>Gain d'efficacité carbone de la fabrication de biens informatiques et hifi par an (%)</t>
  </si>
  <si>
    <t>Color</t>
  </si>
  <si>
    <t>Taux_Textiles</t>
  </si>
  <si>
    <t>Textile</t>
  </si>
  <si>
    <t>Quantité de biens textiles neufs en 2030 par rapport à 2020 (%)</t>
  </si>
  <si>
    <t xml:space="preserve">Emissions du secteur textile en 2020 : 46,5 MtCO2 selon les calculs du cabinet Carbone 4 sur l'empreinte carbone des Français en 2010. </t>
  </si>
  <si>
    <t xml:space="preserve">En France, 624 000 tonnes de textiles d'habillement, de linge de maison et de chaussures sont mis sur le marché tous les ans, soit 2,6 milliards de pièces textiles et près de 10 kg par personne. La production mondiale de vêtements a doublé entre 2000 et 2014 (Greenpeace, 2014).
</t>
  </si>
  <si>
    <t>En France, le secteur de l'habillement génère 150 milliards d'euros et représente 1 million d'emplois (2017). Le textile et le luxe est une filière d'excellence française. La filière du luxe est, ces dernières années, créatrice nette d'emploi en France.</t>
  </si>
  <si>
    <t xml:space="preserve">La baisse de la quantité de textile achétée pourrait entrainer le retour d'une filière textile plus locale à forte valeur ajoutée. A budget équivalent, un ménage pourrait acheter moins mais mieux. Le développement de filières de réemploi ou de réparation peut également être productrice d'emplois. </t>
  </si>
  <si>
    <t>Gain_eff_Textiles</t>
  </si>
  <si>
    <t>Gain d'efficacité carbone de la fabrication de biens textiles par an (%)</t>
  </si>
  <si>
    <t xml:space="preserve">Chiffres non disponibles. Le secteur s'est engagé à réduire de 30% ses émissions d'ici à 2030 soit une baisse de 3,5% par an. </t>
  </si>
  <si>
    <t xml:space="preserve">Malgré les efforts affichés par la fillière, l'industrie textile est une des plus polluantes du monde. Elle utilise beaucoup d'engrais, de pesticides (pour la culture du coton), de produits chimiques et de dérivés du pétrole qui polluent les eaux, les sols et l'air. </t>
  </si>
  <si>
    <t>Taux_Autres_biens</t>
  </si>
  <si>
    <t>#1087A1</t>
  </si>
  <si>
    <t>Autres biens manufacturés</t>
  </si>
  <si>
    <t>Quantité d'électroménager, mobilier, distribution neuf en 2030 par rapport à 2020 (%)</t>
  </si>
  <si>
    <t xml:space="preserve">Emissions du secteur autres produits manufacturés en 2020 : 27 MtCO2 selon les calculs du cabinet Carbone 4 sur l'empreinte carbone des Français en 2010. </t>
  </si>
  <si>
    <t xml:space="preserve">La baisse de l'achat de matériel neuf peut favoriser la création ou le développement de filières d'échanges, de réemploi et de réparation de matériel créant ainsi des emplois sur le territoire français alors que les appareils sont principalements produits en dehors. </t>
  </si>
  <si>
    <t>Sous-Secteur</t>
  </si>
  <si>
    <t>Gain_eff_Autres_biens</t>
  </si>
  <si>
    <t>Gain d'efficacité carbone de la fabrication des autres biens manufacturés par an (%)</t>
  </si>
  <si>
    <t>Construction et rénovation</t>
  </si>
  <si>
    <t>Chauffage résidentiel (hors électricité et chauffage urbain)</t>
  </si>
  <si>
    <t>Tertiaire</t>
  </si>
  <si>
    <t>Intensité carbone de l'électricité</t>
  </si>
  <si>
    <t>kgCO2e/kWh</t>
  </si>
  <si>
    <t>Facteur d'émission de l'électricité (kgCO2e/kWh)</t>
  </si>
  <si>
    <t>Construction de véhicules</t>
  </si>
  <si>
    <t>0,08</t>
  </si>
  <si>
    <t>Transports de personnes</t>
  </si>
  <si>
    <t>Transports de marchandise</t>
  </si>
  <si>
    <t>Vols internationaux</t>
  </si>
  <si>
    <t xml:space="preserve">La France dispose d'une électricité très faiblement émettrice (0,082 kgCO2/kWh). Le débat fait rage entre défenseurs et détracteurs du nucléaire et des énergies renouvelables. Sans rentrer dans ce débat, l'équipe de Mission Climat laisse la possibilité à l'utilisateur de faire varier le facteur d'émission de l'électricité. </t>
  </si>
  <si>
    <t xml:space="preserve">La Suisse est un des pays au monde avec le plus faible facteur d'émission pour l'électricité (0,020 kgCO2/kWh) grâce à une électricité principalement produite à base d'énergie hydraulique. Au contraire, l'Afrique du Sud, qui produit son électricité avec beaucoup de centrales à charbon est à 0,9 kgCO2/kWh. Nos voisins allemands sont à 0,4 kgCO2/KWh. </t>
  </si>
  <si>
    <t>Utilisation des terres</t>
  </si>
  <si>
    <t>#77D9B5</t>
  </si>
  <si>
    <t>Importation de la viande (100%)</t>
  </si>
  <si>
    <t>#465A6D</t>
  </si>
  <si>
    <t>Intensité carbone du gaz</t>
  </si>
  <si>
    <t>Facteur d'émission du gaz (kgCO2e/kWh)</t>
  </si>
  <si>
    <t>0,24</t>
  </si>
  <si>
    <t>Biens textiles</t>
  </si>
  <si>
    <t>Autres biens et services</t>
  </si>
  <si>
    <t xml:space="preserve">Certains scénarios prospectifs proposent de remplacer le gaz naturel (fossile) par du gaz vert produit à partir de matière organique (résidus agricoles, boues d'épuration, escréments d'élevage…) ou par du gaz de synthèse produit à base d'électricité et d'hydrogène (méthanation). Ce paramètre permet entre autre de simuler la baisse des émissions induite par ces différents procédés. </t>
  </si>
  <si>
    <t xml:space="preserve">Une étude ADEME GrDF-GrTGaz estime que 100% du gaz utilisé en France pourrait être d'origine renouvelable. Le facteur d'émission associé à ce scénario est estimé entre 0 et 0,023 kgCO2/kWh. Mais ce scénario n'est pas atteignable avant 2050 et suppose une forte baisse des consommation d'énergie par rapport à aujourd'hui ! </t>
  </si>
  <si>
    <t xml:space="preserve">La question de la faisabilité à court terme de produire 100% de nos besoins en gaz à partir de biométhane ou de méthanation n'est pas tranchée. Dans le premier cas, il s'agit d'arbitrer entre une production agricole à usage énergétique ou une production pour l'alimentation. Dans le second, les filières industrielles concernées doivent encore faire leur preuves. </t>
  </si>
  <si>
    <t>Services publics</t>
  </si>
  <si>
    <t xml:space="preserve">Le développement du biométhane peut constituer un complément de revenu pour les agriculteurs. Le développement de la méthanation est un facteur d'équilibre du réseau électrique dans certains scénario prospectifs 100% renouvelables. </t>
  </si>
  <si>
    <t>Industrie de l'énergie (dont chauffage urbain et électrique)</t>
  </si>
  <si>
    <t>#163E59</t>
  </si>
  <si>
    <t>Données sectorielles</t>
  </si>
  <si>
    <t>P_effort_rupture</t>
  </si>
  <si>
    <t>measure</t>
  </si>
  <si>
    <t>Max</t>
  </si>
  <si>
    <t>Intensité de la rupture</t>
  </si>
  <si>
    <t>list</t>
  </si>
  <si>
    <t>Sans rupture</t>
  </si>
  <si>
    <t>Rupture forte, Rupture moyenne, Rupture faible, Sans rupture</t>
  </si>
  <si>
    <t>Rupture forte</t>
  </si>
  <si>
    <t>A compléter</t>
  </si>
  <si>
    <t>P_année_rupture</t>
  </si>
  <si>
    <t>Année de la rupture</t>
  </si>
  <si>
    <t>Objectif 1,5°C</t>
  </si>
  <si>
    <t>P_population</t>
  </si>
  <si>
    <t>Population mondiale</t>
  </si>
  <si>
    <t>Scénario d'évolution de la population</t>
  </si>
  <si>
    <t>Hypothèse basse (8 milliards d'habitants en 2030)</t>
  </si>
  <si>
    <t>Hypothèse haute (9 milliards d'habitants en 2030), Hypothèse basse (8 milliards d'habitants en 2030)</t>
  </si>
  <si>
    <t>Hypothèse haute (9 milliards d'habitants en 2030)</t>
  </si>
  <si>
    <t xml:space="preserve">L'outil permet à l'utilisateur de simuler une réduction de la population mondiale (8 Ghab en 2030) par rapport aux scénarios projectifs des Nations Unies (8,5 Ghab en 2030). </t>
  </si>
  <si>
    <t xml:space="preserve">D'après l'ONU, la Terre comptera 8,5 milliards d'habitants en 2030. </t>
  </si>
  <si>
    <t>A court terme, peu d'actions sont envisageables d'un point de vue démographique. 
Par ailleurs, le débat éthique sous jaccent est une question sur laquelle l'équipe de Mission Climat ne souhaite pas se positionner.</t>
  </si>
  <si>
    <t>P_partage_effort</t>
  </si>
  <si>
    <t>Mode de répartition des émissions</t>
  </si>
  <si>
    <t>Maintien des inégalités : tous les pays suivent la même trajectoire</t>
  </si>
  <si>
    <t>Maintien des inégalités : tous les pays suivent la même trajectoire, Egalité stricte : tous les habitants ont la même empreinte carbone</t>
  </si>
  <si>
    <t>Impacts</t>
  </si>
  <si>
    <t>Units</t>
  </si>
  <si>
    <t>Valeurs</t>
  </si>
  <si>
    <t>Température en 2100</t>
  </si>
  <si>
    <t>A partir des émissions françaises simulées grâce à Mission Climat jusqu'à 2030, l'outil estime les émissions mondiales afin de pouvoir les comparer aux scénarios d'évolution du climat du GIEC. Deux scénarios sont possibles. Maintien des inégalités : Tous les citoyens baissent proportionnellement leur empreinte carbone d'un même effort. A l'arrivée, les pays développés ont toujours une empreinte carbone plus élevée que les pays en voie de développement.  
Egalité stricte : Tous les citoyens du monde ont la même empreinte carbone en 2030. Le niveau d'effort dépend du point de départ. Les pays développés réduisent plus leur empreinte. Certains pays en voie de développement peuvent légèrement augmenter.</t>
  </si>
  <si>
    <t>Le scénario d'égalité stricte parait difficilement réalisable dans le contexte géopolitique que l'on connait. Les COP (Conférences des Parties) n'ayant jamais permis de contraindre fortement les pays développés de réduire leur empreinte. "Le mode de vie des américains n'est pas négociable" proclamait Bush père en 1992. Et celui des français ?  Néanmoins, le scénario d'égalité stricte donne un point de repère pour le citoyen qui se veut "citoyen du monde". Il devra réduire encore plus son empreinte pour laisser un peu de place à ceux qui aujourd'hui ont beaucoup moins !</t>
  </si>
  <si>
    <t>Moyenne émissions FR 2020 / 2030</t>
  </si>
  <si>
    <t>Temperature range</t>
  </si>
  <si>
    <t>Empreinte Carbone FR 2030</t>
  </si>
  <si>
    <t>Scénario RCP suivi</t>
  </si>
  <si>
    <t>W.m2</t>
  </si>
  <si>
    <t>Nombre de jours à +35°C</t>
  </si>
  <si>
    <t>nb</t>
  </si>
  <si>
    <t>Agriculture</t>
  </si>
  <si>
    <t>Empreinte Carbone Monde 2030</t>
  </si>
  <si>
    <t>Nombre maximum de jours de sécheresse</t>
  </si>
  <si>
    <t>Montée des eaux</t>
  </si>
  <si>
    <t>m</t>
  </si>
  <si>
    <t>Pourcentage de diminution par rapport à 2020</t>
  </si>
  <si>
    <t>Pourcentage de variation Avec/Sans rupture Réhausse proportionnelle</t>
  </si>
  <si>
    <t>Pourcentage de variation Avec/Sans rupture Egalité de diminution par habitant</t>
  </si>
  <si>
    <t>Pourcentage de variation avec rupture / BAU</t>
  </si>
  <si>
    <t>Emissions totale monde CO2</t>
  </si>
  <si>
    <t>Totale</t>
  </si>
  <si>
    <t>Color S</t>
  </si>
  <si>
    <t>Emissions internationales</t>
  </si>
  <si>
    <t>GtCO2</t>
  </si>
  <si>
    <t>Emissions totale Nette France CO2</t>
  </si>
  <si>
    <t>Emissions nationales</t>
  </si>
  <si>
    <t>Calcul des émissions</t>
  </si>
  <si>
    <t>Emissions CO2 / hab en France</t>
  </si>
  <si>
    <t>Co-Bénéfices</t>
  </si>
  <si>
    <t>Tendances</t>
  </si>
  <si>
    <t>Contraintes</t>
  </si>
  <si>
    <t>Total/hab</t>
  </si>
  <si>
    <t>Supérieur à 300</t>
  </si>
  <si>
    <t>tCO2</t>
  </si>
  <si>
    <t>Supérieur à 500</t>
  </si>
  <si>
    <t xml:space="preserve">Emissions total monde CO2 </t>
  </si>
  <si>
    <t>Egalité entre tous les citoyens du monde</t>
  </si>
  <si>
    <t xml:space="preserve">Un meilleur remplissage des véhicule pourrait diminuer la congestion routière, entrainant une  une baisse des émissions de polluants atmosphériques et une amélioration de la qualité de l'air. En mutualisant les frais de carburant et d'entretien du véhicule, le co-voiturage permet également de générer des économies pour les ménages.  </t>
  </si>
  <si>
    <t xml:space="preserve">L'utilisation d'un véhicule électrique permet de limiter la production de polluants atmosphérique participant ainsi à l'amélioration de la qualité de l'air. A condition que la production de l'électricité utilisée n'entraine pas une exportation des émissions ailleurs. </t>
  </si>
  <si>
    <t>Maintien des inégalités</t>
  </si>
  <si>
    <t>Augmentation de la température</t>
  </si>
  <si>
    <t>Température égalité</t>
  </si>
  <si>
    <t>Quantité de biens informatiques et Hifi en 2030 par rapport à 2020 (%)</t>
  </si>
  <si>
    <t>Quantité de biens textiles en 2030 par rapport à 2020 (%)</t>
  </si>
  <si>
    <t>Température maintien des inégalités</t>
  </si>
  <si>
    <t>Quantité d'électroménager, mobilier, distribution en 2030 par rapport à 2020 (%)</t>
  </si>
  <si>
    <t xml:space="preserve">Emissions France / Secteur Transport </t>
  </si>
  <si>
    <t>Historique</t>
  </si>
  <si>
    <t>Type de trajectoire de baisse des émissions</t>
  </si>
  <si>
    <t>124.40064268935</t>
  </si>
  <si>
    <t>127.05520348421</t>
  </si>
  <si>
    <t>131.46149096122</t>
  </si>
  <si>
    <t>131.6394338335</t>
  </si>
  <si>
    <t>132.54056296385</t>
  </si>
  <si>
    <t>134.3899621403</t>
  </si>
  <si>
    <t>136.03920599844</t>
  </si>
  <si>
    <t>138.77420741255</t>
  </si>
  <si>
    <t>141.11839899172</t>
  </si>
  <si>
    <t>143.65372897062</t>
  </si>
  <si>
    <t>143.40462960944</t>
  </si>
  <si>
    <t>146.65928282671</t>
  </si>
  <si>
    <t>147.7667442637</t>
  </si>
  <si>
    <t>147.38584561299</t>
  </si>
  <si>
    <t>147.91052192234</t>
  </si>
  <si>
    <t>145.84373416106</t>
  </si>
  <si>
    <t>145.37049270801</t>
  </si>
  <si>
    <t>144.37959953635</t>
  </si>
  <si>
    <t>137.87746260343</t>
  </si>
  <si>
    <t>136.26451829475</t>
  </si>
  <si>
    <t>139.22562711544</t>
  </si>
  <si>
    <t>139.41771819834</t>
  </si>
  <si>
    <t>137.83681313874</t>
  </si>
  <si>
    <t>137.12333269184</t>
  </si>
  <si>
    <t>136.97797132917</t>
  </si>
  <si>
    <t>138.11328754959</t>
  </si>
  <si>
    <t>138.82089509276</t>
  </si>
  <si>
    <t>139.03874074873</t>
  </si>
  <si>
    <t>136.81781375382</t>
  </si>
  <si>
    <t>Loi</t>
  </si>
  <si>
    <t>134.31</t>
  </si>
  <si>
    <t>130.03</t>
  </si>
  <si>
    <t>125.76</t>
  </si>
  <si>
    <t>121.49</t>
  </si>
  <si>
    <t>117.21</t>
  </si>
  <si>
    <t>112.94</t>
  </si>
  <si>
    <t>110.3</t>
  </si>
  <si>
    <t>107.67</t>
  </si>
  <si>
    <t>105.03</t>
  </si>
  <si>
    <t>102.39</t>
  </si>
  <si>
    <t>99.75</t>
  </si>
  <si>
    <t>97.25</t>
  </si>
  <si>
    <t>94.74</t>
  </si>
  <si>
    <t>92.23</t>
  </si>
  <si>
    <t>Mon Scénario</t>
  </si>
  <si>
    <t>Emissions France / Secteur Bâtiments</t>
  </si>
  <si>
    <t>92.720403149582</t>
  </si>
  <si>
    <t>106.48944881213</t>
  </si>
  <si>
    <t>98.528017116429</t>
  </si>
  <si>
    <t>94.864579984242</t>
  </si>
  <si>
    <t>89.590149458832</t>
  </si>
  <si>
    <t>90.059990202022</t>
  </si>
  <si>
    <t>98.831164725189</t>
  </si>
  <si>
    <t>93.789882292218</t>
  </si>
  <si>
    <t>98.639230863711</t>
  </si>
  <si>
    <t>100.80135138428</t>
  </si>
  <si>
    <t>97.455945598579</t>
  </si>
  <si>
    <t>105.66471792562</t>
  </si>
  <si>
    <t>101.17387636819</t>
  </si>
  <si>
    <t>106.98550808452</t>
  </si>
  <si>
    <t>111.25495792374</t>
  </si>
  <si>
    <t>110.77536067638</t>
  </si>
  <si>
    <t>106.03708193516</t>
  </si>
  <si>
    <t>99.885993249416</t>
  </si>
  <si>
    <t>105.39743415843</t>
  </si>
  <si>
    <t>109.62896770795</t>
  </si>
  <si>
    <t>108.32580036529</t>
  </si>
  <si>
    <t>94.668719861665</t>
  </si>
  <si>
    <t>100.32102731004</t>
  </si>
  <si>
    <t>101.94634980289</t>
  </si>
  <si>
    <t>84.96418696018</t>
  </si>
  <si>
    <t>90.219857976529</t>
  </si>
  <si>
    <t>90.475329487112</t>
  </si>
  <si>
    <t>89.804269804991</t>
  </si>
  <si>
    <t>83.671277165072</t>
  </si>
  <si>
    <t>84.54</t>
  </si>
  <si>
    <t>80.72</t>
  </si>
  <si>
    <t>76.9</t>
  </si>
  <si>
    <t>73.08</t>
  </si>
  <si>
    <t>69.26</t>
  </si>
  <si>
    <t>65.44</t>
  </si>
  <si>
    <t>62.38</t>
  </si>
  <si>
    <t>59.31</t>
  </si>
  <si>
    <t>56.26</t>
  </si>
  <si>
    <t>53.19</t>
  </si>
  <si>
    <t>50.12</t>
  </si>
  <si>
    <t>47.32</t>
  </si>
  <si>
    <t>44.52</t>
  </si>
  <si>
    <t>41.72</t>
  </si>
  <si>
    <t>Emissions France / Secteur Agriculture</t>
  </si>
  <si>
    <t>93.14688877922</t>
  </si>
  <si>
    <t>92.67481471283</t>
  </si>
  <si>
    <t>91.530441826643</t>
  </si>
  <si>
    <t>90.650570933377</t>
  </si>
  <si>
    <t>90.080490153561</t>
  </si>
  <si>
    <t>90.900846144469</t>
  </si>
  <si>
    <t>91.640562142453</t>
  </si>
  <si>
    <t>91.933941017141</t>
  </si>
  <si>
    <t>92.089966421837</t>
  </si>
  <si>
    <t>92.499069063209</t>
  </si>
  <si>
    <t>94.451898914222</t>
  </si>
  <si>
    <t>94.004411749143</t>
  </si>
  <si>
    <t>92.285386871697</t>
  </si>
  <si>
    <t>89.274663926519</t>
  </si>
  <si>
    <t>90.556524539823</t>
  </si>
  <si>
    <t>89.139368187735</t>
  </si>
  <si>
    <t>88.453604734649</t>
  </si>
  <si>
    <t>89.211370984449</t>
  </si>
  <si>
    <t>90.243075036829</t>
  </si>
  <si>
    <t>89.244491781684</t>
  </si>
  <si>
    <t>87.991253972409</t>
  </si>
  <si>
    <t>87.019088338166</t>
  </si>
  <si>
    <t>86.408631640775</t>
  </si>
  <si>
    <t>86.622095472695</t>
  </si>
  <si>
    <t>88.6597933637</t>
  </si>
  <si>
    <t>88.258560396251</t>
  </si>
  <si>
    <t>87.151379667596</t>
  </si>
  <si>
    <t>86.025908880689</t>
  </si>
  <si>
    <t>85.89</t>
  </si>
  <si>
    <t>85.79</t>
  </si>
  <si>
    <t>85.12</t>
  </si>
  <si>
    <t>84.45</t>
  </si>
  <si>
    <t>83.77</t>
  </si>
  <si>
    <t>83.1</t>
  </si>
  <si>
    <t>82.43</t>
  </si>
  <si>
    <t>81.83</t>
  </si>
  <si>
    <t>81.23</t>
  </si>
  <si>
    <t>80.62</t>
  </si>
  <si>
    <t>80.02</t>
  </si>
  <si>
    <t>79.42</t>
  </si>
  <si>
    <t>78.71</t>
  </si>
  <si>
    <t>77.29</t>
  </si>
  <si>
    <t>Emissions France / Secteur Industrie</t>
  </si>
  <si>
    <t>144.39960949263</t>
  </si>
  <si>
    <t>153.72110176767</t>
  </si>
  <si>
    <t>144.73255050482</t>
  </si>
  <si>
    <t>138.79637736795</t>
  </si>
  <si>
    <t>140.0227190534</t>
  </si>
  <si>
    <t>141.83604532742</t>
  </si>
  <si>
    <t>144.07916149571</t>
  </si>
  <si>
    <t>143.01050208837</t>
  </si>
  <si>
    <t>136.77363504327</t>
  </si>
  <si>
    <t>130.42635248088</t>
  </si>
  <si>
    <t>126.54174122541</t>
  </si>
  <si>
    <t>126.74166039569</t>
  </si>
  <si>
    <t>122.80785121696</t>
  </si>
  <si>
    <t>121.7131064919</t>
  </si>
  <si>
    <t>115.47994317858</t>
  </si>
  <si>
    <t>115.8861877187</t>
  </si>
  <si>
    <t>113.59295441764</t>
  </si>
  <si>
    <t>110.47558666512</t>
  </si>
  <si>
    <t>105.03967663942</t>
  </si>
  <si>
    <t>86.210473479952</t>
  </si>
  <si>
    <t>91.938670635175</t>
  </si>
  <si>
    <t>89.34554841885</t>
  </si>
  <si>
    <t>85.757401817269</t>
  </si>
  <si>
    <t>86.008511266462</t>
  </si>
  <si>
    <t>83.849406431268</t>
  </si>
  <si>
    <t>81.890752690103</t>
  </si>
  <si>
    <t>79.756288529434</t>
  </si>
  <si>
    <t>80.878730121874</t>
  </si>
  <si>
    <t>78.64</t>
  </si>
  <si>
    <t>80.68</t>
  </si>
  <si>
    <t>79.85</t>
  </si>
  <si>
    <t>79.01</t>
  </si>
  <si>
    <t>78.18</t>
  </si>
  <si>
    <t>77.34</t>
  </si>
  <si>
    <t>76.51</t>
  </si>
  <si>
    <t>74.98</t>
  </si>
  <si>
    <t>73.45</t>
  </si>
  <si>
    <t>71.93</t>
  </si>
  <si>
    <t>70.4</t>
  </si>
  <si>
    <t>68.87</t>
  </si>
  <si>
    <t>67.35</t>
  </si>
  <si>
    <t>65.84</t>
  </si>
  <si>
    <t>64.32</t>
  </si>
  <si>
    <t>Emissions France / Secteur Energie</t>
  </si>
  <si>
    <t>78.116411588563</t>
  </si>
  <si>
    <t>79.388548650856</t>
  </si>
  <si>
    <t>80.660185246565</t>
  </si>
  <si>
    <t>68.457348186362</t>
  </si>
  <si>
    <t>65.330668730342</t>
  </si>
  <si>
    <t>67.874816199134</t>
  </si>
  <si>
    <t>71.652042301011</t>
  </si>
  <si>
    <t>67.306208847806</t>
  </si>
  <si>
    <t>79.607100938006</t>
  </si>
  <si>
    <t>72.604920413238</t>
  </si>
  <si>
    <t>71.430782574853</t>
  </si>
  <si>
    <t>64.882681384824</t>
  </si>
  <si>
    <t>66.985380070226</t>
  </si>
  <si>
    <t>70.252360693254</t>
  </si>
  <si>
    <t>68.896682725798</t>
  </si>
  <si>
    <t>74.127491311144</t>
  </si>
  <si>
    <t>70.107144410068</t>
  </si>
  <si>
    <t>69.682218221207</t>
  </si>
  <si>
    <t>68.750934629335</t>
  </si>
  <si>
    <t>66.49489282574</t>
  </si>
  <si>
    <t>66.546696771161</t>
  </si>
  <si>
    <t>57.771802356505</t>
  </si>
  <si>
    <t>58.485106242338</t>
  </si>
  <si>
    <t>57.697221720954</t>
  </si>
  <si>
    <t>44.698427731181</t>
  </si>
  <si>
    <t>46.664764271841</t>
  </si>
  <si>
    <t>50.000779265942</t>
  </si>
  <si>
    <t>54.236320137837</t>
  </si>
  <si>
    <t>45.988402799865</t>
  </si>
  <si>
    <t>55.41</t>
  </si>
  <si>
    <t>Nombre de logements par type</t>
  </si>
  <si>
    <t>Nbr</t>
  </si>
  <si>
    <t>Emission chauffage par type</t>
  </si>
  <si>
    <t>Scénario</t>
  </si>
  <si>
    <t>Résultats</t>
  </si>
  <si>
    <t>MtCO2e</t>
  </si>
  <si>
    <t>Energie)</t>
  </si>
  <si>
    <t>Biens et consommation</t>
  </si>
  <si>
    <t>Nom variable</t>
  </si>
  <si>
    <t>Détails</t>
  </si>
  <si>
    <t>Valeur</t>
  </si>
  <si>
    <t>unité</t>
  </si>
  <si>
    <t>Calculs annuels de la trajectoire</t>
  </si>
  <si>
    <t>Emissions liées aux transports</t>
  </si>
  <si>
    <t>Situation initiale :</t>
  </si>
  <si>
    <t>Nb_années</t>
  </si>
  <si>
    <t>Nombre d'année pour la transition :</t>
  </si>
  <si>
    <t>années</t>
  </si>
  <si>
    <t>Année_référence</t>
  </si>
  <si>
    <t>Année de référence :</t>
  </si>
  <si>
    <t>Pop_fr_2018</t>
  </si>
  <si>
    <t>Population française 2018 :</t>
  </si>
  <si>
    <t>hab</t>
  </si>
  <si>
    <t>Pop_mond_2018</t>
  </si>
  <si>
    <t>Population mondiale 2018 :</t>
  </si>
  <si>
    <t>Emissions_GES_2018</t>
  </si>
  <si>
    <t>Emissions tous GES confondus</t>
  </si>
  <si>
    <t>GT CO2e</t>
  </si>
  <si>
    <t>Selon la cross chapter box 11, nous émettons, tous GES confondus, 52 GT CO2e en 2018</t>
  </si>
  <si>
    <t>Emissions_GES_par_personne_2018</t>
  </si>
  <si>
    <t>Emisisons moyennes par pers.</t>
  </si>
  <si>
    <t>t CO2e / pers</t>
  </si>
  <si>
    <t>Nombre de parcelles par type</t>
  </si>
  <si>
    <t>Parcelles contributives  en M ha</t>
  </si>
  <si>
    <t>Parcelles non contributives</t>
  </si>
  <si>
    <t>Parcelles dédiées à l'élevage</t>
  </si>
  <si>
    <t>Objectifs 2030</t>
  </si>
  <si>
    <t>Le GIEC traduit la possibilité de rester sous les 1,5°C à l'horizon 2100 selon trois groupes de scénarios :</t>
  </si>
  <si>
    <t>- un groupe de scénario sans dépassement, même ponctuel de la barre des 1,5°C</t>
  </si>
  <si>
    <t>- un groupe de scénario sans ou avec un faible dépassement de la barre des 1,5°C</t>
  </si>
  <si>
    <t>- un groupe de scénario avec dépassement significatif des 1,5°C</t>
  </si>
  <si>
    <t>Nous écartons le troisième groupe de scénarios qui suppose la mise en œuvre de technologies non maîtrisées de stockage de carbone et dont les effets du dépassement ne sont pas non plus maîtrisées.</t>
  </si>
  <si>
    <t>BudgetCO2_2020</t>
  </si>
  <si>
    <t>Trajectoire actuelle :</t>
  </si>
  <si>
    <t>GtCO2e</t>
  </si>
  <si>
    <t>BudgetCO2_COP21</t>
  </si>
  <si>
    <t>Avec engagements accords de Paris</t>
  </si>
  <si>
    <t>BudgetCO2_faible_dep</t>
  </si>
  <si>
    <t>Scénario 1,5° avec faible dépassement</t>
  </si>
  <si>
    <t>BudgetCO2_strict15</t>
  </si>
  <si>
    <t>Scénario strictement sous les 1,5°</t>
  </si>
  <si>
    <t>Population mondiale en 2030</t>
  </si>
  <si>
    <t>Pop_monde_sans_effort</t>
  </si>
  <si>
    <t>Avec prolongation de la population</t>
  </si>
  <si>
    <t>Pop_monde_avec_effort</t>
  </si>
  <si>
    <t>Avec effort important sur la population</t>
  </si>
  <si>
    <t>Scénarios possibles pour 2030</t>
  </si>
  <si>
    <t>Pour traduire les objectifs nationaux au niveau fançais, nous avons identifié trois approches :</t>
  </si>
  <si>
    <t>Empreinte_carbone_fr_2018</t>
  </si>
  <si>
    <t>Empreinte carbone d'un français en 2018</t>
  </si>
  <si>
    <t>tCO2e</t>
  </si>
  <si>
    <t>EmissionsCO2_fr_2018</t>
  </si>
  <si>
    <t>Emissions France par hab en 2018</t>
  </si>
  <si>
    <t>Engagements_fr_2018</t>
  </si>
  <si>
    <t>Engagements France 2030</t>
  </si>
  <si>
    <t>A_Scénario avec effort sur la population</t>
  </si>
  <si>
    <t>Evolution de la population</t>
  </si>
  <si>
    <t>Pop.Française</t>
  </si>
  <si>
    <t>Pop.Monde</t>
  </si>
  <si>
    <t>A_Pop_fr_2030</t>
  </si>
  <si>
    <t>Population française en 2030 sans effort sur la population</t>
  </si>
  <si>
    <t>A1_Empreinte_carbone_inégalités</t>
  </si>
  <si>
    <t>Maintien des inégalités : l'empreinte carbone actuelle est diminué de la même manière pour tous les habitants</t>
  </si>
  <si>
    <t>A2_Empreinte_carbone_égalité</t>
  </si>
  <si>
    <t>Egalité stricte : en 2030, tous les citoyens ont la même empreinte carbone</t>
  </si>
  <si>
    <t>A3_Empreinte_carbone_réhausse_proportionnelle</t>
  </si>
  <si>
    <t>Réhausse proportionnelle : Chaque Pays revoit à la hausse ses engagements de manière proportionnelle aux engagements déjà conssentis</t>
  </si>
  <si>
    <t>A1_Scénario avec effort sur la population et maintien des inégalités</t>
  </si>
  <si>
    <t>T CO2e par pers.</t>
  </si>
  <si>
    <t>A1_Tot_empreinte_fr_2030</t>
  </si>
  <si>
    <t>Total empreinte Français 2030</t>
  </si>
  <si>
    <t>A1_Tot_émissions_nationales_fr_2030</t>
  </si>
  <si>
    <t>Total émissions nationales 2030</t>
  </si>
  <si>
    <t>A1_Tot_émissions_indirectes_fr_2030</t>
  </si>
  <si>
    <t>Total émissions indirectes 2030</t>
  </si>
  <si>
    <t>A2_Scénario avec effort sur la population et égalité stricte</t>
  </si>
  <si>
    <t>A2_Tot_empreinte_fr_2030</t>
  </si>
  <si>
    <t>A2_Tot_émissions_nationales_fr_2030</t>
  </si>
  <si>
    <t>A2_Tot_émissions_indirectes_fr_2030</t>
  </si>
  <si>
    <t>A3_Scénario avec effort sur la population et réhausse proportionelle des engagements</t>
  </si>
  <si>
    <t>A3_Tot_empreinte_fr_2030</t>
  </si>
  <si>
    <t>A3_Tot_émissions_nationales_fr_2030</t>
  </si>
  <si>
    <t>A3_Tot_émissions_indirectes_fr_2030</t>
  </si>
  <si>
    <t>B_Scénario sans effort sur la population</t>
  </si>
  <si>
    <t>B1_Pop_fr_2030</t>
  </si>
  <si>
    <t>B1_Empreinte_carbone_inégalités</t>
  </si>
  <si>
    <t>B2_Empreinte_carbone_égalité</t>
  </si>
  <si>
    <t>B3_Empreinte_carbone_réhausse_proportionnelle</t>
  </si>
  <si>
    <t>B1_Scénario sans effort sur la population et maintien des inégalités</t>
  </si>
  <si>
    <t>B1_Tot_empreinte_fr_2030</t>
  </si>
  <si>
    <t>B1_Tot_émissions_nationales_fr_2030</t>
  </si>
  <si>
    <t>B1_Tot_émissions_indirectes_fr_2030</t>
  </si>
  <si>
    <t>B2_Scénario sans effort sur la population et égalité stricte</t>
  </si>
  <si>
    <t>B2_Tot_empreinte_fr_2030</t>
  </si>
  <si>
    <t>B2_Tot_émissions_nationales_fr_2030</t>
  </si>
  <si>
    <t>B2_Tot_émissions_indirectes_fr_2030</t>
  </si>
  <si>
    <t>B3_Scénario sans effort sur la population et réhausse proportionelle des engagements</t>
  </si>
  <si>
    <t>B3_Tot_empreinte_fr_2030</t>
  </si>
  <si>
    <t>B3_Tot_émissions_nationales_fr_2030</t>
  </si>
  <si>
    <t>B3_Tot_émissions_indirectes_fr_2030</t>
  </si>
  <si>
    <t>Paramètre retenu pour l'évolution de la population</t>
  </si>
  <si>
    <t>Paramètre retenu pour le partage de l'effort de réduction au niveau mondial</t>
  </si>
  <si>
    <t>Emisions de CO2 en France en MtCO2e (hors rupture</t>
  </si>
  <si>
    <t>TOTAL par secteur en MtCO2e</t>
  </si>
  <si>
    <t>Part relative</t>
  </si>
  <si>
    <t>Variation 2020-2030</t>
  </si>
  <si>
    <t>Energie</t>
  </si>
  <si>
    <t>Industrie de l'énergie (hors tertiaire et industrie)</t>
  </si>
  <si>
    <t>Consommation de viande et élevage</t>
  </si>
  <si>
    <t>Importations agricoles</t>
  </si>
  <si>
    <t>On fait l'hypothèse que les émissions liées aux importations sont égales à celle de la viande</t>
  </si>
  <si>
    <t>Transport de personnes</t>
  </si>
  <si>
    <t>Transport de marchandises</t>
  </si>
  <si>
    <t>Transport Aérien</t>
  </si>
  <si>
    <t>Autres biens et services (distribution, mobilier...)</t>
  </si>
  <si>
    <t>Services (dont services publics)</t>
  </si>
  <si>
    <t xml:space="preserve"> MTCO2e</t>
  </si>
  <si>
    <t>Paramètre de la rupture (= intensification des mesures)</t>
  </si>
  <si>
    <t>Année rupture</t>
  </si>
  <si>
    <t>Nb années post rupture</t>
  </si>
  <si>
    <t>Nb années totales</t>
  </si>
  <si>
    <t>Rupture moyenne</t>
  </si>
  <si>
    <t>Rupture Faible</t>
  </si>
  <si>
    <t>P_rupture_effort</t>
  </si>
  <si>
    <t>Rupture à prendre en compte</t>
  </si>
  <si>
    <t>P_rupture_effort_pct</t>
  </si>
  <si>
    <t>Rupture à prendre en compte (%)</t>
  </si>
  <si>
    <t>Emisions de CO2 en France en MtCO2e (avec rupture)</t>
  </si>
  <si>
    <t>Emissions lors de l'année de rupture</t>
  </si>
  <si>
    <t>ID ligne pour rechercheH</t>
  </si>
  <si>
    <t>Afforestation</t>
  </si>
  <si>
    <t>TOTAL Nette</t>
  </si>
  <si>
    <t xml:space="preserve">TCO2e / hab </t>
  </si>
  <si>
    <t>Emisions de CO2 dans le Monde en GtCO2e</t>
  </si>
  <si>
    <t xml:space="preserve">TOTAL GTCO2 </t>
  </si>
  <si>
    <t>Monde (égalité stricte = tous les citoyens du monde ont l'empreinte carbone de la France)</t>
  </si>
  <si>
    <t>Monde (maintien des inégalités = tous les pays suivent la même trajectoire)</t>
  </si>
  <si>
    <t>A supprimer anciens paramètres</t>
  </si>
  <si>
    <t>Effort total</t>
  </si>
  <si>
    <t>Effort relatif rupture</t>
  </si>
  <si>
    <t>Emissions rupture</t>
  </si>
  <si>
    <t>Modélisation au-delà de 2030</t>
  </si>
  <si>
    <t>TCAM_2020_2030</t>
  </si>
  <si>
    <t>Taux de variation annuel moyen entre 2020 et 2030</t>
  </si>
  <si>
    <t>Modélisation d'une rupture dans la trajectoire des émissions - Emisions de CO2 dans le Monde en GtCO2e</t>
  </si>
  <si>
    <t>Sans rupture (titre à modifier)</t>
  </si>
  <si>
    <t>pour mémoire ancienne formule</t>
  </si>
  <si>
    <t>Avec rupture</t>
  </si>
  <si>
    <t>A supprimer</t>
  </si>
  <si>
    <t>Années restantes</t>
  </si>
  <si>
    <t>Empreinte carbone par habitant</t>
  </si>
  <si>
    <t>Emissions cumulées et scénario RCP</t>
  </si>
  <si>
    <t xml:space="preserve">Emissions cumulées </t>
  </si>
  <si>
    <t>RCP 2.6</t>
  </si>
  <si>
    <t>RCP 4.5</t>
  </si>
  <si>
    <t>RCP 6.0</t>
  </si>
  <si>
    <t>RCP 8.5</t>
  </si>
  <si>
    <t>Mon scénario - Emissions cumulées</t>
  </si>
  <si>
    <t>Mon scénario - Résultats</t>
  </si>
  <si>
    <t>Pourcentage de diminution des GES par rapport à 2020</t>
  </si>
  <si>
    <t>Scénario suvi d'ici 2100</t>
  </si>
  <si>
    <t>jours</t>
  </si>
  <si>
    <t>Augmentation de la température en 2100</t>
  </si>
  <si>
    <t>Nombre maximum de jours de sécheresse consécutifs</t>
  </si>
  <si>
    <t>GT CO2e émis entre 2020 et 2030</t>
  </si>
  <si>
    <t>Impacts climatiques simplifiés</t>
  </si>
  <si>
    <t>Sources :</t>
  </si>
  <si>
    <t>Impact</t>
  </si>
  <si>
    <t>Montée des eaux (en mètres)</t>
  </si>
  <si>
    <t>Augmentation T (en °C)</t>
  </si>
  <si>
    <t>0.2 - 0.6</t>
  </si>
  <si>
    <t>0.5 à 1.9 °C</t>
  </si>
  <si>
    <t>0.3 - 0.7</t>
  </si>
  <si>
    <t>1.4 à 2.4 °C</t>
  </si>
  <si>
    <t>0.4 - 0,8</t>
  </si>
  <si>
    <t>1.8 à 3 °C</t>
  </si>
  <si>
    <t>0.5 - 1</t>
  </si>
  <si>
    <t>3.4 à 5 °C</t>
  </si>
  <si>
    <t>https://climateknowledgeportal.worldbank.org/country/france/climate-data-projections</t>
  </si>
  <si>
    <t>Lecture des cartes du site Drias les futurs du climat</t>
  </si>
  <si>
    <t>IPCC AR5, Sea Level Change WG1 graphiques p.1181</t>
  </si>
  <si>
    <t>Modélisation Bâtiments</t>
  </si>
  <si>
    <t>Données et hypothèses bâtiments</t>
  </si>
  <si>
    <t>S_chauffée_par_p_2020</t>
  </si>
  <si>
    <t>Surface par personne actuelle</t>
  </si>
  <si>
    <t>S_tot_logement_2020</t>
  </si>
  <si>
    <t>Surfaces actuelles</t>
  </si>
  <si>
    <t>Mm²</t>
  </si>
  <si>
    <t>Nb_res_principales_2020</t>
  </si>
  <si>
    <t>Nombre de résidences principales</t>
  </si>
  <si>
    <t>logements</t>
  </si>
  <si>
    <t>Nb_res_2020</t>
  </si>
  <si>
    <t>Nombre de résidences pour calcul = rés principale + 1/3 secondaires</t>
  </si>
  <si>
    <t>S_moyenne_logement</t>
  </si>
  <si>
    <t>Surface moyenne par logement</t>
  </si>
  <si>
    <t>Conso_élec_spécifique_m2_ancien</t>
  </si>
  <si>
    <t>Consommation électricité spécifique - Bâtiement ancien</t>
  </si>
  <si>
    <t>kWh / m² / an</t>
  </si>
  <si>
    <t>Conso_élec_spécifique_m2_neuf</t>
  </si>
  <si>
    <t>Consommation électricité spécifique - Bâtiment neuf</t>
  </si>
  <si>
    <t>T_moyenne_chauffage_2020</t>
  </si>
  <si>
    <t xml:space="preserve">Température de chauffage moyen </t>
  </si>
  <si>
    <t>Conso_hors_élec_spé_m2_BBC</t>
  </si>
  <si>
    <t>Consommation hors élec spécifique batiment rénové</t>
  </si>
  <si>
    <t>Conso_hors_élec_spé_m2_ancien</t>
  </si>
  <si>
    <t>Consommation hors élec spécifique bâtiment non rénové moyen</t>
  </si>
  <si>
    <t>Ratio_S_bati</t>
  </si>
  <si>
    <t>Ratio entre la surface bâti et la surface chauffée</t>
  </si>
  <si>
    <t>Si = 2, on considère qu'un logement n'est chauffée que sur la moitié de sa surface</t>
  </si>
  <si>
    <t>Hyp_chauffage_degré</t>
  </si>
  <si>
    <t>Hypothèses de gain énergétiques par °C de chauffage en moins</t>
  </si>
  <si>
    <t>Répartition des logements par source de chauffage</t>
  </si>
  <si>
    <t>Nb_log_fioul</t>
  </si>
  <si>
    <t>Logements fioul + charbon</t>
  </si>
  <si>
    <t>Nb_log_gaz</t>
  </si>
  <si>
    <t>Logements gaz</t>
  </si>
  <si>
    <t>Nb_log_élec</t>
  </si>
  <si>
    <t>Logements élec</t>
  </si>
  <si>
    <t>Nb_log_CU</t>
  </si>
  <si>
    <t>Logements chauffage urbains</t>
  </si>
  <si>
    <t>Nb_log_bois</t>
  </si>
  <si>
    <t>Logements bois</t>
  </si>
  <si>
    <t>Nb_log_EnR</t>
  </si>
  <si>
    <t>Logements 100% EnR (Chauffage solaire, géothermie, biogaz en conso direct+ PAC)</t>
  </si>
  <si>
    <t>Source : Situation en 2013 chiffres clés du bâtiment. 
Millions de log -&gt; correction pour tenir compte de la surface</t>
  </si>
  <si>
    <t>Répartition des logements par performance énergétique</t>
  </si>
  <si>
    <t>Nb_log_BBC</t>
  </si>
  <si>
    <t>Nombre de logements basse conso</t>
  </si>
  <si>
    <t>Nb_log_ren</t>
  </si>
  <si>
    <t>Nombre de logements rénovés</t>
  </si>
  <si>
    <t>Nb_log_anciens</t>
  </si>
  <si>
    <t>Nombre de logements anciens</t>
  </si>
  <si>
    <t>Facteurs d'émissions</t>
  </si>
  <si>
    <t>FE_gaz</t>
  </si>
  <si>
    <t>FE Gaz</t>
  </si>
  <si>
    <t>t CO2e / MWh</t>
  </si>
  <si>
    <t>FE_gaz_amont</t>
  </si>
  <si>
    <t>FE Gaz Amont</t>
  </si>
  <si>
    <t>FE_chauffage_fioul</t>
  </si>
  <si>
    <t>FE Fioul</t>
  </si>
  <si>
    <t>FE_Electricité</t>
  </si>
  <si>
    <t>FE Electricité</t>
  </si>
  <si>
    <t>FE_chauffage_carburants</t>
  </si>
  <si>
    <t>FE Carburants</t>
  </si>
  <si>
    <t>FE_chauffage_cu</t>
  </si>
  <si>
    <t>FE CU</t>
  </si>
  <si>
    <t>FE_chauffage_bois</t>
  </si>
  <si>
    <t>FE Bois</t>
  </si>
  <si>
    <t>FE_chauffage_enr</t>
  </si>
  <si>
    <t>FE 100% ENR</t>
  </si>
  <si>
    <t>FE_chauffage_fioulgaz</t>
  </si>
  <si>
    <t>FE Moyenne Gaz +  fioul</t>
  </si>
  <si>
    <t>FE_construction</t>
  </si>
  <si>
    <t>FE Construction</t>
  </si>
  <si>
    <t>t CO2 / m²</t>
  </si>
  <si>
    <t>FE_rénovation</t>
  </si>
  <si>
    <t>FE Rénovation</t>
  </si>
  <si>
    <t>FE_Electricité_2020</t>
  </si>
  <si>
    <t>FE Electricité 2020</t>
  </si>
  <si>
    <t>FE_Gaz_2020</t>
  </si>
  <si>
    <t>FE Gaz 2020</t>
  </si>
  <si>
    <t>Source : Base Carbone ADEME</t>
  </si>
  <si>
    <t>Nombre de systèmes de chauffage remplacés</t>
  </si>
  <si>
    <t>Nb_log_fioul_remplacés</t>
  </si>
  <si>
    <t>Total logement fioul remplacé</t>
  </si>
  <si>
    <t>Nb_log_gaz_remplacés</t>
  </si>
  <si>
    <t>Total logement gaz remplacé</t>
  </si>
  <si>
    <t>Nb_log_élec_remplacés</t>
  </si>
  <si>
    <t>Total logement elec remplacé</t>
  </si>
  <si>
    <t>Nb_log_total_remplacés</t>
  </si>
  <si>
    <t>Total de chauffages remplacés</t>
  </si>
  <si>
    <t>Données et hypothèses secteur tertiaire</t>
  </si>
  <si>
    <t>Emissions_GES_tertiaire</t>
  </si>
  <si>
    <t>Emission du secteur tertiaire :</t>
  </si>
  <si>
    <t>Ratio_log_tertiaire</t>
  </si>
  <si>
    <t>Facteur de réduction entre le logements et le tertiaire :</t>
  </si>
  <si>
    <t>Si = 100%, le modèle fait l'hypothèse que le tertiaire suit la même trajectoire que le logement</t>
  </si>
  <si>
    <t>Réduction des consommations énergétiques du secteur tertiaire :</t>
  </si>
  <si>
    <t>Rénovation et changements de chauffages</t>
  </si>
  <si>
    <t>Rénovation / an</t>
  </si>
  <si>
    <t>Changements équipements / an</t>
  </si>
  <si>
    <t>Constructions / an</t>
  </si>
  <si>
    <t xml:space="preserve">Nombre de logements </t>
  </si>
  <si>
    <t>Nombre bâtiments "neufs"</t>
  </si>
  <si>
    <t>Nombre bâtiments "rénovés"</t>
  </si>
  <si>
    <t>Nombre de bâtiments "anciens"</t>
  </si>
  <si>
    <t>Sobriété</t>
  </si>
  <si>
    <t>Surface des bâtiments (m2)</t>
  </si>
  <si>
    <t>Conso chauff / an en kWh sans sobriété</t>
  </si>
  <si>
    <t>Nombre de dégrés en moins de chauff</t>
  </si>
  <si>
    <t>Conso chauff / an en kWh avec sobriété</t>
  </si>
  <si>
    <t>Nombre de logements</t>
  </si>
  <si>
    <t>Emissions de GES liées à l'utilisation des logements en MtCO2e</t>
  </si>
  <si>
    <t>Logements 100% EnR (Chauffage solaire, géothermie, biogaz en consommation directe + PAC)</t>
  </si>
  <si>
    <t>MCO2e</t>
  </si>
  <si>
    <t>TOTAL Emissions de GES hors elec et CU</t>
  </si>
  <si>
    <t>TOTAL Emissions de GES électricité et CU</t>
  </si>
  <si>
    <t>Emissions de GES liées à la construction et la rénovation en MtCO2e</t>
  </si>
  <si>
    <t xml:space="preserve">Emissions de GES liées à la construction </t>
  </si>
  <si>
    <t xml:space="preserve">Emissions de GES liées à la rénovation </t>
  </si>
  <si>
    <t>TOTAL émissions construction et rénovation</t>
  </si>
  <si>
    <t>Usage de l'électricité hors chauffage (électricité spécifique)</t>
  </si>
  <si>
    <t>Elec spécifique en kWh</t>
  </si>
  <si>
    <t>kWh</t>
  </si>
  <si>
    <t>Elec spécifique en MtCO2e</t>
  </si>
  <si>
    <t>Total émissions de GES de l'électricité résidentielle</t>
  </si>
  <si>
    <t>Amont du Gaz</t>
  </si>
  <si>
    <t>Emissions de GES du secteur tertiaire</t>
  </si>
  <si>
    <t>Consommation tertiaire</t>
  </si>
  <si>
    <t xml:space="preserve">Modélisation Transports : </t>
  </si>
  <si>
    <t>Véhicules individuels</t>
  </si>
  <si>
    <t>Voyageurs_km_2020_VP</t>
  </si>
  <si>
    <t>Voyageurs km en 2017 en voiture</t>
  </si>
  <si>
    <t>millards</t>
  </si>
  <si>
    <t>Vehicules_km_2020_VP</t>
  </si>
  <si>
    <t>Nombre de véhicules particuliers en véhicules.km en 2020</t>
  </si>
  <si>
    <t>milliards</t>
  </si>
  <si>
    <t>Conso_moyenne_2030</t>
  </si>
  <si>
    <t>Consommation moyenne des véhicules particuliers en 2020</t>
  </si>
  <si>
    <t>L/100 km</t>
  </si>
  <si>
    <t>km_moyen_VP</t>
  </si>
  <si>
    <t>km moyen par véhicule</t>
  </si>
  <si>
    <t>km</t>
  </si>
  <si>
    <t>Nb_véhicules_2020</t>
  </si>
  <si>
    <t>Nombre de véhicules</t>
  </si>
  <si>
    <t>millions de véhicules</t>
  </si>
  <si>
    <t>Nb_voyageurs_2020</t>
  </si>
  <si>
    <t>Nombre de voyageurs</t>
  </si>
  <si>
    <t>voyageurs</t>
  </si>
  <si>
    <t>Passager_covoit_2020</t>
  </si>
  <si>
    <t>Nombre moyen de passagers par véhicule en 2020</t>
  </si>
  <si>
    <t>passagers/véhicules</t>
  </si>
  <si>
    <t>Véhicules électriques</t>
  </si>
  <si>
    <t>FE_amont_construction_VE</t>
  </si>
  <si>
    <t>Facteur d'émissions amont des véhicules électriques (gCO2/km)</t>
  </si>
  <si>
    <t>Non utilisé</t>
  </si>
  <si>
    <t>FE_amont_elec_VE_2020</t>
  </si>
  <si>
    <t>Facteur d'émissions amont des véhicules électriques 2020 (gCO2/km)</t>
  </si>
  <si>
    <t>FE_amont_elec_VE</t>
  </si>
  <si>
    <t>FE_carburant</t>
  </si>
  <si>
    <t>Carburants</t>
  </si>
  <si>
    <t>FE_carburant_direct</t>
  </si>
  <si>
    <t>Carburant direct</t>
  </si>
  <si>
    <t>kg CO2e / voy.km</t>
  </si>
  <si>
    <t>FE_carburant_amont_2</t>
  </si>
  <si>
    <t>Carburant amont</t>
  </si>
  <si>
    <t>FE_Vtherm_construction</t>
  </si>
  <si>
    <t>Fabrication véhicule amont</t>
  </si>
  <si>
    <t>FE_carburant_combustion</t>
  </si>
  <si>
    <t>Emissions par L (combustion)</t>
  </si>
  <si>
    <t>kg CO2 / L</t>
  </si>
  <si>
    <t>FE_carburant_Amont</t>
  </si>
  <si>
    <t>Emission par L (Amont)</t>
  </si>
  <si>
    <t>Variation de la distance parcourue par personne</t>
  </si>
  <si>
    <t>Voyageurs km voiture individuelle (en milliards)</t>
  </si>
  <si>
    <t>Cas augmentation du nombre de km</t>
  </si>
  <si>
    <t>Cas diminution du nombre de km</t>
  </si>
  <si>
    <t>Consommation moyenne (l/100 km)</t>
  </si>
  <si>
    <t>Consommation avec éco-conduite</t>
  </si>
  <si>
    <t>Renouvellement du parc automobile</t>
  </si>
  <si>
    <t>Parc ancien</t>
  </si>
  <si>
    <t>Parc renouvelé par une motorisation à très faibles émissions (assimilé VE)</t>
  </si>
  <si>
    <t>Taux de renouvellement du parc ancien par des véhicules électriques</t>
  </si>
  <si>
    <t>Nombre de véhicules électriques à construire</t>
  </si>
  <si>
    <t>Impact carbone de la construction d'un véhicule électrique (tCO2e)</t>
  </si>
  <si>
    <t>Source : http://www.fondation-nature-homme.org/sites/default/files/vehicule_electrique_synthese.pdf</t>
  </si>
  <si>
    <t>Taux de renouvellement du parc ancien par des véhicules thermiques</t>
  </si>
  <si>
    <t>si le taux de renouvellement par des VE est supérieur à 2% (taux moyen de renouvellement actuel du parc), on considère que tous les véhicules neufs sont des véhicules électriques</t>
  </si>
  <si>
    <t>Nombre de véhicules thermiques à construire</t>
  </si>
  <si>
    <t>Impact carbone de la construction d'un véhicule thermique (tCO2e)</t>
  </si>
  <si>
    <t>Covoiturage</t>
  </si>
  <si>
    <t>Taux de covoiturage</t>
  </si>
  <si>
    <t>Véhicules km (en milliards) à prendre en compte dans les calculs</t>
  </si>
  <si>
    <t xml:space="preserve">Consommation de carburant des véhicules thermiques  (mds de L) </t>
  </si>
  <si>
    <t>Calcul des émissions par phase</t>
  </si>
  <si>
    <t>Emissions Véhicules Thermiques - Construction (MtCO2)</t>
  </si>
  <si>
    <t>Emissions Véhicules thermiques - Carburant Amont (MtCO2)</t>
  </si>
  <si>
    <t>Emissions Véhicules thermiques - Carburant Combustion (MtCO2)</t>
  </si>
  <si>
    <t>Emissions Véhicules électriques - Construction(MtCO2)</t>
  </si>
  <si>
    <t>Emissions Véhicules électriques - Electricité (MtCO2)</t>
  </si>
  <si>
    <t>Total - Véhicules particuliers (MtCO2)</t>
  </si>
  <si>
    <t>Transport communs :</t>
  </si>
  <si>
    <t>Nombre de voyageurs en TC en 2020</t>
  </si>
  <si>
    <t>Bus / autocar</t>
  </si>
  <si>
    <t>Mds voyageur km</t>
  </si>
  <si>
    <t>Train</t>
  </si>
  <si>
    <t>Ratio de report modal vers le bus</t>
  </si>
  <si>
    <t>Ratio de report modal vers le train</t>
  </si>
  <si>
    <t xml:space="preserve">Ratio d'évaporation du trafic motorisé (vers la marche, le vélo ou une baisse des déplacement) </t>
  </si>
  <si>
    <t>Note V2 : Pour l'instant le modèle n'inclut pas de paramétrage concernant les transports - a développer dans une V2 ? Idem sur la non prise en compte de la phase amont des infrastructures de transport en commun</t>
  </si>
  <si>
    <t>Facteurs d'émissions TC</t>
  </si>
  <si>
    <t>bus</t>
  </si>
  <si>
    <t>kg CO2 / pass.km avec amont</t>
  </si>
  <si>
    <t>train</t>
  </si>
  <si>
    <t>bus Mds km</t>
  </si>
  <si>
    <t>Train Mds km</t>
  </si>
  <si>
    <t>Part des bus au biogaz</t>
  </si>
  <si>
    <t>Emissions bus M T CO2e</t>
  </si>
  <si>
    <t>Emissions train M T CO2e</t>
  </si>
  <si>
    <t>Véhicules utilitaires :</t>
  </si>
  <si>
    <t>Véhicules utilitaires</t>
  </si>
  <si>
    <t>Distance parcourue par des véhicules utilitaires  en 2030 par rapport à 2020 (%)</t>
  </si>
  <si>
    <t>Consommation moyenne de carburant</t>
  </si>
  <si>
    <t>L/km</t>
  </si>
  <si>
    <t>Base Carbone ADEME : Véhicule Utilitaire Léger - express, ramasse distribution, pli/course</t>
  </si>
  <si>
    <t>Emissions moyennes de gaz à effet de serre</t>
  </si>
  <si>
    <t>kgCO2/km</t>
  </si>
  <si>
    <t>Emissions de gaz à effet de serre des véhicules utilitaires (kgCO2/L)</t>
  </si>
  <si>
    <t>Emissions GES des véhicules utilitaires</t>
  </si>
  <si>
    <t>M T CO2e</t>
  </si>
  <si>
    <t>Composition du parc (Professionnels)</t>
  </si>
  <si>
    <t>K véhicules</t>
  </si>
  <si>
    <t>Composition du parc (Particuliers)</t>
  </si>
  <si>
    <t>Nb_véhicules_VU</t>
  </si>
  <si>
    <t>Nombre total de VU (Particuliers + Pro)</t>
  </si>
  <si>
    <t>Taux de renouvellement annuel (nb de véhicules)</t>
  </si>
  <si>
    <t>K Véhicules</t>
  </si>
  <si>
    <t>Taux de renouvellement annuel (%)</t>
  </si>
  <si>
    <t>Conso_carburant_VU</t>
  </si>
  <si>
    <t>Hypothèses : les particuliers ont souvent un véhicule d'occasion, donc qui consomme plus que la moyenne et dont l'intérêt est limité</t>
  </si>
  <si>
    <t>Distance annuelle moyenne - Professionnels</t>
  </si>
  <si>
    <t>Distance annuelle moyenne - Particuliers</t>
  </si>
  <si>
    <t>Distance moyenne par jour ouvré (Professionnels)</t>
  </si>
  <si>
    <t>M km annuels professionnels</t>
  </si>
  <si>
    <t>M km annuels particuliers</t>
  </si>
  <si>
    <t>Renouvellement passage à l'elec</t>
  </si>
  <si>
    <t>Part du parc thermique</t>
  </si>
  <si>
    <t>Part du parc électrique</t>
  </si>
  <si>
    <t>Emissions VU thermiques - Carburant Amont (MtCO2)</t>
  </si>
  <si>
    <t>Emissions VU thermiques - Carburant Combustion (MtCO2)</t>
  </si>
  <si>
    <t>Emissions VU électriques - Construction(MtCO2)</t>
  </si>
  <si>
    <t>Emissions VU électriques - Electricité (MtCO2)</t>
  </si>
  <si>
    <t>Total - VU (MtCO2)</t>
  </si>
  <si>
    <t>Consommation de carburant (Mds L)</t>
  </si>
  <si>
    <t>Emissions GES M TCO2e</t>
  </si>
  <si>
    <t>Transport routier (Poids Lourds):</t>
  </si>
  <si>
    <t>Taux de renouvellement des véhicules</t>
  </si>
  <si>
    <t>Part de véhicules de transports de marchandises remplacés par des Véhicules à Très Faibles Emissions en 2030 (%)</t>
  </si>
  <si>
    <t xml:space="preserve">Selon https://www.statistiques.developpement-durable.gouv.fr/sites/default/files/2018-11/datalab-42-rapport-comptes-transports-2017-aout2018.pdf </t>
  </si>
  <si>
    <t>Quantité de marchandise transportée en 2020</t>
  </si>
  <si>
    <t>Mds tonnes km</t>
  </si>
  <si>
    <t>Emissions du secteur des transports de marchandises en 2020</t>
  </si>
  <si>
    <t>combustion</t>
  </si>
  <si>
    <t>kg CO2e / t.km</t>
  </si>
  <si>
    <t>Amont</t>
  </si>
  <si>
    <t>Emissions_GES_Aérien_Fr_2020-(Emissions_GES_Aérien_Fr_2020*(I2-Année_référence)*(1-NB_vols_2030/Nb_vols_2020)/Nb_années)</t>
  </si>
  <si>
    <t>Mds tonnes km transportées</t>
  </si>
  <si>
    <t>Emissions combustion M T CO2e</t>
  </si>
  <si>
    <t>Emissions amont M T CO2e</t>
  </si>
  <si>
    <t>Emissions Transport aérien (MtCO2)</t>
  </si>
  <si>
    <t>Emissions Transport aérien avec gain d'efficacité (MtCO2)</t>
  </si>
  <si>
    <t>Impact carbone du transport aérien (chiffres SOeS)</t>
  </si>
  <si>
    <t>Facteur multiplicateur prise en compte amont</t>
  </si>
  <si>
    <t>Facteur multiplicateur trainée de condensation et autres impacts climatiques hors carburant</t>
  </si>
  <si>
    <t>Proportion d'étrangers dans les vols</t>
  </si>
  <si>
    <t>Emissions_GES_Aérien_Fr_2020</t>
  </si>
  <si>
    <t>Impact carbone du transport aérien à prendre en compte</t>
  </si>
  <si>
    <t xml:space="preserve">chiffre SOES = 18 MT CO2e (en retirant les vols intérieurs). On retire 45% pour les passagers étrangers, on multiplie par 2 pour prendre en compte l'intégralité du vol et on multiplie par 1,6 pour prendre en compte la fabrication amont et les trainées de condensation, en version limitée. Ca donne donc 31,7 Mt CO2e
</t>
  </si>
  <si>
    <t>Nb_vols_2020</t>
  </si>
  <si>
    <t>Nombre de vols en 2020 (en millions)</t>
  </si>
  <si>
    <t>Gain_eff_carbone_aérien</t>
  </si>
  <si>
    <t>Gain efficacité carbone du transport aérien par an (%)</t>
  </si>
  <si>
    <t>Récap Transport :</t>
  </si>
  <si>
    <t>Emissions CO2 Directes (Combustion de Carburant) en MtCO2e</t>
  </si>
  <si>
    <t>Véhicules particuliers thermiques</t>
  </si>
  <si>
    <t>VUL</t>
  </si>
  <si>
    <t>Bus</t>
  </si>
  <si>
    <t>Poids Lourds</t>
  </si>
  <si>
    <t>TOTAL directes</t>
  </si>
  <si>
    <t>Emissions Indirectes liées à l'énergie (Carburant Amont + Electricité) en MtCO2</t>
  </si>
  <si>
    <t>Amont électricité véhicules particuliers</t>
  </si>
  <si>
    <t>Amont carburant véhicules particuliers</t>
  </si>
  <si>
    <t>Amont carburant VUL</t>
  </si>
  <si>
    <t>Amont électricité VUL</t>
  </si>
  <si>
    <t>Amont Carburant PL</t>
  </si>
  <si>
    <t>TOTAL Indirectes</t>
  </si>
  <si>
    <t>dont électricité</t>
  </si>
  <si>
    <t>Emissions Indirectes liées à la construction des véhicules (MtCO2)</t>
  </si>
  <si>
    <t>Construction V thermiques particuliers</t>
  </si>
  <si>
    <t>Constructions Velec</t>
  </si>
  <si>
    <t>TOTAL Construction de véhicules</t>
  </si>
  <si>
    <t>Modélisation Industrie de l'énergie</t>
  </si>
  <si>
    <t>FE gaz kgCO2e/kWh</t>
  </si>
  <si>
    <t>FE électricité kgCO2e/kWh</t>
  </si>
  <si>
    <t>FE VE amont électricité en kgCO2e/kWh</t>
  </si>
  <si>
    <t>Emissions de CO2 en MtCO2e - Hors électricité</t>
  </si>
  <si>
    <t>Part résidentiel</t>
  </si>
  <si>
    <t>Part tertiaire</t>
  </si>
  <si>
    <t>Part transport</t>
  </si>
  <si>
    <t>Part industrie</t>
  </si>
  <si>
    <t>Emissions de CO2 en MtCO2e - Electricité</t>
  </si>
  <si>
    <t>TOTAL Industrie de l'énergie</t>
  </si>
  <si>
    <t xml:space="preserve"> </t>
  </si>
  <si>
    <t>Modélisation Agriculture</t>
  </si>
  <si>
    <t>Part des exploitations contribuant à la baisse des émissions en 2030</t>
  </si>
  <si>
    <t>Efficacité des pratiques non bio par an :</t>
  </si>
  <si>
    <t>par an</t>
  </si>
  <si>
    <t>moyenne</t>
  </si>
  <si>
    <t>t CO2 par hectare</t>
  </si>
  <si>
    <t xml:space="preserve">Non utilisé </t>
  </si>
  <si>
    <t>elevage</t>
  </si>
  <si>
    <t>Moyenne hors élevage</t>
  </si>
  <si>
    <t>Efficacité max d'une parcelle contributive</t>
  </si>
  <si>
    <t>SAU</t>
  </si>
  <si>
    <t>millions hectares</t>
  </si>
  <si>
    <t>SAU élevage (paturages)</t>
  </si>
  <si>
    <t>Hypothèse BL évolution : 1/3 de la SAU en France est dédiée aux prairies et paturages</t>
  </si>
  <si>
    <t>SAU élevage (fourage et alimentation du bétail)</t>
  </si>
  <si>
    <t>Hypothèse BL évolution : 1/3 de la SAU en France est dédiée à l'alimentation animale</t>
  </si>
  <si>
    <t>SAU hors élevage</t>
  </si>
  <si>
    <t>Hypothèse BL évolution: 1/3 de la SAU en France est dédiée à l'alimentation humaine en produits végétaux</t>
  </si>
  <si>
    <t>dont bio</t>
  </si>
  <si>
    <t>Hypothèse BL évolution : En première approximation, on considère que les parcelles contributives sont d'une surface équivalente à celles des surfaces en agriculture biologique</t>
  </si>
  <si>
    <t>Elevage</t>
  </si>
  <si>
    <t>Viande équivalent carcasse consommé par habitants/ an</t>
  </si>
  <si>
    <t>kg</t>
  </si>
  <si>
    <t>Séquestration moyenne des forêts selon l'ADEME (outil ALDO)</t>
  </si>
  <si>
    <t xml:space="preserve"> tC/ha/an</t>
  </si>
  <si>
    <t>Conversion de parcelles contribuant à la baisse des émissions</t>
  </si>
  <si>
    <t>Parcelles contributives (Mha)</t>
  </si>
  <si>
    <t>Parcelles non contributives (Mha)</t>
  </si>
  <si>
    <t>Parcelles - total hors élevage (Mha)</t>
  </si>
  <si>
    <t>Parcelles pour élevage (Mha)</t>
  </si>
  <si>
    <t>Part des parcelles contributives</t>
  </si>
  <si>
    <t>Moyenne emissions non contributives</t>
  </si>
  <si>
    <t>Emissions parcelles contributives MtCO2e</t>
  </si>
  <si>
    <t>Emissions non contributives MtCO2e</t>
  </si>
  <si>
    <t>TOTAL Emissions de GES  hors élevage</t>
  </si>
  <si>
    <t>Taux suppression consommation de viande (hors élevages extensif)</t>
  </si>
  <si>
    <t>Conso par pers.</t>
  </si>
  <si>
    <t>TOTAL Elevage</t>
  </si>
  <si>
    <t>TOTAL MtCO2e</t>
  </si>
  <si>
    <t>Conversion de surfaces agricoles en forêts</t>
  </si>
  <si>
    <t>Afforestation (Mha)</t>
  </si>
  <si>
    <t>millions d'hectares</t>
  </si>
  <si>
    <t>Sequestration forestière (MtCO2)</t>
  </si>
  <si>
    <t>Modélisations Biens et consommation :</t>
  </si>
  <si>
    <t>Emissions Biens Informatiques et Hifi</t>
  </si>
  <si>
    <t>Emissions Textiles</t>
  </si>
  <si>
    <t>MtCO3</t>
  </si>
  <si>
    <t>Emissions Autres Biens (distribution, électroménager, mobilier)</t>
  </si>
  <si>
    <t>MtCO4</t>
  </si>
  <si>
    <t>Emissions Services (dont services publics)</t>
  </si>
  <si>
    <t>MtCO5</t>
  </si>
  <si>
    <t>Emissions de CO2 en MtCO2e</t>
  </si>
  <si>
    <t>Emissions liées aux biens informatiques et Hifi (MtCO2e)</t>
  </si>
  <si>
    <t>Emissions liées aux biens textiles (MtCO2e)</t>
  </si>
  <si>
    <t>Emissions liées aux autres biens et services (MtCO2e)</t>
  </si>
  <si>
    <t>Emissions liées aux services publics (MtCO2e)</t>
  </si>
  <si>
    <t>TOTAL Biens et services</t>
  </si>
  <si>
    <t>Emissions liées aux biens informatiques et Hifi - Avec gain d'efficacité (MtCO2e)</t>
  </si>
  <si>
    <t>Emissions liées aux biens textiles  - Avec gain d'efficacité (MtCO2e)</t>
  </si>
  <si>
    <t>Emissions liées aux autres biens et services  - Avec gain d'efficacité (MtCO2e)</t>
  </si>
  <si>
    <t>Emissions liées aux services publics  - Avec gain d'efficacité  (MtCO2e)</t>
  </si>
  <si>
    <t>TOTAL Biens et services - Avec gains d'efficacité</t>
  </si>
  <si>
    <t>Données empreinte carbone 2010 (non utilisées dans les calculs mais indicatives)</t>
  </si>
  <si>
    <t>Par hab kg CO2e)</t>
  </si>
  <si>
    <t>France (MtCO2e)</t>
  </si>
  <si>
    <t>Pris en compte</t>
  </si>
  <si>
    <t>Viande</t>
  </si>
  <si>
    <t>Produits laitiers</t>
  </si>
  <si>
    <t>Autre</t>
  </si>
  <si>
    <t>Biens et industrie</t>
  </si>
  <si>
    <t>Courants dont vetements</t>
  </si>
  <si>
    <t>Informatique Hifi</t>
  </si>
  <si>
    <t>Fab de voiture</t>
  </si>
  <si>
    <t>Fret de distribution</t>
  </si>
  <si>
    <t>Distribution</t>
  </si>
  <si>
    <t>Gros electoménager</t>
  </si>
  <si>
    <t>Mobilier et autre</t>
  </si>
  <si>
    <t>Voiture</t>
  </si>
  <si>
    <t>Avion</t>
  </si>
  <si>
    <t>Publics</t>
  </si>
  <si>
    <t>Privés</t>
  </si>
  <si>
    <t>Energie des logements</t>
  </si>
  <si>
    <t>Gaz</t>
  </si>
  <si>
    <t>Fioul</t>
  </si>
  <si>
    <t>Spécifique</t>
  </si>
  <si>
    <t>Elec</t>
  </si>
  <si>
    <t>Réseau de chaleur</t>
  </si>
  <si>
    <t>Construction</t>
  </si>
  <si>
    <t>Neuf</t>
  </si>
  <si>
    <t>Réno</t>
  </si>
  <si>
    <t>GTCO2/an en 2030</t>
  </si>
  <si>
    <t>&lt;30</t>
  </si>
  <si>
    <t>30-45</t>
  </si>
  <si>
    <t>&gt;45</t>
  </si>
  <si>
    <t>Scénario RCP du GIEC suivi</t>
  </si>
  <si>
    <t>2.6</t>
  </si>
  <si>
    <t>4,5-6</t>
  </si>
  <si>
    <t>8.5</t>
  </si>
  <si>
    <t>Egalité de diminution :</t>
  </si>
  <si>
    <t>Réhausse proportionnel :</t>
  </si>
  <si>
    <t>Trajectoire selon le rapport du GIEC SR15</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</si>
</sst>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_-* #,##0.00_-;\-* #,##0.00_-;_-* &quot;-&quot;??_-;_-@"/>
    <numFmt numFmtId="166" formatCode="0.000"/>
    <numFmt numFmtId="167" formatCode="_-* #,##0\ _€_-;\-* #,##0\ _€_-;_-* &quot;-&quot;??\ _€_-;_-@"/>
    <numFmt numFmtId="168" formatCode="_-* #,##0.00\ _€_-;\-* #,##0.00\ _€_-;_-* &quot;-&quot;??\ _€_-;_-@"/>
    <numFmt numFmtId="169" formatCode="_-* #,##0.0\ _€_-;\-* #,##0.0\ _€_-;_-* &quot;-&quot;??\ _€_-;_-@"/>
    <numFmt numFmtId="170" formatCode="_-* #,##0_-;\-* #,##0_-;_-* &quot;-&quot;??_-;_-@"/>
    <numFmt numFmtId="171" formatCode="_-* #,##0.0_-;\-* #,##0.0_-;_-* &quot;-&quot;??_-;_-@"/>
    <numFmt numFmtId="172" formatCode="0.000000"/>
    <numFmt numFmtId="173" formatCode="0.0%"/>
  </numFmts>
  <fonts count="45">
    <font>
      <sz val="11.0"/>
      <color theme="1"/>
      <name val="Arial"/>
    </font>
    <font>
      <b/>
      <sz val="11.0"/>
      <color rgb="FFFFFFFF"/>
      <name val="Calibri"/>
    </font>
    <font>
      <sz val="11.0"/>
      <color theme="1"/>
      <name val="Calibri"/>
    </font>
    <font>
      <sz val="11.0"/>
      <color rgb="FF000000"/>
      <name val="Calibri"/>
    </font>
    <font>
      <b/>
      <sz val="11.0"/>
      <color theme="1"/>
      <name val="Calibri"/>
    </font>
    <font>
      <b/>
      <sz val="11.0"/>
      <color rgb="FF000000"/>
      <name val="Calibri"/>
    </font>
    <font>
      <sz val="11.0"/>
      <name val="Calibri"/>
    </font>
    <font>
      <color rgb="FFFF0000"/>
      <name val="Calibri"/>
    </font>
    <font>
      <sz val="11.0"/>
      <color rgb="FFFF0000"/>
      <name val="Calibri"/>
    </font>
    <font>
      <color theme="1"/>
      <name val="Calibri"/>
    </font>
    <font>
      <sz val="11.0"/>
      <color rgb="FF000000"/>
      <name val="Arial"/>
    </font>
    <font>
      <color rgb="FF000000"/>
      <name val="Calibri"/>
    </font>
    <font>
      <sz val="11.0"/>
      <color rgb="FF000000"/>
      <name val="Docs-Calibri"/>
    </font>
    <font>
      <sz val="8.0"/>
      <color rgb="FF000000"/>
      <name val="Docs-Calibri"/>
    </font>
    <font>
      <b/>
      <sz val="16.0"/>
      <color theme="1"/>
      <name val="Calibri"/>
    </font>
    <font/>
    <font>
      <b/>
      <sz val="11.0"/>
      <color theme="0"/>
      <name val="Calibri"/>
    </font>
    <font>
      <b/>
      <sz val="11.0"/>
      <color theme="0"/>
      <name val="Arial"/>
    </font>
    <font>
      <sz val="11.0"/>
      <color rgb="FFFF0000"/>
      <name val="Arial"/>
    </font>
    <font>
      <b/>
      <u/>
      <sz val="11.0"/>
      <color rgb="FF0000FF"/>
      <name val="Calibri"/>
    </font>
    <font>
      <b/>
      <u/>
      <sz val="11.0"/>
      <color theme="0"/>
      <name val="Calibri"/>
    </font>
    <font>
      <b/>
      <u/>
      <sz val="11.0"/>
      <color rgb="FFFFFFFF"/>
      <name val="Calibri"/>
    </font>
    <font>
      <b/>
      <u/>
      <sz val="11.0"/>
      <color rgb="FF000000"/>
      <name val="Calibri"/>
    </font>
    <font>
      <b/>
      <u/>
      <sz val="11.0"/>
      <color rgb="FFFFFFFF"/>
      <name val="Calibri"/>
    </font>
    <font>
      <b/>
      <u/>
      <sz val="11.0"/>
      <color rgb="FFFFFFFF"/>
      <name val="Calibri"/>
    </font>
    <font>
      <b/>
      <u/>
      <sz val="11.0"/>
      <color rgb="FFFFFFFF"/>
      <name val="Calibri"/>
    </font>
    <font>
      <i/>
      <sz val="11.0"/>
      <color theme="1"/>
      <name val="Calibri"/>
    </font>
    <font>
      <b/>
      <u/>
      <sz val="12.0"/>
      <color theme="1"/>
      <name val="Calibri"/>
    </font>
    <font>
      <b/>
      <u/>
      <sz val="12.0"/>
      <color theme="0"/>
      <name val="Calibri"/>
    </font>
    <font>
      <sz val="11.0"/>
      <color theme="0"/>
      <name val="Calibri"/>
    </font>
    <font>
      <i/>
      <sz val="11.0"/>
      <color theme="0"/>
      <name val="Calibri"/>
    </font>
    <font>
      <sz val="8.0"/>
      <color rgb="FF000000"/>
      <name val="Inconsolata"/>
    </font>
    <font>
      <sz val="10.0"/>
      <color rgb="FF000000"/>
      <name val="Calibri"/>
    </font>
    <font>
      <sz val="10.0"/>
      <color theme="1"/>
      <name val="Calibri"/>
    </font>
    <font>
      <i/>
      <sz val="11.0"/>
      <color rgb="FF000000"/>
      <name val="Calibri"/>
    </font>
    <font>
      <u/>
      <sz val="11.0"/>
      <color theme="10"/>
      <name val="Calibri"/>
    </font>
    <font>
      <b/>
      <u/>
      <sz val="11.0"/>
      <color theme="1"/>
      <name val="Calibri"/>
    </font>
    <font>
      <b/>
      <u/>
      <sz val="11.0"/>
      <color theme="1"/>
      <name val="Calibri"/>
    </font>
    <font>
      <u/>
      <sz val="11.0"/>
      <color theme="1"/>
      <name val="Calibri"/>
    </font>
    <font>
      <sz val="11.0"/>
      <color rgb="FFC00000"/>
      <name val="Calibri"/>
    </font>
    <font>
      <b/>
      <sz val="11.0"/>
      <color theme="1"/>
      <name val="Arial"/>
    </font>
    <font>
      <b/>
      <u/>
      <sz val="11.0"/>
      <color theme="1"/>
      <name val="Calibri"/>
    </font>
    <font>
      <b/>
      <u/>
      <sz val="11.0"/>
      <color theme="1"/>
      <name val="Calibri"/>
    </font>
    <font>
      <b/>
      <u/>
      <sz val="11.0"/>
      <color rgb="FF000000"/>
      <name val="Calibri"/>
    </font>
    <font>
      <i/>
      <u/>
      <sz val="11.0"/>
      <color theme="1"/>
      <name val="Calibri"/>
    </font>
  </fonts>
  <fills count="42">
    <fill>
      <patternFill patternType="none"/>
    </fill>
    <fill>
      <patternFill patternType="lightGray"/>
    </fill>
    <fill>
      <patternFill patternType="solid">
        <fgColor rgb="FF1155CC"/>
        <bgColor rgb="FF1155CC"/>
      </patternFill>
    </fill>
    <fill>
      <patternFill patternType="solid">
        <fgColor rgb="FF93C47D"/>
        <bgColor rgb="FF93C47D"/>
      </patternFill>
    </fill>
    <fill>
      <patternFill patternType="solid">
        <fgColor rgb="FFA64D79"/>
        <bgColor rgb="FFA64D79"/>
      </patternFill>
    </fill>
    <fill>
      <patternFill patternType="solid">
        <fgColor rgb="FFB7B7B7"/>
        <bgColor rgb="FFB7B7B7"/>
      </patternFill>
    </fill>
    <fill>
      <patternFill patternType="solid">
        <fgColor rgb="FFCFE2F3"/>
        <bgColor rgb="FFCFE2F3"/>
      </patternFill>
    </fill>
    <fill>
      <patternFill patternType="solid">
        <fgColor rgb="FF38761D"/>
        <bgColor rgb="FF38761D"/>
      </patternFill>
    </fill>
    <fill>
      <patternFill patternType="solid">
        <fgColor theme="0"/>
        <bgColor theme="0"/>
      </patternFill>
    </fill>
    <fill>
      <patternFill patternType="solid">
        <fgColor rgb="FFFFFECB"/>
        <bgColor rgb="FFFFFECB"/>
      </patternFill>
    </fill>
    <fill>
      <patternFill patternType="solid">
        <fgColor rgb="FFFFFFFF"/>
        <bgColor rgb="FFFFFFFF"/>
      </patternFill>
    </fill>
    <fill>
      <patternFill patternType="solid">
        <fgColor theme="7"/>
        <bgColor theme="7"/>
      </patternFill>
    </fill>
    <fill>
      <patternFill patternType="solid">
        <fgColor rgb="FF00B0F0"/>
        <bgColor rgb="FF00B0F0"/>
      </patternFill>
    </fill>
    <fill>
      <patternFill patternType="solid">
        <fgColor theme="4"/>
        <bgColor theme="4"/>
      </patternFill>
    </fill>
    <fill>
      <patternFill patternType="solid">
        <fgColor rgb="FFF2F2F2"/>
        <bgColor rgb="FFF2F2F2"/>
      </patternFill>
    </fill>
    <fill>
      <patternFill patternType="solid">
        <fgColor theme="6"/>
        <bgColor theme="6"/>
      </patternFill>
    </fill>
    <fill>
      <patternFill patternType="solid">
        <fgColor rgb="FFC00000"/>
        <bgColor rgb="FFC00000"/>
      </patternFill>
    </fill>
    <fill>
      <patternFill patternType="solid">
        <fgColor rgb="FFA4C2F4"/>
        <bgColor rgb="FFA4C2F4"/>
      </patternFill>
    </fill>
    <fill>
      <patternFill patternType="solid">
        <fgColor rgb="FFE06666"/>
        <bgColor rgb="FFE06666"/>
      </patternFill>
    </fill>
    <fill>
      <patternFill patternType="solid">
        <fgColor rgb="FFD0E0E3"/>
        <bgColor rgb="FFD0E0E3"/>
      </patternFill>
    </fill>
    <fill>
      <patternFill patternType="solid">
        <fgColor rgb="FFB8F0FF"/>
        <bgColor rgb="FFB8F0FF"/>
      </patternFill>
    </fill>
    <fill>
      <patternFill patternType="solid">
        <fgColor theme="5"/>
        <bgColor theme="5"/>
      </patternFill>
    </fill>
    <fill>
      <patternFill patternType="solid">
        <fgColor theme="8"/>
        <bgColor theme="8"/>
      </patternFill>
    </fill>
    <fill>
      <patternFill patternType="solid">
        <fgColor rgb="FFDD7E6B"/>
        <bgColor rgb="FFDD7E6B"/>
      </patternFill>
    </fill>
    <fill>
      <patternFill patternType="solid">
        <fgColor rgb="FFF4CCCC"/>
        <bgColor rgb="FFF4CCCC"/>
      </patternFill>
    </fill>
    <fill>
      <patternFill patternType="solid">
        <fgColor rgb="FFBDF58F"/>
        <bgColor rgb="FFBDF58F"/>
      </patternFill>
    </fill>
    <fill>
      <patternFill patternType="solid">
        <fgColor rgb="FFD9D2E9"/>
        <bgColor rgb="FFD9D2E9"/>
      </patternFill>
    </fill>
    <fill>
      <patternFill patternType="solid">
        <fgColor rgb="FFD8D8D8"/>
        <bgColor rgb="FFD8D8D8"/>
      </patternFill>
    </fill>
    <fill>
      <patternFill patternType="solid">
        <fgColor rgb="FF0080A0"/>
        <bgColor rgb="FF0080A0"/>
      </patternFill>
    </fill>
    <fill>
      <patternFill patternType="solid">
        <fgColor rgb="FFFF0000"/>
        <bgColor rgb="FFFF0000"/>
      </patternFill>
    </fill>
    <fill>
      <patternFill patternType="solid">
        <fgColor rgb="FFDEFAC7"/>
        <bgColor rgb="FFDEFAC7"/>
      </patternFill>
    </fill>
    <fill>
      <patternFill patternType="solid">
        <fgColor rgb="FF9DF157"/>
        <bgColor rgb="FF9DF157"/>
      </patternFill>
    </fill>
    <fill>
      <patternFill patternType="solid">
        <fgColor theme="9"/>
        <bgColor theme="9"/>
      </patternFill>
    </fill>
    <fill>
      <patternFill patternType="solid">
        <fgColor rgb="FFFFFF65"/>
        <bgColor rgb="FFFFFF65"/>
      </patternFill>
    </fill>
    <fill>
      <patternFill patternType="solid">
        <fgColor rgb="FFBFBF00"/>
        <bgColor rgb="FFBFBF00"/>
      </patternFill>
    </fill>
    <fill>
      <patternFill patternType="solid">
        <fgColor rgb="FFFFFF00"/>
        <bgColor rgb="FFFFFF00"/>
      </patternFill>
    </fill>
    <fill>
      <patternFill patternType="solid">
        <fgColor rgb="FF00FFFF"/>
        <bgColor rgb="FF00FFFF"/>
      </patternFill>
    </fill>
    <fill>
      <patternFill patternType="solid">
        <fgColor rgb="FFE6EF6B"/>
        <bgColor rgb="FFE6EF6B"/>
      </patternFill>
    </fill>
    <fill>
      <patternFill patternType="solid">
        <fgColor rgb="FFEAC1FF"/>
        <bgColor rgb="FFEAC1FF"/>
      </patternFill>
    </fill>
    <fill>
      <patternFill patternType="solid">
        <fgColor rgb="FF2CD4FF"/>
        <bgColor rgb="FF2CD4FF"/>
      </patternFill>
    </fill>
    <fill>
      <patternFill patternType="solid">
        <fgColor rgb="FF72E2FF"/>
        <bgColor rgb="FF72E2FF"/>
      </patternFill>
    </fill>
    <fill>
      <patternFill patternType="solid">
        <fgColor rgb="FFFBE5DB"/>
        <bgColor rgb="FFFBE5DB"/>
      </patternFill>
    </fill>
  </fills>
  <borders count="46">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
      <left/>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right/>
      <top/>
      <bottom/>
    </border>
    <border>
      <top/>
      <bottom/>
    </border>
    <border>
      <right/>
      <top/>
      <bottom/>
    </border>
    <border>
      <left style="thin">
        <color rgb="FF000000"/>
      </left>
      <right style="thin">
        <color rgb="FF000000"/>
      </right>
    </border>
    <border>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left style="medium">
        <color rgb="FF000000"/>
      </left>
      <right style="thin">
        <color rgb="FF000000"/>
      </right>
      <top style="medium">
        <color rgb="FF000000"/>
      </top>
      <bottom style="thin">
        <color rgb="FF000000"/>
      </bottom>
    </border>
    <border>
      <left style="medium">
        <color rgb="FF000000"/>
      </left>
    </border>
    <border>
      <left style="medium">
        <color rgb="FF000000"/>
      </left>
      <right style="thin">
        <color rgb="FF000000"/>
      </right>
      <top style="thin">
        <color rgb="FF000000"/>
      </top>
      <bottom style="thin">
        <color rgb="FF000000"/>
      </bottom>
    </border>
    <border>
      <left style="medium">
        <color rgb="FF000000"/>
      </left>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thin">
        <color rgb="FF000000"/>
      </top>
    </border>
    <border>
      <top style="thin">
        <color rgb="FF000000"/>
      </top>
    </border>
    <border>
      <left/>
      <top/>
      <bottom style="thin">
        <color rgb="FF000000"/>
      </bottom>
    </border>
    <border>
      <top/>
      <bottom style="thin">
        <color rgb="FF000000"/>
      </bottom>
    </border>
    <border>
      <right style="thin">
        <color rgb="FF000000"/>
      </right>
      <top/>
      <bottom style="thin">
        <color rgb="FF000000"/>
      </bottom>
    </border>
    <border>
      <right/>
      <top/>
      <bottom style="thin">
        <color rgb="FF000000"/>
      </bottom>
    </border>
    <border>
      <left style="thin">
        <color rgb="FF000000"/>
      </left>
      <bottom style="thin">
        <color rgb="FF000000"/>
      </bottom>
    </border>
    <border>
      <left style="thin">
        <color rgb="FF000000"/>
      </left>
      <right/>
      <top/>
      <bottom style="thin">
        <color rgb="FF000000"/>
      </bottom>
    </border>
  </borders>
  <cellStyleXfs count="1">
    <xf borderId="0" fillId="0" fontId="0" numFmtId="0" applyAlignment="1" applyFont="1"/>
  </cellStyleXfs>
  <cellXfs count="39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3" fontId="1" numFmtId="0" xfId="0" applyAlignment="1" applyBorder="1" applyFill="1" applyFont="1">
      <alignment shrinkToFit="0" wrapText="1"/>
    </xf>
    <xf borderId="2" fillId="4" fontId="1" numFmtId="0" xfId="0" applyAlignment="1" applyBorder="1" applyFill="1" applyFont="1">
      <alignment readingOrder="0" shrinkToFit="0" wrapText="1"/>
    </xf>
    <xf borderId="3" fillId="5" fontId="2" numFmtId="0" xfId="0" applyBorder="1" applyFill="1" applyFont="1"/>
    <xf borderId="4" fillId="5" fontId="2" numFmtId="0" xfId="0" applyBorder="1" applyFont="1"/>
    <xf borderId="4" fillId="5" fontId="3" numFmtId="0" xfId="0" applyAlignment="1" applyBorder="1" applyFont="1">
      <alignment readingOrder="0"/>
    </xf>
    <xf borderId="5" fillId="0" fontId="3" numFmtId="0" xfId="0" applyAlignment="1" applyBorder="1" applyFont="1">
      <alignment horizontal="righ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6" fillId="0" fontId="2" numFmtId="0" xfId="0" applyAlignment="1" applyBorder="1" applyFont="1">
      <alignment shrinkToFit="0" wrapText="1"/>
    </xf>
    <xf borderId="6" fillId="0" fontId="2" numFmtId="0" xfId="0" applyAlignment="1" applyBorder="1" applyFont="1">
      <alignment horizontal="right" shrinkToFit="0" wrapText="1"/>
    </xf>
    <xf borderId="1" fillId="0" fontId="3" numFmtId="0" xfId="0" applyAlignment="1" applyBorder="1" applyFont="1">
      <alignment readingOrder="0"/>
    </xf>
    <xf borderId="1" fillId="0" fontId="2" numFmtId="0" xfId="0" applyBorder="1" applyFont="1"/>
    <xf borderId="0" fillId="0" fontId="0" numFmtId="0" xfId="0" applyFont="1"/>
    <xf borderId="6" fillId="0" fontId="3" numFmtId="0" xfId="0" applyAlignment="1" applyBorder="1" applyFont="1">
      <alignment readingOrder="0" shrinkToFit="0" wrapText="1"/>
    </xf>
    <xf borderId="0" fillId="0" fontId="2" numFmtId="0" xfId="0" applyFont="1"/>
    <xf borderId="7" fillId="2" fontId="1" numFmtId="0" xfId="0" applyAlignment="1" applyBorder="1" applyFont="1">
      <alignment shrinkToFit="0" wrapText="1"/>
    </xf>
    <xf borderId="8" fillId="6" fontId="2" numFmtId="0" xfId="0" applyBorder="1" applyFill="1" applyFont="1"/>
    <xf borderId="1" fillId="0" fontId="4" numFmtId="0" xfId="0" applyBorder="1" applyFont="1"/>
    <xf borderId="1" fillId="7" fontId="1" numFmtId="0" xfId="0" applyAlignment="1" applyBorder="1" applyFill="1" applyFont="1">
      <alignment shrinkToFit="0" wrapText="1"/>
    </xf>
    <xf borderId="1" fillId="0" fontId="5" numFmtId="0" xfId="0" applyBorder="1" applyFont="1"/>
    <xf borderId="1" fillId="4" fontId="1" numFmtId="0" xfId="0" applyAlignment="1" applyBorder="1" applyFont="1">
      <alignment shrinkToFit="0" wrapText="1"/>
    </xf>
    <xf borderId="1" fillId="4" fontId="1" numFmtId="0" xfId="0" applyAlignment="1" applyBorder="1" applyFont="1">
      <alignment readingOrder="0" shrinkToFit="0" wrapText="1"/>
    </xf>
    <xf borderId="1" fillId="0" fontId="3" numFmtId="0" xfId="0" applyBorder="1" applyFont="1"/>
    <xf borderId="9" fillId="5" fontId="2" numFmtId="0" xfId="0" applyAlignment="1" applyBorder="1" applyFont="1">
      <alignment horizontal="right" shrinkToFit="0" wrapText="1"/>
    </xf>
    <xf borderId="1" fillId="0" fontId="2" numFmtId="164" xfId="0" applyBorder="1" applyFont="1" applyNumberFormat="1"/>
    <xf borderId="1" fillId="5" fontId="2" numFmtId="0" xfId="0" applyAlignment="1" applyBorder="1" applyFont="1">
      <alignment shrinkToFit="0" wrapText="1"/>
    </xf>
    <xf borderId="2" fillId="5" fontId="2" numFmtId="0" xfId="0" applyAlignment="1" applyBorder="1" applyFont="1">
      <alignment shrinkToFit="0" wrapText="1"/>
    </xf>
    <xf borderId="1" fillId="5" fontId="3" numFmtId="0" xfId="0" applyAlignment="1" applyBorder="1" applyFont="1">
      <alignment shrinkToFit="0" wrapText="1"/>
    </xf>
    <xf borderId="3" fillId="5" fontId="2" numFmtId="0" xfId="0" applyAlignment="1" applyBorder="1" applyFont="1">
      <alignment shrinkToFit="0" wrapText="1"/>
    </xf>
    <xf borderId="0" fillId="0" fontId="2" numFmtId="164" xfId="0" applyFont="1" applyNumberFormat="1"/>
    <xf borderId="10" fillId="0" fontId="3" numFmtId="0" xfId="0" applyAlignment="1" applyBorder="1" applyFont="1">
      <alignment horizontal="right" shrinkToFit="0" wrapText="1"/>
    </xf>
    <xf borderId="1" fillId="0" fontId="0" numFmtId="0" xfId="0" applyBorder="1" applyFont="1"/>
    <xf borderId="11" fillId="0" fontId="3" numFmtId="0" xfId="0" applyAlignment="1" applyBorder="1" applyFont="1">
      <alignment readingOrder="0" shrinkToFit="0" wrapText="1"/>
    </xf>
    <xf borderId="1" fillId="0" fontId="2" numFmtId="0" xfId="0" applyAlignment="1" applyBorder="1" applyFont="1">
      <alignment shrinkToFit="0" wrapText="1"/>
    </xf>
    <xf borderId="1" fillId="8" fontId="3" numFmtId="0" xfId="0" applyBorder="1" applyFill="1" applyFont="1"/>
    <xf quotePrefix="1" borderId="1" fillId="9" fontId="2" numFmtId="0" xfId="0" applyAlignment="1" applyBorder="1" applyFill="1" applyFont="1">
      <alignment readingOrder="0"/>
    </xf>
    <xf borderId="1" fillId="0" fontId="2" numFmtId="9" xfId="0" applyBorder="1" applyFont="1" applyNumberFormat="1"/>
    <xf borderId="1" fillId="8" fontId="3" numFmtId="0" xfId="0" applyAlignment="1" applyBorder="1" applyFont="1">
      <alignment readingOrder="0"/>
    </xf>
    <xf borderId="1" fillId="8" fontId="2" numFmtId="0" xfId="0" applyBorder="1" applyFont="1"/>
    <xf borderId="1" fillId="8" fontId="2" numFmtId="0" xfId="0" applyAlignment="1" applyBorder="1" applyFont="1">
      <alignment readingOrder="0"/>
    </xf>
    <xf borderId="1" fillId="9" fontId="6" numFmtId="0" xfId="0" applyAlignment="1" applyBorder="1" applyFont="1">
      <alignment readingOrder="0"/>
    </xf>
    <xf borderId="1" fillId="0" fontId="3" numFmtId="165" xfId="0" applyBorder="1" applyFont="1" applyNumberFormat="1"/>
    <xf borderId="1" fillId="0" fontId="3" numFmtId="0" xfId="0" applyAlignment="1" applyBorder="1" applyFont="1">
      <alignment horizontal="left" shrinkToFit="0" vertical="center" wrapText="1"/>
    </xf>
    <xf borderId="1" fillId="0" fontId="3" numFmtId="165" xfId="0" applyAlignment="1" applyBorder="1" applyFont="1" applyNumberFormat="1">
      <alignment readingOrder="0"/>
    </xf>
    <xf borderId="0" fillId="0" fontId="7" numFmtId="0" xfId="0" applyFont="1"/>
    <xf borderId="1" fillId="0" fontId="8" numFmtId="0" xfId="0" applyBorder="1" applyFont="1"/>
    <xf borderId="0" fillId="0" fontId="8" numFmtId="164" xfId="0" applyAlignment="1" applyFont="1" applyNumberFormat="1">
      <alignment horizontal="right" vertical="bottom"/>
    </xf>
    <xf borderId="1" fillId="0" fontId="8" numFmtId="164" xfId="0" applyAlignment="1" applyBorder="1" applyFont="1" applyNumberFormat="1">
      <alignment horizontal="right" vertical="bottom"/>
    </xf>
    <xf borderId="0" fillId="0" fontId="8" numFmtId="164" xfId="0" applyFont="1" applyNumberFormat="1"/>
    <xf quotePrefix="1" borderId="1" fillId="9" fontId="6" numFmtId="0" xfId="0" applyAlignment="1" applyBorder="1" applyFont="1">
      <alignment readingOrder="0"/>
    </xf>
    <xf borderId="1" fillId="8" fontId="3" numFmtId="0" xfId="0" applyAlignment="1" applyBorder="1" applyFont="1">
      <alignment shrinkToFit="0" vertical="center" wrapText="1"/>
    </xf>
    <xf borderId="1" fillId="8" fontId="3" numFmtId="0" xfId="0" applyAlignment="1" applyBorder="1" applyFont="1">
      <alignment shrinkToFit="0" wrapText="1"/>
    </xf>
    <xf borderId="1" fillId="8" fontId="2" numFmtId="0" xfId="0" applyAlignment="1" applyBorder="1" applyFont="1">
      <alignment shrinkToFit="0" wrapText="1"/>
    </xf>
    <xf borderId="12" fillId="0" fontId="2" numFmtId="0" xfId="0" applyAlignment="1" applyBorder="1" applyFont="1">
      <alignment shrinkToFit="0" wrapText="1"/>
    </xf>
    <xf borderId="1" fillId="0" fontId="9" numFmtId="164" xfId="0" applyBorder="1" applyFont="1" applyNumberFormat="1"/>
    <xf borderId="12" fillId="0" fontId="3" numFmtId="0" xfId="0" applyAlignment="1" applyBorder="1" applyFont="1">
      <alignment shrinkToFit="0" wrapText="1"/>
    </xf>
    <xf borderId="7" fillId="8" fontId="3" numFmtId="0" xfId="0" applyBorder="1" applyFont="1"/>
    <xf quotePrefix="1" borderId="7" fillId="9" fontId="2" numFmtId="0" xfId="0" applyAlignment="1" applyBorder="1" applyFont="1">
      <alignment readingOrder="0"/>
    </xf>
    <xf borderId="12" fillId="0" fontId="2" numFmtId="9" xfId="0" applyBorder="1" applyFont="1" applyNumberFormat="1"/>
    <xf borderId="12" fillId="0" fontId="2" numFmtId="164" xfId="0" applyBorder="1" applyFont="1" applyNumberFormat="1"/>
    <xf borderId="12" fillId="0" fontId="2" numFmtId="0" xfId="0" applyBorder="1" applyFont="1"/>
    <xf borderId="12" fillId="0" fontId="3" numFmtId="0" xfId="0" applyAlignment="1" applyBorder="1" applyFont="1">
      <alignment readingOrder="0"/>
    </xf>
    <xf borderId="1" fillId="0" fontId="3" numFmtId="0" xfId="0" applyAlignment="1" applyBorder="1" applyFont="1">
      <alignment shrinkToFit="0" vertical="top" wrapText="1"/>
    </xf>
    <xf borderId="10" fillId="0" fontId="2" numFmtId="0" xfId="0" applyBorder="1" applyFont="1"/>
    <xf borderId="1" fillId="0" fontId="3" numFmtId="164" xfId="0" applyBorder="1" applyFont="1" applyNumberFormat="1"/>
    <xf borderId="11" fillId="0" fontId="2" numFmtId="0" xfId="0" applyAlignment="1" applyBorder="1" applyFont="1">
      <alignment shrinkToFit="0" wrapText="1"/>
    </xf>
    <xf borderId="13" fillId="0" fontId="2" numFmtId="0" xfId="0" applyBorder="1" applyFont="1"/>
    <xf borderId="1" fillId="0" fontId="4" numFmtId="0" xfId="0" applyAlignment="1" applyBorder="1" applyFont="1">
      <alignment horizontal="right"/>
    </xf>
    <xf borderId="1" fillId="0" fontId="2" numFmtId="164" xfId="0" applyAlignment="1" applyBorder="1" applyFont="1" applyNumberFormat="1">
      <alignment horizontal="right"/>
    </xf>
    <xf borderId="1" fillId="0" fontId="10" numFmtId="0" xfId="0" applyBorder="1" applyFont="1"/>
    <xf borderId="10" fillId="0" fontId="3" numFmtId="0" xfId="0" applyBorder="1" applyFont="1"/>
    <xf quotePrefix="1" borderId="1" fillId="9" fontId="3" numFmtId="0" xfId="0" applyAlignment="1" applyBorder="1" applyFont="1">
      <alignment readingOrder="0"/>
    </xf>
    <xf borderId="1" fillId="0" fontId="3" numFmtId="9" xfId="0" applyBorder="1" applyFont="1" applyNumberFormat="1"/>
    <xf borderId="1" fillId="0" fontId="3" numFmtId="166" xfId="0" applyBorder="1" applyFont="1" applyNumberFormat="1"/>
    <xf borderId="11" fillId="0" fontId="3" numFmtId="0" xfId="0" applyAlignment="1" applyBorder="1" applyFont="1">
      <alignment shrinkToFit="0" wrapText="1"/>
    </xf>
    <xf borderId="6" fillId="0" fontId="3" numFmtId="0" xfId="0" applyAlignment="1" applyBorder="1" applyFont="1">
      <alignment shrinkToFit="0" wrapText="1"/>
    </xf>
    <xf borderId="0" fillId="0" fontId="11" numFmtId="0" xfId="0" applyFont="1"/>
    <xf borderId="0" fillId="0" fontId="10" numFmtId="0" xfId="0" applyFont="1"/>
    <xf borderId="1" fillId="0" fontId="3" numFmtId="166" xfId="0" applyAlignment="1" applyBorder="1" applyFont="1" applyNumberFormat="1">
      <alignment readingOrder="0"/>
    </xf>
    <xf borderId="0" fillId="0" fontId="3" numFmtId="0" xfId="0" applyAlignment="1" applyFont="1">
      <alignment readingOrder="0"/>
    </xf>
    <xf borderId="10" fillId="0" fontId="3" numFmtId="0" xfId="0" applyAlignment="1" applyBorder="1" applyFont="1">
      <alignment horizontal="right" readingOrder="0" shrinkToFit="0" wrapText="1"/>
    </xf>
    <xf borderId="11" fillId="0" fontId="4" numFmtId="0" xfId="0" applyBorder="1" applyFont="1"/>
    <xf borderId="1" fillId="0" fontId="10" numFmtId="0" xfId="0" applyAlignment="1" applyBorder="1" applyFont="1">
      <alignment readingOrder="0"/>
    </xf>
    <xf borderId="10" fillId="0" fontId="3" numFmtId="0" xfId="0" applyAlignment="1" applyBorder="1" applyFont="1">
      <alignment shrinkToFit="0" wrapText="1"/>
    </xf>
    <xf borderId="1" fillId="9" fontId="2" numFmtId="0" xfId="0" applyAlignment="1" applyBorder="1" applyFont="1">
      <alignment readingOrder="0" shrinkToFit="0" wrapText="1"/>
    </xf>
    <xf borderId="11" fillId="0" fontId="5" numFmtId="0" xfId="0" applyBorder="1" applyFont="1"/>
    <xf borderId="11" fillId="0" fontId="5" numFmtId="0" xfId="0" applyAlignment="1" applyBorder="1" applyFont="1">
      <alignment readingOrder="0"/>
    </xf>
    <xf borderId="6" fillId="0" fontId="3" numFmtId="164" xfId="0" applyAlignment="1" applyBorder="1" applyFont="1" applyNumberFormat="1">
      <alignment horizontal="right"/>
    </xf>
    <xf borderId="6" fillId="0" fontId="3" numFmtId="0" xfId="0" applyAlignment="1" applyBorder="1" applyFont="1">
      <alignment horizontal="right" readingOrder="0"/>
    </xf>
    <xf borderId="6" fillId="0" fontId="3" numFmtId="164" xfId="0" applyAlignment="1" applyBorder="1" applyFont="1" applyNumberFormat="1">
      <alignment horizontal="right" readingOrder="0"/>
    </xf>
    <xf borderId="1" fillId="0" fontId="3" numFmtId="0" xfId="0" applyAlignment="1" applyBorder="1" applyFont="1">
      <alignment readingOrder="0" shrinkToFit="0" wrapText="1"/>
    </xf>
    <xf borderId="6" fillId="0" fontId="2" numFmtId="164" xfId="0" applyAlignment="1" applyBorder="1" applyFont="1" applyNumberFormat="1">
      <alignment horizontal="right"/>
    </xf>
    <xf borderId="1" fillId="10" fontId="12" numFmtId="0" xfId="0" applyAlignment="1" applyBorder="1" applyFill="1" applyFont="1">
      <alignment horizontal="left" readingOrder="0"/>
    </xf>
    <xf borderId="14" fillId="6" fontId="2" numFmtId="0" xfId="0" applyBorder="1" applyFont="1"/>
    <xf borderId="1" fillId="10" fontId="13" numFmtId="0" xfId="0" applyAlignment="1" applyBorder="1" applyFont="1">
      <alignment horizontal="left" readingOrder="0"/>
    </xf>
    <xf borderId="1" fillId="0" fontId="2" numFmtId="2" xfId="0" applyBorder="1" applyFont="1" applyNumberFormat="1"/>
    <xf borderId="1" fillId="0" fontId="3" numFmtId="0" xfId="0" applyAlignment="1" applyBorder="1" applyFont="1">
      <alignment horizontal="right" shrinkToFit="0" wrapText="1"/>
    </xf>
    <xf borderId="1" fillId="0" fontId="9" numFmtId="0" xfId="0" applyAlignment="1" applyBorder="1" applyFont="1">
      <alignment readingOrder="0"/>
    </xf>
    <xf borderId="1" fillId="0" fontId="9" numFmtId="167" xfId="0" applyAlignment="1" applyBorder="1" applyFont="1" applyNumberFormat="1">
      <alignment readingOrder="0"/>
    </xf>
    <xf borderId="8" fillId="11" fontId="14" numFmtId="0" xfId="0" applyAlignment="1" applyBorder="1" applyFill="1" applyFont="1">
      <alignment horizontal="center"/>
    </xf>
    <xf borderId="1" fillId="0" fontId="9" numFmtId="168" xfId="0" applyAlignment="1" applyBorder="1" applyFont="1" applyNumberFormat="1">
      <alignment readingOrder="0"/>
    </xf>
    <xf borderId="15" fillId="0" fontId="15" numFmtId="0" xfId="0" applyBorder="1" applyFont="1"/>
    <xf borderId="16" fillId="0" fontId="15" numFmtId="0" xfId="0" applyBorder="1" applyFont="1"/>
    <xf borderId="1" fillId="0" fontId="9" numFmtId="0" xfId="0" applyBorder="1" applyFont="1"/>
    <xf borderId="8" fillId="12" fontId="14" numFmtId="0" xfId="0" applyAlignment="1" applyBorder="1" applyFill="1" applyFont="1">
      <alignment horizontal="center"/>
    </xf>
    <xf borderId="1" fillId="0" fontId="9" numFmtId="2" xfId="0" applyBorder="1" applyFont="1" applyNumberFormat="1"/>
    <xf borderId="14" fillId="10" fontId="3" numFmtId="0" xfId="0" applyBorder="1" applyFont="1"/>
    <xf borderId="0" fillId="0" fontId="4" numFmtId="0" xfId="0" applyFont="1"/>
    <xf borderId="0" fillId="0" fontId="3" numFmtId="164" xfId="0" applyFont="1" applyNumberFormat="1"/>
    <xf borderId="14" fillId="6" fontId="3" numFmtId="0" xfId="0" applyBorder="1" applyFont="1"/>
    <xf borderId="0" fillId="0" fontId="2" numFmtId="168" xfId="0" applyFont="1" applyNumberFormat="1"/>
    <xf borderId="0" fillId="0" fontId="2" numFmtId="165" xfId="0" applyFont="1" applyNumberFormat="1"/>
    <xf borderId="0" fillId="0" fontId="3" numFmtId="0" xfId="0" applyFont="1"/>
    <xf borderId="0" fillId="0" fontId="2" numFmtId="167" xfId="0" applyFont="1" applyNumberFormat="1"/>
    <xf borderId="0" fillId="0" fontId="4" numFmtId="164" xfId="0" applyFont="1" applyNumberFormat="1"/>
    <xf borderId="1" fillId="13" fontId="16" numFmtId="0" xfId="0" applyAlignment="1" applyBorder="1" applyFill="1" applyFont="1">
      <alignment shrinkToFit="0" wrapText="1"/>
    </xf>
    <xf borderId="14" fillId="13" fontId="17" numFmtId="0" xfId="0" applyAlignment="1" applyBorder="1" applyFont="1">
      <alignment shrinkToFit="0" wrapText="1"/>
    </xf>
    <xf borderId="0" fillId="0" fontId="5" numFmtId="0" xfId="0" applyFont="1"/>
    <xf borderId="1" fillId="14" fontId="3" numFmtId="0" xfId="0" applyAlignment="1" applyBorder="1" applyFill="1" applyFont="1">
      <alignment shrinkToFit="0" wrapText="1"/>
    </xf>
    <xf borderId="0" fillId="0" fontId="0" numFmtId="0" xfId="0" applyAlignment="1" applyFont="1">
      <alignment shrinkToFit="0" wrapText="1"/>
    </xf>
    <xf borderId="1" fillId="14" fontId="2" numFmtId="0" xfId="0" applyAlignment="1" applyBorder="1" applyFont="1">
      <alignment shrinkToFit="0" wrapText="1"/>
    </xf>
    <xf borderId="14" fillId="15" fontId="0" numFmtId="0" xfId="0" applyBorder="1" applyFill="1" applyFont="1"/>
    <xf borderId="14" fillId="16" fontId="0" numFmtId="0" xfId="0" applyBorder="1" applyFill="1" applyFont="1"/>
    <xf borderId="0" fillId="0" fontId="2" numFmtId="2" xfId="0" applyFont="1" applyNumberFormat="1"/>
    <xf borderId="0" fillId="0" fontId="0" numFmtId="165" xfId="0" applyAlignment="1" applyFont="1" applyNumberFormat="1">
      <alignment shrinkToFit="0" wrapText="1"/>
    </xf>
    <xf borderId="14" fillId="17" fontId="3" numFmtId="0" xfId="0" applyBorder="1" applyFill="1" applyFont="1"/>
    <xf borderId="1" fillId="0" fontId="8" numFmtId="0" xfId="0" applyAlignment="1" applyBorder="1" applyFont="1">
      <alignment shrinkToFit="0" wrapText="1"/>
    </xf>
    <xf borderId="0" fillId="0" fontId="18" numFmtId="0" xfId="0" applyAlignment="1" applyFont="1">
      <alignment shrinkToFit="0" wrapText="1"/>
    </xf>
    <xf borderId="0" fillId="0" fontId="18" numFmtId="0" xfId="0" applyFont="1"/>
    <xf borderId="14" fillId="18" fontId="2" numFmtId="0" xfId="0" applyBorder="1" applyFill="1" applyFont="1"/>
    <xf borderId="0" fillId="0" fontId="3" numFmtId="0" xfId="0" applyAlignment="1" applyFont="1">
      <alignment horizontal="right"/>
    </xf>
    <xf borderId="0" fillId="0" fontId="0" numFmtId="9" xfId="0" applyFont="1" applyNumberFormat="1"/>
    <xf borderId="14" fillId="19" fontId="3" numFmtId="0" xfId="0" applyBorder="1" applyFill="1" applyFont="1"/>
    <xf borderId="14" fillId="20" fontId="19" numFmtId="0" xfId="0" applyBorder="1" applyFill="1" applyFont="1"/>
    <xf borderId="14" fillId="13" fontId="20" numFmtId="0" xfId="0" applyBorder="1" applyFont="1"/>
    <xf borderId="14" fillId="21" fontId="21" numFmtId="0" xfId="0" applyBorder="1" applyFill="1" applyFont="1"/>
    <xf borderId="14" fillId="11" fontId="22" numFmtId="0" xfId="0" applyBorder="1" applyFont="1"/>
    <xf borderId="14" fillId="22" fontId="23" numFmtId="0" xfId="0" applyBorder="1" applyFill="1" applyFont="1"/>
    <xf borderId="14" fillId="12" fontId="24" numFmtId="0" xfId="0" applyBorder="1" applyFont="1"/>
    <xf borderId="14" fillId="23" fontId="25" numFmtId="0" xfId="0" applyBorder="1" applyFill="1" applyFont="1"/>
    <xf borderId="0" fillId="0" fontId="26" numFmtId="0" xfId="0" applyFont="1"/>
    <xf borderId="0" fillId="0" fontId="26" numFmtId="0" xfId="0" applyAlignment="1" applyFont="1">
      <alignment horizontal="center"/>
    </xf>
    <xf borderId="0" fillId="0" fontId="2" numFmtId="169" xfId="0" applyAlignment="1" applyFont="1" applyNumberFormat="1">
      <alignment horizontal="right"/>
    </xf>
    <xf borderId="8" fillId="20" fontId="27" numFmtId="0" xfId="0" applyAlignment="1" applyBorder="1" applyFont="1">
      <alignment horizontal="left"/>
    </xf>
    <xf borderId="14" fillId="20" fontId="2" numFmtId="0" xfId="0" applyBorder="1" applyFont="1"/>
    <xf borderId="14" fillId="24" fontId="2" numFmtId="0" xfId="0" applyBorder="1" applyFill="1" applyFont="1"/>
    <xf borderId="14" fillId="24" fontId="2" numFmtId="164" xfId="0" applyAlignment="1" applyBorder="1" applyFont="1" applyNumberFormat="1">
      <alignment horizontal="right"/>
    </xf>
    <xf borderId="0" fillId="0" fontId="2" numFmtId="164" xfId="0" applyAlignment="1" applyFont="1" applyNumberFormat="1">
      <alignment horizontal="right"/>
    </xf>
    <xf borderId="14" fillId="20" fontId="4" numFmtId="0" xfId="0" applyBorder="1" applyFont="1"/>
    <xf borderId="1" fillId="9" fontId="2" numFmtId="0" xfId="0" applyBorder="1" applyFont="1"/>
    <xf borderId="1" fillId="9" fontId="2" numFmtId="170" xfId="0" applyBorder="1" applyFont="1" applyNumberFormat="1"/>
    <xf borderId="14" fillId="25" fontId="2" numFmtId="0" xfId="0" applyBorder="1" applyFill="1" applyFont="1"/>
    <xf borderId="14" fillId="25" fontId="2" numFmtId="164" xfId="0" applyAlignment="1" applyBorder="1" applyFont="1" applyNumberFormat="1">
      <alignment horizontal="right"/>
    </xf>
    <xf borderId="1" fillId="0" fontId="26" numFmtId="0" xfId="0" applyBorder="1" applyFont="1"/>
    <xf borderId="1" fillId="9" fontId="26" numFmtId="0" xfId="0" applyBorder="1" applyFont="1"/>
    <xf borderId="14" fillId="26" fontId="2" numFmtId="0" xfId="0" applyBorder="1" applyFill="1" applyFont="1"/>
    <xf borderId="14" fillId="26" fontId="2" numFmtId="164" xfId="0" applyAlignment="1" applyBorder="1" applyFont="1" applyNumberFormat="1">
      <alignment horizontal="right"/>
    </xf>
    <xf borderId="1" fillId="0" fontId="26" numFmtId="164" xfId="0" applyBorder="1" applyFont="1" applyNumberFormat="1"/>
    <xf borderId="0" fillId="0" fontId="26" numFmtId="164" xfId="0" applyFont="1" applyNumberFormat="1"/>
    <xf quotePrefix="1" borderId="0" fillId="0" fontId="2" numFmtId="0" xfId="0" applyFont="1"/>
    <xf borderId="1" fillId="9" fontId="26" numFmtId="170" xfId="0" applyBorder="1" applyFont="1" applyNumberFormat="1"/>
    <xf borderId="8" fillId="20" fontId="5" numFmtId="0" xfId="0" applyAlignment="1" applyBorder="1" applyFont="1">
      <alignment horizontal="left"/>
    </xf>
    <xf borderId="12" fillId="0" fontId="4" numFmtId="0" xfId="0" applyAlignment="1" applyBorder="1" applyFont="1">
      <alignment horizontal="center" shrinkToFit="0" vertical="center" wrapText="1"/>
    </xf>
    <xf borderId="17" fillId="0" fontId="15" numFmtId="0" xfId="0" applyBorder="1" applyFont="1"/>
    <xf borderId="11" fillId="0" fontId="2" numFmtId="170" xfId="0" applyBorder="1" applyFont="1" applyNumberFormat="1"/>
    <xf borderId="1" fillId="0" fontId="2" numFmtId="170" xfId="0" applyBorder="1" applyFont="1" applyNumberFormat="1"/>
    <xf borderId="5" fillId="0" fontId="15" numFmtId="0" xfId="0" applyBorder="1" applyFont="1"/>
    <xf borderId="0" fillId="0" fontId="4" numFmtId="0" xfId="0" applyAlignment="1" applyFont="1">
      <alignment horizontal="center" shrinkToFit="0" vertical="center" wrapText="1"/>
    </xf>
    <xf borderId="0" fillId="0" fontId="2" numFmtId="170" xfId="0" applyFont="1" applyNumberFormat="1"/>
    <xf borderId="1" fillId="0" fontId="26" numFmtId="2" xfId="0" applyBorder="1" applyFont="1" applyNumberFormat="1"/>
    <xf quotePrefix="1" borderId="1" fillId="0" fontId="26" numFmtId="0" xfId="0" applyBorder="1" applyFont="1"/>
    <xf borderId="1" fillId="0" fontId="26" numFmtId="0" xfId="0" applyAlignment="1" applyBorder="1" applyFont="1">
      <alignment horizontal="center" vertical="center"/>
    </xf>
    <xf borderId="1" fillId="0" fontId="26" numFmtId="170" xfId="0" applyBorder="1" applyFont="1" applyNumberFormat="1"/>
    <xf borderId="1" fillId="0" fontId="26" numFmtId="165" xfId="0" applyBorder="1" applyFont="1" applyNumberFormat="1"/>
    <xf borderId="0" fillId="0" fontId="26" numFmtId="170" xfId="0" applyFont="1" applyNumberFormat="1"/>
    <xf borderId="0" fillId="0" fontId="26" numFmtId="165" xfId="0" applyFont="1" applyNumberFormat="1"/>
    <xf borderId="8" fillId="13" fontId="28" numFmtId="0" xfId="0" applyAlignment="1" applyBorder="1" applyFont="1">
      <alignment horizontal="left"/>
    </xf>
    <xf borderId="14" fillId="13" fontId="29" numFmtId="0" xfId="0" applyBorder="1" applyFont="1"/>
    <xf borderId="10" fillId="13" fontId="1" numFmtId="0" xfId="0" applyAlignment="1" applyBorder="1" applyFont="1">
      <alignment horizontal="center" readingOrder="0"/>
    </xf>
    <xf borderId="18" fillId="0" fontId="15" numFmtId="0" xfId="0" applyBorder="1" applyFont="1"/>
    <xf borderId="11" fillId="0" fontId="15" numFmtId="0" xfId="0" applyBorder="1" applyFont="1"/>
    <xf borderId="12" fillId="13" fontId="30" numFmtId="0" xfId="0" applyBorder="1" applyFont="1"/>
    <xf borderId="12" fillId="13" fontId="16" numFmtId="0" xfId="0" applyBorder="1" applyFont="1"/>
    <xf borderId="0" fillId="0" fontId="5" numFmtId="0" xfId="0" applyAlignment="1" applyFont="1">
      <alignment readingOrder="0"/>
    </xf>
    <xf borderId="19" fillId="27" fontId="5" numFmtId="0" xfId="0" applyAlignment="1" applyBorder="1" applyFill="1" applyFont="1">
      <alignment vertical="center"/>
    </xf>
    <xf borderId="20" fillId="8" fontId="2" numFmtId="0" xfId="0" applyBorder="1" applyFont="1"/>
    <xf borderId="20" fillId="0" fontId="2" numFmtId="170" xfId="0" applyBorder="1" applyFont="1" applyNumberFormat="1"/>
    <xf borderId="21" fillId="0" fontId="2" numFmtId="170" xfId="0" applyBorder="1" applyFont="1" applyNumberFormat="1"/>
    <xf borderId="0" fillId="0" fontId="4" numFmtId="167" xfId="0" applyFont="1" applyNumberFormat="1"/>
    <xf borderId="0" fillId="0" fontId="4" numFmtId="9" xfId="0" applyFont="1" applyNumberFormat="1"/>
    <xf borderId="0" fillId="0" fontId="2" numFmtId="10" xfId="0" applyFont="1" applyNumberFormat="1"/>
    <xf borderId="22" fillId="0" fontId="15" numFmtId="0" xfId="0" applyBorder="1" applyFont="1"/>
    <xf borderId="23" fillId="0" fontId="2" numFmtId="170" xfId="0" applyBorder="1" applyFont="1" applyNumberFormat="1"/>
    <xf borderId="24" fillId="0" fontId="15" numFmtId="0" xfId="0" applyBorder="1" applyFont="1"/>
    <xf borderId="25" fillId="8" fontId="2" numFmtId="0" xfId="0" applyBorder="1" applyFont="1"/>
    <xf borderId="25" fillId="0" fontId="2" numFmtId="170" xfId="0" applyBorder="1" applyFont="1" applyNumberFormat="1"/>
    <xf borderId="26" fillId="0" fontId="2" numFmtId="170" xfId="0" applyBorder="1" applyFont="1" applyNumberFormat="1"/>
    <xf borderId="24" fillId="27" fontId="5" numFmtId="0" xfId="0" applyAlignment="1" applyBorder="1" applyFont="1">
      <alignment readingOrder="0" vertical="center"/>
    </xf>
    <xf borderId="27" fillId="0" fontId="3" numFmtId="0" xfId="0" applyAlignment="1" applyBorder="1" applyFont="1">
      <alignment readingOrder="0"/>
    </xf>
    <xf borderId="27" fillId="0" fontId="2" numFmtId="170" xfId="0" applyBorder="1" applyFont="1" applyNumberFormat="1"/>
    <xf borderId="28" fillId="0" fontId="2" numFmtId="170" xfId="0" applyBorder="1" applyFont="1" applyNumberFormat="1"/>
    <xf borderId="20" fillId="0" fontId="3" numFmtId="0" xfId="0" applyBorder="1" applyFont="1"/>
    <xf borderId="25" fillId="0" fontId="2" numFmtId="0" xfId="0" applyBorder="1" applyFont="1"/>
    <xf borderId="19" fillId="27" fontId="5" numFmtId="0" xfId="0" applyAlignment="1" applyBorder="1" applyFont="1">
      <alignment shrinkToFit="0" vertical="center" wrapText="1"/>
    </xf>
    <xf borderId="25" fillId="0" fontId="3" numFmtId="0" xfId="0" applyAlignment="1" applyBorder="1" applyFont="1">
      <alignment readingOrder="0"/>
    </xf>
    <xf borderId="1" fillId="0" fontId="4" numFmtId="167" xfId="0" applyBorder="1" applyFont="1" applyNumberFormat="1"/>
    <xf borderId="0" fillId="0" fontId="2" numFmtId="169" xfId="0" applyFont="1" applyNumberFormat="1"/>
    <xf borderId="0" fillId="0" fontId="9" numFmtId="0" xfId="0" applyFont="1"/>
    <xf borderId="0" fillId="0" fontId="9" numFmtId="0" xfId="0" applyFont="1"/>
    <xf borderId="0" fillId="0" fontId="9" numFmtId="167" xfId="0" applyFont="1" applyNumberFormat="1"/>
    <xf borderId="0" fillId="0" fontId="3" numFmtId="0" xfId="0" applyAlignment="1" applyFont="1">
      <alignment shrinkToFit="0" vertical="bottom" wrapText="0"/>
    </xf>
    <xf borderId="10" fillId="28" fontId="1" numFmtId="0" xfId="0" applyAlignment="1" applyBorder="1" applyFill="1" applyFont="1">
      <alignment horizontal="center" readingOrder="0" shrinkToFit="0" vertical="bottom" wrapText="0"/>
    </xf>
    <xf borderId="0" fillId="0" fontId="3" numFmtId="0" xfId="0" applyAlignment="1" applyFont="1">
      <alignment shrinkToFit="0" vertical="bottom" wrapText="0"/>
    </xf>
    <xf borderId="0" fillId="0" fontId="3" numFmtId="167" xfId="0" applyAlignment="1" applyFont="1" applyNumberFormat="1">
      <alignment shrinkToFit="0" vertical="bottom" wrapText="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1" fillId="9" fontId="3" numFmtId="0" xfId="0" applyAlignment="1" applyBorder="1" applyFont="1">
      <alignment horizontal="right" readingOrder="0" shrinkToFit="0" vertical="bottom" wrapText="0"/>
    </xf>
    <xf borderId="1" fillId="0" fontId="3" numFmtId="0" xfId="0" applyAlignment="1" applyBorder="1" applyFont="1">
      <alignment horizontal="right" readingOrder="0" shrinkToFit="0" vertical="bottom" wrapText="0"/>
    </xf>
    <xf borderId="1" fillId="0" fontId="3" numFmtId="9" xfId="0" applyAlignment="1" applyBorder="1" applyFont="1" applyNumberFormat="1">
      <alignment horizontal="right" readingOrder="0" shrinkToFit="0" vertical="bottom" wrapText="0"/>
    </xf>
    <xf borderId="1" fillId="9" fontId="3" numFmtId="0" xfId="0" applyAlignment="1" applyBorder="1" applyFont="1">
      <alignment readingOrder="0" shrinkToFit="0" vertical="bottom" wrapText="0"/>
    </xf>
    <xf borderId="29" fillId="27" fontId="5" numFmtId="0" xfId="0" applyAlignment="1" applyBorder="1" applyFont="1">
      <alignment vertical="center"/>
    </xf>
    <xf borderId="30" fillId="8" fontId="2" numFmtId="0" xfId="0" applyBorder="1" applyFont="1"/>
    <xf borderId="31" fillId="0" fontId="15" numFmtId="0" xfId="0" applyBorder="1" applyFont="1"/>
    <xf borderId="32" fillId="0" fontId="3" numFmtId="0" xfId="0" applyAlignment="1" applyBorder="1" applyFont="1">
      <alignment readingOrder="0"/>
    </xf>
    <xf borderId="33" fillId="0" fontId="15" numFmtId="0" xfId="0" applyBorder="1" applyFont="1"/>
    <xf borderId="34" fillId="8" fontId="2" numFmtId="0" xfId="0" applyBorder="1" applyFont="1"/>
    <xf borderId="35" fillId="27" fontId="5" numFmtId="0" xfId="0" applyAlignment="1" applyBorder="1" applyFont="1">
      <alignment readingOrder="0" vertical="center"/>
    </xf>
    <xf borderId="36" fillId="0" fontId="3" numFmtId="0" xfId="0" applyAlignment="1" applyBorder="1" applyFont="1">
      <alignment readingOrder="0"/>
    </xf>
    <xf borderId="36" fillId="0" fontId="2" numFmtId="170" xfId="0" applyBorder="1" applyFont="1" applyNumberFormat="1"/>
    <xf borderId="37" fillId="0" fontId="2" numFmtId="170" xfId="0" applyBorder="1" applyFont="1" applyNumberFormat="1"/>
    <xf borderId="29" fillId="27" fontId="5" numFmtId="0" xfId="0" applyAlignment="1" applyBorder="1" applyFont="1">
      <alignment shrinkToFit="0" vertical="center" wrapText="1"/>
    </xf>
    <xf borderId="30" fillId="0" fontId="3" numFmtId="0" xfId="0" applyBorder="1" applyFont="1"/>
    <xf borderId="32" fillId="0" fontId="3" numFmtId="0" xfId="0" applyBorder="1" applyFont="1"/>
    <xf borderId="34" fillId="0" fontId="3" numFmtId="0" xfId="0" applyAlignment="1" applyBorder="1" applyFont="1">
      <alignment readingOrder="0"/>
    </xf>
    <xf borderId="35" fillId="0" fontId="4" numFmtId="0" xfId="0" applyBorder="1" applyFont="1"/>
    <xf borderId="36" fillId="0" fontId="4" numFmtId="167" xfId="0" applyBorder="1" applyFont="1" applyNumberFormat="1"/>
    <xf borderId="37" fillId="0" fontId="4" numFmtId="167" xfId="0" applyBorder="1" applyFont="1" applyNumberFormat="1"/>
    <xf borderId="1" fillId="0" fontId="2" numFmtId="168" xfId="0" applyBorder="1" applyFont="1" applyNumberFormat="1"/>
    <xf borderId="10" fillId="13" fontId="16" numFmtId="0" xfId="0" applyAlignment="1" applyBorder="1" applyFont="1">
      <alignment horizontal="center"/>
    </xf>
    <xf borderId="38" fillId="0" fontId="2" numFmtId="167" xfId="0" applyBorder="1" applyFont="1" applyNumberFormat="1"/>
    <xf borderId="10" fillId="0" fontId="2" numFmtId="167" xfId="0" applyBorder="1" applyFont="1" applyNumberFormat="1"/>
    <xf borderId="1" fillId="10" fontId="31" numFmtId="0" xfId="0" applyBorder="1" applyFont="1"/>
    <xf borderId="10" fillId="0" fontId="32" numFmtId="0" xfId="0" applyAlignment="1" applyBorder="1" applyFont="1">
      <alignment horizontal="center" readingOrder="0"/>
    </xf>
    <xf borderId="10" fillId="0" fontId="33" numFmtId="0" xfId="0" applyAlignment="1" applyBorder="1" applyFont="1">
      <alignment horizontal="center"/>
    </xf>
    <xf borderId="0" fillId="29" fontId="3" numFmtId="0" xfId="0" applyAlignment="1" applyFill="1" applyFont="1">
      <alignment readingOrder="0"/>
    </xf>
    <xf borderId="0" fillId="29" fontId="2" numFmtId="0" xfId="0" applyFont="1"/>
    <xf borderId="1" fillId="8" fontId="2" numFmtId="9" xfId="0" applyBorder="1" applyFont="1" applyNumberFormat="1"/>
    <xf borderId="1" fillId="9" fontId="3" numFmtId="9" xfId="0" applyBorder="1" applyFont="1" applyNumberFormat="1"/>
    <xf borderId="1" fillId="13" fontId="16" numFmtId="0" xfId="0" applyAlignment="1" applyBorder="1" applyFont="1">
      <alignment horizontal="center"/>
    </xf>
    <xf borderId="0" fillId="0" fontId="3" numFmtId="9" xfId="0" applyAlignment="1" applyFont="1" applyNumberFormat="1">
      <alignment horizontal="right"/>
    </xf>
    <xf borderId="1" fillId="8" fontId="3" numFmtId="9" xfId="0" applyBorder="1" applyFont="1" applyNumberFormat="1"/>
    <xf borderId="10" fillId="13" fontId="16" numFmtId="0" xfId="0" applyAlignment="1" applyBorder="1" applyFont="1">
      <alignment horizontal="left"/>
    </xf>
    <xf borderId="5" fillId="0" fontId="8" numFmtId="0" xfId="0" applyAlignment="1" applyBorder="1" applyFont="1">
      <alignment readingOrder="0"/>
    </xf>
    <xf borderId="5" fillId="0" fontId="2" numFmtId="167" xfId="0" applyBorder="1" applyFont="1" applyNumberFormat="1"/>
    <xf borderId="1" fillId="0" fontId="2" numFmtId="167" xfId="0" applyBorder="1" applyFont="1" applyNumberFormat="1"/>
    <xf borderId="1" fillId="0" fontId="34" numFmtId="0" xfId="0" applyAlignment="1" applyBorder="1" applyFont="1">
      <alignment horizontal="right"/>
    </xf>
    <xf borderId="1" fillId="0" fontId="3" numFmtId="0" xfId="0" applyAlignment="1" applyBorder="1" applyFont="1">
      <alignment horizontal="right"/>
    </xf>
    <xf borderId="1" fillId="0" fontId="3" numFmtId="167" xfId="0" applyBorder="1" applyFont="1" applyNumberFormat="1"/>
    <xf borderId="1" fillId="0" fontId="2" numFmtId="0" xfId="0" applyAlignment="1" applyBorder="1" applyFont="1">
      <alignment horizontal="right"/>
    </xf>
    <xf borderId="1" fillId="0" fontId="2" numFmtId="2" xfId="0" applyAlignment="1" applyBorder="1" applyFont="1" applyNumberFormat="1">
      <alignment horizontal="right"/>
    </xf>
    <xf borderId="1" fillId="0" fontId="2" numFmtId="1" xfId="0" applyAlignment="1" applyBorder="1" applyFont="1" applyNumberFormat="1">
      <alignment horizontal="right"/>
    </xf>
    <xf borderId="0" fillId="0" fontId="35" numFmtId="0" xfId="0" applyFont="1"/>
    <xf borderId="14" fillId="21" fontId="36" numFmtId="0" xfId="0" applyBorder="1" applyFont="1"/>
    <xf borderId="14" fillId="21" fontId="4" numFmtId="0" xfId="0" applyBorder="1" applyFont="1"/>
    <xf borderId="14" fillId="21" fontId="2" numFmtId="0" xfId="0" applyBorder="1" applyFont="1"/>
    <xf borderId="10" fillId="30" fontId="2" numFmtId="0" xfId="0" applyAlignment="1" applyBorder="1" applyFill="1" applyFont="1">
      <alignment horizontal="center"/>
    </xf>
    <xf borderId="1" fillId="9" fontId="2" numFmtId="9" xfId="0" applyBorder="1" applyFont="1" applyNumberFormat="1"/>
    <xf borderId="0" fillId="0" fontId="2" numFmtId="0" xfId="0" applyAlignment="1" applyFont="1">
      <alignment shrinkToFit="0" wrapText="1"/>
    </xf>
    <xf borderId="39" fillId="0" fontId="2" numFmtId="0" xfId="0" applyAlignment="1" applyBorder="1" applyFont="1">
      <alignment horizontal="left" shrinkToFit="0" wrapText="1"/>
    </xf>
    <xf borderId="39" fillId="0" fontId="15" numFmtId="0" xfId="0" applyBorder="1" applyFont="1"/>
    <xf borderId="0" fillId="0" fontId="2" numFmtId="0" xfId="0" applyAlignment="1" applyFont="1">
      <alignment horizontal="center"/>
    </xf>
    <xf borderId="1" fillId="9" fontId="2" numFmtId="166" xfId="0" applyBorder="1" applyFont="1" applyNumberFormat="1"/>
    <xf borderId="39" fillId="0" fontId="2" numFmtId="0" xfId="0" applyAlignment="1" applyBorder="1" applyFont="1">
      <alignment horizontal="left"/>
    </xf>
    <xf borderId="40" fillId="31" fontId="5" numFmtId="0" xfId="0" applyAlignment="1" applyBorder="1" applyFill="1" applyFont="1">
      <alignment horizontal="center"/>
    </xf>
    <xf borderId="41" fillId="0" fontId="15" numFmtId="0" xfId="0" applyBorder="1" applyFont="1"/>
    <xf borderId="42" fillId="0" fontId="15" numFmtId="0" xfId="0" applyBorder="1" applyFont="1"/>
    <xf borderId="1" fillId="10" fontId="2" numFmtId="167" xfId="0" applyBorder="1" applyFont="1" applyNumberFormat="1"/>
    <xf borderId="1" fillId="9" fontId="2" numFmtId="167" xfId="0" applyBorder="1" applyFont="1" applyNumberFormat="1"/>
    <xf borderId="10" fillId="30" fontId="4" numFmtId="0" xfId="0" applyAlignment="1" applyBorder="1" applyFont="1">
      <alignment horizontal="center"/>
    </xf>
    <xf borderId="43" fillId="0" fontId="15" numFmtId="0" xfId="0" applyBorder="1" applyFont="1"/>
    <xf borderId="1" fillId="10" fontId="2" numFmtId="164" xfId="0" applyBorder="1" applyFont="1" applyNumberFormat="1"/>
    <xf borderId="1" fillId="0" fontId="2" numFmtId="165" xfId="0" applyBorder="1" applyFont="1" applyNumberFormat="1"/>
    <xf borderId="0" fillId="0" fontId="4" numFmtId="170" xfId="0" applyFont="1" applyNumberFormat="1"/>
    <xf borderId="1" fillId="0" fontId="4" numFmtId="165" xfId="0" applyBorder="1" applyFont="1" applyNumberFormat="1"/>
    <xf borderId="1" fillId="8" fontId="4" numFmtId="170" xfId="0" applyBorder="1" applyFont="1" applyNumberFormat="1"/>
    <xf borderId="14" fillId="32" fontId="2" numFmtId="0" xfId="0" applyBorder="1" applyFill="1" applyFont="1"/>
    <xf borderId="1" fillId="0" fontId="2" numFmtId="171" xfId="0" applyBorder="1" applyFont="1" applyNumberFormat="1"/>
    <xf borderId="1" fillId="0" fontId="4" numFmtId="170" xfId="0" applyBorder="1" applyFont="1" applyNumberFormat="1"/>
    <xf borderId="1" fillId="30" fontId="2" numFmtId="170" xfId="0" applyBorder="1" applyFont="1" applyNumberFormat="1"/>
    <xf borderId="12" fillId="0" fontId="4" numFmtId="170" xfId="0" applyBorder="1" applyFont="1" applyNumberFormat="1"/>
    <xf borderId="1" fillId="0" fontId="4" numFmtId="170" xfId="0" applyAlignment="1" applyBorder="1" applyFont="1" applyNumberFormat="1">
      <alignment horizontal="center"/>
    </xf>
    <xf borderId="0" fillId="0" fontId="2" numFmtId="164" xfId="0" applyAlignment="1" applyFont="1" applyNumberFormat="1">
      <alignment horizontal="center" vertical="center"/>
    </xf>
    <xf borderId="10" fillId="31" fontId="4" numFmtId="0" xfId="0" applyAlignment="1" applyBorder="1" applyFont="1">
      <alignment horizontal="center"/>
    </xf>
    <xf borderId="14" fillId="11" fontId="37" numFmtId="0" xfId="0" applyBorder="1" applyFont="1"/>
    <xf borderId="14" fillId="11" fontId="2" numFmtId="0" xfId="0" applyBorder="1" applyFont="1"/>
    <xf borderId="14" fillId="8" fontId="4" numFmtId="0" xfId="0" applyBorder="1" applyFont="1"/>
    <xf borderId="14" fillId="8" fontId="2" numFmtId="0" xfId="0" applyBorder="1" applyFont="1"/>
    <xf borderId="10" fillId="11" fontId="2" numFmtId="0" xfId="0" applyAlignment="1" applyBorder="1" applyFont="1">
      <alignment horizontal="center"/>
    </xf>
    <xf borderId="0" fillId="0" fontId="2" numFmtId="172" xfId="0" applyFont="1" applyNumberFormat="1"/>
    <xf borderId="1" fillId="9" fontId="2" numFmtId="2" xfId="0" applyBorder="1" applyFont="1" applyNumberFormat="1"/>
    <xf borderId="1" fillId="9" fontId="2" numFmtId="165" xfId="0" applyBorder="1" applyFont="1" applyNumberFormat="1"/>
    <xf borderId="1" fillId="0" fontId="2" numFmtId="10" xfId="0" applyBorder="1" applyFont="1" applyNumberFormat="1"/>
    <xf borderId="1" fillId="0" fontId="2" numFmtId="4" xfId="0" applyBorder="1" applyFont="1" applyNumberFormat="1"/>
    <xf borderId="10" fillId="11" fontId="3" numFmtId="0" xfId="0" applyAlignment="1" applyBorder="1" applyFont="1">
      <alignment horizontal="center"/>
    </xf>
    <xf borderId="1" fillId="10" fontId="2" numFmtId="1" xfId="0" applyBorder="1" applyFont="1" applyNumberFormat="1"/>
    <xf borderId="0" fillId="0" fontId="38" numFmtId="0" xfId="0" applyFont="1"/>
    <xf borderId="14" fillId="10" fontId="4" numFmtId="0" xfId="0" applyBorder="1" applyFont="1"/>
    <xf borderId="14" fillId="10" fontId="2" numFmtId="0" xfId="0" applyBorder="1" applyFont="1"/>
    <xf borderId="1" fillId="10" fontId="2" numFmtId="0" xfId="0" applyBorder="1" applyFont="1"/>
    <xf borderId="14" fillId="10" fontId="2" numFmtId="1" xfId="0" applyBorder="1" applyFont="1" applyNumberFormat="1"/>
    <xf borderId="0" fillId="0" fontId="39" numFmtId="0" xfId="0" applyFont="1"/>
    <xf borderId="1" fillId="10" fontId="2" numFmtId="9" xfId="0" applyBorder="1" applyFont="1" applyNumberFormat="1"/>
    <xf borderId="1" fillId="10" fontId="2" numFmtId="170" xfId="0" applyBorder="1" applyFont="1" applyNumberFormat="1"/>
    <xf borderId="10" fillId="33" fontId="3" numFmtId="0" xfId="0" applyAlignment="1" applyBorder="1" applyFill="1" applyFont="1">
      <alignment horizontal="center"/>
    </xf>
    <xf borderId="1" fillId="0" fontId="2" numFmtId="1" xfId="0" applyBorder="1" applyFont="1" applyNumberFormat="1"/>
    <xf borderId="10" fillId="34" fontId="2" numFmtId="0" xfId="0" applyAlignment="1" applyBorder="1" applyFill="1" applyFont="1">
      <alignment horizontal="center"/>
    </xf>
    <xf borderId="1" fillId="34" fontId="2" numFmtId="0" xfId="0" applyAlignment="1" applyBorder="1" applyFont="1">
      <alignment horizontal="center"/>
    </xf>
    <xf borderId="1" fillId="0" fontId="4" numFmtId="164" xfId="0" applyBorder="1" applyFont="1" applyNumberFormat="1"/>
    <xf borderId="0" fillId="0" fontId="9" numFmtId="0" xfId="0" applyFont="1"/>
    <xf borderId="0" fillId="0" fontId="40" numFmtId="164" xfId="0" applyFont="1" applyNumberFormat="1"/>
    <xf borderId="14" fillId="35" fontId="4" numFmtId="0" xfId="0" applyBorder="1" applyFill="1" applyFont="1"/>
    <xf borderId="14" fillId="35" fontId="2" numFmtId="0" xfId="0" applyBorder="1" applyFont="1"/>
    <xf borderId="14" fillId="29" fontId="2" numFmtId="0" xfId="0" applyBorder="1" applyFont="1"/>
    <xf borderId="14" fillId="34" fontId="2" numFmtId="0" xfId="0" applyBorder="1" applyFont="1"/>
    <xf borderId="14" fillId="34" fontId="2" numFmtId="164" xfId="0" applyBorder="1" applyFont="1" applyNumberFormat="1"/>
    <xf borderId="1" fillId="9" fontId="2" numFmtId="1" xfId="0" applyBorder="1" applyFont="1" applyNumberFormat="1"/>
    <xf borderId="1" fillId="0" fontId="2" numFmtId="173" xfId="0" applyBorder="1" applyFont="1" applyNumberFormat="1"/>
    <xf borderId="1" fillId="0" fontId="2" numFmtId="169" xfId="0" applyBorder="1" applyFont="1" applyNumberFormat="1"/>
    <xf borderId="14" fillId="36" fontId="2" numFmtId="0" xfId="0" applyBorder="1" applyFill="1" applyFont="1"/>
    <xf borderId="14" fillId="11" fontId="4" numFmtId="0" xfId="0" applyBorder="1" applyFont="1"/>
    <xf borderId="0" fillId="0" fontId="15" numFmtId="0" xfId="0" applyAlignment="1" applyFont="1">
      <alignment readingOrder="0"/>
    </xf>
    <xf borderId="1" fillId="37" fontId="2" numFmtId="0" xfId="0" applyBorder="1" applyFill="1" applyFont="1"/>
    <xf borderId="1" fillId="37" fontId="2" numFmtId="164" xfId="0" applyBorder="1" applyFont="1" applyNumberFormat="1"/>
    <xf borderId="9" fillId="37" fontId="2" numFmtId="164" xfId="0" applyBorder="1" applyFont="1" applyNumberFormat="1"/>
    <xf borderId="1" fillId="8" fontId="2" numFmtId="164" xfId="0" applyBorder="1" applyFont="1" applyNumberFormat="1"/>
    <xf borderId="1" fillId="0" fontId="40" numFmtId="0" xfId="0" applyBorder="1" applyFont="1"/>
    <xf borderId="1" fillId="0" fontId="4" numFmtId="171" xfId="0" applyBorder="1" applyFont="1" applyNumberFormat="1"/>
    <xf borderId="1" fillId="9" fontId="3" numFmtId="170" xfId="0" applyAlignment="1" applyBorder="1" applyFont="1" applyNumberFormat="1">
      <alignment readingOrder="0"/>
    </xf>
    <xf borderId="14" fillId="34" fontId="4" numFmtId="0" xfId="0" applyBorder="1" applyFont="1"/>
    <xf borderId="10" fillId="34" fontId="4" numFmtId="0" xfId="0" applyAlignment="1" applyBorder="1" applyFont="1">
      <alignment horizontal="center"/>
    </xf>
    <xf borderId="1" fillId="34" fontId="4" numFmtId="0" xfId="0" applyBorder="1" applyFont="1"/>
    <xf borderId="1" fillId="34" fontId="4" numFmtId="164" xfId="0" applyBorder="1" applyFont="1" applyNumberFormat="1"/>
    <xf borderId="1" fillId="34" fontId="2" numFmtId="0" xfId="0" applyBorder="1" applyFont="1"/>
    <xf borderId="1" fillId="34" fontId="2" numFmtId="164" xfId="0" applyBorder="1" applyFont="1" applyNumberFormat="1"/>
    <xf borderId="14" fillId="22" fontId="41" numFmtId="0" xfId="0" applyBorder="1" applyFont="1"/>
    <xf borderId="14" fillId="22" fontId="2" numFmtId="0" xfId="0" applyBorder="1" applyFont="1"/>
    <xf borderId="0" fillId="0" fontId="15" numFmtId="0" xfId="0" applyFont="1"/>
    <xf borderId="1" fillId="0" fontId="15" numFmtId="0" xfId="0" applyAlignment="1" applyBorder="1" applyFont="1">
      <alignment readingOrder="0"/>
    </xf>
    <xf borderId="1" fillId="0" fontId="9" numFmtId="0" xfId="0" applyBorder="1" applyFont="1"/>
    <xf borderId="10" fillId="38" fontId="4" numFmtId="0" xfId="0" applyAlignment="1" applyBorder="1" applyFill="1" applyFont="1">
      <alignment horizontal="center"/>
    </xf>
    <xf borderId="1" fillId="38" fontId="4" numFmtId="0" xfId="0" applyBorder="1" applyFont="1"/>
    <xf borderId="1" fillId="38" fontId="4" numFmtId="164" xfId="0" applyBorder="1" applyFont="1" applyNumberFormat="1"/>
    <xf borderId="14" fillId="39" fontId="42" numFmtId="0" xfId="0" applyBorder="1" applyFill="1" applyFont="1"/>
    <xf borderId="14" fillId="39" fontId="2" numFmtId="0" xfId="0" applyBorder="1" applyFont="1"/>
    <xf borderId="1" fillId="0" fontId="0" numFmtId="9" xfId="0" applyBorder="1" applyFont="1" applyNumberFormat="1"/>
    <xf borderId="1" fillId="9" fontId="0" numFmtId="0" xfId="0" applyBorder="1" applyFont="1"/>
    <xf borderId="10" fillId="40" fontId="5" numFmtId="0" xfId="0" applyAlignment="1" applyBorder="1" applyFill="1" applyFont="1">
      <alignment horizontal="center"/>
    </xf>
    <xf borderId="5" fillId="0" fontId="2" numFmtId="0" xfId="0" applyBorder="1" applyFont="1"/>
    <xf borderId="5" fillId="0" fontId="2" numFmtId="164" xfId="0" applyBorder="1" applyFont="1" applyNumberFormat="1"/>
    <xf borderId="44" fillId="0" fontId="2" numFmtId="164" xfId="0" applyBorder="1" applyFont="1" applyNumberFormat="1"/>
    <xf borderId="10" fillId="0" fontId="2" numFmtId="164" xfId="0" applyBorder="1" applyFont="1" applyNumberFormat="1"/>
    <xf borderId="1" fillId="20" fontId="4" numFmtId="0" xfId="0" applyBorder="1" applyFont="1"/>
    <xf borderId="1" fillId="20" fontId="4" numFmtId="164" xfId="0" applyBorder="1" applyFont="1" applyNumberFormat="1"/>
    <xf borderId="9" fillId="20" fontId="4" numFmtId="164" xfId="0" applyBorder="1" applyFont="1" applyNumberFormat="1"/>
    <xf borderId="3" fillId="10" fontId="2" numFmtId="9" xfId="0" applyBorder="1" applyFont="1" applyNumberFormat="1"/>
    <xf borderId="45" fillId="10" fontId="2" numFmtId="9" xfId="0" applyBorder="1" applyFont="1" applyNumberFormat="1"/>
    <xf borderId="14" fillId="8" fontId="4" numFmtId="164" xfId="0" applyBorder="1" applyFont="1" applyNumberFormat="1"/>
    <xf borderId="1" fillId="12" fontId="2" numFmtId="0" xfId="0" applyBorder="1" applyFont="1"/>
    <xf borderId="1" fillId="12" fontId="2" numFmtId="164" xfId="0" applyBorder="1" applyFont="1" applyNumberFormat="1"/>
    <xf borderId="5" fillId="0" fontId="2" numFmtId="2" xfId="0" applyBorder="1" applyFont="1" applyNumberFormat="1"/>
    <xf borderId="1" fillId="0" fontId="4" numFmtId="2" xfId="0" applyBorder="1" applyFont="1" applyNumberFormat="1"/>
    <xf borderId="0" fillId="0" fontId="4" numFmtId="2" xfId="0" applyFont="1" applyNumberFormat="1"/>
    <xf borderId="14" fillId="15" fontId="43" numFmtId="0" xfId="0" applyBorder="1" applyFont="1"/>
    <xf borderId="14" fillId="15" fontId="4" numFmtId="0" xfId="0" applyBorder="1" applyFont="1"/>
    <xf borderId="14" fillId="15" fontId="2" numFmtId="0" xfId="0" applyBorder="1" applyFont="1"/>
    <xf borderId="10" fillId="15" fontId="5" numFmtId="0" xfId="0" applyAlignment="1" applyBorder="1" applyFont="1">
      <alignment horizontal="center"/>
    </xf>
    <xf borderId="1" fillId="0" fontId="0" numFmtId="165" xfId="0" applyBorder="1" applyFont="1" applyNumberFormat="1"/>
    <xf borderId="0" fillId="0" fontId="0" numFmtId="165" xfId="0" applyFont="1" applyNumberFormat="1"/>
    <xf borderId="0" fillId="0" fontId="40" numFmtId="0" xfId="0" applyFont="1"/>
    <xf borderId="1" fillId="41" fontId="4" numFmtId="0" xfId="0" applyBorder="1" applyFill="1" applyFont="1"/>
    <xf borderId="1" fillId="41" fontId="4" numFmtId="164" xfId="0" applyBorder="1" applyFont="1" applyNumberFormat="1"/>
    <xf borderId="0" fillId="0" fontId="4" numFmtId="165" xfId="0" applyFont="1" applyNumberFormat="1"/>
    <xf borderId="1" fillId="15" fontId="4" numFmtId="0" xfId="0" applyBorder="1" applyFont="1"/>
    <xf borderId="1" fillId="15" fontId="2" numFmtId="0" xfId="0" applyAlignment="1" applyBorder="1" applyFont="1">
      <alignment horizontal="center"/>
    </xf>
    <xf borderId="14" fillId="10" fontId="2" numFmtId="0" xfId="0" applyAlignment="1" applyBorder="1" applyFont="1">
      <alignment horizontal="center"/>
    </xf>
    <xf borderId="1" fillId="0" fontId="4" numFmtId="0" xfId="0" applyAlignment="1" applyBorder="1" applyFont="1">
      <alignment horizontal="left"/>
    </xf>
    <xf borderId="30" fillId="0" fontId="2" numFmtId="0" xfId="0" applyBorder="1" applyFont="1"/>
    <xf borderId="20" fillId="0" fontId="2" numFmtId="0" xfId="0" applyBorder="1" applyFont="1"/>
    <xf borderId="21" fillId="0" fontId="2" numFmtId="0" xfId="0" applyBorder="1" applyFont="1"/>
    <xf borderId="34" fillId="0" fontId="2" numFmtId="0" xfId="0" applyBorder="1" applyFont="1"/>
    <xf borderId="26" fillId="0" fontId="2" numFmtId="0" xfId="0" applyBorder="1" applyFont="1"/>
    <xf borderId="0" fillId="0" fontId="44" numFmtId="0" xfId="0" applyFont="1"/>
  </cellXfs>
  <cellStyles count="1">
    <cellStyle xfId="0" name="Normal" builtinId="0"/>
  </cellStyles>
  <dxfs count="2">
    <dxf>
      <font/>
      <fill>
        <patternFill patternType="solid">
          <fgColor theme="6"/>
          <bgColor theme="6"/>
        </patternFill>
      </fill>
      <border/>
    </dxf>
    <dxf>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totales liés aux transports (en MtCO2e)</a:t>
            </a:r>
          </a:p>
        </c:rich>
      </c:tx>
      <c:overlay val="0"/>
    </c:title>
    <c:plotArea>
      <c:layout/>
      <c:areaChart>
        <c:grouping val="stacked"/>
        <c:ser>
          <c:idx val="0"/>
          <c:order val="0"/>
          <c:tx>
            <c:strRef>
              <c:f>Calculs!$G$531</c:f>
            </c:strRef>
          </c:tx>
          <c:spPr>
            <a:solidFill>
              <a:schemeClr val="accent3">
                <a:alpha val="30000"/>
              </a:schemeClr>
            </a:solidFill>
            <a:ln cmpd="sng" w="19050">
              <a:solidFill>
                <a:schemeClr val="accent3"/>
              </a:solidFill>
            </a:ln>
          </c:spPr>
          <c:val>
            <c:numRef>
              <c:f>Calculs!$H$531:$R$531</c:f>
            </c:numRef>
          </c:val>
        </c:ser>
        <c:ser>
          <c:idx val="1"/>
          <c:order val="1"/>
          <c:tx>
            <c:strRef>
              <c:f>Calculs!$G$540</c:f>
            </c:strRef>
          </c:tx>
          <c:spPr>
            <a:solidFill>
              <a:schemeClr val="accent2">
                <a:alpha val="30000"/>
              </a:schemeClr>
            </a:solidFill>
            <a:ln cmpd="sng" w="19050">
              <a:solidFill>
                <a:schemeClr val="accent2"/>
              </a:solidFill>
            </a:ln>
          </c:spPr>
          <c:val>
            <c:numRef>
              <c:f>Calculs!$H$540:$R$540</c:f>
            </c:numRef>
          </c:val>
        </c:ser>
        <c:ser>
          <c:idx val="2"/>
          <c:order val="2"/>
          <c:tx>
            <c:strRef>
              <c:f>Calculs!$G$546</c:f>
            </c:strRef>
          </c:tx>
          <c:spPr>
            <a:solidFill>
              <a:schemeClr val="accent5">
                <a:alpha val="30000"/>
              </a:schemeClr>
            </a:solidFill>
            <a:ln cmpd="sng" w="19050">
              <a:solidFill>
                <a:schemeClr val="accent5"/>
              </a:solidFill>
            </a:ln>
          </c:spPr>
          <c:val>
            <c:numRef>
              <c:f>Calculs!$H$546:$R$546</c:f>
            </c:numRef>
          </c:val>
        </c:ser>
        <c:axId val="905435578"/>
        <c:axId val="488151857"/>
      </c:areaChart>
      <c:catAx>
        <c:axId val="905435578"/>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i="0" sz="900">
                <a:solidFill>
                  <a:srgbClr val="000000"/>
                </a:solidFill>
                <a:latin typeface="+mn-lt"/>
              </a:defRPr>
            </a:pPr>
          </a:p>
        </c:txPr>
        <c:crossAx val="488151857"/>
      </c:catAx>
      <c:valAx>
        <c:axId val="4881518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i="0" sz="900">
                <a:solidFill>
                  <a:srgbClr val="000000"/>
                </a:solidFill>
                <a:latin typeface="+mn-lt"/>
              </a:defRPr>
            </a:pPr>
          </a:p>
        </c:txPr>
        <c:crossAx val="905435578"/>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directes liés aux transports (en MtCO2e)</a:t>
            </a:r>
          </a:p>
        </c:rich>
      </c:tx>
      <c:overlay val="0"/>
    </c:title>
    <c:plotArea>
      <c:layout/>
      <c:areaChart>
        <c:grouping val="stacked"/>
        <c:ser>
          <c:idx val="0"/>
          <c:order val="0"/>
          <c:tx>
            <c:strRef>
              <c:f>Calculs!$G$527</c:f>
            </c:strRef>
          </c:tx>
          <c:spPr>
            <a:solidFill>
              <a:schemeClr val="accent1">
                <a:alpha val="30000"/>
              </a:schemeClr>
            </a:solidFill>
            <a:ln cmpd="sng" w="19050">
              <a:solidFill>
                <a:schemeClr val="accent1"/>
              </a:solidFill>
            </a:ln>
          </c:spPr>
          <c:val>
            <c:numRef>
              <c:f>Calculs!$H$527:$R$527</c:f>
            </c:numRef>
          </c:val>
        </c:ser>
        <c:ser>
          <c:idx val="1"/>
          <c:order val="1"/>
          <c:tx>
            <c:strRef>
              <c:f>Calculs!$G$528</c:f>
            </c:strRef>
          </c:tx>
          <c:spPr>
            <a:solidFill>
              <a:schemeClr val="accent2">
                <a:alpha val="30000"/>
              </a:schemeClr>
            </a:solidFill>
            <a:ln cmpd="sng" w="19050">
              <a:solidFill>
                <a:schemeClr val="accent2"/>
              </a:solidFill>
            </a:ln>
          </c:spPr>
          <c:val>
            <c:numRef>
              <c:f>Calculs!$H$528:$R$528</c:f>
            </c:numRef>
          </c:val>
        </c:ser>
        <c:ser>
          <c:idx val="2"/>
          <c:order val="2"/>
          <c:tx>
            <c:strRef>
              <c:f>Calculs!$G$529</c:f>
            </c:strRef>
          </c:tx>
          <c:spPr>
            <a:solidFill>
              <a:schemeClr val="accent3">
                <a:alpha val="30000"/>
              </a:schemeClr>
            </a:solidFill>
            <a:ln cmpd="sng" w="19050">
              <a:solidFill>
                <a:schemeClr val="accent3"/>
              </a:solidFill>
            </a:ln>
          </c:spPr>
          <c:val>
            <c:numRef>
              <c:f>Calculs!$H$529:$R$529</c:f>
            </c:numRef>
          </c:val>
        </c:ser>
        <c:ser>
          <c:idx val="3"/>
          <c:order val="3"/>
          <c:tx>
            <c:strRef>
              <c:f>Calculs!$G$530</c:f>
            </c:strRef>
          </c:tx>
          <c:spPr>
            <a:solidFill>
              <a:schemeClr val="accent4">
                <a:alpha val="30000"/>
              </a:schemeClr>
            </a:solidFill>
            <a:ln cmpd="sng" w="19050">
              <a:solidFill>
                <a:schemeClr val="accent4"/>
              </a:solidFill>
            </a:ln>
          </c:spPr>
          <c:val>
            <c:numRef>
              <c:f>Calculs!$H$530:$R$530</c:f>
            </c:numRef>
          </c:val>
        </c:ser>
        <c:axId val="1081195418"/>
        <c:axId val="1093869685"/>
      </c:areaChart>
      <c:catAx>
        <c:axId val="1081195418"/>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i="0" sz="900">
                <a:solidFill>
                  <a:srgbClr val="000000"/>
                </a:solidFill>
                <a:latin typeface="+mn-lt"/>
              </a:defRPr>
            </a:pPr>
          </a:p>
        </c:txPr>
        <c:crossAx val="1093869685"/>
      </c:catAx>
      <c:valAx>
        <c:axId val="10938696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i="0" sz="900">
                <a:solidFill>
                  <a:srgbClr val="000000"/>
                </a:solidFill>
                <a:latin typeface="+mn-lt"/>
              </a:defRPr>
            </a:pPr>
          </a:p>
        </c:txPr>
        <c:crossAx val="1081195418"/>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parcelles agricoles hors élevage (en Mha)</a:t>
            </a:r>
          </a:p>
        </c:rich>
      </c:tx>
      <c:overlay val="0"/>
    </c:title>
    <c:plotArea>
      <c:layout/>
      <c:areaChart>
        <c:grouping val="percentStacked"/>
        <c:axId val="743614489"/>
        <c:axId val="1002796730"/>
      </c:areaChart>
      <c:catAx>
        <c:axId val="743614489"/>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i="0" sz="900">
                <a:solidFill>
                  <a:srgbClr val="000000"/>
                </a:solidFill>
                <a:latin typeface="+mn-lt"/>
              </a:defRPr>
            </a:pPr>
          </a:p>
        </c:txPr>
        <c:crossAx val="1002796730"/>
      </c:catAx>
      <c:valAx>
        <c:axId val="1002796730"/>
        <c:scaling>
          <c:orientation val="minMax"/>
        </c:scaling>
        <c:delete val="0"/>
        <c:axPos val="l"/>
        <c:numFmt formatCode="General" sourceLinked="1"/>
        <c:tickLblPos val="nextTo"/>
        <c:spPr>
          <a:ln w="47625">
            <a:noFill/>
          </a:ln>
        </c:spPr>
        <c:crossAx val="743614489"/>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liées à l'agriculture et l'alimentation (en MtCO2e)</a:t>
            </a:r>
          </a:p>
        </c:rich>
      </c:tx>
      <c:overlay val="0"/>
    </c:title>
    <c:plotArea>
      <c:layout/>
      <c:areaChart>
        <c:grouping val="stacked"/>
        <c:axId val="1424102585"/>
        <c:axId val="1811172139"/>
      </c:areaChart>
      <c:catAx>
        <c:axId val="1424102585"/>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i="0" sz="900">
                <a:solidFill>
                  <a:srgbClr val="000000"/>
                </a:solidFill>
                <a:latin typeface="+mn-lt"/>
              </a:defRPr>
            </a:pPr>
          </a:p>
        </c:txPr>
        <c:crossAx val="1811172139"/>
      </c:catAx>
      <c:valAx>
        <c:axId val="1811172139"/>
        <c:scaling>
          <c:orientation val="minMax"/>
        </c:scaling>
        <c:delete val="0"/>
        <c:axPos val="l"/>
        <c:numFmt formatCode="General" sourceLinked="1"/>
        <c:tickLblPos val="nextTo"/>
        <c:spPr>
          <a:ln w="47625">
            <a:noFill/>
          </a:ln>
        </c:spPr>
        <c:crossAx val="1424102585"/>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#4B0082, #5F9EA0, #C71585 and #C2J8SS</a:t>
            </a:r>
          </a:p>
        </c:rich>
      </c:tx>
      <c:overlay val="0"/>
    </c:title>
    <c:plotArea>
      <c:layout/>
      <c:areaChart>
        <c:grouping val="stacked"/>
        <c:ser>
          <c:idx val="0"/>
          <c:order val="0"/>
          <c:spPr>
            <a:solidFill>
              <a:schemeClr val="accent1">
                <a:alpha val="30000"/>
              </a:schemeClr>
            </a:solidFill>
            <a:ln cmpd="sng" w="19050">
              <a:solidFill>
                <a:srgbClr val="0080A0"/>
              </a:solidFill>
            </a:ln>
          </c:spPr>
          <c:cat>
            <c:strRef>
              <c:f>'Résultats'!$F$19:$P$19</c:f>
            </c:strRef>
          </c:cat>
          <c:val>
            <c:numRef>
              <c:f>'Résultats'!$F$20:$P$20</c:f>
            </c:numRef>
          </c:val>
        </c:ser>
        <c:ser>
          <c:idx val="1"/>
          <c:order val="1"/>
          <c:spPr>
            <a:solidFill>
              <a:schemeClr val="accent2">
                <a:alpha val="30000"/>
              </a:schemeClr>
            </a:solidFill>
            <a:ln cmpd="sng" w="19050">
              <a:solidFill>
                <a:srgbClr val="60C010"/>
              </a:solidFill>
            </a:ln>
          </c:spPr>
          <c:cat>
            <c:strRef>
              <c:f>'Résultats'!$F$19:$P$19</c:f>
            </c:strRef>
          </c:cat>
          <c:val>
            <c:numRef>
              <c:f>'Résultats'!$F$21:$P$21</c:f>
            </c:numRef>
          </c:val>
        </c:ser>
        <c:ser>
          <c:idx val="2"/>
          <c:order val="2"/>
          <c:spPr>
            <a:solidFill>
              <a:schemeClr val="accent3">
                <a:alpha val="30000"/>
              </a:schemeClr>
            </a:solidFill>
            <a:ln cmpd="sng" w="19050">
              <a:solidFill>
                <a:srgbClr val="ED7F50"/>
              </a:solidFill>
            </a:ln>
          </c:spPr>
          <c:cat>
            <c:strRef>
              <c:f>'Résultats'!$F$19:$P$19</c:f>
            </c:strRef>
          </c:cat>
          <c:val>
            <c:numRef>
              <c:f>'Résultats'!$F$22:$P$22</c:f>
            </c:numRef>
          </c:val>
        </c:ser>
        <c:ser>
          <c:idx val="3"/>
          <c:order val="3"/>
          <c:spPr>
            <a:solidFill>
              <a:schemeClr val="accent4">
                <a:alpha val="30000"/>
              </a:schemeClr>
            </a:solidFill>
            <a:ln cmpd="sng" w="19050">
              <a:solidFill>
                <a:srgbClr val="FFFF00"/>
              </a:solidFill>
            </a:ln>
          </c:spPr>
          <c:cat>
            <c:strRef>
              <c:f>'Résultats'!$F$19:$P$19</c:f>
            </c:strRef>
          </c:cat>
          <c:val>
            <c:numRef>
              <c:f>'Résultats'!$F$23:$P$23</c:f>
            </c:numRef>
          </c:val>
        </c:ser>
        <c:ser>
          <c:idx val="4"/>
          <c:order val="4"/>
          <c:spPr>
            <a:solidFill>
              <a:schemeClr val="accent5">
                <a:alpha val="30000"/>
              </a:schemeClr>
            </a:solidFill>
            <a:ln cmpd="sng" w="19050">
              <a:solidFill>
                <a:srgbClr val="CC66FF"/>
              </a:solidFill>
            </a:ln>
          </c:spPr>
          <c:cat>
            <c:strRef>
              <c:f>'Résultats'!$F$19:$P$19</c:f>
            </c:strRef>
          </c:cat>
          <c:val>
            <c:numRef>
              <c:f>'Résultats'!$F$24:$P$24</c:f>
            </c:numRef>
          </c:val>
        </c:ser>
        <c:axId val="1861574605"/>
        <c:axId val="900948539"/>
      </c:areaChart>
      <c:catAx>
        <c:axId val="1861574605"/>
        <c:scaling>
          <c:orientation val="minMax"/>
        </c:scaling>
        <c:delete val="0"/>
        <c:axPos val="b"/>
        <c:title>
          <c:tx>
            <c:rich>
              <a:bodyPr/>
              <a:lstStyle/>
              <a:p>
                <a:pPr lvl="0">
                  <a:defRPr b="0">
                    <a:solidFill>
                      <a:srgbClr val="000000"/>
                    </a:solidFill>
                    <a:latin typeface="+mn-lt"/>
                  </a:defRPr>
                </a:pPr>
                <a:r>
                  <a:t>#0000CD</a:t>
                </a:r>
              </a:p>
            </c:rich>
          </c:tx>
          <c:overlay val="0"/>
        </c:title>
        <c:txPr>
          <a:bodyPr/>
          <a:lstStyle/>
          <a:p>
            <a:pPr lvl="0">
              <a:defRPr b="0">
                <a:solidFill>
                  <a:srgbClr val="000000"/>
                </a:solidFill>
                <a:latin typeface="+mn-lt"/>
              </a:defRPr>
            </a:pPr>
          </a:p>
        </c:txPr>
        <c:crossAx val="900948539"/>
      </c:catAx>
      <c:valAx>
        <c:axId val="9009485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86157460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34</xdr:col>
      <xdr:colOff>571500</xdr:colOff>
      <xdr:row>75</xdr:row>
      <xdr:rowOff>0</xdr:rowOff>
    </xdr:from>
    <xdr:ext cx="5162550" cy="37338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29</xdr:col>
      <xdr:colOff>66675</xdr:colOff>
      <xdr:row>74</xdr:row>
      <xdr:rowOff>161925</xdr:rowOff>
    </xdr:from>
    <xdr:ext cx="4572000" cy="38576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29</xdr:col>
      <xdr:colOff>114300</xdr:colOff>
      <xdr:row>102</xdr:row>
      <xdr:rowOff>47625</xdr:rowOff>
    </xdr:from>
    <xdr:ext cx="6019800" cy="408622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36</xdr:col>
      <xdr:colOff>561975</xdr:colOff>
      <xdr:row>102</xdr:row>
      <xdr:rowOff>0</xdr:rowOff>
    </xdr:from>
    <xdr:ext cx="6124575" cy="4067175"/>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276225</xdr:colOff>
      <xdr:row>24</xdr:row>
      <xdr:rowOff>142875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80A0"/>
      </a:accent1>
      <a:accent2>
        <a:srgbClr val="60C010"/>
      </a:accent2>
      <a:accent3>
        <a:srgbClr val="ED7F50"/>
      </a:accent3>
      <a:accent4>
        <a:srgbClr val="FFFF00"/>
      </a:accent4>
      <a:accent5>
        <a:srgbClr val="CC66FF"/>
      </a:accent5>
      <a:accent6>
        <a:srgbClr val="00B050"/>
      </a:accent6>
      <a:hlink>
        <a:srgbClr val="8DA440"/>
      </a:hlink>
      <a:folHlink>
        <a:srgbClr val="8DA44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imateknowledgeportal.worldbank.org/country/france/climate-data-projec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2.63" defaultRowHeight="15.0" outlineLevelRow="2"/>
  <cols>
    <col customWidth="1" min="1" max="1" width="9.38"/>
    <col customWidth="1" min="2" max="2" width="39.0"/>
    <col customWidth="1" min="3" max="3" width="56.0"/>
    <col customWidth="1" min="4" max="4" width="26.75"/>
    <col customWidth="1" min="5" max="5" width="16.0"/>
    <col customWidth="1" min="6" max="6" width="9.13"/>
    <col customWidth="1" min="7" max="7" width="79.25"/>
    <col customWidth="1" min="8" max="18" width="16.88"/>
    <col customWidth="1" min="19" max="19" width="14.63"/>
    <col customWidth="1" min="20" max="20" width="11.38"/>
    <col customWidth="1" min="21" max="26" width="9.38"/>
    <col customWidth="1" min="27" max="27" width="10.25"/>
    <col customWidth="1" min="28" max="42" width="9.38"/>
    <col customWidth="1" min="43" max="88" width="12.75"/>
  </cols>
  <sheetData>
    <row r="1" ht="18.75" customHeight="1">
      <c r="A1" s="136" t="s">
        <v>593</v>
      </c>
      <c r="B1" s="137" t="s">
        <v>594</v>
      </c>
      <c r="C1" s="138" t="s">
        <v>14</v>
      </c>
      <c r="D1" s="139" t="s">
        <v>17</v>
      </c>
      <c r="E1" s="140" t="s">
        <v>596</v>
      </c>
      <c r="F1" s="141" t="s">
        <v>344</v>
      </c>
      <c r="G1" s="142" t="s">
        <v>597</v>
      </c>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row>
    <row r="2" ht="18.75" customHeight="1">
      <c r="A2" s="143"/>
      <c r="B2" s="143" t="s">
        <v>598</v>
      </c>
      <c r="C2" s="143" t="s">
        <v>599</v>
      </c>
      <c r="D2" s="143" t="s">
        <v>600</v>
      </c>
      <c r="E2" s="143" t="s">
        <v>601</v>
      </c>
      <c r="F2" s="144" t="s">
        <v>602</v>
      </c>
      <c r="H2" s="20">
        <v>2020.0</v>
      </c>
      <c r="I2" s="20">
        <v>2021.0</v>
      </c>
      <c r="J2" s="20">
        <v>2022.0</v>
      </c>
      <c r="K2" s="20">
        <v>2023.0</v>
      </c>
      <c r="L2" s="20">
        <v>2024.0</v>
      </c>
      <c r="M2" s="20">
        <v>2025.0</v>
      </c>
      <c r="N2" s="20">
        <v>2026.0</v>
      </c>
      <c r="O2" s="20">
        <v>2027.0</v>
      </c>
      <c r="P2" s="20">
        <v>2028.0</v>
      </c>
      <c r="Q2" s="20">
        <v>2029.0</v>
      </c>
      <c r="R2" s="20">
        <v>2030.0</v>
      </c>
      <c r="S2" s="20">
        <v>2031.0</v>
      </c>
      <c r="T2" s="20">
        <v>2032.0</v>
      </c>
      <c r="U2" s="20">
        <v>2033.0</v>
      </c>
      <c r="V2" s="20">
        <v>2034.0</v>
      </c>
      <c r="W2" s="20">
        <v>2035.0</v>
      </c>
      <c r="X2" s="20">
        <v>2036.0</v>
      </c>
      <c r="Y2" s="20">
        <v>2037.0</v>
      </c>
      <c r="Z2" s="20">
        <v>2038.0</v>
      </c>
      <c r="AA2" s="20">
        <v>2039.0</v>
      </c>
      <c r="AB2" s="20">
        <v>2040.0</v>
      </c>
      <c r="AC2" s="20">
        <v>2041.0</v>
      </c>
      <c r="AD2" s="20">
        <v>2042.0</v>
      </c>
      <c r="AE2" s="20">
        <v>2043.0</v>
      </c>
      <c r="AF2" s="20">
        <v>2044.0</v>
      </c>
      <c r="AG2" s="20">
        <v>2045.0</v>
      </c>
      <c r="AH2" s="20">
        <v>2046.0</v>
      </c>
      <c r="AI2" s="20">
        <v>2047.0</v>
      </c>
      <c r="AJ2" s="20">
        <v>2048.0</v>
      </c>
      <c r="AK2" s="20">
        <v>2049.0</v>
      </c>
      <c r="AL2" s="20">
        <v>2050.0</v>
      </c>
      <c r="AM2" s="20">
        <v>2051.0</v>
      </c>
      <c r="AN2" s="20">
        <v>2052.0</v>
      </c>
      <c r="AO2" s="20">
        <v>2053.0</v>
      </c>
      <c r="AP2" s="20">
        <v>2054.0</v>
      </c>
      <c r="AQ2" s="20">
        <v>2055.0</v>
      </c>
      <c r="AR2" s="20">
        <v>2056.0</v>
      </c>
      <c r="AS2" s="20">
        <v>2057.0</v>
      </c>
      <c r="AT2" s="20">
        <v>2058.0</v>
      </c>
      <c r="AU2" s="20">
        <v>2059.0</v>
      </c>
      <c r="AV2" s="20">
        <v>2060.0</v>
      </c>
      <c r="AW2" s="20">
        <v>2061.0</v>
      </c>
      <c r="AX2" s="20">
        <v>2062.0</v>
      </c>
      <c r="AY2" s="20">
        <v>2063.0</v>
      </c>
      <c r="AZ2" s="20">
        <v>2064.0</v>
      </c>
      <c r="BA2" s="20">
        <v>2065.0</v>
      </c>
      <c r="BB2" s="20">
        <v>2066.0</v>
      </c>
      <c r="BC2" s="20">
        <v>2067.0</v>
      </c>
      <c r="BD2" s="20">
        <v>2068.0</v>
      </c>
      <c r="BE2" s="20">
        <v>2069.0</v>
      </c>
      <c r="BF2" s="20">
        <v>2070.0</v>
      </c>
      <c r="BG2" s="20">
        <v>2071.0</v>
      </c>
      <c r="BH2" s="20">
        <v>2072.0</v>
      </c>
      <c r="BI2" s="20">
        <v>2073.0</v>
      </c>
      <c r="BJ2" s="20">
        <v>2074.0</v>
      </c>
      <c r="BK2" s="20">
        <v>2075.0</v>
      </c>
      <c r="BL2" s="20">
        <v>2076.0</v>
      </c>
      <c r="BM2" s="20">
        <v>2077.0</v>
      </c>
      <c r="BN2" s="20">
        <v>2078.0</v>
      </c>
      <c r="BO2" s="20">
        <v>2079.0</v>
      </c>
      <c r="BP2" s="20">
        <v>2080.0</v>
      </c>
      <c r="BQ2" s="20">
        <v>2081.0</v>
      </c>
      <c r="BR2" s="20">
        <v>2082.0</v>
      </c>
      <c r="BS2" s="20">
        <v>2083.0</v>
      </c>
      <c r="BT2" s="20">
        <v>2084.0</v>
      </c>
      <c r="BU2" s="20">
        <v>2085.0</v>
      </c>
      <c r="BV2" s="20">
        <v>2086.0</v>
      </c>
      <c r="BW2" s="20">
        <v>2087.0</v>
      </c>
      <c r="BX2" s="20">
        <v>2088.0</v>
      </c>
      <c r="BY2" s="20">
        <v>2089.0</v>
      </c>
      <c r="BZ2" s="20">
        <v>2090.0</v>
      </c>
      <c r="CA2" s="20">
        <v>2091.0</v>
      </c>
      <c r="CB2" s="20">
        <v>2092.0</v>
      </c>
      <c r="CC2" s="20">
        <v>2093.0</v>
      </c>
      <c r="CD2" s="20">
        <v>2094.0</v>
      </c>
      <c r="CE2" s="20">
        <v>2095.0</v>
      </c>
      <c r="CF2" s="20">
        <v>2096.0</v>
      </c>
      <c r="CG2" s="20">
        <v>2097.0</v>
      </c>
      <c r="CH2" s="20">
        <v>2098.0</v>
      </c>
      <c r="CI2" s="20">
        <v>2099.0</v>
      </c>
      <c r="CJ2" s="20">
        <v>2100.0</v>
      </c>
    </row>
    <row r="3" ht="18.75" customHeight="1">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row>
    <row r="4" ht="18.0" customHeight="1">
      <c r="A4" s="146" t="s">
        <v>593</v>
      </c>
      <c r="B4" s="104"/>
      <c r="C4" s="104"/>
      <c r="D4" s="104"/>
      <c r="E4" s="104"/>
      <c r="F4" s="104"/>
      <c r="G4" s="104"/>
      <c r="H4" s="105"/>
      <c r="I4" s="147"/>
      <c r="J4" s="147"/>
      <c r="K4" s="147"/>
      <c r="L4" s="147"/>
      <c r="M4" s="147"/>
      <c r="N4" s="147"/>
      <c r="O4" s="147"/>
      <c r="P4" s="147"/>
      <c r="Q4" s="147"/>
      <c r="R4" s="147"/>
      <c r="S4" s="147"/>
      <c r="T4" s="147"/>
      <c r="U4" s="147"/>
      <c r="V4" s="147"/>
      <c r="W4" s="147"/>
      <c r="X4" s="147"/>
      <c r="Y4" s="147"/>
      <c r="Z4" s="14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row>
    <row r="5" ht="18.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row>
    <row r="6" ht="18.75" customHeight="1" outlineLevel="1">
      <c r="A6" s="151" t="s">
        <v>604</v>
      </c>
      <c r="B6" s="147"/>
      <c r="C6" s="17"/>
      <c r="D6" s="110"/>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row>
    <row r="7" ht="18.75" customHeight="1" outlineLevel="1">
      <c r="A7" s="17"/>
      <c r="B7" s="17" t="s">
        <v>605</v>
      </c>
      <c r="C7" s="14" t="s">
        <v>606</v>
      </c>
      <c r="D7" s="152">
        <v>10.0</v>
      </c>
      <c r="E7" s="14" t="s">
        <v>607</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row>
    <row r="8" ht="18.75" customHeight="1" outlineLevel="1">
      <c r="A8" s="17"/>
      <c r="B8" s="17" t="s">
        <v>608</v>
      </c>
      <c r="C8" s="14" t="s">
        <v>609</v>
      </c>
      <c r="D8" s="152">
        <v>2020.0</v>
      </c>
      <c r="E8" s="14"/>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row>
    <row r="9" ht="18.75" customHeight="1" outlineLevel="1">
      <c r="A9" s="17"/>
      <c r="B9" s="17" t="s">
        <v>610</v>
      </c>
      <c r="C9" s="14" t="s">
        <v>611</v>
      </c>
      <c r="D9" s="153">
        <f>67*10^6</f>
        <v>67000000</v>
      </c>
      <c r="E9" s="14" t="s">
        <v>612</v>
      </c>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row>
    <row r="10" ht="18.75" customHeight="1" outlineLevel="1">
      <c r="A10" s="17"/>
      <c r="B10" s="17" t="s">
        <v>613</v>
      </c>
      <c r="C10" s="14" t="s">
        <v>614</v>
      </c>
      <c r="D10" s="153">
        <f>7.5*10^9</f>
        <v>7500000000</v>
      </c>
      <c r="E10" s="14" t="s">
        <v>612</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row>
    <row r="11" ht="18.0" customHeight="1" outlineLevel="1">
      <c r="A11" s="17"/>
      <c r="B11" s="17" t="s">
        <v>615</v>
      </c>
      <c r="C11" s="156" t="s">
        <v>616</v>
      </c>
      <c r="D11" s="157">
        <v>52.0</v>
      </c>
      <c r="E11" s="156" t="s">
        <v>617</v>
      </c>
      <c r="F11" s="17" t="s">
        <v>618</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row>
    <row r="12" ht="18.75" customHeight="1" outlineLevel="1">
      <c r="A12" s="17"/>
      <c r="B12" s="17" t="s">
        <v>619</v>
      </c>
      <c r="C12" s="156" t="s">
        <v>620</v>
      </c>
      <c r="D12" s="160">
        <f>(10^9)*Emissions_GES_2018/Pop_monde_2018</f>
        <v>6.933333333</v>
      </c>
      <c r="E12" s="156" t="s">
        <v>621</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row>
    <row r="13" ht="18.75" customHeight="1" outlineLevel="1">
      <c r="A13" s="17"/>
      <c r="B13" s="17"/>
      <c r="C13" s="143"/>
      <c r="D13" s="161"/>
      <c r="E13" s="143"/>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row>
    <row r="14" ht="18.75" customHeight="1" outlineLevel="1">
      <c r="A14" s="151" t="s">
        <v>626</v>
      </c>
      <c r="B14" s="147"/>
      <c r="C14" s="17"/>
      <c r="D14" s="110"/>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row>
    <row r="15" outlineLevel="1">
      <c r="A15" s="17" t="s">
        <v>627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row>
    <row r="16" outlineLevel="1">
      <c r="A16" s="162" t="s">
        <v>628</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row>
    <row r="17" outlineLevel="1">
      <c r="A17" s="162" t="s">
        <v>629</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row>
    <row r="18" outlineLevel="1">
      <c r="A18" s="162" t="s">
        <v>630</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row>
    <row r="19" outlineLevel="1">
      <c r="A19" s="17" t="s">
        <v>631</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row>
    <row r="20" ht="18.75" customHeight="1" outlineLevel="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row>
    <row r="21" ht="18.75" customHeight="1" outlineLevel="1">
      <c r="A21" s="17"/>
      <c r="B21" s="17" t="s">
        <v>632</v>
      </c>
      <c r="C21" s="156" t="s">
        <v>633</v>
      </c>
      <c r="D21" s="157">
        <v>60.0</v>
      </c>
      <c r="E21" s="156" t="s">
        <v>634</v>
      </c>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row>
    <row r="22" ht="18.75" customHeight="1" outlineLevel="1">
      <c r="A22" s="17"/>
      <c r="B22" s="17" t="s">
        <v>635</v>
      </c>
      <c r="C22" s="156" t="s">
        <v>636</v>
      </c>
      <c r="D22" s="157">
        <v>54.0</v>
      </c>
      <c r="E22" s="156" t="s">
        <v>634</v>
      </c>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row>
    <row r="23" ht="18.75" customHeight="1" outlineLevel="1">
      <c r="A23" s="17"/>
      <c r="B23" s="17" t="s">
        <v>637</v>
      </c>
      <c r="C23" s="156" t="s">
        <v>638</v>
      </c>
      <c r="D23" s="157">
        <v>27.0</v>
      </c>
      <c r="E23" s="156" t="s">
        <v>634</v>
      </c>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row>
    <row r="24" ht="18.75" customHeight="1" outlineLevel="1">
      <c r="A24" s="17"/>
      <c r="B24" s="17" t="s">
        <v>639</v>
      </c>
      <c r="C24" s="156" t="s">
        <v>640</v>
      </c>
      <c r="D24" s="157">
        <v>21.0</v>
      </c>
      <c r="E24" s="156" t="s">
        <v>634</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row>
    <row r="25" ht="18.75" customHeight="1" outlineLevel="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row>
    <row r="26" ht="18.75" customHeight="1" outlineLevel="1">
      <c r="A26" s="151" t="s">
        <v>641</v>
      </c>
      <c r="B26" s="147"/>
      <c r="C26" s="17"/>
      <c r="D26" s="110"/>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row>
    <row r="27" ht="15.75" customHeight="1" outlineLevel="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row>
    <row r="28" ht="18.75" customHeight="1" outlineLevel="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row>
    <row r="29" ht="18.75" customHeight="1" outlineLevel="1">
      <c r="A29" s="17"/>
      <c r="B29" s="17" t="s">
        <v>642</v>
      </c>
      <c r="C29" s="156" t="s">
        <v>643</v>
      </c>
      <c r="D29" s="163">
        <f>9*10^9</f>
        <v>9000000000</v>
      </c>
      <c r="E29" s="156" t="s">
        <v>612</v>
      </c>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row>
    <row r="30" ht="18.75" customHeight="1" outlineLevel="1">
      <c r="A30" s="17"/>
      <c r="B30" s="17" t="s">
        <v>644</v>
      </c>
      <c r="C30" s="156" t="s">
        <v>645</v>
      </c>
      <c r="D30" s="163">
        <f>8*10^9</f>
        <v>8000000000</v>
      </c>
      <c r="E30" s="156" t="s">
        <v>612</v>
      </c>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row>
    <row r="31" ht="18.75" customHeight="1" outlineLevel="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row>
    <row r="32" ht="18.75" customHeight="1" outlineLevel="1">
      <c r="A32" s="151" t="s">
        <v>646</v>
      </c>
      <c r="B32" s="147"/>
      <c r="C32" s="17"/>
      <c r="D32" s="110"/>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row>
    <row r="33" ht="18.75" customHeight="1" outlineLevel="1">
      <c r="A33" s="17" t="s">
        <v>647</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row>
    <row r="34" ht="15.75" customHeight="1" outlineLevel="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row>
    <row r="35" ht="18.75" customHeight="1" outlineLevel="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row>
    <row r="36" ht="15.0" customHeight="1" outlineLevel="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row>
    <row r="37" ht="15.0" customHeight="1" outlineLevel="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row>
    <row r="38" ht="15.0" customHeight="1" outlineLevel="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row>
    <row r="39" ht="18.75" customHeight="1" outlineLevel="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row>
    <row r="40" ht="18.75" customHeight="1" outlineLevel="1">
      <c r="A40" s="17"/>
      <c r="B40" s="17" t="s">
        <v>648</v>
      </c>
      <c r="C40" s="156" t="s">
        <v>649</v>
      </c>
      <c r="D40" s="157">
        <v>10.5</v>
      </c>
      <c r="E40" s="156" t="s">
        <v>650</v>
      </c>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row>
    <row r="41" ht="18.75" customHeight="1" outlineLevel="1">
      <c r="A41" s="17"/>
      <c r="B41" s="17" t="s">
        <v>651</v>
      </c>
      <c r="C41" s="156" t="s">
        <v>652</v>
      </c>
      <c r="D41" s="157">
        <v>6.6</v>
      </c>
      <c r="E41" s="156" t="s">
        <v>650</v>
      </c>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row>
    <row r="42" ht="18.75" customHeight="1" outlineLevel="1">
      <c r="A42" s="17"/>
      <c r="B42" s="17" t="s">
        <v>653</v>
      </c>
      <c r="C42" s="156" t="s">
        <v>654</v>
      </c>
      <c r="D42" s="157">
        <v>4.7</v>
      </c>
      <c r="E42" s="156" t="s">
        <v>650</v>
      </c>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row>
    <row r="43" ht="18.75" customHeight="1" outlineLevel="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row>
    <row r="44" ht="18.75" customHeight="1" outlineLevel="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row>
    <row r="45" ht="18.75" customHeight="1" outlineLevel="1">
      <c r="A45" s="164" t="s">
        <v>655</v>
      </c>
      <c r="B45" s="105"/>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row>
    <row r="46" ht="18.75" customHeight="1" outlineLevel="1">
      <c r="A46" s="17"/>
      <c r="B46" s="17"/>
      <c r="C46" s="17"/>
      <c r="D46" s="17"/>
      <c r="E46" s="17"/>
      <c r="F46" s="165" t="s">
        <v>656</v>
      </c>
      <c r="G46" s="14"/>
      <c r="H46" s="84">
        <v>2020.0</v>
      </c>
      <c r="I46" s="20">
        <v>2021.0</v>
      </c>
      <c r="J46" s="20">
        <v>2022.0</v>
      </c>
      <c r="K46" s="20">
        <v>2023.0</v>
      </c>
      <c r="L46" s="20">
        <v>2024.0</v>
      </c>
      <c r="M46" s="20">
        <v>2025.0</v>
      </c>
      <c r="N46" s="20">
        <v>2026.0</v>
      </c>
      <c r="O46" s="20">
        <v>2027.0</v>
      </c>
      <c r="P46" s="20">
        <v>2028.0</v>
      </c>
      <c r="Q46" s="20">
        <v>2029.0</v>
      </c>
      <c r="R46" s="20">
        <v>2030.0</v>
      </c>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row>
    <row r="47" ht="18.75" customHeight="1" outlineLevel="1">
      <c r="A47" s="17"/>
      <c r="B47" s="17"/>
      <c r="C47" s="17"/>
      <c r="D47" s="17"/>
      <c r="E47" s="17"/>
      <c r="F47" s="166"/>
      <c r="G47" s="156" t="s">
        <v>657</v>
      </c>
      <c r="H47" s="167">
        <f>Pop_fr_2018+((H46-Année_référence)*(((Pop_monde_avec_effort-Pop_monde_2018)/Pop_monde_2018)*100/Nb_années)*Pop_fr_2018/100)</f>
        <v>67000000</v>
      </c>
      <c r="I47" s="168">
        <f>Pop_fr_2018+((I46-Année_référence)*(((Pop_monde_avec_effort-Pop_monde_2018)/Pop_monde_2018)*100/Nb_années)*Pop_fr_2018/100)</f>
        <v>67446666.67</v>
      </c>
      <c r="J47" s="168">
        <f>Pop_fr_2018+((J46-Année_référence)*(((Pop_monde_avec_effort-Pop_monde_2018)/Pop_monde_2018)*100/Nb_années)*Pop_fr_2018/100)</f>
        <v>67893333.33</v>
      </c>
      <c r="K47" s="168">
        <f>Pop_fr_2018+((K46-Année_référence)*(((Pop_monde_avec_effort-Pop_monde_2018)/Pop_monde_2018)*100/Nb_années)*Pop_fr_2018/100)</f>
        <v>68340000</v>
      </c>
      <c r="L47" s="168">
        <f>Pop_fr_2018+((L46-Année_référence)*(((Pop_monde_avec_effort-Pop_monde_2018)/Pop_monde_2018)*100/Nb_années)*Pop_fr_2018/100)</f>
        <v>68786666.67</v>
      </c>
      <c r="M47" s="168">
        <f>Pop_fr_2018+((M46-Année_référence)*(((Pop_monde_avec_effort-Pop_monde_2018)/Pop_monde_2018)*100/Nb_années)*Pop_fr_2018/100)</f>
        <v>69233333.33</v>
      </c>
      <c r="N47" s="168">
        <f>Pop_fr_2018+((N46-Année_référence)*(((Pop_monde_avec_effort-Pop_monde_2018)/Pop_monde_2018)*100/Nb_années)*Pop_fr_2018/100)</f>
        <v>69680000</v>
      </c>
      <c r="O47" s="168">
        <f>Pop_fr_2018+((O46-Année_référence)*(((Pop_monde_avec_effort-Pop_monde_2018)/Pop_monde_2018)*100/Nb_années)*Pop_fr_2018/100)</f>
        <v>70126666.67</v>
      </c>
      <c r="P47" s="168">
        <f>Pop_fr_2018+((P46-Année_référence)*(((Pop_monde_avec_effort-Pop_monde_2018)/Pop_monde_2018)*100/Nb_années)*Pop_fr_2018/100)</f>
        <v>70573333.33</v>
      </c>
      <c r="Q47" s="168">
        <f>Pop_fr_2018+((Q46-Année_référence)*(((Pop_monde_avec_effort-Pop_monde_2018)/Pop_monde_2018)*100/Nb_années)*Pop_fr_2018/100)</f>
        <v>71020000</v>
      </c>
      <c r="R47" s="168">
        <f>Pop_fr_2018+((R46-Année_référence)*(((Pop_monde_avec_effort-Pop_monde_2018)/Pop_monde_2018)*100/Nb_années)*Pop_fr_2018/100)</f>
        <v>71466666.67</v>
      </c>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row>
    <row r="48" ht="18.75" customHeight="1" outlineLevel="1">
      <c r="A48" s="17"/>
      <c r="B48" s="17"/>
      <c r="C48" s="17"/>
      <c r="D48" s="17"/>
      <c r="E48" s="17"/>
      <c r="F48" s="169"/>
      <c r="G48" s="156" t="s">
        <v>658</v>
      </c>
      <c r="H48" s="167">
        <f>Pop_monde_2018+((H46-$D$8)*(((Pop_monde_avec_effort-Pop_monde_2018)/Pop_monde_2018)*100/$D$7)*Pop_monde_2018/100)</f>
        <v>7500000000</v>
      </c>
      <c r="I48" s="168">
        <f>Pop_monde_2018+((I46-$D$8)*(((Pop_monde_avec_effort-Pop_monde_2018)/Pop_monde_2018)*100/$D$7)*Pop_monde_2018/100)</f>
        <v>7550000000</v>
      </c>
      <c r="J48" s="168">
        <f>Pop_monde_2018+((J46-$D$8)*(((Pop_monde_avec_effort-Pop_monde_2018)/Pop_monde_2018)*100/$D$7)*Pop_monde_2018/100)</f>
        <v>7600000000</v>
      </c>
      <c r="K48" s="168">
        <f>Pop_monde_2018+((K46-$D$8)*(((Pop_monde_avec_effort-Pop_monde_2018)/Pop_monde_2018)*100/$D$7)*Pop_monde_2018/100)</f>
        <v>7650000000</v>
      </c>
      <c r="L48" s="168">
        <f>Pop_monde_2018+((L46-$D$8)*(((Pop_monde_avec_effort-Pop_monde_2018)/Pop_monde_2018)*100/$D$7)*Pop_monde_2018/100)</f>
        <v>7700000000</v>
      </c>
      <c r="M48" s="168">
        <f>Pop_monde_2018+((M46-$D$8)*(((Pop_monde_avec_effort-Pop_monde_2018)/Pop_monde_2018)*100/$D$7)*Pop_monde_2018/100)</f>
        <v>7750000000</v>
      </c>
      <c r="N48" s="168">
        <f>Pop_monde_2018+((N46-$D$8)*(((Pop_monde_avec_effort-Pop_monde_2018)/Pop_monde_2018)*100/$D$7)*Pop_monde_2018/100)</f>
        <v>7800000000</v>
      </c>
      <c r="O48" s="168">
        <f>Pop_monde_2018+((O46-$D$8)*(((Pop_monde_avec_effort-Pop_monde_2018)/Pop_monde_2018)*100/$D$7)*Pop_monde_2018/100)</f>
        <v>7850000000</v>
      </c>
      <c r="P48" s="168">
        <f>Pop_monde_2018+((P46-$D$8)*(((Pop_monde_avec_effort-Pop_monde_2018)/Pop_monde_2018)*100/$D$7)*Pop_monde_2018/100)</f>
        <v>7900000000</v>
      </c>
      <c r="Q48" s="168">
        <f>Pop_monde_2018+((Q46-$D$8)*(((Pop_monde_avec_effort-Pop_monde_2018)/Pop_monde_2018)*100/$D$7)*Pop_monde_2018/100)</f>
        <v>7950000000</v>
      </c>
      <c r="R48" s="168">
        <f>Pop_monde_2018+((R46-$D$8)*(((Pop_monde_avec_effort-Pop_monde_2018)/Pop_monde_2018)*100/$D$7)*Pop_monde_2018/100)</f>
        <v>8000000000</v>
      </c>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row>
    <row r="49" ht="18.75" customHeight="1" outlineLevel="1">
      <c r="A49" s="17"/>
      <c r="B49" s="17"/>
      <c r="C49" s="17"/>
      <c r="D49" s="17"/>
      <c r="E49" s="17"/>
      <c r="F49" s="170"/>
      <c r="G49" s="143"/>
      <c r="H49" s="171"/>
      <c r="I49" s="171"/>
      <c r="J49" s="171"/>
      <c r="K49" s="171"/>
      <c r="L49" s="171"/>
      <c r="M49" s="171"/>
      <c r="N49" s="171"/>
      <c r="O49" s="171"/>
      <c r="P49" s="171"/>
      <c r="Q49" s="171"/>
      <c r="R49" s="171"/>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row>
    <row r="50" ht="18.0" customHeight="1" outlineLevel="1">
      <c r="A50" s="17"/>
      <c r="B50" s="17" t="s">
        <v>659</v>
      </c>
      <c r="C50" s="14" t="s">
        <v>660</v>
      </c>
      <c r="D50" s="168">
        <f>R47</f>
        <v>71466666.67</v>
      </c>
      <c r="E50" s="14" t="s">
        <v>612</v>
      </c>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row>
    <row r="51" ht="18.75" customHeight="1" outlineLevel="1">
      <c r="A51" s="17"/>
      <c r="B51" s="162" t="s">
        <v>661</v>
      </c>
      <c r="C51" s="156" t="s">
        <v>662</v>
      </c>
      <c r="D51" s="172">
        <f>Empreinte_carbone_fr_2018*A2_Empreinte_carbone_égalité/Emissions_GES_par_personne_2018</f>
        <v>5.111177885</v>
      </c>
      <c r="E51" s="156" t="s">
        <v>650</v>
      </c>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row>
    <row r="52" ht="18.75" customHeight="1" outlineLevel="1">
      <c r="A52" s="17"/>
      <c r="B52" s="162" t="s">
        <v>663</v>
      </c>
      <c r="C52" s="173" t="s">
        <v>664</v>
      </c>
      <c r="D52" s="172">
        <f>(10^9)*BudgetCO2_faible_dep/Pop_monde_avec_effort</f>
        <v>3.375</v>
      </c>
      <c r="E52" s="156" t="s">
        <v>650</v>
      </c>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row>
    <row r="53" ht="18.75" customHeight="1" outlineLevel="1">
      <c r="A53" s="17"/>
      <c r="B53" s="162" t="s">
        <v>665</v>
      </c>
      <c r="C53" s="156" t="s">
        <v>666</v>
      </c>
      <c r="D53" s="172">
        <f>(BudgetCO2_faible_dep/EmissionsCO2_fr_2018)*Empreinte_carbone_fr_2018/BudgetCO2_COP21*Engagements_fr_2018</f>
        <v>3.738636364</v>
      </c>
      <c r="E53" s="156" t="s">
        <v>650</v>
      </c>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row>
    <row r="54" ht="18.0" customHeight="1" outlineLevel="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row>
    <row r="55" ht="15.0" customHeight="1" outlineLevel="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row>
    <row r="56" ht="15.0" customHeight="1" outlineLevel="1">
      <c r="A56" s="17"/>
      <c r="B56" s="164" t="s">
        <v>667</v>
      </c>
      <c r="C56" s="105"/>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row>
    <row r="57" ht="15.0" customHeight="1" outlineLevel="1">
      <c r="A57" s="17"/>
      <c r="B57" s="17"/>
      <c r="C57" s="156"/>
      <c r="D57" s="156" t="s">
        <v>650</v>
      </c>
      <c r="E57" s="174" t="s">
        <v>668</v>
      </c>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row>
    <row r="58" ht="15.0" customHeight="1" outlineLevel="1">
      <c r="A58" s="17"/>
      <c r="B58" s="17" t="s">
        <v>669</v>
      </c>
      <c r="C58" s="156" t="s">
        <v>670</v>
      </c>
      <c r="D58" s="175">
        <f>A1_Empreinte_carbone_inégalités*A_Pop_fr_2030</f>
        <v>365278846.2</v>
      </c>
      <c r="E58" s="176">
        <f>B1_Tot_empreinte_fr_2030/A_Pop_fr_2030</f>
        <v>5.111177885</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row>
    <row r="59" ht="15.0" customHeight="1" outlineLevel="1">
      <c r="A59" s="17"/>
      <c r="B59" s="17" t="s">
        <v>671</v>
      </c>
      <c r="C59" s="156" t="s">
        <v>672</v>
      </c>
      <c r="D59" s="175">
        <f>EmissionsCO2_fr_2018/Empreinte_carbone_fr_2018*A1_Tot_empreinte_fr_2030</f>
        <v>229603846.2</v>
      </c>
      <c r="E59" s="176">
        <f t="array" ref="E59">A1_Tot_émissions_nationales_fr_2030/A_Pop_fr_2030</f>
        <v>3.212740385</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row>
    <row r="60" ht="15.0" customHeight="1" outlineLevel="1">
      <c r="A60" s="17"/>
      <c r="B60" s="17" t="s">
        <v>673</v>
      </c>
      <c r="C60" s="156" t="s">
        <v>674</v>
      </c>
      <c r="D60" s="175">
        <f>D58-D59</f>
        <v>135675000</v>
      </c>
      <c r="E60" s="176">
        <f t="array" ref="E60">A1_Tot_émissions_indirectes_fr_2030/A_Pop_fr_2030</f>
        <v>1.8984375</v>
      </c>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row>
    <row r="61" ht="15.0" customHeight="1" outlineLevel="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row>
    <row r="62" ht="15.0" customHeight="1" outlineLevel="1">
      <c r="A62" s="17"/>
      <c r="B62" s="164" t="s">
        <v>675</v>
      </c>
      <c r="C62" s="105"/>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row>
    <row r="63" ht="15.0" customHeight="1" outlineLevel="1">
      <c r="A63" s="17"/>
      <c r="B63" s="17"/>
      <c r="C63" s="156"/>
      <c r="D63" s="156" t="s">
        <v>650</v>
      </c>
      <c r="E63" s="174" t="s">
        <v>668</v>
      </c>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row>
    <row r="64" ht="15.0" customHeight="1" outlineLevel="1">
      <c r="A64" s="17"/>
      <c r="B64" s="17" t="s">
        <v>676</v>
      </c>
      <c r="C64" s="156" t="s">
        <v>670</v>
      </c>
      <c r="D64" s="175">
        <f>B2_Empreinte_carbone_égalité*B_Pop_fr_2030</f>
        <v>241200000</v>
      </c>
      <c r="E64" s="176">
        <f>B2_Tot_empreinte_fr_2030/A_Pop_fr_2030</f>
        <v>3.375</v>
      </c>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row>
    <row r="65" ht="15.0" customHeight="1" outlineLevel="1">
      <c r="A65" s="17"/>
      <c r="B65" s="17" t="s">
        <v>677</v>
      </c>
      <c r="C65" s="156" t="s">
        <v>672</v>
      </c>
      <c r="D65" s="175">
        <f>EmissionsCO2_fr_2018/Empreinte_carbone_fr_2018*D64</f>
        <v>151611428.6</v>
      </c>
      <c r="E65" s="176">
        <f>A2_Tot_émissions_nationales_fr_2030/A_Pop_fr_2030</f>
        <v>2.121428571</v>
      </c>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row>
    <row r="66" ht="15.0" customHeight="1" outlineLevel="1">
      <c r="A66" s="17"/>
      <c r="B66" s="17" t="s">
        <v>678</v>
      </c>
      <c r="C66" s="156" t="s">
        <v>674</v>
      </c>
      <c r="D66" s="175">
        <f>D64-D65</f>
        <v>89588571.43</v>
      </c>
      <c r="E66" s="176">
        <f t="array" ref="E66">A2_Tot_émissions_indirectes_fr_2030/A_Pop_fr_2030</f>
        <v>1.253571429</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row>
    <row r="67" ht="15.0" customHeight="1" outlineLevel="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row>
    <row r="68" ht="18.75" customHeight="1" outlineLevel="1">
      <c r="A68" s="17"/>
      <c r="B68" s="164" t="s">
        <v>679</v>
      </c>
      <c r="C68" s="105"/>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row>
    <row r="69" ht="18.75" customHeight="1" outlineLevel="1">
      <c r="A69" s="17"/>
      <c r="B69" s="17"/>
      <c r="C69" s="156"/>
      <c r="D69" s="156" t="s">
        <v>650</v>
      </c>
      <c r="E69" s="174" t="s">
        <v>668</v>
      </c>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row>
    <row r="70" ht="18.75" customHeight="1" outlineLevel="1">
      <c r="A70" s="17"/>
      <c r="B70" s="17" t="s">
        <v>680</v>
      </c>
      <c r="C70" s="156" t="s">
        <v>670</v>
      </c>
      <c r="D70" s="175">
        <f>B3_Empreinte_carbone_réhausse_proportionnelle*A_Pop_fr_2030</f>
        <v>267187878.8</v>
      </c>
      <c r="E70" s="176">
        <f t="array" ref="E70">A3_Tot_empreinte_fr_2030/A_Pop_fr_2030</f>
        <v>3.738636364</v>
      </c>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row>
    <row r="71" ht="18.75" customHeight="1" outlineLevel="1">
      <c r="A71" s="17"/>
      <c r="B71" s="17" t="s">
        <v>681</v>
      </c>
      <c r="C71" s="156" t="s">
        <v>672</v>
      </c>
      <c r="D71" s="175">
        <f>EmissionsCO2_fr_2018/Empreinte_carbone_fr_2018*D70</f>
        <v>167946666.7</v>
      </c>
      <c r="E71" s="176">
        <f t="array" ref="E71">A3_Tot_émissions_nationales_fr_2030/A_Pop_fr_2030</f>
        <v>2.35</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row>
    <row r="72" ht="18.75" customHeight="1" outlineLevel="1">
      <c r="A72" s="17"/>
      <c r="B72" s="17" t="s">
        <v>682</v>
      </c>
      <c r="C72" s="156" t="s">
        <v>674</v>
      </c>
      <c r="D72" s="175">
        <f>D70-D71</f>
        <v>99241212.12</v>
      </c>
      <c r="E72" s="176">
        <f t="array" ref="E72">A3_Tot_émissions_indirectes_fr_2030/A_Pop_fr_2030</f>
        <v>1.388636364</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row>
    <row r="73" ht="18.75" customHeight="1" outlineLevel="1">
      <c r="A73" s="17"/>
      <c r="B73" s="17"/>
      <c r="C73" s="143"/>
      <c r="D73" s="177"/>
      <c r="E73" s="178"/>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row>
    <row r="74" ht="18.75" customHeight="1" outlineLevel="1">
      <c r="A74" s="164" t="s">
        <v>683</v>
      </c>
      <c r="B74" s="105"/>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row>
    <row r="75" ht="18.75" customHeight="1" outlineLevel="1">
      <c r="A75" s="17"/>
      <c r="B75" s="17"/>
      <c r="C75" s="17"/>
      <c r="D75" s="17"/>
      <c r="E75" s="17"/>
      <c r="F75" s="165" t="s">
        <v>656</v>
      </c>
      <c r="G75" s="14"/>
      <c r="H75" s="84">
        <v>2020.0</v>
      </c>
      <c r="I75" s="20">
        <v>2021.0</v>
      </c>
      <c r="J75" s="20">
        <v>2022.0</v>
      </c>
      <c r="K75" s="20">
        <v>2023.0</v>
      </c>
      <c r="L75" s="20">
        <v>2024.0</v>
      </c>
      <c r="M75" s="20">
        <v>2025.0</v>
      </c>
      <c r="N75" s="20">
        <v>2026.0</v>
      </c>
      <c r="O75" s="20">
        <v>2027.0</v>
      </c>
      <c r="P75" s="20">
        <v>2028.0</v>
      </c>
      <c r="Q75" s="20">
        <v>2029.0</v>
      </c>
      <c r="R75" s="20">
        <v>2030.0</v>
      </c>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row>
    <row r="76" ht="18.0" customHeight="1" outlineLevel="1">
      <c r="A76" s="17"/>
      <c r="B76" s="17"/>
      <c r="C76" s="17"/>
      <c r="D76" s="17"/>
      <c r="E76" s="17"/>
      <c r="F76" s="166"/>
      <c r="G76" s="156" t="s">
        <v>657</v>
      </c>
      <c r="H76" s="167">
        <f>Pop_fr_2018+((H75-Année_référence)*(((Pop_monde_sans_effort-Pop_monde_2018)/Pop_monde_2018)*100/Nb_années)*Pop_fr_2018/100)</f>
        <v>67000000</v>
      </c>
      <c r="I76" s="168">
        <f>Pop_fr_2018+((I75-Année_référence)*(((Pop_monde_sans_effort-Pop_monde_2018)/Pop_monde_2018)*100/Nb_années)*Pop_fr_2018/100)</f>
        <v>68340000</v>
      </c>
      <c r="J76" s="168">
        <f>Pop_fr_2018+((J75-Année_référence)*(((Pop_monde_sans_effort-Pop_monde_2018)/Pop_monde_2018)*100/Nb_années)*Pop_fr_2018/100)</f>
        <v>69680000</v>
      </c>
      <c r="K76" s="168">
        <f>Pop_fr_2018+((K75-Année_référence)*(((Pop_monde_sans_effort-Pop_monde_2018)/Pop_monde_2018)*100/Nb_années)*Pop_fr_2018/100)</f>
        <v>71020000</v>
      </c>
      <c r="L76" s="168">
        <f>Pop_fr_2018+((L75-Année_référence)*(((Pop_monde_sans_effort-Pop_monde_2018)/Pop_monde_2018)*100/Nb_années)*Pop_fr_2018/100)</f>
        <v>72360000</v>
      </c>
      <c r="M76" s="168">
        <f>Pop_fr_2018+((M75-Année_référence)*(((Pop_monde_sans_effort-Pop_monde_2018)/Pop_monde_2018)*100/Nb_années)*Pop_fr_2018/100)</f>
        <v>73700000</v>
      </c>
      <c r="N76" s="168">
        <f>Pop_fr_2018+((N75-Année_référence)*(((Pop_monde_sans_effort-Pop_monde_2018)/Pop_monde_2018)*100/Nb_années)*Pop_fr_2018/100)</f>
        <v>75040000</v>
      </c>
      <c r="O76" s="168">
        <f>Pop_fr_2018+((O75-Année_référence)*(((Pop_monde_sans_effort-Pop_monde_2018)/Pop_monde_2018)*100/Nb_années)*Pop_fr_2018/100)</f>
        <v>76380000</v>
      </c>
      <c r="P76" s="168">
        <f>Pop_fr_2018+((P75-Année_référence)*(((Pop_monde_sans_effort-Pop_monde_2018)/Pop_monde_2018)*100/Nb_années)*Pop_fr_2018/100)</f>
        <v>77720000</v>
      </c>
      <c r="Q76" s="168">
        <f>Pop_fr_2018+((Q75-Année_référence)*(((Pop_monde_sans_effort-Pop_monde_2018)/Pop_monde_2018)*100/Nb_années)*Pop_fr_2018/100)</f>
        <v>79060000</v>
      </c>
      <c r="R76" s="168">
        <f>Pop_fr_2018+((R75-Année_référence)*(((Pop_monde_sans_effort-Pop_monde_2018)/Pop_monde_2018)*100/Nb_années)*Pop_fr_2018/100)</f>
        <v>80400000</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row>
    <row r="77" ht="18.75" customHeight="1" outlineLevel="1">
      <c r="A77" s="17"/>
      <c r="B77" s="17"/>
      <c r="C77" s="17"/>
      <c r="D77" s="17"/>
      <c r="E77" s="17"/>
      <c r="F77" s="169"/>
      <c r="G77" s="156" t="s">
        <v>658</v>
      </c>
      <c r="H77" s="167">
        <f>Pop_monde_2018+((H75-$D$8)*(((Pop_monde_sans_effort-Pop_monde_2018)/Pop_monde_2018)*100/$D$7)*Pop_monde_2018/100)</f>
        <v>7500000000</v>
      </c>
      <c r="I77" s="168">
        <f>Pop_monde_2018+((I75-$D$8)*(((Pop_monde_sans_effort-Pop_monde_2018)/Pop_monde_2018)*100/$D$7)*Pop_monde_2018/100)</f>
        <v>7650000000</v>
      </c>
      <c r="J77" s="168">
        <f>Pop_monde_2018+((J75-$D$8)*(((Pop_monde_sans_effort-Pop_monde_2018)/Pop_monde_2018)*100/$D$7)*Pop_monde_2018/100)</f>
        <v>7800000000</v>
      </c>
      <c r="K77" s="168">
        <f>Pop_monde_2018+((K75-$D$8)*(((Pop_monde_sans_effort-Pop_monde_2018)/Pop_monde_2018)*100/$D$7)*Pop_monde_2018/100)</f>
        <v>7950000000</v>
      </c>
      <c r="L77" s="168">
        <f>Pop_monde_2018+((L75-$D$8)*(((Pop_monde_sans_effort-Pop_monde_2018)/Pop_monde_2018)*100/$D$7)*Pop_monde_2018/100)</f>
        <v>8100000000</v>
      </c>
      <c r="M77" s="168">
        <f>Pop_monde_2018+((M75-$D$8)*(((Pop_monde_sans_effort-Pop_monde_2018)/Pop_monde_2018)*100/$D$7)*Pop_monde_2018/100)</f>
        <v>8250000000</v>
      </c>
      <c r="N77" s="168">
        <f>Pop_monde_2018+((N75-$D$8)*(((Pop_monde_sans_effort-Pop_monde_2018)/Pop_monde_2018)*100/$D$7)*Pop_monde_2018/100)</f>
        <v>8400000000</v>
      </c>
      <c r="O77" s="168">
        <f>Pop_monde_2018+((O75-$D$8)*(((Pop_monde_sans_effort-Pop_monde_2018)/Pop_monde_2018)*100/$D$7)*Pop_monde_2018/100)</f>
        <v>8550000000</v>
      </c>
      <c r="P77" s="168">
        <f>Pop_monde_2018+((P75-$D$8)*(((Pop_monde_sans_effort-Pop_monde_2018)/Pop_monde_2018)*100/$D$7)*Pop_monde_2018/100)</f>
        <v>8700000000</v>
      </c>
      <c r="Q77" s="168">
        <f>Pop_monde_2018+((Q75-$D$8)*(((Pop_monde_sans_effort-Pop_monde_2018)/Pop_monde_2018)*100/$D$7)*Pop_monde_2018/100)</f>
        <v>8850000000</v>
      </c>
      <c r="R77" s="168">
        <f>Pop_monde_2018+((R75-$D$8)*(((Pop_monde_sans_effort-Pop_monde_2018)/Pop_monde_2018)*100/$D$7)*Pop_monde_2018/100)</f>
        <v>9000000000</v>
      </c>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row>
    <row r="78" ht="18.75" customHeight="1" outlineLevel="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row>
    <row r="79" ht="18.75" customHeight="1" outlineLevel="1">
      <c r="A79" s="17"/>
      <c r="B79" s="17" t="s">
        <v>684</v>
      </c>
      <c r="C79" s="14" t="s">
        <v>660</v>
      </c>
      <c r="D79" s="168">
        <f>R76</f>
        <v>80400000</v>
      </c>
      <c r="E79" s="14" t="s">
        <v>612</v>
      </c>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row>
    <row r="80" ht="18.75" customHeight="1" outlineLevel="1">
      <c r="A80" s="17"/>
      <c r="B80" s="162" t="s">
        <v>685</v>
      </c>
      <c r="C80" s="156" t="s">
        <v>662</v>
      </c>
      <c r="D80" s="172">
        <f>Empreinte_carbone_fr_2018*B2_Empreinte_carbone_égalité/Emissions_GES_par_personne_2018</f>
        <v>4.543269231</v>
      </c>
      <c r="E80" s="156" t="s">
        <v>650</v>
      </c>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row>
    <row r="81" ht="18.75" customHeight="1" outlineLevel="1">
      <c r="A81" s="17"/>
      <c r="B81" s="162" t="s">
        <v>686</v>
      </c>
      <c r="C81" s="173" t="s">
        <v>664</v>
      </c>
      <c r="D81" s="172">
        <f>(10^9)*BudgetCO2_faible_dep/Pop_monde_sans_effort</f>
        <v>3</v>
      </c>
      <c r="E81" s="156" t="s">
        <v>650</v>
      </c>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row>
    <row r="82" ht="18.75" customHeight="1" outlineLevel="1">
      <c r="A82" s="17"/>
      <c r="B82" s="162" t="s">
        <v>687</v>
      </c>
      <c r="C82" s="156" t="s">
        <v>666</v>
      </c>
      <c r="D82" s="172">
        <f>(BudgetCO2_faible_dep/EmissionsCO2_fr_2018)*Empreinte_carbone_fr_2018/BudgetCO2_COP21*Engagements_fr_2018</f>
        <v>3.738636364</v>
      </c>
      <c r="E82" s="156" t="s">
        <v>650</v>
      </c>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row>
    <row r="83" ht="15.0" customHeight="1" outlineLevel="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row>
    <row r="84" ht="15.0" customHeight="1" outlineLevel="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row>
    <row r="85" ht="15.0" customHeight="1" outlineLevel="1">
      <c r="A85" s="17"/>
      <c r="B85" s="164" t="s">
        <v>688</v>
      </c>
      <c r="C85" s="105"/>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row>
    <row r="86" ht="15.0" customHeight="1" outlineLevel="1">
      <c r="A86" s="17"/>
      <c r="B86" s="17"/>
      <c r="C86" s="156"/>
      <c r="D86" s="156" t="s">
        <v>650</v>
      </c>
      <c r="E86" s="174" t="s">
        <v>668</v>
      </c>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row>
    <row r="87" ht="15.0" customHeight="1" outlineLevel="1">
      <c r="A87" s="17"/>
      <c r="B87" s="17" t="s">
        <v>689</v>
      </c>
      <c r="C87" s="156" t="s">
        <v>670</v>
      </c>
      <c r="D87" s="175">
        <f>B1_Empreinte_carbone_inégalités*B_Pop_fr_2030</f>
        <v>365278846.2</v>
      </c>
      <c r="E87" s="176">
        <f>B1_Tot_empreinte_fr_2030/B_Pop_fr_2030</f>
        <v>4.543269231</v>
      </c>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row>
    <row r="88" ht="15.0" customHeight="1" outlineLevel="1">
      <c r="A88" s="17"/>
      <c r="B88" s="17" t="s">
        <v>690</v>
      </c>
      <c r="C88" s="156" t="s">
        <v>672</v>
      </c>
      <c r="D88" s="175">
        <f>EmissionsCO2_fr_2018/Empreinte_carbone_fr_2018*D87</f>
        <v>229603846.2</v>
      </c>
      <c r="E88" s="176">
        <f>B1_Tot_émissions_nationales_fr_2030/B_Pop_fr_2030</f>
        <v>2.855769231</v>
      </c>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row>
    <row r="89" ht="15.0" customHeight="1" outlineLevel="1">
      <c r="A89" s="17"/>
      <c r="B89" s="17" t="s">
        <v>691</v>
      </c>
      <c r="C89" s="156" t="s">
        <v>674</v>
      </c>
      <c r="D89" s="175">
        <f>D87-D88</f>
        <v>135675000</v>
      </c>
      <c r="E89" s="176">
        <f>B1_Tot_émissions_indirectes_fr_2030/B_Pop_fr_2030</f>
        <v>1.6875</v>
      </c>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row>
    <row r="90" ht="15.0" customHeight="1" outlineLevel="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row>
    <row r="91" ht="15.0" customHeight="1" outlineLevel="1">
      <c r="A91" s="17"/>
      <c r="B91" s="164" t="s">
        <v>692</v>
      </c>
      <c r="C91" s="105"/>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row>
    <row r="92" ht="15.0" customHeight="1" outlineLevel="1">
      <c r="A92" s="17"/>
      <c r="B92" s="17"/>
      <c r="C92" s="156"/>
      <c r="D92" s="156" t="s">
        <v>650</v>
      </c>
      <c r="E92" s="174" t="s">
        <v>668</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row>
    <row r="93" ht="15.0" customHeight="1" outlineLevel="1">
      <c r="A93" s="17"/>
      <c r="B93" s="17" t="s">
        <v>693</v>
      </c>
      <c r="C93" s="156" t="s">
        <v>670</v>
      </c>
      <c r="D93" s="175">
        <f>B2_Empreinte_carbone_égalité*B_Pop_fr_2030</f>
        <v>241200000</v>
      </c>
      <c r="E93" s="176">
        <f>B2_Tot_empreinte_fr_2030/B_Pop_fr_2030</f>
        <v>3</v>
      </c>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row>
    <row r="94" ht="15.0" customHeight="1" outlineLevel="1">
      <c r="A94" s="17"/>
      <c r="B94" s="17" t="s">
        <v>694</v>
      </c>
      <c r="C94" s="156" t="s">
        <v>672</v>
      </c>
      <c r="D94" s="175">
        <f>EmissionsCO2_fr_2018/Empreinte_carbone_fr_2018*D93</f>
        <v>151611428.6</v>
      </c>
      <c r="E94" s="176">
        <f>B2_Tot_émissions_nationales_fr_2030/B_Pop_fr_2030</f>
        <v>1.885714286</v>
      </c>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row>
    <row r="95" ht="15.0" customHeight="1" outlineLevel="1">
      <c r="A95" s="17"/>
      <c r="B95" s="17" t="s">
        <v>695</v>
      </c>
      <c r="C95" s="156" t="s">
        <v>674</v>
      </c>
      <c r="D95" s="175">
        <f>D93-D94</f>
        <v>89588571.43</v>
      </c>
      <c r="E95" s="176">
        <f>B2_Tot_émissions_indirectes_fr_2030/B_Pop_fr_2030</f>
        <v>1.114285714</v>
      </c>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row>
    <row r="96" ht="15.0" customHeight="1" outlineLevel="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row>
    <row r="97" ht="18.75" customHeight="1" outlineLevel="1">
      <c r="A97" s="17"/>
      <c r="B97" s="164" t="s">
        <v>696</v>
      </c>
      <c r="C97" s="105"/>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row>
    <row r="98" ht="18.75" customHeight="1" outlineLevel="1">
      <c r="A98" s="17"/>
      <c r="B98" s="17"/>
      <c r="C98" s="156"/>
      <c r="D98" s="156" t="s">
        <v>650</v>
      </c>
      <c r="E98" s="174" t="s">
        <v>668</v>
      </c>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row>
    <row r="99" ht="18.75" customHeight="1" outlineLevel="1">
      <c r="A99" s="17"/>
      <c r="B99" s="17" t="s">
        <v>697</v>
      </c>
      <c r="C99" s="156" t="s">
        <v>670</v>
      </c>
      <c r="D99" s="175">
        <f>B3_Empreinte_carbone_réhausse_proportionnelle*B_Pop_fr_2030</f>
        <v>300586363.6</v>
      </c>
      <c r="E99" s="176">
        <f>B3_Tot_empreinte_fr_2030/B_Pop_fr_2030</f>
        <v>3.738636364</v>
      </c>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row>
    <row r="100" ht="18.75" customHeight="1" outlineLevel="1">
      <c r="A100" s="17"/>
      <c r="B100" s="17" t="s">
        <v>698</v>
      </c>
      <c r="C100" s="156" t="s">
        <v>672</v>
      </c>
      <c r="D100" s="175">
        <f>EmissionsCO2_fr_2018/Empreinte_carbone_fr_2018*D99</f>
        <v>188940000</v>
      </c>
      <c r="E100" s="176">
        <f>B3_Tot_émissions_nationales_fr_2030/B_Pop_fr_2030</f>
        <v>2.35</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row>
    <row r="101" ht="18.75" customHeight="1" outlineLevel="1">
      <c r="A101" s="17"/>
      <c r="B101" s="17" t="s">
        <v>699</v>
      </c>
      <c r="C101" s="156" t="s">
        <v>674</v>
      </c>
      <c r="D101" s="175">
        <f>D99-D100</f>
        <v>111646363.6</v>
      </c>
      <c r="E101" s="176">
        <f>B3_Tot_émissions_indirectes_fr_2030/B_Pop_fr_2030</f>
        <v>1.388636364</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row>
    <row r="102" ht="18.75" customHeight="1" outlineLevel="1">
      <c r="A102" s="17"/>
      <c r="B102" s="17"/>
      <c r="C102" s="143"/>
      <c r="D102" s="177"/>
      <c r="E102" s="178"/>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row>
    <row r="103" ht="18.0" customHeight="1">
      <c r="A103" s="179" t="s">
        <v>594</v>
      </c>
      <c r="B103" s="104"/>
      <c r="C103" s="104"/>
      <c r="D103" s="104"/>
      <c r="E103" s="104"/>
      <c r="F103" s="104"/>
      <c r="G103" s="104"/>
      <c r="H103" s="105"/>
      <c r="I103" s="180"/>
      <c r="J103" s="180"/>
      <c r="K103" s="180"/>
      <c r="L103" s="180"/>
      <c r="M103" s="180"/>
      <c r="N103" s="180"/>
      <c r="O103" s="180"/>
      <c r="P103" s="180"/>
      <c r="Q103" s="180"/>
      <c r="R103" s="180"/>
      <c r="S103" s="180"/>
      <c r="T103" s="180"/>
      <c r="U103" s="180"/>
      <c r="V103" s="180"/>
      <c r="W103" s="180"/>
      <c r="X103" s="180"/>
      <c r="Y103" s="180"/>
      <c r="Z103" s="180"/>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row>
    <row r="104" ht="18.75" customHeight="1" outlineLevel="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row>
    <row r="105" ht="18.75" customHeight="1" outlineLevel="1">
      <c r="A105" s="17"/>
      <c r="B105" s="17" t="s">
        <v>318</v>
      </c>
      <c r="C105" s="17" t="s">
        <v>700</v>
      </c>
      <c r="D105" s="17" t="str">
        <f>P_population</f>
        <v>Hypothèse basse (8 milliards d'habitants en 2030)</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row>
    <row r="106" ht="18.75" customHeight="1" outlineLevel="1">
      <c r="A106" s="17"/>
      <c r="B106" s="17" t="s">
        <v>327</v>
      </c>
      <c r="C106" s="17" t="s">
        <v>701</v>
      </c>
      <c r="D106" s="17" t="str">
        <f>P_partage_effort</f>
        <v>Maintien des inégalités : tous les pays suivent la même trajectoire</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row>
    <row r="107" ht="18.75" customHeight="1" outlineLevel="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row>
    <row r="108" ht="18.75" customHeight="1" outlineLevel="1">
      <c r="A108" s="17"/>
      <c r="B108" s="17"/>
      <c r="C108" s="17"/>
      <c r="D108" s="17"/>
      <c r="E108" s="17"/>
      <c r="F108" s="165" t="s">
        <v>656</v>
      </c>
      <c r="G108" s="156" t="s">
        <v>657</v>
      </c>
      <c r="H108" s="168">
        <f>IF(P_population="Avec effort sur l'évolution de la population",H47,H76)</f>
        <v>67000000</v>
      </c>
      <c r="I108" s="168">
        <f>IF(P_population="Avec effort sur l'évolution de la population",I47,I76)</f>
        <v>68340000</v>
      </c>
      <c r="J108" s="168">
        <f>IF(P_population="Avec effort sur l'évolution de la population",J47,J76)</f>
        <v>69680000</v>
      </c>
      <c r="K108" s="168">
        <f>IF(P_population="Avec effort sur l'évolution de la population",K47,K76)</f>
        <v>71020000</v>
      </c>
      <c r="L108" s="168">
        <f>IF(P_population="Avec effort sur l'évolution de la population",L47,L76)</f>
        <v>72360000</v>
      </c>
      <c r="M108" s="168">
        <f>IF(P_population="Avec effort sur l'évolution de la population",M47,M76)</f>
        <v>73700000</v>
      </c>
      <c r="N108" s="168">
        <f>IF(P_population="Avec effort sur l'évolution de la population",N47,N76)</f>
        <v>75040000</v>
      </c>
      <c r="O108" s="168">
        <f>IF(P_population="Avec effort sur l'évolution de la population",O47,O76)</f>
        <v>76380000</v>
      </c>
      <c r="P108" s="168">
        <f>IF(P_population="Avec effort sur l'évolution de la population",P47,P76)</f>
        <v>77720000</v>
      </c>
      <c r="Q108" s="168">
        <f>IF(P_population="Avec effort sur l'évolution de la population",Q47,Q76)</f>
        <v>79060000</v>
      </c>
      <c r="R108" s="168">
        <f>IF(P_population="Avec effort sur l'évolution de la population",R47,R76)</f>
        <v>80400000</v>
      </c>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row>
    <row r="109" ht="18.75" customHeight="1" outlineLevel="1">
      <c r="A109" s="17"/>
      <c r="B109" s="17"/>
      <c r="C109" s="17"/>
      <c r="D109" s="17"/>
      <c r="E109" s="17"/>
      <c r="F109" s="169"/>
      <c r="G109" s="156" t="s">
        <v>658</v>
      </c>
      <c r="H109" s="168">
        <f>IF(P_population="Hypothèse haute (9 milliards d'habitants en 2030)",H77,H48)</f>
        <v>7500000000</v>
      </c>
      <c r="I109" s="168">
        <f>IF(P_population="Hypothèse haute (9 milliards d'habitants en 2030)",I77,I48)</f>
        <v>7550000000</v>
      </c>
      <c r="J109" s="168">
        <f>IF(P_population="Hypothèse haute (9 milliards d'habitants en 2030)",J77,J48)</f>
        <v>7600000000</v>
      </c>
      <c r="K109" s="168">
        <f>IF(P_population="Hypothèse haute (9 milliards d'habitants en 2030)",K77,K48)</f>
        <v>7650000000</v>
      </c>
      <c r="L109" s="168">
        <f>IF(P_population="Hypothèse haute (9 milliards d'habitants en 2030)",L77,L48)</f>
        <v>7700000000</v>
      </c>
      <c r="M109" s="168">
        <f>IF(P_population="Hypothèse haute (9 milliards d'habitants en 2030)",M77,M48)</f>
        <v>7750000000</v>
      </c>
      <c r="N109" s="168">
        <f>IF(P_population="Hypothèse haute (9 milliards d'habitants en 2030)",N77,N48)</f>
        <v>7800000000</v>
      </c>
      <c r="O109" s="168">
        <f>IF(P_population="Hypothèse haute (9 milliards d'habitants en 2030)",O77,O48)</f>
        <v>7850000000</v>
      </c>
      <c r="P109" s="168">
        <f>IF(P_population="Hypothèse haute (9 milliards d'habitants en 2030)",P77,P48)</f>
        <v>7900000000</v>
      </c>
      <c r="Q109" s="168">
        <f>IF(P_population="Hypothèse haute (9 milliards d'habitants en 2030)",Q77,Q48)</f>
        <v>7950000000</v>
      </c>
      <c r="R109" s="168">
        <f>IF(P_population="Hypothèse haute (9 milliards d'habitants en 2030)",R77,R48)</f>
        <v>8000000000</v>
      </c>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row>
    <row r="110" ht="18.75" customHeight="1" outlineLevel="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row>
    <row r="111" ht="18.75" customHeight="1" outlineLevel="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row>
    <row r="112" ht="18.75" customHeight="1" outlineLevel="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row>
    <row r="113" ht="18.75" customHeight="1" outlineLevel="1">
      <c r="A113" s="17"/>
      <c r="B113" s="17"/>
      <c r="C113" s="17"/>
      <c r="D113" s="17"/>
      <c r="E113" s="17"/>
      <c r="F113" s="17"/>
      <c r="G113" s="181" t="s">
        <v>702</v>
      </c>
      <c r="H113" s="182"/>
      <c r="I113" s="182"/>
      <c r="J113" s="182"/>
      <c r="K113" s="182"/>
      <c r="L113" s="182"/>
      <c r="M113" s="182"/>
      <c r="N113" s="182"/>
      <c r="O113" s="182"/>
      <c r="P113" s="182"/>
      <c r="Q113" s="182"/>
      <c r="R113" s="183"/>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row>
    <row r="114" ht="18.75" customHeight="1" outlineLevel="1">
      <c r="A114" s="17"/>
      <c r="B114" s="17"/>
      <c r="C114" s="17"/>
      <c r="D114" s="17"/>
      <c r="E114" s="17"/>
      <c r="F114" s="17"/>
      <c r="G114" s="184" t="s">
        <v>38</v>
      </c>
      <c r="H114" s="185">
        <v>2020.0</v>
      </c>
      <c r="I114" s="185">
        <v>2021.0</v>
      </c>
      <c r="J114" s="185">
        <v>2022.0</v>
      </c>
      <c r="K114" s="185">
        <v>2023.0</v>
      </c>
      <c r="L114" s="185">
        <v>2024.0</v>
      </c>
      <c r="M114" s="185">
        <v>2025.0</v>
      </c>
      <c r="N114" s="185">
        <v>2026.0</v>
      </c>
      <c r="O114" s="185">
        <v>2027.0</v>
      </c>
      <c r="P114" s="185">
        <v>2028.0</v>
      </c>
      <c r="Q114" s="185">
        <v>2029.0</v>
      </c>
      <c r="R114" s="185">
        <v>2030.0</v>
      </c>
      <c r="S114" s="110" t="s">
        <v>703</v>
      </c>
      <c r="T114" s="186" t="s">
        <v>704</v>
      </c>
      <c r="U114" s="17"/>
      <c r="V114" s="17"/>
      <c r="W114" s="17"/>
      <c r="X114" s="17"/>
      <c r="Y114" s="17"/>
      <c r="Z114" s="82" t="s">
        <v>705</v>
      </c>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row>
    <row r="115" ht="18.75" customHeight="1" outlineLevel="1">
      <c r="A115" s="17"/>
      <c r="B115" s="17"/>
      <c r="C115" s="17"/>
      <c r="D115" s="17"/>
      <c r="E115" s="17"/>
      <c r="F115" s="187" t="s">
        <v>14</v>
      </c>
      <c r="G115" s="188" t="s">
        <v>276</v>
      </c>
      <c r="H115" s="189">
        <f>Calculs!H349</f>
        <v>16.96</v>
      </c>
      <c r="I115" s="189">
        <f>Calculs!I349</f>
        <v>16.8</v>
      </c>
      <c r="J115" s="189">
        <f>Calculs!J349</f>
        <v>16.8</v>
      </c>
      <c r="K115" s="189">
        <f>Calculs!K349</f>
        <v>16.8</v>
      </c>
      <c r="L115" s="189">
        <f>Calculs!L349</f>
        <v>16.8</v>
      </c>
      <c r="M115" s="189">
        <f>Calculs!M349</f>
        <v>16.8</v>
      </c>
      <c r="N115" s="189">
        <f>Calculs!N349</f>
        <v>16.8</v>
      </c>
      <c r="O115" s="189">
        <f>Calculs!O349</f>
        <v>16.8</v>
      </c>
      <c r="P115" s="189">
        <f>Calculs!P349</f>
        <v>16.8</v>
      </c>
      <c r="Q115" s="189">
        <f>Calculs!Q349</f>
        <v>16.8</v>
      </c>
      <c r="R115" s="190">
        <f>Calculs!R349</f>
        <v>16.8</v>
      </c>
      <c r="S115" s="191">
        <f t="shared" ref="S115:S130" si="1">SUM(H115:R115)</f>
        <v>184.96</v>
      </c>
      <c r="T115" s="192">
        <f t="shared" ref="T115:T129" si="2">S115/$S$130</f>
        <v>0.02261940799</v>
      </c>
      <c r="U115" s="17" t="str">
        <f t="shared" ref="U115:U129" si="3">G115</f>
        <v>Construction et rénovation</v>
      </c>
      <c r="V115" s="17"/>
      <c r="W115" s="17"/>
      <c r="X115" s="17"/>
      <c r="Y115" s="17"/>
      <c r="Z115" s="193">
        <f t="shared" ref="Z115:Z130" si="4">(R115-H115)/H115</f>
        <v>-0.009433962264</v>
      </c>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row>
    <row r="116" ht="18.75" customHeight="1" outlineLevel="1">
      <c r="A116" s="17"/>
      <c r="B116" s="17"/>
      <c r="C116" s="17"/>
      <c r="D116" s="17"/>
      <c r="E116" s="17"/>
      <c r="F116" s="194"/>
      <c r="G116" s="13" t="s">
        <v>277</v>
      </c>
      <c r="H116" s="168">
        <f>Calculs!H343</f>
        <v>51.89917488</v>
      </c>
      <c r="I116" s="168">
        <f>Calculs!I343</f>
        <v>56.05334208</v>
      </c>
      <c r="J116" s="168">
        <f>Calculs!J343</f>
        <v>56.27719728</v>
      </c>
      <c r="K116" s="168">
        <f>Calculs!K343</f>
        <v>56.50105248</v>
      </c>
      <c r="L116" s="168">
        <f>Calculs!L343</f>
        <v>56.72490768</v>
      </c>
      <c r="M116" s="168">
        <f>Calculs!M343</f>
        <v>56.94876288</v>
      </c>
      <c r="N116" s="168">
        <f>Calculs!N343</f>
        <v>57.17261808</v>
      </c>
      <c r="O116" s="168">
        <f>Calculs!O343</f>
        <v>57.39647328</v>
      </c>
      <c r="P116" s="168">
        <f>Calculs!P343</f>
        <v>57.62032848</v>
      </c>
      <c r="Q116" s="168">
        <f>Calculs!Q343</f>
        <v>57.84418368</v>
      </c>
      <c r="R116" s="195">
        <f>Calculs!R343</f>
        <v>58.06803888</v>
      </c>
      <c r="S116" s="191">
        <f t="shared" si="1"/>
        <v>622.5060797</v>
      </c>
      <c r="T116" s="192">
        <f t="shared" si="2"/>
        <v>0.07612845475</v>
      </c>
      <c r="U116" s="17" t="str">
        <f t="shared" si="3"/>
        <v>Chauffage résidentiel (hors électricité et chauffage urbain)</v>
      </c>
      <c r="V116" s="17"/>
      <c r="W116" s="17"/>
      <c r="X116" s="17"/>
      <c r="Y116" s="17"/>
      <c r="Z116" s="193">
        <f t="shared" si="4"/>
        <v>0.1188624677</v>
      </c>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row>
    <row r="117" ht="18.75" customHeight="1" outlineLevel="1">
      <c r="A117" s="17"/>
      <c r="B117" s="17"/>
      <c r="C117" s="17"/>
      <c r="D117" s="17"/>
      <c r="E117" s="17"/>
      <c r="F117" s="196"/>
      <c r="G117" s="197" t="s">
        <v>278</v>
      </c>
      <c r="H117" s="198">
        <f>Calculs!H361</f>
        <v>25</v>
      </c>
      <c r="I117" s="198">
        <f>Calculs!I361</f>
        <v>25</v>
      </c>
      <c r="J117" s="198">
        <f>Calculs!J361</f>
        <v>25.29715617</v>
      </c>
      <c r="K117" s="198">
        <f>Calculs!K361</f>
        <v>25.59431234</v>
      </c>
      <c r="L117" s="198">
        <f>Calculs!L361</f>
        <v>25.89146851</v>
      </c>
      <c r="M117" s="198">
        <f>Calculs!M361</f>
        <v>26.18862468</v>
      </c>
      <c r="N117" s="198">
        <f>Calculs!N361</f>
        <v>26.48578085</v>
      </c>
      <c r="O117" s="198">
        <f>Calculs!O361</f>
        <v>26.78293702</v>
      </c>
      <c r="P117" s="198">
        <f>Calculs!P361</f>
        <v>27.08009319</v>
      </c>
      <c r="Q117" s="198">
        <f>Calculs!Q361</f>
        <v>27.37724935</v>
      </c>
      <c r="R117" s="199">
        <f>Calculs!R361</f>
        <v>27.67440552</v>
      </c>
      <c r="S117" s="191">
        <f t="shared" si="1"/>
        <v>288.3720276</v>
      </c>
      <c r="T117" s="192">
        <f t="shared" si="2"/>
        <v>0.03526602803</v>
      </c>
      <c r="U117" s="17" t="str">
        <f t="shared" si="3"/>
        <v>Tertiaire</v>
      </c>
      <c r="V117" s="17"/>
      <c r="W117" s="17"/>
      <c r="X117" s="17"/>
      <c r="Y117" s="17"/>
      <c r="Z117" s="193">
        <f t="shared" si="4"/>
        <v>0.106976221</v>
      </c>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row>
    <row r="118" ht="18.75" customHeight="1" outlineLevel="1">
      <c r="A118" s="17"/>
      <c r="B118" s="17"/>
      <c r="C118" s="17"/>
      <c r="D118" s="17"/>
      <c r="E118" s="17"/>
      <c r="F118" s="200" t="s">
        <v>706</v>
      </c>
      <c r="G118" s="201" t="s">
        <v>707</v>
      </c>
      <c r="H118" s="202">
        <f>Calculs!H569</f>
        <v>80.88353248</v>
      </c>
      <c r="I118" s="202">
        <f>Calculs!I569</f>
        <v>82.47166633</v>
      </c>
      <c r="J118" s="202">
        <f>Calculs!J569</f>
        <v>82.56824781</v>
      </c>
      <c r="K118" s="202">
        <f>Calculs!K569</f>
        <v>82.66482929</v>
      </c>
      <c r="L118" s="202">
        <f>Calculs!L569</f>
        <v>82.76141078</v>
      </c>
      <c r="M118" s="202">
        <f>Calculs!M569</f>
        <v>82.85799226</v>
      </c>
      <c r="N118" s="202">
        <f>Calculs!N569</f>
        <v>82.95457375</v>
      </c>
      <c r="O118" s="202">
        <f>Calculs!O569</f>
        <v>83.05115523</v>
      </c>
      <c r="P118" s="202">
        <f>Calculs!P569</f>
        <v>83.14773671</v>
      </c>
      <c r="Q118" s="202">
        <f>Calculs!Q569</f>
        <v>83.2443182</v>
      </c>
      <c r="R118" s="203">
        <f>Calculs!R569</f>
        <v>83.34089968</v>
      </c>
      <c r="S118" s="191">
        <f t="shared" si="1"/>
        <v>909.9463625</v>
      </c>
      <c r="T118" s="192">
        <f t="shared" si="2"/>
        <v>0.1112805364</v>
      </c>
      <c r="U118" s="17" t="str">
        <f t="shared" si="3"/>
        <v>Industrie de l'énergie (hors tertiaire et industrie)</v>
      </c>
      <c r="V118" s="17"/>
      <c r="W118" s="17"/>
      <c r="X118" s="17"/>
      <c r="Y118" s="17"/>
      <c r="Z118" s="193">
        <f t="shared" si="4"/>
        <v>0.03038155141</v>
      </c>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row>
    <row r="119" ht="18.75" customHeight="1" outlineLevel="1">
      <c r="A119" s="17"/>
      <c r="B119" s="17"/>
      <c r="C119" s="17"/>
      <c r="D119" s="17"/>
      <c r="E119" s="17"/>
      <c r="F119" s="187" t="s">
        <v>344</v>
      </c>
      <c r="G119" s="204" t="s">
        <v>289</v>
      </c>
      <c r="H119" s="189">
        <f>Calculs!H602</f>
        <v>42.32</v>
      </c>
      <c r="I119" s="189">
        <f>Calculs!I602</f>
        <v>42.11208</v>
      </c>
      <c r="J119" s="189">
        <f>Calculs!J602</f>
        <v>41.9021104</v>
      </c>
      <c r="K119" s="189">
        <f>Calculs!K602</f>
        <v>41.69014258</v>
      </c>
      <c r="L119" s="189">
        <f>Calculs!L602</f>
        <v>41.47622711</v>
      </c>
      <c r="M119" s="189">
        <f>Calculs!M602</f>
        <v>41.26041374</v>
      </c>
      <c r="N119" s="189">
        <f>Calculs!N602</f>
        <v>41.04275141</v>
      </c>
      <c r="O119" s="189">
        <f>Calculs!O602</f>
        <v>40.82328828</v>
      </c>
      <c r="P119" s="189">
        <f>Calculs!P602</f>
        <v>40.60207174</v>
      </c>
      <c r="Q119" s="189">
        <f>Calculs!Q602</f>
        <v>40.37914841</v>
      </c>
      <c r="R119" s="190">
        <f>Calculs!R602</f>
        <v>40.15456413</v>
      </c>
      <c r="S119" s="191">
        <f t="shared" si="1"/>
        <v>453.7627978</v>
      </c>
      <c r="T119" s="192">
        <f t="shared" si="2"/>
        <v>0.05549224618</v>
      </c>
      <c r="U119" s="17" t="str">
        <f t="shared" si="3"/>
        <v>Utilisation des terres</v>
      </c>
      <c r="V119" s="17"/>
      <c r="W119" s="17"/>
      <c r="X119" s="17"/>
      <c r="Y119" s="17"/>
      <c r="Z119" s="193">
        <f t="shared" si="4"/>
        <v>-0.05116814437</v>
      </c>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row>
    <row r="120" ht="18.75" customHeight="1" outlineLevel="1">
      <c r="A120" s="17"/>
      <c r="B120" s="17"/>
      <c r="C120" s="17"/>
      <c r="D120" s="17"/>
      <c r="E120" s="17"/>
      <c r="F120" s="194"/>
      <c r="G120" s="25" t="s">
        <v>708</v>
      </c>
      <c r="H120" s="168">
        <f>Calculs!H608</f>
        <v>43</v>
      </c>
      <c r="I120" s="168">
        <f>Calculs!I608</f>
        <v>43</v>
      </c>
      <c r="J120" s="168">
        <f>Calculs!J608</f>
        <v>43</v>
      </c>
      <c r="K120" s="168">
        <f>Calculs!K608</f>
        <v>43</v>
      </c>
      <c r="L120" s="168">
        <f>Calculs!L608</f>
        <v>43</v>
      </c>
      <c r="M120" s="168">
        <f>Calculs!M608</f>
        <v>43</v>
      </c>
      <c r="N120" s="168">
        <f>Calculs!N608</f>
        <v>43</v>
      </c>
      <c r="O120" s="168">
        <f>Calculs!O608</f>
        <v>43</v>
      </c>
      <c r="P120" s="168">
        <f>Calculs!P608</f>
        <v>43</v>
      </c>
      <c r="Q120" s="168">
        <f>Calculs!Q608</f>
        <v>43</v>
      </c>
      <c r="R120" s="195">
        <f>Calculs!R608</f>
        <v>43</v>
      </c>
      <c r="S120" s="191">
        <f t="shared" si="1"/>
        <v>473</v>
      </c>
      <c r="T120" s="192">
        <f t="shared" si="2"/>
        <v>0.0578448312</v>
      </c>
      <c r="U120" s="17" t="str">
        <f t="shared" si="3"/>
        <v>Consommation de viande et élevage</v>
      </c>
      <c r="V120" s="17"/>
      <c r="W120" s="17"/>
      <c r="X120" s="17"/>
      <c r="Y120" s="17"/>
      <c r="Z120" s="193">
        <f t="shared" si="4"/>
        <v>0</v>
      </c>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row>
    <row r="121" ht="18.75" customHeight="1" outlineLevel="1">
      <c r="A121" s="17"/>
      <c r="B121" s="17"/>
      <c r="C121" s="17"/>
      <c r="D121" s="17"/>
      <c r="E121" s="17"/>
      <c r="F121" s="196"/>
      <c r="G121" s="205" t="s">
        <v>709</v>
      </c>
      <c r="H121" s="198">
        <f t="shared" ref="H121:R121" si="5">H120</f>
        <v>43</v>
      </c>
      <c r="I121" s="198">
        <f t="shared" si="5"/>
        <v>43</v>
      </c>
      <c r="J121" s="198">
        <f t="shared" si="5"/>
        <v>43</v>
      </c>
      <c r="K121" s="198">
        <f t="shared" si="5"/>
        <v>43</v>
      </c>
      <c r="L121" s="198">
        <f t="shared" si="5"/>
        <v>43</v>
      </c>
      <c r="M121" s="198">
        <f t="shared" si="5"/>
        <v>43</v>
      </c>
      <c r="N121" s="198">
        <f t="shared" si="5"/>
        <v>43</v>
      </c>
      <c r="O121" s="198">
        <f t="shared" si="5"/>
        <v>43</v>
      </c>
      <c r="P121" s="198">
        <f t="shared" si="5"/>
        <v>43</v>
      </c>
      <c r="Q121" s="198">
        <f t="shared" si="5"/>
        <v>43</v>
      </c>
      <c r="R121" s="198">
        <f t="shared" si="5"/>
        <v>43</v>
      </c>
      <c r="S121" s="191">
        <f t="shared" si="1"/>
        <v>473</v>
      </c>
      <c r="T121" s="192">
        <f t="shared" si="2"/>
        <v>0.0578448312</v>
      </c>
      <c r="U121" s="17" t="str">
        <f t="shared" si="3"/>
        <v>Importations agricoles</v>
      </c>
      <c r="V121" s="17"/>
      <c r="W121" s="17"/>
      <c r="X121" s="17" t="s">
        <v>710</v>
      </c>
      <c r="Y121" s="17"/>
      <c r="Z121" s="193">
        <f t="shared" si="4"/>
        <v>0</v>
      </c>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row>
    <row r="122" ht="18.75" customHeight="1" outlineLevel="1">
      <c r="A122" s="17"/>
      <c r="B122" s="17"/>
      <c r="C122" s="17"/>
      <c r="D122" s="17"/>
      <c r="E122" s="17"/>
      <c r="F122" s="187" t="s">
        <v>17</v>
      </c>
      <c r="G122" s="188" t="s">
        <v>282</v>
      </c>
      <c r="H122" s="189">
        <f t="shared" ref="H122:R122" si="6">H426+H422+H489</f>
        <v>18</v>
      </c>
      <c r="I122" s="189">
        <f t="shared" si="6"/>
        <v>18</v>
      </c>
      <c r="J122" s="189">
        <f t="shared" si="6"/>
        <v>18</v>
      </c>
      <c r="K122" s="189">
        <f t="shared" si="6"/>
        <v>18</v>
      </c>
      <c r="L122" s="189">
        <f t="shared" si="6"/>
        <v>18</v>
      </c>
      <c r="M122" s="189">
        <f t="shared" si="6"/>
        <v>18</v>
      </c>
      <c r="N122" s="189">
        <f t="shared" si="6"/>
        <v>18</v>
      </c>
      <c r="O122" s="189">
        <f t="shared" si="6"/>
        <v>18</v>
      </c>
      <c r="P122" s="189">
        <f t="shared" si="6"/>
        <v>18</v>
      </c>
      <c r="Q122" s="189">
        <f t="shared" si="6"/>
        <v>18</v>
      </c>
      <c r="R122" s="189">
        <f t="shared" si="6"/>
        <v>18</v>
      </c>
      <c r="S122" s="191">
        <f t="shared" si="1"/>
        <v>198</v>
      </c>
      <c r="T122" s="192">
        <f t="shared" si="2"/>
        <v>0.02421411538</v>
      </c>
      <c r="U122" s="17" t="str">
        <f t="shared" si="3"/>
        <v>Construction de véhicules</v>
      </c>
      <c r="V122" s="17"/>
      <c r="W122" s="17"/>
      <c r="X122" s="17"/>
      <c r="Y122" s="17"/>
      <c r="Z122" s="193">
        <f t="shared" si="4"/>
        <v>0</v>
      </c>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row>
    <row r="123" ht="18.75" customHeight="1" outlineLevel="1">
      <c r="A123" s="17"/>
      <c r="B123" s="17"/>
      <c r="C123" s="17"/>
      <c r="D123" s="17"/>
      <c r="E123" s="17"/>
      <c r="F123" s="194"/>
      <c r="G123" s="25" t="s">
        <v>711</v>
      </c>
      <c r="H123" s="168">
        <f>Calculs!H527+Calculs!H529</f>
        <v>108.5538083</v>
      </c>
      <c r="I123" s="168">
        <f>Calculs!I527+Calculs!I529</f>
        <v>108.3717083</v>
      </c>
      <c r="J123" s="168">
        <f>Calculs!J527+Calculs!J529</f>
        <v>108.1896083</v>
      </c>
      <c r="K123" s="168">
        <f>Calculs!K527+Calculs!K529</f>
        <v>108.0075083</v>
      </c>
      <c r="L123" s="168">
        <f>Calculs!L527+Calculs!L529</f>
        <v>107.7647083</v>
      </c>
      <c r="M123" s="168">
        <f>Calculs!M527+Calculs!M529</f>
        <v>107.4612083</v>
      </c>
      <c r="N123" s="168">
        <f>Calculs!N527+Calculs!N529</f>
        <v>107.1577083</v>
      </c>
      <c r="O123" s="168">
        <f>Calculs!O527+Calculs!O529</f>
        <v>106.8542083</v>
      </c>
      <c r="P123" s="168">
        <f>Calculs!P527+Calculs!P529</f>
        <v>106.5507083</v>
      </c>
      <c r="Q123" s="168">
        <f>Calculs!Q527+Calculs!Q529</f>
        <v>106.2472083</v>
      </c>
      <c r="R123" s="195">
        <f>Calculs!R527+Calculs!R529</f>
        <v>105.9437083</v>
      </c>
      <c r="S123" s="191">
        <f t="shared" si="1"/>
        <v>1181.102092</v>
      </c>
      <c r="T123" s="192">
        <f t="shared" si="2"/>
        <v>0.1444411229</v>
      </c>
      <c r="U123" s="17" t="str">
        <f t="shared" si="3"/>
        <v>Transport de personnes</v>
      </c>
      <c r="V123" s="17"/>
      <c r="W123" s="17"/>
      <c r="X123" s="17"/>
      <c r="Y123" s="17"/>
      <c r="Z123" s="193">
        <f t="shared" si="4"/>
        <v>-0.02404429693</v>
      </c>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row>
    <row r="124" ht="18.75" customHeight="1" outlineLevel="1">
      <c r="A124" s="17"/>
      <c r="B124" s="17"/>
      <c r="C124" s="17"/>
      <c r="D124" s="17"/>
      <c r="E124" s="17"/>
      <c r="F124" s="194"/>
      <c r="G124" s="25" t="s">
        <v>712</v>
      </c>
      <c r="H124" s="168">
        <f>Calculs!H530+Calculs!H528</f>
        <v>51.93996991</v>
      </c>
      <c r="I124" s="168">
        <f>Calculs!I530+Calculs!I528</f>
        <v>51.96996991</v>
      </c>
      <c r="J124" s="168">
        <f>Calculs!J530+Calculs!J528</f>
        <v>51.96996991</v>
      </c>
      <c r="K124" s="168">
        <f>Calculs!K530+Calculs!K528</f>
        <v>51.96996991</v>
      </c>
      <c r="L124" s="168">
        <f>Calculs!L530+Calculs!L528</f>
        <v>51.96996991</v>
      </c>
      <c r="M124" s="168">
        <f>Calculs!M530+Calculs!M528</f>
        <v>51.96996991</v>
      </c>
      <c r="N124" s="168">
        <f>Calculs!N530+Calculs!N528</f>
        <v>51.96996991</v>
      </c>
      <c r="O124" s="168">
        <f>Calculs!O530+Calculs!O528</f>
        <v>51.96996991</v>
      </c>
      <c r="P124" s="168">
        <f>Calculs!P530+Calculs!P528</f>
        <v>51.96996991</v>
      </c>
      <c r="Q124" s="168">
        <f>Calculs!Q530+Calculs!Q528</f>
        <v>51.96996991</v>
      </c>
      <c r="R124" s="195">
        <f>Calculs!R530+Calculs!R528</f>
        <v>51.96996991</v>
      </c>
      <c r="S124" s="191">
        <f t="shared" si="1"/>
        <v>571.639669</v>
      </c>
      <c r="T124" s="192">
        <f t="shared" si="2"/>
        <v>0.06990782275</v>
      </c>
      <c r="U124" s="17" t="str">
        <f t="shared" si="3"/>
        <v>Transport de marchandises</v>
      </c>
      <c r="V124" s="17"/>
      <c r="W124" s="17"/>
      <c r="X124" s="17"/>
      <c r="Y124" s="17"/>
      <c r="Z124" s="193">
        <f t="shared" si="4"/>
        <v>0.000577589861</v>
      </c>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row>
    <row r="125" ht="18.75" customHeight="1" outlineLevel="1">
      <c r="A125" s="17"/>
      <c r="B125" s="17"/>
      <c r="C125" s="17"/>
      <c r="D125" s="17"/>
      <c r="E125" s="17"/>
      <c r="F125" s="196"/>
      <c r="G125" s="205" t="s">
        <v>713</v>
      </c>
      <c r="H125" s="198">
        <f>Calculs!H515</f>
        <v>32.912</v>
      </c>
      <c r="I125" s="198">
        <f>Calculs!I515</f>
        <v>32.58288</v>
      </c>
      <c r="J125" s="198">
        <f>Calculs!J515</f>
        <v>32.2570512</v>
      </c>
      <c r="K125" s="198">
        <f>Calculs!K515</f>
        <v>31.93448069</v>
      </c>
      <c r="L125" s="198">
        <f>Calculs!L515</f>
        <v>31.61513588</v>
      </c>
      <c r="M125" s="198">
        <f>Calculs!M515</f>
        <v>31.29898452</v>
      </c>
      <c r="N125" s="198">
        <f>Calculs!N515</f>
        <v>30.98599468</v>
      </c>
      <c r="O125" s="198">
        <f>Calculs!O515</f>
        <v>30.67613473</v>
      </c>
      <c r="P125" s="198">
        <f>Calculs!P515</f>
        <v>30.36937338</v>
      </c>
      <c r="Q125" s="198">
        <f>Calculs!Q515</f>
        <v>30.06567965</v>
      </c>
      <c r="R125" s="198">
        <f>Calculs!R515</f>
        <v>29.76502285</v>
      </c>
      <c r="S125" s="191">
        <f t="shared" si="1"/>
        <v>344.4627376</v>
      </c>
      <c r="T125" s="192">
        <f t="shared" si="2"/>
        <v>0.04212555795</v>
      </c>
      <c r="U125" s="17" t="str">
        <f t="shared" si="3"/>
        <v>Transport Aérien</v>
      </c>
      <c r="V125" s="17"/>
      <c r="W125" s="17"/>
      <c r="X125" s="17"/>
      <c r="Y125" s="17"/>
      <c r="Z125" s="193">
        <f t="shared" si="4"/>
        <v>-0.09561792499</v>
      </c>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row>
    <row r="126" ht="18.75" customHeight="1" outlineLevel="1">
      <c r="A126" s="17"/>
      <c r="B126" s="17"/>
      <c r="C126" s="17"/>
      <c r="D126" s="17"/>
      <c r="E126" s="17"/>
      <c r="F126" s="206" t="s">
        <v>23</v>
      </c>
      <c r="G126" s="204" t="s">
        <v>247</v>
      </c>
      <c r="H126" s="189">
        <f t="shared" ref="H126:R126" si="7">H631</f>
        <v>43.3</v>
      </c>
      <c r="I126" s="189">
        <f t="shared" si="7"/>
        <v>42.867</v>
      </c>
      <c r="J126" s="189">
        <f t="shared" si="7"/>
        <v>42.43833</v>
      </c>
      <c r="K126" s="189">
        <f t="shared" si="7"/>
        <v>42.0139467</v>
      </c>
      <c r="L126" s="189">
        <f t="shared" si="7"/>
        <v>41.59380723</v>
      </c>
      <c r="M126" s="189">
        <f t="shared" si="7"/>
        <v>41.17786916</v>
      </c>
      <c r="N126" s="189">
        <f t="shared" si="7"/>
        <v>40.76609047</v>
      </c>
      <c r="O126" s="189">
        <f t="shared" si="7"/>
        <v>40.35842956</v>
      </c>
      <c r="P126" s="189">
        <f t="shared" si="7"/>
        <v>39.95484527</v>
      </c>
      <c r="Q126" s="189">
        <f t="shared" si="7"/>
        <v>39.55529682</v>
      </c>
      <c r="R126" s="189">
        <f t="shared" si="7"/>
        <v>39.15974385</v>
      </c>
      <c r="S126" s="191">
        <f t="shared" si="1"/>
        <v>453.1853591</v>
      </c>
      <c r="T126" s="192">
        <f t="shared" si="2"/>
        <v>0.05542162916</v>
      </c>
      <c r="U126" s="17" t="str">
        <f t="shared" si="3"/>
        <v>Biens informatiques</v>
      </c>
      <c r="V126" s="17"/>
      <c r="W126" s="17"/>
      <c r="X126" s="17"/>
      <c r="Y126" s="17"/>
      <c r="Z126" s="193">
        <f t="shared" si="4"/>
        <v>-0.09561792499</v>
      </c>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row>
    <row r="127" ht="18.75" customHeight="1" outlineLevel="1">
      <c r="A127" s="17"/>
      <c r="B127" s="17"/>
      <c r="C127" s="17"/>
      <c r="D127" s="17"/>
      <c r="E127" s="17"/>
      <c r="F127" s="194"/>
      <c r="G127" s="25" t="s">
        <v>296</v>
      </c>
      <c r="H127" s="168">
        <f t="shared" ref="H127:R127" si="8">H632</f>
        <v>46.5</v>
      </c>
      <c r="I127" s="168">
        <f t="shared" si="8"/>
        <v>46.035</v>
      </c>
      <c r="J127" s="168">
        <f t="shared" si="8"/>
        <v>45.57465</v>
      </c>
      <c r="K127" s="168">
        <f t="shared" si="8"/>
        <v>45.1189035</v>
      </c>
      <c r="L127" s="168">
        <f t="shared" si="8"/>
        <v>44.66771447</v>
      </c>
      <c r="M127" s="168">
        <f t="shared" si="8"/>
        <v>44.22103732</v>
      </c>
      <c r="N127" s="168">
        <f t="shared" si="8"/>
        <v>43.77882695</v>
      </c>
      <c r="O127" s="168">
        <f t="shared" si="8"/>
        <v>43.34103868</v>
      </c>
      <c r="P127" s="168">
        <f t="shared" si="8"/>
        <v>42.90762829</v>
      </c>
      <c r="Q127" s="168">
        <f t="shared" si="8"/>
        <v>42.47855201</v>
      </c>
      <c r="R127" s="168">
        <f t="shared" si="8"/>
        <v>42.05376649</v>
      </c>
      <c r="S127" s="191">
        <f t="shared" si="1"/>
        <v>486.6771177</v>
      </c>
      <c r="T127" s="192">
        <f t="shared" si="2"/>
        <v>0.05951745395</v>
      </c>
      <c r="U127" s="17" t="str">
        <f t="shared" si="3"/>
        <v>Biens textiles</v>
      </c>
      <c r="V127" s="17"/>
      <c r="W127" s="17"/>
      <c r="X127" s="17"/>
      <c r="Y127" s="17"/>
      <c r="Z127" s="193">
        <f t="shared" si="4"/>
        <v>-0.09561792499</v>
      </c>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row>
    <row r="128" ht="18.75" customHeight="1" outlineLevel="1">
      <c r="A128" s="17"/>
      <c r="B128" s="17"/>
      <c r="C128" s="17"/>
      <c r="D128" s="17"/>
      <c r="E128" s="17"/>
      <c r="F128" s="194"/>
      <c r="G128" s="13" t="s">
        <v>714</v>
      </c>
      <c r="H128" s="168">
        <f t="shared" ref="H128:R128" si="9">H633</f>
        <v>27.3</v>
      </c>
      <c r="I128" s="168">
        <f t="shared" si="9"/>
        <v>27.027</v>
      </c>
      <c r="J128" s="168">
        <f t="shared" si="9"/>
        <v>26.75673</v>
      </c>
      <c r="K128" s="168">
        <f t="shared" si="9"/>
        <v>26.4891627</v>
      </c>
      <c r="L128" s="168">
        <f t="shared" si="9"/>
        <v>26.22427107</v>
      </c>
      <c r="M128" s="168">
        <f t="shared" si="9"/>
        <v>25.96202836</v>
      </c>
      <c r="N128" s="168">
        <f t="shared" si="9"/>
        <v>25.70240808</v>
      </c>
      <c r="O128" s="168">
        <f t="shared" si="9"/>
        <v>25.445384</v>
      </c>
      <c r="P128" s="168">
        <f t="shared" si="9"/>
        <v>25.19093016</v>
      </c>
      <c r="Q128" s="168">
        <f t="shared" si="9"/>
        <v>24.93902086</v>
      </c>
      <c r="R128" s="168">
        <f t="shared" si="9"/>
        <v>24.68963065</v>
      </c>
      <c r="S128" s="191">
        <f t="shared" si="1"/>
        <v>285.7265659</v>
      </c>
      <c r="T128" s="192">
        <f t="shared" si="2"/>
        <v>0.03494250522</v>
      </c>
      <c r="U128" s="17" t="str">
        <f t="shared" si="3"/>
        <v>Autres biens et services (distribution, mobilier...)</v>
      </c>
      <c r="V128" s="17"/>
      <c r="W128" s="17"/>
      <c r="X128" s="17"/>
      <c r="Y128" s="17"/>
      <c r="Z128" s="193">
        <f t="shared" si="4"/>
        <v>-0.09561792499</v>
      </c>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row>
    <row r="129" ht="18.75" customHeight="1" outlineLevel="1">
      <c r="A129" s="17"/>
      <c r="B129" s="17"/>
      <c r="C129" s="17"/>
      <c r="D129" s="17"/>
      <c r="E129" s="17"/>
      <c r="F129" s="196"/>
      <c r="G129" s="207" t="s">
        <v>715</v>
      </c>
      <c r="H129" s="198">
        <f t="shared" ref="H129:R129" si="10">H634</f>
        <v>119.5</v>
      </c>
      <c r="I129" s="198">
        <f t="shared" si="10"/>
        <v>118.305</v>
      </c>
      <c r="J129" s="198">
        <f t="shared" si="10"/>
        <v>117.12195</v>
      </c>
      <c r="K129" s="198">
        <f t="shared" si="10"/>
        <v>115.9507305</v>
      </c>
      <c r="L129" s="198">
        <f t="shared" si="10"/>
        <v>114.7912232</v>
      </c>
      <c r="M129" s="198">
        <f t="shared" si="10"/>
        <v>113.643311</v>
      </c>
      <c r="N129" s="198">
        <f t="shared" si="10"/>
        <v>112.5068779</v>
      </c>
      <c r="O129" s="198">
        <f t="shared" si="10"/>
        <v>111.3818091</v>
      </c>
      <c r="P129" s="198">
        <f t="shared" si="10"/>
        <v>110.267991</v>
      </c>
      <c r="Q129" s="198">
        <f t="shared" si="10"/>
        <v>109.1653111</v>
      </c>
      <c r="R129" s="198">
        <f t="shared" si="10"/>
        <v>108.073658</v>
      </c>
      <c r="S129" s="191">
        <f t="shared" si="1"/>
        <v>1250.707862</v>
      </c>
      <c r="T129" s="192">
        <f t="shared" si="2"/>
        <v>0.1529534569</v>
      </c>
      <c r="U129" s="17" t="str">
        <f t="shared" si="3"/>
        <v>Services (dont services publics)</v>
      </c>
      <c r="V129" s="17"/>
      <c r="W129" s="17"/>
      <c r="X129" s="17"/>
      <c r="Y129" s="17"/>
      <c r="Z129" s="193">
        <f t="shared" si="4"/>
        <v>-0.09561792499</v>
      </c>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row>
    <row r="130" ht="18.75" customHeight="1" outlineLevel="1">
      <c r="A130" s="17"/>
      <c r="B130" s="17"/>
      <c r="C130" s="17"/>
      <c r="D130" s="17"/>
      <c r="E130" s="17"/>
      <c r="F130" s="17"/>
      <c r="G130" s="20" t="s">
        <v>52</v>
      </c>
      <c r="H130" s="208">
        <f t="shared" ref="H130:R130" si="11">SUM(H115:H129)</f>
        <v>751.0684856</v>
      </c>
      <c r="I130" s="208">
        <f t="shared" si="11"/>
        <v>753.5956466</v>
      </c>
      <c r="J130" s="208">
        <f t="shared" si="11"/>
        <v>751.1530011</v>
      </c>
      <c r="K130" s="208">
        <f t="shared" si="11"/>
        <v>748.735039</v>
      </c>
      <c r="L130" s="208">
        <f t="shared" si="11"/>
        <v>746.2808442</v>
      </c>
      <c r="M130" s="208">
        <f t="shared" si="11"/>
        <v>743.7902021</v>
      </c>
      <c r="N130" s="208">
        <f t="shared" si="11"/>
        <v>741.3236003</v>
      </c>
      <c r="O130" s="208">
        <f t="shared" si="11"/>
        <v>738.8808281</v>
      </c>
      <c r="P130" s="208">
        <f t="shared" si="11"/>
        <v>736.4616765</v>
      </c>
      <c r="Q130" s="208">
        <f t="shared" si="11"/>
        <v>734.0659383</v>
      </c>
      <c r="R130" s="208">
        <f t="shared" si="11"/>
        <v>731.6934083</v>
      </c>
      <c r="S130" s="191">
        <f t="shared" si="1"/>
        <v>8177.04867</v>
      </c>
      <c r="T130" s="110" t="s">
        <v>716</v>
      </c>
      <c r="U130" s="17"/>
      <c r="V130" s="17"/>
      <c r="W130" s="17"/>
      <c r="X130" s="17"/>
      <c r="Y130" s="17"/>
      <c r="Z130" s="193">
        <f t="shared" si="4"/>
        <v>-0.02579668528</v>
      </c>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row>
    <row r="131" ht="15.0" customHeight="1" outlineLevel="1">
      <c r="A131" s="17"/>
      <c r="B131" s="17"/>
      <c r="C131" s="17"/>
      <c r="D131" s="17"/>
      <c r="E131" s="17"/>
      <c r="F131" s="17"/>
      <c r="G131" s="17"/>
      <c r="H131" s="17"/>
      <c r="I131" s="209"/>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row>
    <row r="132" ht="18.75" customHeight="1" outlineLevel="1">
      <c r="A132" s="210"/>
      <c r="B132" s="210"/>
      <c r="C132" s="210"/>
      <c r="D132" s="210"/>
      <c r="E132" s="210"/>
      <c r="F132" s="210"/>
      <c r="G132" s="211"/>
      <c r="H132" s="211"/>
      <c r="I132" s="211"/>
      <c r="J132" s="211"/>
      <c r="K132" s="211"/>
      <c r="L132" s="211"/>
      <c r="M132" s="211"/>
      <c r="N132" s="211"/>
      <c r="O132" s="211"/>
      <c r="P132" s="211"/>
      <c r="Q132" s="211"/>
      <c r="R132" s="211"/>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c r="AQ132" s="210"/>
      <c r="AR132" s="210"/>
      <c r="AS132" s="210"/>
      <c r="AT132" s="210"/>
      <c r="AU132" s="210"/>
      <c r="AV132" s="210"/>
      <c r="AW132" s="210"/>
      <c r="AX132" s="210"/>
      <c r="AY132" s="210"/>
      <c r="AZ132" s="210"/>
      <c r="BA132" s="210"/>
      <c r="BB132" s="210"/>
      <c r="BC132" s="210"/>
      <c r="BD132" s="210"/>
      <c r="BE132" s="210"/>
      <c r="BF132" s="210"/>
      <c r="BG132" s="210"/>
      <c r="BH132" s="210"/>
      <c r="BI132" s="210"/>
      <c r="BJ132" s="210"/>
      <c r="BK132" s="210"/>
      <c r="BL132" s="210"/>
      <c r="BM132" s="210"/>
      <c r="BN132" s="210"/>
      <c r="BO132" s="210"/>
      <c r="BP132" s="210"/>
      <c r="BQ132" s="210"/>
      <c r="BR132" s="210"/>
      <c r="BS132" s="210"/>
      <c r="BT132" s="210"/>
      <c r="BU132" s="210"/>
      <c r="BV132" s="210"/>
      <c r="BW132" s="210"/>
      <c r="BX132" s="210"/>
      <c r="BY132" s="210"/>
      <c r="BZ132" s="210"/>
      <c r="CA132" s="210"/>
      <c r="CB132" s="210"/>
      <c r="CC132" s="210"/>
      <c r="CD132" s="210"/>
      <c r="CE132" s="210"/>
      <c r="CF132" s="210"/>
      <c r="CG132" s="210"/>
      <c r="CH132" s="210"/>
      <c r="CI132" s="210"/>
      <c r="CJ132" s="210"/>
    </row>
    <row r="133" ht="18.75" customHeight="1" outlineLevel="1">
      <c r="A133" s="210"/>
      <c r="B133" s="210"/>
      <c r="C133" s="210"/>
      <c r="D133" s="210"/>
      <c r="E133" s="210"/>
      <c r="F133" s="210"/>
      <c r="G133" s="211"/>
      <c r="H133" s="211"/>
      <c r="I133" s="211"/>
      <c r="J133" s="211"/>
      <c r="K133" s="211"/>
      <c r="L133" s="211"/>
      <c r="M133" s="211"/>
      <c r="N133" s="211"/>
      <c r="O133" s="212">
        <f>S130</f>
        <v>8177.04867</v>
      </c>
      <c r="P133" s="211"/>
      <c r="Q133" s="211"/>
      <c r="R133" s="211"/>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c r="AQ133" s="210"/>
      <c r="AR133" s="210"/>
      <c r="AS133" s="210"/>
      <c r="AT133" s="210"/>
      <c r="AU133" s="210"/>
      <c r="AV133" s="210"/>
      <c r="AW133" s="210"/>
      <c r="AX133" s="210"/>
      <c r="AY133" s="210"/>
      <c r="AZ133" s="210"/>
      <c r="BA133" s="210"/>
      <c r="BB133" s="210"/>
      <c r="BC133" s="210"/>
      <c r="BD133" s="210"/>
      <c r="BE133" s="210"/>
      <c r="BF133" s="210"/>
      <c r="BG133" s="210"/>
      <c r="BH133" s="210"/>
      <c r="BI133" s="210"/>
      <c r="BJ133" s="210"/>
      <c r="BK133" s="210"/>
      <c r="BL133" s="210"/>
      <c r="BM133" s="210"/>
      <c r="BN133" s="210"/>
      <c r="BO133" s="210"/>
      <c r="BP133" s="210"/>
      <c r="BQ133" s="210"/>
      <c r="BR133" s="210"/>
      <c r="BS133" s="210"/>
      <c r="BT133" s="210"/>
      <c r="BU133" s="210"/>
      <c r="BV133" s="210"/>
      <c r="BW133" s="210"/>
      <c r="BX133" s="210"/>
      <c r="BY133" s="210"/>
      <c r="BZ133" s="210"/>
      <c r="CA133" s="210"/>
      <c r="CB133" s="210"/>
      <c r="CC133" s="210"/>
      <c r="CD133" s="210"/>
      <c r="CE133" s="210"/>
      <c r="CF133" s="210"/>
      <c r="CG133" s="210"/>
      <c r="CH133" s="210"/>
      <c r="CI133" s="210"/>
      <c r="CJ133" s="210"/>
    </row>
    <row r="134" ht="18.75" customHeight="1" outlineLevel="1">
      <c r="A134" s="213"/>
      <c r="B134" s="213"/>
      <c r="C134" s="214" t="s">
        <v>717</v>
      </c>
      <c r="D134" s="183"/>
      <c r="E134" s="210"/>
      <c r="F134" s="210"/>
      <c r="G134" s="211"/>
      <c r="H134" s="215"/>
      <c r="I134" s="215"/>
      <c r="J134" s="215"/>
      <c r="K134" s="215"/>
      <c r="L134" s="215"/>
      <c r="M134" s="215"/>
      <c r="N134" s="215"/>
      <c r="O134" s="216">
        <f>S164</f>
        <v>8177.04867</v>
      </c>
      <c r="P134" s="215"/>
      <c r="Q134" s="215"/>
      <c r="R134" s="215"/>
      <c r="S134" s="217"/>
      <c r="T134" s="213"/>
      <c r="U134" s="213"/>
      <c r="V134" s="213"/>
      <c r="W134" s="213"/>
      <c r="X134" s="213"/>
      <c r="Y134" s="213"/>
      <c r="Z134" s="213"/>
      <c r="AA134" s="213"/>
      <c r="AB134" s="213"/>
      <c r="AC134" s="213"/>
      <c r="AD134" s="213"/>
      <c r="AE134" s="213"/>
      <c r="AF134" s="213"/>
      <c r="AG134" s="213"/>
      <c r="AH134" s="213"/>
      <c r="AI134" s="213"/>
      <c r="AJ134" s="213"/>
      <c r="AK134" s="213"/>
      <c r="AL134" s="213"/>
      <c r="AM134" s="213"/>
      <c r="AN134" s="213"/>
      <c r="AO134" s="213"/>
      <c r="AP134" s="213"/>
      <c r="AQ134" s="213"/>
      <c r="AR134" s="213"/>
      <c r="AS134" s="213"/>
      <c r="AT134" s="213"/>
      <c r="AU134" s="213"/>
      <c r="AV134" s="213"/>
      <c r="AW134" s="213"/>
      <c r="AX134" s="213"/>
      <c r="AY134" s="213"/>
      <c r="AZ134" s="213"/>
      <c r="BA134" s="213"/>
      <c r="BB134" s="213"/>
      <c r="BC134" s="213"/>
      <c r="BD134" s="213"/>
      <c r="BE134" s="213"/>
      <c r="BF134" s="213"/>
      <c r="BG134" s="213"/>
      <c r="BH134" s="213"/>
      <c r="BI134" s="213"/>
      <c r="BJ134" s="213"/>
      <c r="BK134" s="213"/>
      <c r="BL134" s="213"/>
      <c r="BM134" s="213"/>
      <c r="BN134" s="213"/>
      <c r="BO134" s="213"/>
      <c r="BP134" s="213"/>
      <c r="BQ134" s="213"/>
      <c r="BR134" s="213"/>
      <c r="BS134" s="213"/>
      <c r="BT134" s="213"/>
      <c r="BU134" s="213"/>
      <c r="BV134" s="213"/>
      <c r="BW134" s="213"/>
      <c r="BX134" s="213"/>
      <c r="BY134" s="213"/>
      <c r="BZ134" s="213"/>
      <c r="CA134" s="213"/>
      <c r="CB134" s="213"/>
      <c r="CC134" s="213"/>
      <c r="CD134" s="213"/>
      <c r="CE134" s="213"/>
      <c r="CF134" s="213"/>
      <c r="CG134" s="213"/>
      <c r="CH134" s="213"/>
      <c r="CI134" s="213"/>
      <c r="CJ134" s="213"/>
    </row>
    <row r="135" ht="18.75" customHeight="1" outlineLevel="1">
      <c r="A135" s="213"/>
      <c r="B135" s="217" t="s">
        <v>315</v>
      </c>
      <c r="C135" s="218" t="s">
        <v>718</v>
      </c>
      <c r="D135" s="219">
        <f>P_année_rupture</f>
        <v>2024</v>
      </c>
      <c r="E135" s="210"/>
      <c r="F135" s="210"/>
      <c r="G135" s="211"/>
      <c r="H135" s="215"/>
      <c r="I135" s="215"/>
      <c r="J135" s="215"/>
      <c r="K135" s="215"/>
      <c r="L135" s="215"/>
      <c r="M135" s="215"/>
      <c r="N135" s="215"/>
      <c r="O135" s="215"/>
      <c r="P135" s="215"/>
      <c r="Q135" s="215"/>
      <c r="R135" s="215"/>
      <c r="S135" s="213"/>
      <c r="T135" s="213"/>
      <c r="U135" s="213"/>
      <c r="V135" s="213"/>
      <c r="W135" s="213"/>
      <c r="X135" s="213"/>
      <c r="Y135" s="213"/>
      <c r="Z135" s="213"/>
      <c r="AA135" s="213"/>
      <c r="AB135" s="213"/>
      <c r="AC135" s="213"/>
      <c r="AD135" s="213"/>
      <c r="AE135" s="213"/>
      <c r="AF135" s="213"/>
      <c r="AG135" s="213"/>
      <c r="AH135" s="213"/>
      <c r="AI135" s="213"/>
      <c r="AJ135" s="213"/>
      <c r="AK135" s="213"/>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row>
    <row r="136" ht="18.75" customHeight="1" outlineLevel="1">
      <c r="A136" s="213"/>
      <c r="B136" s="213"/>
      <c r="C136" s="218" t="s">
        <v>719</v>
      </c>
      <c r="D136" s="220">
        <f>2030-P_année_rupture</f>
        <v>6</v>
      </c>
      <c r="E136" s="210"/>
      <c r="F136" s="210"/>
      <c r="G136" s="211"/>
      <c r="H136" s="215"/>
      <c r="I136" s="215"/>
      <c r="J136" s="215"/>
      <c r="K136" s="215"/>
      <c r="L136" s="215"/>
      <c r="M136" s="215"/>
      <c r="N136" s="215"/>
      <c r="O136" s="215"/>
      <c r="P136" s="215"/>
      <c r="Q136" s="215"/>
      <c r="R136" s="215"/>
      <c r="S136" s="213"/>
      <c r="T136" s="213"/>
      <c r="U136" s="213"/>
      <c r="V136" s="213"/>
      <c r="W136" s="213"/>
      <c r="X136" s="213"/>
      <c r="Y136" s="213"/>
      <c r="Z136" s="213"/>
      <c r="AA136" s="213"/>
      <c r="AB136" s="213"/>
      <c r="AC136" s="213"/>
      <c r="AD136" s="213"/>
      <c r="AE136" s="213"/>
      <c r="AF136" s="213"/>
      <c r="AG136" s="213"/>
      <c r="AH136" s="213"/>
      <c r="AI136" s="213"/>
      <c r="AJ136" s="213"/>
      <c r="AK136" s="213"/>
      <c r="AL136" s="213"/>
      <c r="AM136" s="213"/>
      <c r="AN136" s="213"/>
      <c r="AO136" s="213"/>
      <c r="AP136" s="213"/>
      <c r="AQ136" s="213"/>
      <c r="AR136" s="213"/>
      <c r="AS136" s="213"/>
      <c r="AT136" s="213"/>
      <c r="AU136" s="213"/>
      <c r="AV136" s="213"/>
      <c r="AW136" s="213"/>
      <c r="AX136" s="213"/>
      <c r="AY136" s="213"/>
      <c r="AZ136" s="213"/>
      <c r="BA136" s="213"/>
      <c r="BB136" s="213"/>
      <c r="BC136" s="213"/>
      <c r="BD136" s="213"/>
      <c r="BE136" s="213"/>
      <c r="BF136" s="213"/>
      <c r="BG136" s="213"/>
      <c r="BH136" s="213"/>
      <c r="BI136" s="213"/>
      <c r="BJ136" s="213"/>
      <c r="BK136" s="213"/>
      <c r="BL136" s="213"/>
      <c r="BM136" s="213"/>
      <c r="BN136" s="213"/>
      <c r="BO136" s="213"/>
      <c r="BP136" s="213"/>
      <c r="BQ136" s="213"/>
      <c r="BR136" s="213"/>
      <c r="BS136" s="213"/>
      <c r="BT136" s="213"/>
      <c r="BU136" s="213"/>
      <c r="BV136" s="213"/>
      <c r="BW136" s="213"/>
      <c r="BX136" s="213"/>
      <c r="BY136" s="213"/>
      <c r="BZ136" s="213"/>
      <c r="CA136" s="213"/>
      <c r="CB136" s="213"/>
      <c r="CC136" s="213"/>
      <c r="CD136" s="213"/>
      <c r="CE136" s="213"/>
      <c r="CF136" s="213"/>
      <c r="CG136" s="213"/>
      <c r="CH136" s="213"/>
      <c r="CI136" s="213"/>
      <c r="CJ136" s="213"/>
    </row>
    <row r="137" ht="18.75" customHeight="1" outlineLevel="1">
      <c r="A137" s="213"/>
      <c r="B137" s="213"/>
      <c r="C137" s="218" t="s">
        <v>720</v>
      </c>
      <c r="D137" s="220">
        <v>10.0</v>
      </c>
      <c r="E137" s="210"/>
      <c r="F137" s="210"/>
      <c r="G137" s="211"/>
      <c r="H137" s="215"/>
      <c r="I137" s="215"/>
      <c r="J137" s="215"/>
      <c r="K137" s="215"/>
      <c r="L137" s="215"/>
      <c r="M137" s="215"/>
      <c r="N137" s="215"/>
      <c r="O137" s="215"/>
      <c r="P137" s="215"/>
      <c r="Q137" s="215"/>
      <c r="R137" s="215"/>
      <c r="S137" s="213"/>
      <c r="T137" s="213"/>
      <c r="U137" s="213"/>
      <c r="V137" s="213"/>
      <c r="W137" s="213"/>
      <c r="X137" s="213"/>
      <c r="Y137" s="213"/>
      <c r="Z137" s="213"/>
      <c r="AA137" s="213"/>
      <c r="AB137" s="213"/>
      <c r="AC137" s="213"/>
      <c r="AD137" s="213"/>
      <c r="AE137" s="213"/>
      <c r="AF137" s="213"/>
      <c r="AG137" s="213"/>
      <c r="AH137" s="213"/>
      <c r="AI137" s="213"/>
      <c r="AJ137" s="213"/>
      <c r="AK137" s="213"/>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213"/>
      <c r="CH137" s="213"/>
      <c r="CI137" s="213"/>
      <c r="CJ137" s="213"/>
    </row>
    <row r="138" ht="18.75" customHeight="1" outlineLevel="1">
      <c r="A138" s="213"/>
      <c r="B138" s="213"/>
      <c r="C138" s="218" t="s">
        <v>313</v>
      </c>
      <c r="D138" s="221">
        <v>0.25</v>
      </c>
      <c r="E138" s="210"/>
      <c r="F138" s="210"/>
      <c r="G138" s="211"/>
      <c r="H138" s="215"/>
      <c r="I138" s="215"/>
      <c r="J138" s="215"/>
      <c r="K138" s="215"/>
      <c r="L138" s="215"/>
      <c r="M138" s="215"/>
      <c r="N138" s="215"/>
      <c r="O138" s="215"/>
      <c r="P138" s="215"/>
      <c r="Q138" s="215"/>
      <c r="R138" s="215"/>
      <c r="S138" s="213"/>
      <c r="T138" s="213"/>
      <c r="U138" s="213"/>
      <c r="V138" s="213"/>
      <c r="W138" s="213"/>
      <c r="X138" s="213"/>
      <c r="Y138" s="213"/>
      <c r="Z138" s="213"/>
      <c r="AA138" s="213"/>
      <c r="AB138" s="213"/>
      <c r="AC138" s="213"/>
      <c r="AD138" s="213"/>
      <c r="AE138" s="213"/>
      <c r="AF138" s="213"/>
      <c r="AG138" s="213"/>
      <c r="AH138" s="213"/>
      <c r="AI138" s="213"/>
      <c r="AJ138" s="213"/>
      <c r="AK138" s="213"/>
      <c r="AL138" s="213"/>
      <c r="AM138" s="213"/>
      <c r="AN138" s="213"/>
      <c r="AO138" s="213"/>
      <c r="AP138" s="213"/>
      <c r="AQ138" s="213"/>
      <c r="AR138" s="213"/>
      <c r="AS138" s="213"/>
      <c r="AT138" s="213"/>
      <c r="AU138" s="213"/>
      <c r="AV138" s="213"/>
      <c r="AW138" s="213"/>
      <c r="AX138" s="213"/>
      <c r="AY138" s="213"/>
      <c r="AZ138" s="213"/>
      <c r="BA138" s="213"/>
      <c r="BB138" s="213"/>
      <c r="BC138" s="213"/>
      <c r="BD138" s="213"/>
      <c r="BE138" s="213"/>
      <c r="BF138" s="213"/>
      <c r="BG138" s="213"/>
      <c r="BH138" s="213"/>
      <c r="BI138" s="213"/>
      <c r="BJ138" s="213"/>
      <c r="BK138" s="213"/>
      <c r="BL138" s="213"/>
      <c r="BM138" s="213"/>
      <c r="BN138" s="213"/>
      <c r="BO138" s="213"/>
      <c r="BP138" s="213"/>
      <c r="BQ138" s="213"/>
      <c r="BR138" s="213"/>
      <c r="BS138" s="213"/>
      <c r="BT138" s="213"/>
      <c r="BU138" s="213"/>
      <c r="BV138" s="213"/>
      <c r="BW138" s="213"/>
      <c r="BX138" s="213"/>
      <c r="BY138" s="213"/>
      <c r="BZ138" s="213"/>
      <c r="CA138" s="213"/>
      <c r="CB138" s="213"/>
      <c r="CC138" s="213"/>
      <c r="CD138" s="213"/>
      <c r="CE138" s="213"/>
      <c r="CF138" s="213"/>
      <c r="CG138" s="213"/>
      <c r="CH138" s="213"/>
      <c r="CI138" s="213"/>
      <c r="CJ138" s="213"/>
    </row>
    <row r="139" ht="18.75" customHeight="1" outlineLevel="1">
      <c r="A139" s="213"/>
      <c r="B139" s="213"/>
      <c r="C139" s="218" t="s">
        <v>721</v>
      </c>
      <c r="D139" s="221">
        <v>0.18</v>
      </c>
      <c r="E139" s="210"/>
      <c r="F139" s="210"/>
      <c r="G139" s="211"/>
      <c r="H139" s="215"/>
      <c r="I139" s="215"/>
      <c r="J139" s="215"/>
      <c r="K139" s="215"/>
      <c r="L139" s="215"/>
      <c r="M139" s="215"/>
      <c r="N139" s="215"/>
      <c r="O139" s="215"/>
      <c r="P139" s="215"/>
      <c r="Q139" s="215"/>
      <c r="R139" s="215"/>
      <c r="S139" s="213"/>
      <c r="T139" s="213"/>
      <c r="U139" s="213"/>
      <c r="V139" s="213"/>
      <c r="W139" s="213"/>
      <c r="X139" s="213"/>
      <c r="Y139" s="213"/>
      <c r="Z139" s="213"/>
      <c r="AA139" s="213"/>
      <c r="AB139" s="213"/>
      <c r="AC139" s="213"/>
      <c r="AD139" s="213"/>
      <c r="AE139" s="213"/>
      <c r="AF139" s="213"/>
      <c r="AG139" s="213"/>
      <c r="AH139" s="213"/>
      <c r="AI139" s="213"/>
      <c r="AJ139" s="213"/>
      <c r="AK139" s="213"/>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row>
    <row r="140" ht="18.75" customHeight="1" outlineLevel="1">
      <c r="A140" s="213"/>
      <c r="B140" s="213"/>
      <c r="C140" s="218" t="s">
        <v>722</v>
      </c>
      <c r="D140" s="221">
        <v>0.1</v>
      </c>
      <c r="E140" s="210"/>
      <c r="F140" s="210"/>
      <c r="G140" s="211"/>
      <c r="H140" s="215"/>
      <c r="I140" s="215"/>
      <c r="J140" s="215"/>
      <c r="K140" s="215"/>
      <c r="L140" s="215"/>
      <c r="M140" s="215"/>
      <c r="N140" s="215"/>
      <c r="O140" s="215"/>
      <c r="P140" s="215"/>
      <c r="Q140" s="215"/>
      <c r="R140" s="215"/>
      <c r="S140" s="213"/>
      <c r="T140" s="213"/>
      <c r="U140" s="213"/>
      <c r="V140" s="213"/>
      <c r="W140" s="213"/>
      <c r="X140" s="213"/>
      <c r="Y140" s="213"/>
      <c r="Z140" s="213"/>
      <c r="AA140" s="213"/>
      <c r="AB140" s="213"/>
      <c r="AC140" s="213"/>
      <c r="AD140" s="213"/>
      <c r="AE140" s="213"/>
      <c r="AF140" s="213"/>
      <c r="AG140" s="213"/>
      <c r="AH140" s="213"/>
      <c r="AI140" s="213"/>
      <c r="AJ140" s="213"/>
      <c r="AK140" s="213"/>
      <c r="AL140" s="213"/>
      <c r="AM140" s="213"/>
      <c r="AN140" s="213"/>
      <c r="AO140" s="213"/>
      <c r="AP140" s="213"/>
      <c r="AQ140" s="213"/>
      <c r="AR140" s="213"/>
      <c r="AS140" s="213"/>
      <c r="AT140" s="213"/>
      <c r="AU140" s="213"/>
      <c r="AV140" s="213"/>
      <c r="AW140" s="213"/>
      <c r="AX140" s="213"/>
      <c r="AY140" s="213"/>
      <c r="AZ140" s="213"/>
      <c r="BA140" s="213"/>
      <c r="BB140" s="213"/>
      <c r="BC140" s="213"/>
      <c r="BD140" s="213"/>
      <c r="BE140" s="213"/>
      <c r="BF140" s="213"/>
      <c r="BG140" s="213"/>
      <c r="BH140" s="213"/>
      <c r="BI140" s="213"/>
      <c r="BJ140" s="213"/>
      <c r="BK140" s="213"/>
      <c r="BL140" s="213"/>
      <c r="BM140" s="213"/>
      <c r="BN140" s="213"/>
      <c r="BO140" s="213"/>
      <c r="BP140" s="213"/>
      <c r="BQ140" s="213"/>
      <c r="BR140" s="213"/>
      <c r="BS140" s="213"/>
      <c r="BT140" s="213"/>
      <c r="BU140" s="213"/>
      <c r="BV140" s="213"/>
      <c r="BW140" s="213"/>
      <c r="BX140" s="213"/>
      <c r="BY140" s="213"/>
      <c r="BZ140" s="213"/>
      <c r="CA140" s="213"/>
      <c r="CB140" s="213"/>
      <c r="CC140" s="213"/>
      <c r="CD140" s="213"/>
      <c r="CE140" s="213"/>
      <c r="CF140" s="213"/>
      <c r="CG140" s="213"/>
      <c r="CH140" s="213"/>
      <c r="CI140" s="213"/>
      <c r="CJ140" s="213"/>
    </row>
    <row r="141" ht="18.75" customHeight="1" outlineLevel="1">
      <c r="A141" s="213"/>
      <c r="B141" s="213"/>
      <c r="C141" s="218" t="s">
        <v>311</v>
      </c>
      <c r="D141" s="221">
        <v>0.0</v>
      </c>
      <c r="E141" s="210"/>
      <c r="F141" s="210"/>
      <c r="G141" s="211"/>
      <c r="H141" s="215"/>
      <c r="I141" s="215"/>
      <c r="J141" s="215"/>
      <c r="K141" s="215"/>
      <c r="L141" s="215"/>
      <c r="M141" s="215"/>
      <c r="N141" s="215"/>
      <c r="O141" s="215"/>
      <c r="P141" s="215"/>
      <c r="Q141" s="215"/>
      <c r="R141" s="215"/>
      <c r="S141" s="213"/>
      <c r="T141" s="213"/>
      <c r="U141" s="213"/>
      <c r="V141" s="213"/>
      <c r="W141" s="213"/>
      <c r="X141" s="213"/>
      <c r="Y141" s="213"/>
      <c r="Z141" s="213"/>
      <c r="AA141" s="213"/>
      <c r="AB141" s="213"/>
      <c r="AC141" s="213"/>
      <c r="AD141" s="213"/>
      <c r="AE141" s="213"/>
      <c r="AF141" s="213"/>
      <c r="AG141" s="213"/>
      <c r="AH141" s="213"/>
      <c r="AI141" s="213"/>
      <c r="AJ141" s="213"/>
      <c r="AK141" s="213"/>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21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row>
    <row r="142" ht="18.75" customHeight="1" outlineLevel="1">
      <c r="A142" s="213"/>
      <c r="B142" s="217" t="s">
        <v>723</v>
      </c>
      <c r="C142" s="218" t="s">
        <v>724</v>
      </c>
      <c r="D142" s="222" t="str">
        <f>P_effort_rupture</f>
        <v>Sans rupture</v>
      </c>
      <c r="E142" s="210"/>
      <c r="F142" s="210"/>
      <c r="G142" s="211"/>
      <c r="H142" s="215"/>
      <c r="I142" s="215"/>
      <c r="J142" s="215"/>
      <c r="K142" s="215"/>
      <c r="L142" s="215"/>
      <c r="M142" s="215"/>
      <c r="N142" s="215"/>
      <c r="O142" s="215"/>
      <c r="P142" s="215"/>
      <c r="Q142" s="215"/>
      <c r="R142" s="215"/>
      <c r="S142" s="213"/>
      <c r="T142" s="213"/>
      <c r="U142" s="213"/>
      <c r="V142" s="213"/>
      <c r="W142" s="213"/>
      <c r="X142" s="213"/>
      <c r="Y142" s="213"/>
      <c r="Z142" s="213"/>
      <c r="AA142" s="213"/>
      <c r="AB142" s="213"/>
      <c r="AC142" s="213"/>
      <c r="AD142" s="213"/>
      <c r="AE142" s="213"/>
      <c r="AF142" s="213"/>
      <c r="AG142" s="213"/>
      <c r="AH142" s="213"/>
      <c r="AI142" s="213"/>
      <c r="AJ142" s="213"/>
      <c r="AK142" s="213"/>
      <c r="AL142" s="213"/>
      <c r="AM142" s="213"/>
      <c r="AN142" s="213"/>
      <c r="AO142" s="213"/>
      <c r="AP142" s="213"/>
      <c r="AQ142" s="213"/>
      <c r="AR142" s="213"/>
      <c r="AS142" s="213"/>
      <c r="AT142" s="213"/>
      <c r="AU142" s="213"/>
      <c r="AV142" s="213"/>
      <c r="AW142" s="213"/>
      <c r="AX142" s="213"/>
      <c r="AY142" s="213"/>
      <c r="AZ142" s="213"/>
      <c r="BA142" s="213"/>
      <c r="BB142" s="213"/>
      <c r="BC142" s="213"/>
      <c r="BD142" s="213"/>
      <c r="BE142" s="213"/>
      <c r="BF142" s="213"/>
      <c r="BG142" s="213"/>
      <c r="BH142" s="213"/>
      <c r="BI142" s="213"/>
      <c r="BJ142" s="213"/>
      <c r="BK142" s="213"/>
      <c r="BL142" s="213"/>
      <c r="BM142" s="213"/>
      <c r="BN142" s="213"/>
      <c r="BO142" s="213"/>
      <c r="BP142" s="213"/>
      <c r="BQ142" s="213"/>
      <c r="BR142" s="213"/>
      <c r="BS142" s="213"/>
      <c r="BT142" s="213"/>
      <c r="BU142" s="213"/>
      <c r="BV142" s="213"/>
      <c r="BW142" s="213"/>
      <c r="BX142" s="213"/>
      <c r="BY142" s="213"/>
      <c r="BZ142" s="213"/>
      <c r="CA142" s="213"/>
      <c r="CB142" s="213"/>
      <c r="CC142" s="213"/>
      <c r="CD142" s="213"/>
      <c r="CE142" s="213"/>
      <c r="CF142" s="213"/>
      <c r="CG142" s="213"/>
      <c r="CH142" s="213"/>
      <c r="CI142" s="213"/>
      <c r="CJ142" s="213"/>
    </row>
    <row r="143" ht="18.75" customHeight="1" outlineLevel="1">
      <c r="A143" s="213"/>
      <c r="B143" s="217" t="s">
        <v>725</v>
      </c>
      <c r="C143" s="218" t="s">
        <v>726</v>
      </c>
      <c r="D143" s="221">
        <f>VLOOKUP(D142,C138:D141,2,FALSE)</f>
        <v>0</v>
      </c>
      <c r="E143" s="210"/>
      <c r="F143" s="210"/>
      <c r="G143" s="211"/>
      <c r="H143" s="215"/>
      <c r="I143" s="215"/>
      <c r="J143" s="215"/>
      <c r="K143" s="215"/>
      <c r="L143" s="215"/>
      <c r="M143" s="215"/>
      <c r="N143" s="215"/>
      <c r="O143" s="215"/>
      <c r="P143" s="215"/>
      <c r="Q143" s="215"/>
      <c r="R143" s="215"/>
      <c r="S143" s="213"/>
      <c r="T143" s="213"/>
      <c r="U143" s="213"/>
      <c r="V143" s="213"/>
      <c r="W143" s="213"/>
      <c r="X143" s="213"/>
      <c r="Y143" s="213"/>
      <c r="Z143" s="213"/>
      <c r="AA143" s="213"/>
      <c r="AB143" s="213"/>
      <c r="AC143" s="213"/>
      <c r="AD143" s="213"/>
      <c r="AE143" s="213"/>
      <c r="AF143" s="213"/>
      <c r="AG143" s="213"/>
      <c r="AH143" s="213"/>
      <c r="AI143" s="213"/>
      <c r="AJ143" s="213"/>
      <c r="AK143" s="213"/>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row>
    <row r="144" ht="18.75" customHeight="1" outlineLevel="1">
      <c r="A144" s="213"/>
      <c r="B144" s="213"/>
      <c r="C144" s="213"/>
      <c r="D144" s="213"/>
      <c r="E144" s="210"/>
      <c r="F144" s="210"/>
      <c r="G144" s="211"/>
      <c r="H144" s="215"/>
      <c r="I144" s="215"/>
      <c r="J144" s="215"/>
      <c r="K144" s="215"/>
      <c r="L144" s="215"/>
      <c r="M144" s="215"/>
      <c r="N144" s="215"/>
      <c r="O144" s="215"/>
      <c r="P144" s="215"/>
      <c r="Q144" s="215"/>
      <c r="R144" s="215"/>
      <c r="S144" s="213"/>
      <c r="T144" s="213"/>
      <c r="U144" s="213"/>
      <c r="V144" s="213"/>
      <c r="W144" s="213"/>
      <c r="X144" s="213"/>
      <c r="Y144" s="213"/>
      <c r="Z144" s="213"/>
      <c r="AA144" s="213"/>
      <c r="AB144" s="213"/>
      <c r="AC144" s="213"/>
      <c r="AD144" s="213"/>
      <c r="AE144" s="213"/>
      <c r="AF144" s="213"/>
      <c r="AG144" s="213"/>
      <c r="AH144" s="213"/>
      <c r="AI144" s="213"/>
      <c r="AJ144" s="213"/>
      <c r="AK144" s="213"/>
      <c r="AL144" s="213"/>
      <c r="AM144" s="213"/>
      <c r="AN144" s="213"/>
      <c r="AO144" s="213"/>
      <c r="AP144" s="213"/>
      <c r="AQ144" s="213"/>
      <c r="AR144" s="213"/>
      <c r="AS144" s="213"/>
      <c r="AT144" s="213"/>
      <c r="AU144" s="213"/>
      <c r="AV144" s="213"/>
      <c r="AW144" s="213"/>
      <c r="AX144" s="213"/>
      <c r="AY144" s="213"/>
      <c r="AZ144" s="213"/>
      <c r="BA144" s="213"/>
      <c r="BB144" s="213"/>
      <c r="BC144" s="213"/>
      <c r="BD144" s="213"/>
      <c r="BE144" s="213"/>
      <c r="BF144" s="213"/>
      <c r="BG144" s="213"/>
      <c r="BH144" s="213"/>
      <c r="BI144" s="213"/>
      <c r="BJ144" s="213"/>
      <c r="BK144" s="213"/>
      <c r="BL144" s="213"/>
      <c r="BM144" s="213"/>
      <c r="BN144" s="213"/>
      <c r="BO144" s="213"/>
      <c r="BP144" s="213"/>
      <c r="BQ144" s="213"/>
      <c r="BR144" s="213"/>
      <c r="BS144" s="213"/>
      <c r="BT144" s="213"/>
      <c r="BU144" s="213"/>
      <c r="BV144" s="213"/>
      <c r="BW144" s="213"/>
      <c r="BX144" s="213"/>
      <c r="BY144" s="213"/>
      <c r="BZ144" s="213"/>
      <c r="CA144" s="213"/>
      <c r="CB144" s="213"/>
      <c r="CC144" s="213"/>
      <c r="CD144" s="213"/>
      <c r="CE144" s="213"/>
      <c r="CF144" s="213"/>
      <c r="CG144" s="213"/>
      <c r="CH144" s="213"/>
      <c r="CI144" s="213"/>
      <c r="CJ144" s="213"/>
    </row>
    <row r="145" ht="18.75" customHeight="1" outlineLevel="1">
      <c r="A145" s="213"/>
      <c r="B145" s="213"/>
      <c r="C145" s="213"/>
      <c r="D145" s="213"/>
      <c r="E145" s="210"/>
      <c r="F145" s="210"/>
      <c r="G145" s="211"/>
      <c r="H145" s="215"/>
      <c r="I145" s="215"/>
      <c r="J145" s="215"/>
      <c r="K145" s="215"/>
      <c r="L145" s="215"/>
      <c r="M145" s="215"/>
      <c r="N145" s="215"/>
      <c r="O145" s="215"/>
      <c r="P145" s="215"/>
      <c r="Q145" s="215"/>
      <c r="R145" s="215"/>
      <c r="S145" s="213"/>
      <c r="T145" s="213"/>
      <c r="U145" s="213"/>
      <c r="V145" s="213"/>
      <c r="W145" s="213"/>
      <c r="X145" s="213"/>
      <c r="Y145" s="213"/>
      <c r="Z145" s="213"/>
      <c r="AA145" s="213"/>
      <c r="AB145" s="213"/>
      <c r="AC145" s="213"/>
      <c r="AD145" s="213"/>
      <c r="AE145" s="213"/>
      <c r="AF145" s="213"/>
      <c r="AG145" s="213"/>
      <c r="AH145" s="213"/>
      <c r="AI145" s="213"/>
      <c r="AJ145" s="213"/>
      <c r="AK145" s="213"/>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3"/>
      <c r="BX145" s="213"/>
      <c r="BY145" s="213"/>
      <c r="BZ145" s="213"/>
      <c r="CA145" s="213"/>
      <c r="CB145" s="213"/>
      <c r="CC145" s="213"/>
      <c r="CD145" s="213"/>
      <c r="CE145" s="213"/>
      <c r="CF145" s="213"/>
      <c r="CG145" s="213"/>
      <c r="CH145" s="213"/>
      <c r="CI145" s="213"/>
      <c r="CJ145" s="213"/>
    </row>
    <row r="146" ht="18.75" customHeight="1" outlineLevel="1">
      <c r="A146" s="213"/>
      <c r="B146" s="213"/>
      <c r="C146" s="213"/>
      <c r="D146" s="213"/>
      <c r="E146" s="210"/>
      <c r="F146" s="210"/>
      <c r="G146" s="211"/>
      <c r="H146" s="215"/>
      <c r="I146" s="215"/>
      <c r="J146" s="215"/>
      <c r="K146" s="215"/>
      <c r="L146" s="215"/>
      <c r="M146" s="215"/>
      <c r="N146" s="215"/>
      <c r="O146" s="215"/>
      <c r="P146" s="215"/>
      <c r="Q146" s="215"/>
      <c r="R146" s="215"/>
      <c r="S146" s="213"/>
      <c r="T146" s="213"/>
      <c r="U146" s="213"/>
      <c r="V146" s="213"/>
      <c r="W146" s="213"/>
      <c r="X146" s="213"/>
      <c r="Y146" s="213"/>
      <c r="Z146" s="213"/>
      <c r="AA146" s="213"/>
      <c r="AB146" s="213"/>
      <c r="AC146" s="213"/>
      <c r="AD146" s="213"/>
      <c r="AE146" s="213"/>
      <c r="AF146" s="213"/>
      <c r="AG146" s="213"/>
      <c r="AH146" s="213"/>
      <c r="AI146" s="213"/>
      <c r="AJ146" s="213"/>
      <c r="AK146" s="213"/>
      <c r="AL146" s="213"/>
      <c r="AM146" s="213"/>
      <c r="AN146" s="213"/>
      <c r="AO146" s="213"/>
      <c r="AP146" s="213"/>
      <c r="AQ146" s="213"/>
      <c r="AR146" s="213"/>
      <c r="AS146" s="213"/>
      <c r="AT146" s="213"/>
      <c r="AU146" s="213"/>
      <c r="AV146" s="213"/>
      <c r="AW146" s="213"/>
      <c r="AX146" s="213"/>
      <c r="AY146" s="213"/>
      <c r="AZ146" s="213"/>
      <c r="BA146" s="213"/>
      <c r="BB146" s="213"/>
      <c r="BC146" s="213"/>
      <c r="BD146" s="213"/>
      <c r="BE146" s="213"/>
      <c r="BF146" s="213"/>
      <c r="BG146" s="213"/>
      <c r="BH146" s="213"/>
      <c r="BI146" s="213"/>
      <c r="BJ146" s="213"/>
      <c r="BK146" s="213"/>
      <c r="BL146" s="213"/>
      <c r="BM146" s="213"/>
      <c r="BN146" s="213"/>
      <c r="BO146" s="213"/>
      <c r="BP146" s="213"/>
      <c r="BQ146" s="213"/>
      <c r="BR146" s="213"/>
      <c r="BS146" s="213"/>
      <c r="BT146" s="213"/>
      <c r="BU146" s="213"/>
      <c r="BV146" s="213"/>
      <c r="BW146" s="213"/>
      <c r="BX146" s="213"/>
      <c r="BY146" s="213"/>
      <c r="BZ146" s="213"/>
      <c r="CA146" s="213"/>
      <c r="CB146" s="213"/>
      <c r="CC146" s="213"/>
      <c r="CD146" s="213"/>
      <c r="CE146" s="213"/>
      <c r="CF146" s="213"/>
      <c r="CG146" s="213"/>
      <c r="CH146" s="213"/>
      <c r="CI146" s="213"/>
      <c r="CJ146" s="213"/>
    </row>
    <row r="147" ht="18.75" customHeight="1" outlineLevel="1">
      <c r="A147" s="17"/>
      <c r="B147" s="17"/>
      <c r="C147" s="17"/>
      <c r="D147" s="17"/>
      <c r="E147" s="17"/>
      <c r="F147" s="17"/>
      <c r="G147" s="181" t="s">
        <v>727</v>
      </c>
      <c r="H147" s="182"/>
      <c r="I147" s="182"/>
      <c r="J147" s="182"/>
      <c r="K147" s="182"/>
      <c r="L147" s="182"/>
      <c r="M147" s="182"/>
      <c r="N147" s="182"/>
      <c r="O147" s="182"/>
      <c r="P147" s="182"/>
      <c r="Q147" s="182"/>
      <c r="R147" s="183"/>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row>
    <row r="148" ht="18.75" customHeight="1" outlineLevel="1">
      <c r="A148" s="17"/>
      <c r="B148" s="17"/>
      <c r="C148" s="17"/>
      <c r="D148" s="17"/>
      <c r="E148" s="17"/>
      <c r="F148" s="17"/>
      <c r="G148" s="184" t="s">
        <v>38</v>
      </c>
      <c r="H148" s="185">
        <v>2020.0</v>
      </c>
      <c r="I148" s="185">
        <v>2021.0</v>
      </c>
      <c r="J148" s="185">
        <v>2022.0</v>
      </c>
      <c r="K148" s="185">
        <v>2023.0</v>
      </c>
      <c r="L148" s="185">
        <v>2024.0</v>
      </c>
      <c r="M148" s="185">
        <v>2025.0</v>
      </c>
      <c r="N148" s="185">
        <v>2026.0</v>
      </c>
      <c r="O148" s="185">
        <v>2027.0</v>
      </c>
      <c r="P148" s="185">
        <v>2028.0</v>
      </c>
      <c r="Q148" s="185">
        <v>2029.0</v>
      </c>
      <c r="R148" s="185">
        <v>2030.0</v>
      </c>
      <c r="S148" s="110" t="s">
        <v>703</v>
      </c>
      <c r="T148" s="110"/>
      <c r="U148" s="17"/>
      <c r="V148" s="17"/>
      <c r="W148" s="17"/>
      <c r="X148" s="17"/>
      <c r="Y148" s="17"/>
      <c r="Z148" s="82" t="s">
        <v>728</v>
      </c>
      <c r="AA148" s="17"/>
      <c r="AB148" s="17"/>
      <c r="AC148" s="82" t="s">
        <v>729</v>
      </c>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row>
    <row r="149" ht="18.75" customHeight="1" outlineLevel="1">
      <c r="A149" s="17"/>
      <c r="B149" s="17"/>
      <c r="C149" s="17"/>
      <c r="D149" s="17"/>
      <c r="E149" s="17"/>
      <c r="F149" s="223" t="s">
        <v>14</v>
      </c>
      <c r="G149" s="224" t="s">
        <v>276</v>
      </c>
      <c r="H149" s="189">
        <f t="shared" ref="H149:H163" si="12">H115</f>
        <v>16.96</v>
      </c>
      <c r="I149" s="189">
        <f>IF(P_rupture_effort_pct=0,I115,IF(I$2&lt;P_année_rupture,I115,IF(I$2=P_année_rupture,MAX(I115*(1-P_rupture_effort_pct),$R149),H149-($Z149-$R149)/$D$136)))</f>
        <v>16.8</v>
      </c>
      <c r="J149" s="189">
        <f>IF(P_rupture_effort_pct=0,J115,IF(J$2&lt;P_année_rupture,J115,IF(J$2=P_année_rupture,MAX(J115*(1-P_rupture_effort_pct),$R149),I149-($Z149-$R149)/$D$136)))</f>
        <v>16.8</v>
      </c>
      <c r="K149" s="189">
        <f>IF(P_rupture_effort_pct=0,K115,IF(K$2&lt;P_année_rupture,K115,IF(K$2=P_année_rupture,MAX(K115*(1-P_rupture_effort_pct),$R149),J149-($Z149-$R149)/$D$136)))</f>
        <v>16.8</v>
      </c>
      <c r="L149" s="189">
        <f>IF(P_rupture_effort_pct=0,L115,IF(L$2&lt;P_année_rupture,L115,IF(L$2=P_année_rupture,MAX(L115*(1-P_rupture_effort_pct),$R149),K149-($Z149-$R149)/$D$136)))</f>
        <v>16.8</v>
      </c>
      <c r="M149" s="189">
        <f>IF(P_rupture_effort_pct=0,M115,IF(M$2&lt;P_année_rupture,M115,IF(M$2=P_année_rupture,MAX(M115*(1-P_rupture_effort_pct),$R149),L149-($Z149-$R149)/$D$136)))</f>
        <v>16.8</v>
      </c>
      <c r="N149" s="189">
        <f>IF(P_rupture_effort_pct=0,N115,IF(N$2&lt;P_année_rupture,N115,IF(N$2=P_année_rupture,MAX(N115*(1-P_rupture_effort_pct),$R149),M149-($Z149-$R149)/$D$136)))</f>
        <v>16.8</v>
      </c>
      <c r="O149" s="189">
        <f>IF(P_rupture_effort_pct=0,O115,IF(O$2&lt;P_année_rupture,O115,IF(O$2=P_année_rupture,MAX(O115*(1-P_rupture_effort_pct),$R149),N149-($Z149-$R149)/$D$136)))</f>
        <v>16.8</v>
      </c>
      <c r="P149" s="189">
        <f>IF(P_rupture_effort_pct=0,P115,IF(P$2&lt;P_année_rupture,P115,IF(P$2=P_année_rupture,MAX(P115*(1-P_rupture_effort_pct),$R149),O149-($Z149-$R149)/$D$136)))</f>
        <v>16.8</v>
      </c>
      <c r="Q149" s="189">
        <f>IF(P_rupture_effort_pct=0,Q115,IF(Q$2&lt;P_année_rupture,Q115,IF(Q$2=P_année_rupture,MAX(Q115*(1-P_rupture_effort_pct),$R149),P149-($Z149-$R149)/$D$136)))</f>
        <v>16.8</v>
      </c>
      <c r="R149" s="190">
        <f t="shared" ref="R149:R163" si="13">H149*(1+Z115)</f>
        <v>16.8</v>
      </c>
      <c r="S149" s="191">
        <f t="shared" ref="S149:S164" si="14">SUM(H149:R149)</f>
        <v>184.96</v>
      </c>
      <c r="T149" s="192">
        <f t="shared" ref="T149:T163" si="15">S149/$S$130</f>
        <v>0.02261940799</v>
      </c>
      <c r="U149" s="17" t="str">
        <f t="shared" ref="U149:U163" si="16">G149</f>
        <v>Construction et rénovation</v>
      </c>
      <c r="V149" s="17"/>
      <c r="W149" s="17"/>
      <c r="X149" s="17"/>
      <c r="Y149" s="17"/>
      <c r="Z149" s="171">
        <f>HLOOKUP(P_année_rupture,$H$148:$R$163,AC149,0)</f>
        <v>16.8</v>
      </c>
      <c r="AB149" s="17"/>
      <c r="AC149" s="82">
        <v>2.0</v>
      </c>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row>
    <row r="150" ht="18.75" customHeight="1" outlineLevel="1">
      <c r="A150" s="17"/>
      <c r="B150" s="17"/>
      <c r="C150" s="17"/>
      <c r="D150" s="17"/>
      <c r="E150" s="17"/>
      <c r="F150" s="225"/>
      <c r="G150" s="226" t="s">
        <v>277</v>
      </c>
      <c r="H150" s="168">
        <f t="shared" si="12"/>
        <v>51.89917488</v>
      </c>
      <c r="I150" s="168">
        <f>IF(P_rupture_effort_pct=0,I116,IF(I$2&lt;P_année_rupture,I116,IF(I$2=P_année_rupture,MAX(I116*(1-P_rupture_effort_pct),$R150),H150-($Z150-$R150)/$D$136)))</f>
        <v>56.05334208</v>
      </c>
      <c r="J150" s="168">
        <f>IF(P_rupture_effort_pct=0,J116,IF(J$2&lt;P_année_rupture,J116,IF(J$2=P_année_rupture,MAX(J116*(1-P_rupture_effort_pct),$R150),I150-($Z150-$R150)/$D$136)))</f>
        <v>56.27719728</v>
      </c>
      <c r="K150" s="168">
        <f>IF(P_rupture_effort_pct=0,K116,IF(K$2&lt;P_année_rupture,K116,IF(K$2=P_année_rupture,MAX(K116*(1-P_rupture_effort_pct),$R150),J150-($Z150-$R150)/$D$136)))</f>
        <v>56.50105248</v>
      </c>
      <c r="L150" s="168">
        <f>IF(P_rupture_effort_pct=0,L116,IF(L$2&lt;P_année_rupture,L116,IF(L$2=P_année_rupture,MAX(L116*(1-P_rupture_effort_pct),$R150),K150-($Z150-$R150)/$D$136)))</f>
        <v>56.72490768</v>
      </c>
      <c r="M150" s="168">
        <f>IF(P_rupture_effort_pct=0,M116,IF(M$2&lt;P_année_rupture,M116,IF(M$2=P_année_rupture,MAX(M116*(1-P_rupture_effort_pct),$R150),L150-($Z150-$R150)/$D$136)))</f>
        <v>56.94876288</v>
      </c>
      <c r="N150" s="168">
        <f>IF(P_rupture_effort_pct=0,N116,IF(N$2&lt;P_année_rupture,N116,IF(N$2=P_année_rupture,MAX(N116*(1-P_rupture_effort_pct),$R150),M150-($Z150-$R150)/$D$136)))</f>
        <v>57.17261808</v>
      </c>
      <c r="O150" s="168">
        <f>IF(P_rupture_effort_pct=0,O116,IF(O$2&lt;P_année_rupture,O116,IF(O$2=P_année_rupture,MAX(O116*(1-P_rupture_effort_pct),$R150),N150-($Z150-$R150)/$D$136)))</f>
        <v>57.39647328</v>
      </c>
      <c r="P150" s="168">
        <f>IF(P_rupture_effort_pct=0,P116,IF(P$2&lt;P_année_rupture,P116,IF(P$2=P_année_rupture,MAX(P116*(1-P_rupture_effort_pct),$R150),O150-($Z150-$R150)/$D$136)))</f>
        <v>57.62032848</v>
      </c>
      <c r="Q150" s="168">
        <f>IF(P_rupture_effort_pct=0,Q116,IF(Q$2&lt;P_année_rupture,Q116,IF(Q$2=P_année_rupture,MAX(Q116*(1-P_rupture_effort_pct),$R150),P150-($Z150-$R150)/$D$136)))</f>
        <v>57.84418368</v>
      </c>
      <c r="R150" s="195">
        <f t="shared" si="13"/>
        <v>58.06803888</v>
      </c>
      <c r="S150" s="191">
        <f t="shared" si="14"/>
        <v>622.5060797</v>
      </c>
      <c r="T150" s="192">
        <f t="shared" si="15"/>
        <v>0.07612845475</v>
      </c>
      <c r="U150" s="17" t="str">
        <f t="shared" si="16"/>
        <v>Chauffage résidentiel (hors électricité et chauffage urbain)</v>
      </c>
      <c r="V150" s="17"/>
      <c r="W150" s="17"/>
      <c r="X150" s="17"/>
      <c r="Y150" s="17"/>
      <c r="Z150" s="171">
        <f>HLOOKUP(P_année_rupture,$H$148:$R$163,AC150,0)</f>
        <v>56.72490768</v>
      </c>
      <c r="AB150" s="17"/>
      <c r="AC150" s="82">
        <v>3.0</v>
      </c>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row>
    <row r="151" ht="18.75" customHeight="1" outlineLevel="1">
      <c r="A151" s="17"/>
      <c r="B151" s="17"/>
      <c r="C151" s="17"/>
      <c r="D151" s="17"/>
      <c r="E151" s="17"/>
      <c r="F151" s="227"/>
      <c r="G151" s="228" t="s">
        <v>278</v>
      </c>
      <c r="H151" s="198">
        <f t="shared" si="12"/>
        <v>25</v>
      </c>
      <c r="I151" s="198">
        <f>IF(P_rupture_effort_pct=0,I117,IF(I$2&lt;P_année_rupture,I117,IF(I$2=P_année_rupture,MAX(I117*(1-P_rupture_effort_pct),$R151),H151-($Z151-$R151)/$D$136)))</f>
        <v>25</v>
      </c>
      <c r="J151" s="198">
        <f>IF(P_rupture_effort_pct=0,J117,IF(J$2&lt;P_année_rupture,J117,IF(J$2=P_année_rupture,MAX(J117*(1-P_rupture_effort_pct),$R151),I151-($Z151-$R151)/$D$136)))</f>
        <v>25.29715617</v>
      </c>
      <c r="K151" s="198">
        <f>IF(P_rupture_effort_pct=0,K117,IF(K$2&lt;P_année_rupture,K117,IF(K$2=P_année_rupture,MAX(K117*(1-P_rupture_effort_pct),$R151),J151-($Z151-$R151)/$D$136)))</f>
        <v>25.59431234</v>
      </c>
      <c r="L151" s="198">
        <f>IF(P_rupture_effort_pct=0,L117,IF(L$2&lt;P_année_rupture,L117,IF(L$2=P_année_rupture,MAX(L117*(1-P_rupture_effort_pct),$R151),K151-($Z151-$R151)/$D$136)))</f>
        <v>25.89146851</v>
      </c>
      <c r="M151" s="198">
        <f>IF(P_rupture_effort_pct=0,M117,IF(M$2&lt;P_année_rupture,M117,IF(M$2=P_année_rupture,MAX(M117*(1-P_rupture_effort_pct),$R151),L151-($Z151-$R151)/$D$136)))</f>
        <v>26.18862468</v>
      </c>
      <c r="N151" s="198">
        <f>IF(P_rupture_effort_pct=0,N117,IF(N$2&lt;P_année_rupture,N117,IF(N$2=P_année_rupture,MAX(N117*(1-P_rupture_effort_pct),$R151),M151-($Z151-$R151)/$D$136)))</f>
        <v>26.48578085</v>
      </c>
      <c r="O151" s="198">
        <f>IF(P_rupture_effort_pct=0,O117,IF(O$2&lt;P_année_rupture,O117,IF(O$2=P_année_rupture,MAX(O117*(1-P_rupture_effort_pct),$R151),N151-($Z151-$R151)/$D$136)))</f>
        <v>26.78293702</v>
      </c>
      <c r="P151" s="198">
        <f>IF(P_rupture_effort_pct=0,P117,IF(P$2&lt;P_année_rupture,P117,IF(P$2=P_année_rupture,MAX(P117*(1-P_rupture_effort_pct),$R151),O151-($Z151-$R151)/$D$136)))</f>
        <v>27.08009319</v>
      </c>
      <c r="Q151" s="198">
        <f>IF(P_rupture_effort_pct=0,Q117,IF(Q$2&lt;P_année_rupture,Q117,IF(Q$2=P_année_rupture,MAX(Q117*(1-P_rupture_effort_pct),$R151),P151-($Z151-$R151)/$D$136)))</f>
        <v>27.37724935</v>
      </c>
      <c r="R151" s="199">
        <f t="shared" si="13"/>
        <v>27.67440552</v>
      </c>
      <c r="S151" s="191">
        <f t="shared" si="14"/>
        <v>288.3720276</v>
      </c>
      <c r="T151" s="192">
        <f t="shared" si="15"/>
        <v>0.03526602803</v>
      </c>
      <c r="U151" s="17" t="str">
        <f t="shared" si="16"/>
        <v>Tertiaire</v>
      </c>
      <c r="V151" s="17"/>
      <c r="W151" s="17"/>
      <c r="X151" s="17"/>
      <c r="Y151" s="17"/>
      <c r="Z151" s="171">
        <f>HLOOKUP(P_année_rupture,$H$148:$R$163,AC151,0)</f>
        <v>25.89146851</v>
      </c>
      <c r="AB151" s="17"/>
      <c r="AC151" s="82">
        <v>4.0</v>
      </c>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row>
    <row r="152" ht="18.75" customHeight="1" outlineLevel="1">
      <c r="A152" s="17"/>
      <c r="B152" s="17"/>
      <c r="C152" s="17"/>
      <c r="D152" s="17"/>
      <c r="E152" s="17"/>
      <c r="F152" s="229" t="s">
        <v>706</v>
      </c>
      <c r="G152" s="230" t="s">
        <v>707</v>
      </c>
      <c r="H152" s="231">
        <f t="shared" si="12"/>
        <v>80.88353248</v>
      </c>
      <c r="I152" s="231">
        <f>IF(P_rupture_effort_pct=0,I118,IF(I$2&lt;P_année_rupture,I118,IF(I$2=P_année_rupture,MAX(I118*(1-P_rupture_effort_pct),$R152),H152-($Z152-$R152)/$D$136)))</f>
        <v>82.47166633</v>
      </c>
      <c r="J152" s="231">
        <f>IF(P_rupture_effort_pct=0,J118,IF(J$2&lt;P_année_rupture,J118,IF(J$2=P_année_rupture,MAX(J118*(1-P_rupture_effort_pct),$R152),I152-($Z152-$R152)/$D$136)))</f>
        <v>82.56824781</v>
      </c>
      <c r="K152" s="231">
        <f>IF(P_rupture_effort_pct=0,K118,IF(K$2&lt;P_année_rupture,K118,IF(K$2=P_année_rupture,MAX(K118*(1-P_rupture_effort_pct),$R152),J152-($Z152-$R152)/$D$136)))</f>
        <v>82.66482929</v>
      </c>
      <c r="L152" s="231">
        <f>IF(P_rupture_effort_pct=0,L118,IF(L$2&lt;P_année_rupture,L118,IF(L$2=P_année_rupture,MAX(L118*(1-P_rupture_effort_pct),$R152),K152-($Z152-$R152)/$D$136)))</f>
        <v>82.76141078</v>
      </c>
      <c r="M152" s="231">
        <f>IF(P_rupture_effort_pct=0,M118,IF(M$2&lt;P_année_rupture,M118,IF(M$2=P_année_rupture,MAX(M118*(1-P_rupture_effort_pct),$R152),L152-($Z152-$R152)/$D$136)))</f>
        <v>82.85799226</v>
      </c>
      <c r="N152" s="231">
        <f>IF(P_rupture_effort_pct=0,N118,IF(N$2&lt;P_année_rupture,N118,IF(N$2=P_année_rupture,MAX(N118*(1-P_rupture_effort_pct),$R152),M152-($Z152-$R152)/$D$136)))</f>
        <v>82.95457375</v>
      </c>
      <c r="O152" s="231">
        <f>IF(P_rupture_effort_pct=0,O118,IF(O$2&lt;P_année_rupture,O118,IF(O$2=P_année_rupture,MAX(O118*(1-P_rupture_effort_pct),$R152),N152-($Z152-$R152)/$D$136)))</f>
        <v>83.05115523</v>
      </c>
      <c r="P152" s="231">
        <f>IF(P_rupture_effort_pct=0,P118,IF(P$2&lt;P_année_rupture,P118,IF(P$2=P_année_rupture,MAX(P118*(1-P_rupture_effort_pct),$R152),O152-($Z152-$R152)/$D$136)))</f>
        <v>83.14773671</v>
      </c>
      <c r="Q152" s="231">
        <f>IF(P_rupture_effort_pct=0,Q118,IF(Q$2&lt;P_année_rupture,Q118,IF(Q$2=P_année_rupture,MAX(Q118*(1-P_rupture_effort_pct),$R152),P152-($Z152-$R152)/$D$136)))</f>
        <v>83.2443182</v>
      </c>
      <c r="R152" s="232">
        <f t="shared" si="13"/>
        <v>83.34089968</v>
      </c>
      <c r="S152" s="191">
        <f t="shared" si="14"/>
        <v>909.9463625</v>
      </c>
      <c r="T152" s="192">
        <f t="shared" si="15"/>
        <v>0.1112805364</v>
      </c>
      <c r="U152" s="17" t="str">
        <f t="shared" si="16"/>
        <v>Industrie de l'énergie (hors tertiaire et industrie)</v>
      </c>
      <c r="V152" s="17"/>
      <c r="W152" s="17"/>
      <c r="X152" s="17"/>
      <c r="Y152" s="17"/>
      <c r="Z152" s="171">
        <f>HLOOKUP(P_année_rupture,$H$148:$R$163,AC152,0)</f>
        <v>82.76141078</v>
      </c>
      <c r="AB152" s="17"/>
      <c r="AC152" s="82">
        <v>5.0</v>
      </c>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row>
    <row r="153" ht="18.75" customHeight="1" outlineLevel="1">
      <c r="A153" s="17"/>
      <c r="B153" s="17"/>
      <c r="C153" s="17"/>
      <c r="D153" s="17"/>
      <c r="E153" s="17"/>
      <c r="F153" s="187" t="s">
        <v>344</v>
      </c>
      <c r="G153" s="204" t="s">
        <v>289</v>
      </c>
      <c r="H153" s="189">
        <f t="shared" si="12"/>
        <v>42.32</v>
      </c>
      <c r="I153" s="189">
        <f>IF(P_rupture_effort_pct=0,I119,IF(I$2&lt;P_année_rupture,I119,IF(I$2=P_année_rupture,MAX(I119*(1-P_rupture_effort_pct),$R153),H153-($Z153-$R153)/$D$136)))</f>
        <v>42.11208</v>
      </c>
      <c r="J153" s="189">
        <f>IF(P_rupture_effort_pct=0,J119,IF(J$2&lt;P_année_rupture,J119,IF(J$2=P_année_rupture,MAX(J119*(1-P_rupture_effort_pct),$R153),I153-($Z153-$R153)/$D$136)))</f>
        <v>41.9021104</v>
      </c>
      <c r="K153" s="189">
        <f>IF(P_rupture_effort_pct=0,K119,IF(K$2&lt;P_année_rupture,K119,IF(K$2=P_année_rupture,MAX(K119*(1-P_rupture_effort_pct),$R153),J153-($Z153-$R153)/$D$136)))</f>
        <v>41.69014258</v>
      </c>
      <c r="L153" s="189">
        <f>IF(P_rupture_effort_pct=0,L119,IF(L$2&lt;P_année_rupture,L119,IF(L$2=P_année_rupture,MAX(L119*(1-P_rupture_effort_pct),$R153),K153-($Z153-$R153)/$D$136)))</f>
        <v>41.47622711</v>
      </c>
      <c r="M153" s="189">
        <f>IF(P_rupture_effort_pct=0,M119,IF(M$2&lt;P_année_rupture,M119,IF(M$2=P_année_rupture,MAX(M119*(1-P_rupture_effort_pct),$R153),L153-($Z153-$R153)/$D$136)))</f>
        <v>41.26041374</v>
      </c>
      <c r="N153" s="189">
        <f>IF(P_rupture_effort_pct=0,N119,IF(N$2&lt;P_année_rupture,N119,IF(N$2=P_année_rupture,MAX(N119*(1-P_rupture_effort_pct),$R153),M153-($Z153-$R153)/$D$136)))</f>
        <v>41.04275141</v>
      </c>
      <c r="O153" s="189">
        <f>IF(P_rupture_effort_pct=0,O119,IF(O$2&lt;P_année_rupture,O119,IF(O$2=P_année_rupture,MAX(O119*(1-P_rupture_effort_pct),$R153),N153-($Z153-$R153)/$D$136)))</f>
        <v>40.82328828</v>
      </c>
      <c r="P153" s="189">
        <f>IF(P_rupture_effort_pct=0,P119,IF(P$2&lt;P_année_rupture,P119,IF(P$2=P_année_rupture,MAX(P119*(1-P_rupture_effort_pct),$R153),O153-($Z153-$R153)/$D$136)))</f>
        <v>40.60207174</v>
      </c>
      <c r="Q153" s="189">
        <f>IF(P_rupture_effort_pct=0,Q119,IF(Q$2&lt;P_année_rupture,Q119,IF(Q$2=P_année_rupture,MAX(Q119*(1-P_rupture_effort_pct),$R153),P153-($Z153-$R153)/$D$136)))</f>
        <v>40.37914841</v>
      </c>
      <c r="R153" s="190">
        <f t="shared" si="13"/>
        <v>40.15456413</v>
      </c>
      <c r="S153" s="191">
        <f t="shared" si="14"/>
        <v>453.7627978</v>
      </c>
      <c r="T153" s="192">
        <f t="shared" si="15"/>
        <v>0.05549224618</v>
      </c>
      <c r="U153" s="17" t="str">
        <f t="shared" si="16"/>
        <v>Utilisation des terres</v>
      </c>
      <c r="V153" s="17"/>
      <c r="W153" s="17"/>
      <c r="X153" s="17"/>
      <c r="Y153" s="17"/>
      <c r="Z153" s="171">
        <f>HLOOKUP(P_année_rupture,$H$148:$R$163,AC153,0)</f>
        <v>41.47622711</v>
      </c>
      <c r="AB153" s="17"/>
      <c r="AC153" s="82">
        <v>6.0</v>
      </c>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row>
    <row r="154" ht="18.75" customHeight="1" outlineLevel="1">
      <c r="A154" s="17"/>
      <c r="B154" s="17"/>
      <c r="C154" s="17"/>
      <c r="D154" s="17"/>
      <c r="E154" s="17"/>
      <c r="F154" s="194"/>
      <c r="G154" s="25" t="s">
        <v>708</v>
      </c>
      <c r="H154" s="168">
        <f t="shared" si="12"/>
        <v>43</v>
      </c>
      <c r="I154" s="168">
        <f>IF(P_rupture_effort_pct=0,I120,IF(I$2&lt;P_année_rupture,I120,IF(I$2=P_année_rupture,MAX(I120*(1-P_rupture_effort_pct),$R154),H154-($Z154-$R154)/$D$136)))</f>
        <v>43</v>
      </c>
      <c r="J154" s="168">
        <f>IF(P_rupture_effort_pct=0,J120,IF(J$2&lt;P_année_rupture,J120,IF(J$2=P_année_rupture,MAX(J120*(1-P_rupture_effort_pct),$R154),I154-($Z154-$R154)/$D$136)))</f>
        <v>43</v>
      </c>
      <c r="K154" s="168">
        <f>IF(P_rupture_effort_pct=0,K120,IF(K$2&lt;P_année_rupture,K120,IF(K$2=P_année_rupture,MAX(K120*(1-P_rupture_effort_pct),$R154),J154-($Z154-$R154)/$D$136)))</f>
        <v>43</v>
      </c>
      <c r="L154" s="168">
        <f>IF(P_rupture_effort_pct=0,L120,IF(L$2&lt;P_année_rupture,L120,IF(L$2=P_année_rupture,MAX(L120*(1-P_rupture_effort_pct),$R154),K154-($Z154-$R154)/$D$136)))</f>
        <v>43</v>
      </c>
      <c r="M154" s="168">
        <f>IF(P_rupture_effort_pct=0,M120,IF(M$2&lt;P_année_rupture,M120,IF(M$2=P_année_rupture,MAX(M120*(1-P_rupture_effort_pct),$R154),L154-($Z154-$R154)/$D$136)))</f>
        <v>43</v>
      </c>
      <c r="N154" s="168">
        <f>IF(P_rupture_effort_pct=0,N120,IF(N$2&lt;P_année_rupture,N120,IF(N$2=P_année_rupture,MAX(N120*(1-P_rupture_effort_pct),$R154),M154-($Z154-$R154)/$D$136)))</f>
        <v>43</v>
      </c>
      <c r="O154" s="168">
        <f>IF(P_rupture_effort_pct=0,O120,IF(O$2&lt;P_année_rupture,O120,IF(O$2=P_année_rupture,MAX(O120*(1-P_rupture_effort_pct),$R154),N154-($Z154-$R154)/$D$136)))</f>
        <v>43</v>
      </c>
      <c r="P154" s="168">
        <f>IF(P_rupture_effort_pct=0,P120,IF(P$2&lt;P_année_rupture,P120,IF(P$2=P_année_rupture,MAX(P120*(1-P_rupture_effort_pct),$R154),O154-($Z154-$R154)/$D$136)))</f>
        <v>43</v>
      </c>
      <c r="Q154" s="168">
        <f>IF(P_rupture_effort_pct=0,Q120,IF(Q$2&lt;P_année_rupture,Q120,IF(Q$2=P_année_rupture,MAX(Q120*(1-P_rupture_effort_pct),$R154),P154-($Z154-$R154)/$D$136)))</f>
        <v>43</v>
      </c>
      <c r="R154" s="195">
        <f t="shared" si="13"/>
        <v>43</v>
      </c>
      <c r="S154" s="191">
        <f t="shared" si="14"/>
        <v>473</v>
      </c>
      <c r="T154" s="192">
        <f t="shared" si="15"/>
        <v>0.0578448312</v>
      </c>
      <c r="U154" s="17" t="str">
        <f t="shared" si="16"/>
        <v>Consommation de viande et élevage</v>
      </c>
      <c r="V154" s="17"/>
      <c r="W154" s="17"/>
      <c r="X154" s="17"/>
      <c r="Y154" s="17"/>
      <c r="Z154" s="171">
        <f>HLOOKUP(P_année_rupture,$H$148:$R$163,AC154,0)</f>
        <v>43</v>
      </c>
      <c r="AB154" s="17"/>
      <c r="AC154" s="82">
        <v>7.0</v>
      </c>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row>
    <row r="155" ht="18.75" customHeight="1" outlineLevel="1">
      <c r="A155" s="17"/>
      <c r="B155" s="17"/>
      <c r="C155" s="17"/>
      <c r="D155" s="17"/>
      <c r="E155" s="17"/>
      <c r="F155" s="196"/>
      <c r="G155" s="205" t="s">
        <v>709</v>
      </c>
      <c r="H155" s="198">
        <f t="shared" si="12"/>
        <v>43</v>
      </c>
      <c r="I155" s="198">
        <f>IF(P_rupture_effort_pct=0,I121,IF(I$2&lt;P_année_rupture,I121,IF(I$2=P_année_rupture,MAX(I121*(1-P_rupture_effort_pct),$R155),H155-($Z155-$R155)/$D$136)))</f>
        <v>43</v>
      </c>
      <c r="J155" s="198">
        <f>IF(P_rupture_effort_pct=0,J121,IF(J$2&lt;P_année_rupture,J121,IF(J$2=P_année_rupture,MAX(J121*(1-P_rupture_effort_pct),$R155),I155-($Z155-$R155)/$D$136)))</f>
        <v>43</v>
      </c>
      <c r="K155" s="198">
        <f>IF(P_rupture_effort_pct=0,K121,IF(K$2&lt;P_année_rupture,K121,IF(K$2=P_année_rupture,MAX(K121*(1-P_rupture_effort_pct),$R155),J155-($Z155-$R155)/$D$136)))</f>
        <v>43</v>
      </c>
      <c r="L155" s="198">
        <f>IF(P_rupture_effort_pct=0,L121,IF(L$2&lt;P_année_rupture,L121,IF(L$2=P_année_rupture,MAX(L121*(1-P_rupture_effort_pct),$R155),K155-($Z155-$R155)/$D$136)))</f>
        <v>43</v>
      </c>
      <c r="M155" s="198">
        <f>IF(P_rupture_effort_pct=0,M121,IF(M$2&lt;P_année_rupture,M121,IF(M$2=P_année_rupture,MAX(M121*(1-P_rupture_effort_pct),$R155),L155-($Z155-$R155)/$D$136)))</f>
        <v>43</v>
      </c>
      <c r="N155" s="198">
        <f>IF(P_rupture_effort_pct=0,N121,IF(N$2&lt;P_année_rupture,N121,IF(N$2=P_année_rupture,MAX(N121*(1-P_rupture_effort_pct),$R155),M155-($Z155-$R155)/$D$136)))</f>
        <v>43</v>
      </c>
      <c r="O155" s="198">
        <f>IF(P_rupture_effort_pct=0,O121,IF(O$2&lt;P_année_rupture,O121,IF(O$2=P_année_rupture,MAX(O121*(1-P_rupture_effort_pct),$R155),N155-($Z155-$R155)/$D$136)))</f>
        <v>43</v>
      </c>
      <c r="P155" s="198">
        <f>IF(P_rupture_effort_pct=0,P121,IF(P$2&lt;P_année_rupture,P121,IF(P$2=P_année_rupture,MAX(P121*(1-P_rupture_effort_pct),$R155),O155-($Z155-$R155)/$D$136)))</f>
        <v>43</v>
      </c>
      <c r="Q155" s="198">
        <f>IF(P_rupture_effort_pct=0,Q121,IF(Q$2&lt;P_année_rupture,Q121,IF(Q$2=P_année_rupture,MAX(Q121*(1-P_rupture_effort_pct),$R155),P155-($Z155-$R155)/$D$136)))</f>
        <v>43</v>
      </c>
      <c r="R155" s="199">
        <f t="shared" si="13"/>
        <v>43</v>
      </c>
      <c r="S155" s="191">
        <f t="shared" si="14"/>
        <v>473</v>
      </c>
      <c r="T155" s="192">
        <f t="shared" si="15"/>
        <v>0.0578448312</v>
      </c>
      <c r="U155" s="17" t="str">
        <f t="shared" si="16"/>
        <v>Importations agricoles</v>
      </c>
      <c r="V155" s="17"/>
      <c r="W155" s="17"/>
      <c r="X155" s="17" t="s">
        <v>710</v>
      </c>
      <c r="Y155" s="17"/>
      <c r="Z155" s="171">
        <f>HLOOKUP(P_année_rupture,$H$148:$R$163,AC155,0)</f>
        <v>43</v>
      </c>
      <c r="AB155" s="17"/>
      <c r="AC155" s="82">
        <v>8.0</v>
      </c>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row>
    <row r="156" ht="18.75" customHeight="1" outlineLevel="1">
      <c r="A156" s="17"/>
      <c r="B156" s="17"/>
      <c r="C156" s="17"/>
      <c r="D156" s="17"/>
      <c r="E156" s="17"/>
      <c r="F156" s="187" t="s">
        <v>17</v>
      </c>
      <c r="G156" s="188" t="s">
        <v>282</v>
      </c>
      <c r="H156" s="189">
        <f t="shared" si="12"/>
        <v>18</v>
      </c>
      <c r="I156" s="189">
        <f>IF(P_rupture_effort_pct=0,I122,IF(I$2&lt;P_année_rupture,I122,IF(I$2=P_année_rupture,MAX(I122*(1-P_rupture_effort_pct),$R156),H156-($Z156-$R156)/$D$136)))</f>
        <v>18</v>
      </c>
      <c r="J156" s="189">
        <f>IF(P_rupture_effort_pct=0,J122,IF(J$2&lt;P_année_rupture,J122,IF(J$2=P_année_rupture,MAX(J122*(1-P_rupture_effort_pct),$R156),I156-($Z156-$R156)/$D$136)))</f>
        <v>18</v>
      </c>
      <c r="K156" s="189">
        <f>IF(P_rupture_effort_pct=0,K122,IF(K$2&lt;P_année_rupture,K122,IF(K$2=P_année_rupture,MAX(K122*(1-P_rupture_effort_pct),$R156),J156-($Z156-$R156)/$D$136)))</f>
        <v>18</v>
      </c>
      <c r="L156" s="189">
        <f>IF(P_rupture_effort_pct=0,L122,IF(L$2&lt;P_année_rupture,L122,IF(L$2=P_année_rupture,MAX(L122*(1-P_rupture_effort_pct),$R156),K156-($Z156-$R156)/$D$136)))</f>
        <v>18</v>
      </c>
      <c r="M156" s="189">
        <f>IF(P_rupture_effort_pct=0,M122,IF(M$2&lt;P_année_rupture,M122,IF(M$2=P_année_rupture,MAX(M122*(1-P_rupture_effort_pct),$R156),L156-($Z156-$R156)/$D$136)))</f>
        <v>18</v>
      </c>
      <c r="N156" s="189">
        <f>IF(P_rupture_effort_pct=0,N122,IF(N$2&lt;P_année_rupture,N122,IF(N$2=P_année_rupture,MAX(N122*(1-P_rupture_effort_pct),$R156),M156-($Z156-$R156)/$D$136)))</f>
        <v>18</v>
      </c>
      <c r="O156" s="189">
        <f>IF(P_rupture_effort_pct=0,O122,IF(O$2&lt;P_année_rupture,O122,IF(O$2=P_année_rupture,MAX(O122*(1-P_rupture_effort_pct),$R156),N156-($Z156-$R156)/$D$136)))</f>
        <v>18</v>
      </c>
      <c r="P156" s="189">
        <f>IF(P_rupture_effort_pct=0,P122,IF(P$2&lt;P_année_rupture,P122,IF(P$2=P_année_rupture,MAX(P122*(1-P_rupture_effort_pct),$R156),O156-($Z156-$R156)/$D$136)))</f>
        <v>18</v>
      </c>
      <c r="Q156" s="189">
        <f>IF(P_rupture_effort_pct=0,Q122,IF(Q$2&lt;P_année_rupture,Q122,IF(Q$2=P_année_rupture,MAX(Q122*(1-P_rupture_effort_pct),$R156),P156-($Z156-$R156)/$D$136)))</f>
        <v>18</v>
      </c>
      <c r="R156" s="190">
        <f t="shared" si="13"/>
        <v>18</v>
      </c>
      <c r="S156" s="191">
        <f t="shared" si="14"/>
        <v>198</v>
      </c>
      <c r="T156" s="192">
        <f t="shared" si="15"/>
        <v>0.02421411538</v>
      </c>
      <c r="U156" s="17" t="str">
        <f t="shared" si="16"/>
        <v>Construction de véhicules</v>
      </c>
      <c r="V156" s="17"/>
      <c r="W156" s="17"/>
      <c r="X156" s="17"/>
      <c r="Y156" s="17"/>
      <c r="Z156" s="171">
        <f>HLOOKUP(P_année_rupture,$H$148:$R$163,AC156,0)</f>
        <v>18</v>
      </c>
      <c r="AB156" s="17"/>
      <c r="AC156" s="82">
        <v>9.0</v>
      </c>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row>
    <row r="157" ht="18.75" customHeight="1" outlineLevel="1">
      <c r="A157" s="17"/>
      <c r="B157" s="17"/>
      <c r="C157" s="17"/>
      <c r="D157" s="17"/>
      <c r="E157" s="17"/>
      <c r="F157" s="194"/>
      <c r="G157" s="25" t="s">
        <v>711</v>
      </c>
      <c r="H157" s="168">
        <f t="shared" si="12"/>
        <v>108.5538083</v>
      </c>
      <c r="I157" s="168">
        <f>IF(P_rupture_effort_pct=0,I123,IF(I$2&lt;P_année_rupture,I123,IF(I$2=P_année_rupture,MAX(I123*(1-P_rupture_effort_pct),$R157),H157-($Z157-$R157)/$D$136)))</f>
        <v>108.3717083</v>
      </c>
      <c r="J157" s="168">
        <f>IF(P_rupture_effort_pct=0,J123,IF(J$2&lt;P_année_rupture,J123,IF(J$2=P_année_rupture,MAX(J123*(1-P_rupture_effort_pct),$R157),I157-($Z157-$R157)/$D$136)))</f>
        <v>108.1896083</v>
      </c>
      <c r="K157" s="168">
        <f>IF(P_rupture_effort_pct=0,K123,IF(K$2&lt;P_année_rupture,K123,IF(K$2=P_année_rupture,MAX(K123*(1-P_rupture_effort_pct),$R157),J157-($Z157-$R157)/$D$136)))</f>
        <v>108.0075083</v>
      </c>
      <c r="L157" s="168">
        <f>IF(P_rupture_effort_pct=0,L123,IF(L$2&lt;P_année_rupture,L123,IF(L$2=P_année_rupture,MAX(L123*(1-P_rupture_effort_pct),$R157),K157-($Z157-$R157)/$D$136)))</f>
        <v>107.7647083</v>
      </c>
      <c r="M157" s="168">
        <f>IF(P_rupture_effort_pct=0,M123,IF(M$2&lt;P_année_rupture,M123,IF(M$2=P_année_rupture,MAX(M123*(1-P_rupture_effort_pct),$R157),L157-($Z157-$R157)/$D$136)))</f>
        <v>107.4612083</v>
      </c>
      <c r="N157" s="168">
        <f>IF(P_rupture_effort_pct=0,N123,IF(N$2&lt;P_année_rupture,N123,IF(N$2=P_année_rupture,MAX(N123*(1-P_rupture_effort_pct),$R157),M157-($Z157-$R157)/$D$136)))</f>
        <v>107.1577083</v>
      </c>
      <c r="O157" s="168">
        <f>IF(P_rupture_effort_pct=0,O123,IF(O$2&lt;P_année_rupture,O123,IF(O$2=P_année_rupture,MAX(O123*(1-P_rupture_effort_pct),$R157),N157-($Z157-$R157)/$D$136)))</f>
        <v>106.8542083</v>
      </c>
      <c r="P157" s="168">
        <f>IF(P_rupture_effort_pct=0,P123,IF(P$2&lt;P_année_rupture,P123,IF(P$2=P_année_rupture,MAX(P123*(1-P_rupture_effort_pct),$R157),O157-($Z157-$R157)/$D$136)))</f>
        <v>106.5507083</v>
      </c>
      <c r="Q157" s="168">
        <f>IF(P_rupture_effort_pct=0,Q123,IF(Q$2&lt;P_année_rupture,Q123,IF(Q$2=P_année_rupture,MAX(Q123*(1-P_rupture_effort_pct),$R157),P157-($Z157-$R157)/$D$136)))</f>
        <v>106.2472083</v>
      </c>
      <c r="R157" s="195">
        <f t="shared" si="13"/>
        <v>105.9437083</v>
      </c>
      <c r="S157" s="191">
        <f t="shared" si="14"/>
        <v>1181.102092</v>
      </c>
      <c r="T157" s="192">
        <f t="shared" si="15"/>
        <v>0.1444411229</v>
      </c>
      <c r="U157" s="17" t="str">
        <f t="shared" si="16"/>
        <v>Transport de personnes</v>
      </c>
      <c r="V157" s="17"/>
      <c r="W157" s="17"/>
      <c r="X157" s="17"/>
      <c r="Y157" s="17"/>
      <c r="Z157" s="171">
        <f>HLOOKUP(P_année_rupture,$H$148:$R$163,AC157,0)</f>
        <v>107.7647083</v>
      </c>
      <c r="AB157" s="17"/>
      <c r="AC157" s="82">
        <v>10.0</v>
      </c>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row>
    <row r="158" ht="18.75" customHeight="1" outlineLevel="1">
      <c r="A158" s="17"/>
      <c r="B158" s="17"/>
      <c r="C158" s="17"/>
      <c r="D158" s="17"/>
      <c r="E158" s="17"/>
      <c r="F158" s="194"/>
      <c r="G158" s="25" t="s">
        <v>712</v>
      </c>
      <c r="H158" s="168">
        <f t="shared" si="12"/>
        <v>51.93996991</v>
      </c>
      <c r="I158" s="168">
        <f>IF(P_rupture_effort_pct=0,I124,IF(I$2&lt;P_année_rupture,I124,IF(I$2=P_année_rupture,MAX(I124*(1-P_rupture_effort_pct),$R158),H158-($Z158-$R158)/$D$136)))</f>
        <v>51.96996991</v>
      </c>
      <c r="J158" s="168">
        <f>IF(P_rupture_effort_pct=0,J124,IF(J$2&lt;P_année_rupture,J124,IF(J$2=P_année_rupture,MAX(J124*(1-P_rupture_effort_pct),$R158),I158-($Z158-$R158)/$D$136)))</f>
        <v>51.96996991</v>
      </c>
      <c r="K158" s="168">
        <f>IF(P_rupture_effort_pct=0,K124,IF(K$2&lt;P_année_rupture,K124,IF(K$2=P_année_rupture,MAX(K124*(1-P_rupture_effort_pct),$R158),J158-($Z158-$R158)/$D$136)))</f>
        <v>51.96996991</v>
      </c>
      <c r="L158" s="168">
        <f>IF(P_rupture_effort_pct=0,L124,IF(L$2&lt;P_année_rupture,L124,IF(L$2=P_année_rupture,MAX(L124*(1-P_rupture_effort_pct),$R158),K158-($Z158-$R158)/$D$136)))</f>
        <v>51.96996991</v>
      </c>
      <c r="M158" s="168">
        <f>IF(P_rupture_effort_pct=0,M124,IF(M$2&lt;P_année_rupture,M124,IF(M$2=P_année_rupture,MAX(M124*(1-P_rupture_effort_pct),$R158),L158-($Z158-$R158)/$D$136)))</f>
        <v>51.96996991</v>
      </c>
      <c r="N158" s="168">
        <f>IF(P_rupture_effort_pct=0,N124,IF(N$2&lt;P_année_rupture,N124,IF(N$2=P_année_rupture,MAX(N124*(1-P_rupture_effort_pct),$R158),M158-($Z158-$R158)/$D$136)))</f>
        <v>51.96996991</v>
      </c>
      <c r="O158" s="168">
        <f>IF(P_rupture_effort_pct=0,O124,IF(O$2&lt;P_année_rupture,O124,IF(O$2=P_année_rupture,MAX(O124*(1-P_rupture_effort_pct),$R158),N158-($Z158-$R158)/$D$136)))</f>
        <v>51.96996991</v>
      </c>
      <c r="P158" s="168">
        <f>IF(P_rupture_effort_pct=0,P124,IF(P$2&lt;P_année_rupture,P124,IF(P$2=P_année_rupture,MAX(P124*(1-P_rupture_effort_pct),$R158),O158-($Z158-$R158)/$D$136)))</f>
        <v>51.96996991</v>
      </c>
      <c r="Q158" s="168">
        <f>IF(P_rupture_effort_pct=0,Q124,IF(Q$2&lt;P_année_rupture,Q124,IF(Q$2=P_année_rupture,MAX(Q124*(1-P_rupture_effort_pct),$R158),P158-($Z158-$R158)/$D$136)))</f>
        <v>51.96996991</v>
      </c>
      <c r="R158" s="195">
        <f t="shared" si="13"/>
        <v>51.96996991</v>
      </c>
      <c r="S158" s="191">
        <f t="shared" si="14"/>
        <v>571.639669</v>
      </c>
      <c r="T158" s="192">
        <f t="shared" si="15"/>
        <v>0.06990782275</v>
      </c>
      <c r="U158" s="17" t="str">
        <f t="shared" si="16"/>
        <v>Transport de marchandises</v>
      </c>
      <c r="V158" s="17"/>
      <c r="W158" s="17"/>
      <c r="X158" s="17"/>
      <c r="Y158" s="17"/>
      <c r="Z158" s="171">
        <f>HLOOKUP(P_année_rupture,$H$148:$R$163,AC158,0)</f>
        <v>51.96996991</v>
      </c>
      <c r="AB158" s="17"/>
      <c r="AC158" s="82">
        <v>11.0</v>
      </c>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row>
    <row r="159" ht="18.75" customHeight="1" outlineLevel="1">
      <c r="A159" s="17"/>
      <c r="B159" s="17"/>
      <c r="C159" s="17"/>
      <c r="D159" s="17"/>
      <c r="E159" s="17"/>
      <c r="F159" s="196"/>
      <c r="G159" s="205" t="s">
        <v>713</v>
      </c>
      <c r="H159" s="198">
        <f t="shared" si="12"/>
        <v>32.912</v>
      </c>
      <c r="I159" s="198">
        <f>IF(P_rupture_effort_pct=0,I125,IF(I$2&lt;P_année_rupture,I125,IF(I$2=P_année_rupture,MAX(I125*(1-P_rupture_effort_pct),$R159),H159-($Z159-$R159)/$D$136)))</f>
        <v>32.58288</v>
      </c>
      <c r="J159" s="198">
        <f>IF(P_rupture_effort_pct=0,J125,IF(J$2&lt;P_année_rupture,J125,IF(J$2=P_année_rupture,MAX(J125*(1-P_rupture_effort_pct),$R159),I159-($Z159-$R159)/$D$136)))</f>
        <v>32.2570512</v>
      </c>
      <c r="K159" s="198">
        <f>IF(P_rupture_effort_pct=0,K125,IF(K$2&lt;P_année_rupture,K125,IF(K$2=P_année_rupture,MAX(K125*(1-P_rupture_effort_pct),$R159),J159-($Z159-$R159)/$D$136)))</f>
        <v>31.93448069</v>
      </c>
      <c r="L159" s="198">
        <f>IF(P_rupture_effort_pct=0,L125,IF(L$2&lt;P_année_rupture,L125,IF(L$2=P_année_rupture,MAX(L125*(1-P_rupture_effort_pct),$R159),K159-($Z159-$R159)/$D$136)))</f>
        <v>31.61513588</v>
      </c>
      <c r="M159" s="198">
        <f>IF(P_rupture_effort_pct=0,M125,IF(M$2&lt;P_année_rupture,M125,IF(M$2=P_année_rupture,MAX(M125*(1-P_rupture_effort_pct),$R159),L159-($Z159-$R159)/$D$136)))</f>
        <v>31.29898452</v>
      </c>
      <c r="N159" s="198">
        <f>IF(P_rupture_effort_pct=0,N125,IF(N$2&lt;P_année_rupture,N125,IF(N$2=P_année_rupture,MAX(N125*(1-P_rupture_effort_pct),$R159),M159-($Z159-$R159)/$D$136)))</f>
        <v>30.98599468</v>
      </c>
      <c r="O159" s="198">
        <f>IF(P_rupture_effort_pct=0,O125,IF(O$2&lt;P_année_rupture,O125,IF(O$2=P_année_rupture,MAX(O125*(1-P_rupture_effort_pct),$R159),N159-($Z159-$R159)/$D$136)))</f>
        <v>30.67613473</v>
      </c>
      <c r="P159" s="198">
        <f>IF(P_rupture_effort_pct=0,P125,IF(P$2&lt;P_année_rupture,P125,IF(P$2=P_année_rupture,MAX(P125*(1-P_rupture_effort_pct),$R159),O159-($Z159-$R159)/$D$136)))</f>
        <v>30.36937338</v>
      </c>
      <c r="Q159" s="198">
        <f>IF(P_rupture_effort_pct=0,Q125,IF(Q$2&lt;P_année_rupture,Q125,IF(Q$2=P_année_rupture,MAX(Q125*(1-P_rupture_effort_pct),$R159),P159-($Z159-$R159)/$D$136)))</f>
        <v>30.06567965</v>
      </c>
      <c r="R159" s="199">
        <f t="shared" si="13"/>
        <v>29.76502285</v>
      </c>
      <c r="S159" s="191">
        <f t="shared" si="14"/>
        <v>344.4627376</v>
      </c>
      <c r="T159" s="192">
        <f t="shared" si="15"/>
        <v>0.04212555795</v>
      </c>
      <c r="U159" s="17" t="str">
        <f t="shared" si="16"/>
        <v>Transport Aérien</v>
      </c>
      <c r="V159" s="17"/>
      <c r="W159" s="17"/>
      <c r="X159" s="17"/>
      <c r="Y159" s="17"/>
      <c r="Z159" s="171">
        <f>HLOOKUP(P_année_rupture,$H$148:$R$163,AC159,0)</f>
        <v>31.61513588</v>
      </c>
      <c r="AB159" s="17"/>
      <c r="AC159" s="82">
        <v>12.0</v>
      </c>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row>
    <row r="160" ht="18.75" customHeight="1" outlineLevel="1">
      <c r="A160" s="17"/>
      <c r="B160" s="17"/>
      <c r="C160" s="17"/>
      <c r="D160" s="17"/>
      <c r="E160" s="17"/>
      <c r="F160" s="233" t="s">
        <v>23</v>
      </c>
      <c r="G160" s="234" t="s">
        <v>247</v>
      </c>
      <c r="H160" s="189">
        <f t="shared" si="12"/>
        <v>43.3</v>
      </c>
      <c r="I160" s="189">
        <f>IF(P_rupture_effort_pct=0,I126,IF(I$2&lt;P_année_rupture,I126,IF(I$2=P_année_rupture,MAX(I126*(1-P_rupture_effort_pct),$R160),H160-($Z160-$R160)/$D$136)))</f>
        <v>42.867</v>
      </c>
      <c r="J160" s="189">
        <f>IF(P_rupture_effort_pct=0,J126,IF(J$2&lt;P_année_rupture,J126,IF(J$2=P_année_rupture,MAX(J126*(1-P_rupture_effort_pct),$R160),I160-($Z160-$R160)/$D$136)))</f>
        <v>42.43833</v>
      </c>
      <c r="K160" s="189">
        <f>IF(P_rupture_effort_pct=0,K126,IF(K$2&lt;P_année_rupture,K126,IF(K$2=P_année_rupture,MAX(K126*(1-P_rupture_effort_pct),$R160),J160-($Z160-$R160)/$D$136)))</f>
        <v>42.0139467</v>
      </c>
      <c r="L160" s="189">
        <f>IF(P_rupture_effort_pct=0,L126,IF(L$2&lt;P_année_rupture,L126,IF(L$2=P_année_rupture,MAX(L126*(1-P_rupture_effort_pct),$R160),K160-($Z160-$R160)/$D$136)))</f>
        <v>41.59380723</v>
      </c>
      <c r="M160" s="189">
        <f>IF(P_rupture_effort_pct=0,M126,IF(M$2&lt;P_année_rupture,M126,IF(M$2=P_année_rupture,MAX(M126*(1-P_rupture_effort_pct),$R160),L160-($Z160-$R160)/$D$136)))</f>
        <v>41.17786916</v>
      </c>
      <c r="N160" s="189">
        <f>IF(P_rupture_effort_pct=0,N126,IF(N$2&lt;P_année_rupture,N126,IF(N$2=P_année_rupture,MAX(N126*(1-P_rupture_effort_pct),$R160),M160-($Z160-$R160)/$D$136)))</f>
        <v>40.76609047</v>
      </c>
      <c r="O160" s="189">
        <f>IF(P_rupture_effort_pct=0,O126,IF(O$2&lt;P_année_rupture,O126,IF(O$2=P_année_rupture,MAX(O126*(1-P_rupture_effort_pct),$R160),N160-($Z160-$R160)/$D$136)))</f>
        <v>40.35842956</v>
      </c>
      <c r="P160" s="189">
        <f>IF(P_rupture_effort_pct=0,P126,IF(P$2&lt;P_année_rupture,P126,IF(P$2=P_année_rupture,MAX(P126*(1-P_rupture_effort_pct),$R160),O160-($Z160-$R160)/$D$136)))</f>
        <v>39.95484527</v>
      </c>
      <c r="Q160" s="189">
        <f>IF(P_rupture_effort_pct=0,Q126,IF(Q$2&lt;P_année_rupture,Q126,IF(Q$2=P_année_rupture,MAX(Q126*(1-P_rupture_effort_pct),$R160),P160-($Z160-$R160)/$D$136)))</f>
        <v>39.55529682</v>
      </c>
      <c r="R160" s="190">
        <f t="shared" si="13"/>
        <v>39.15974385</v>
      </c>
      <c r="S160" s="191">
        <f t="shared" si="14"/>
        <v>453.1853591</v>
      </c>
      <c r="T160" s="192">
        <f t="shared" si="15"/>
        <v>0.05542162916</v>
      </c>
      <c r="U160" s="17" t="str">
        <f t="shared" si="16"/>
        <v>Biens informatiques</v>
      </c>
      <c r="V160" s="17"/>
      <c r="W160" s="17"/>
      <c r="X160" s="17"/>
      <c r="Y160" s="17"/>
      <c r="Z160" s="171">
        <f>HLOOKUP(P_année_rupture,$H$148:$R$163,AC160,0)</f>
        <v>41.59380723</v>
      </c>
      <c r="AB160" s="17"/>
      <c r="AC160" s="82">
        <v>13.0</v>
      </c>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row>
    <row r="161" ht="18.75" customHeight="1" outlineLevel="1">
      <c r="A161" s="17"/>
      <c r="B161" s="17"/>
      <c r="C161" s="17"/>
      <c r="D161" s="17"/>
      <c r="E161" s="17"/>
      <c r="F161" s="225"/>
      <c r="G161" s="235" t="s">
        <v>296</v>
      </c>
      <c r="H161" s="168">
        <f t="shared" si="12"/>
        <v>46.5</v>
      </c>
      <c r="I161" s="168">
        <f>IF(P_rupture_effort_pct=0,I127,IF(I$2&lt;P_année_rupture,I127,IF(I$2=P_année_rupture,MAX(I127*(1-P_rupture_effort_pct),$R161),H161-($Z161-$R161)/$D$136)))</f>
        <v>46.035</v>
      </c>
      <c r="J161" s="168">
        <f>IF(P_rupture_effort_pct=0,J127,IF(J$2&lt;P_année_rupture,J127,IF(J$2=P_année_rupture,MAX(J127*(1-P_rupture_effort_pct),$R161),I161-($Z161-$R161)/$D$136)))</f>
        <v>45.57465</v>
      </c>
      <c r="K161" s="168">
        <f>IF(P_rupture_effort_pct=0,K127,IF(K$2&lt;P_année_rupture,K127,IF(K$2=P_année_rupture,MAX(K127*(1-P_rupture_effort_pct),$R161),J161-($Z161-$R161)/$D$136)))</f>
        <v>45.1189035</v>
      </c>
      <c r="L161" s="168">
        <f>IF(P_rupture_effort_pct=0,L127,IF(L$2&lt;P_année_rupture,L127,IF(L$2=P_année_rupture,MAX(L127*(1-P_rupture_effort_pct),$R161),K161-($Z161-$R161)/$D$136)))</f>
        <v>44.66771447</v>
      </c>
      <c r="M161" s="168">
        <f>IF(P_rupture_effort_pct=0,M127,IF(M$2&lt;P_année_rupture,M127,IF(M$2=P_année_rupture,MAX(M127*(1-P_rupture_effort_pct),$R161),L161-($Z161-$R161)/$D$136)))</f>
        <v>44.22103732</v>
      </c>
      <c r="N161" s="168">
        <f>IF(P_rupture_effort_pct=0,N127,IF(N$2&lt;P_année_rupture,N127,IF(N$2=P_année_rupture,MAX(N127*(1-P_rupture_effort_pct),$R161),M161-($Z161-$R161)/$D$136)))</f>
        <v>43.77882695</v>
      </c>
      <c r="O161" s="168">
        <f>IF(P_rupture_effort_pct=0,O127,IF(O$2&lt;P_année_rupture,O127,IF(O$2=P_année_rupture,MAX(O127*(1-P_rupture_effort_pct),$R161),N161-($Z161-$R161)/$D$136)))</f>
        <v>43.34103868</v>
      </c>
      <c r="P161" s="168">
        <f>IF(P_rupture_effort_pct=0,P127,IF(P$2&lt;P_année_rupture,P127,IF(P$2=P_année_rupture,MAX(P127*(1-P_rupture_effort_pct),$R161),O161-($Z161-$R161)/$D$136)))</f>
        <v>42.90762829</v>
      </c>
      <c r="Q161" s="168">
        <f>IF(P_rupture_effort_pct=0,Q127,IF(Q$2&lt;P_année_rupture,Q127,IF(Q$2=P_année_rupture,MAX(Q127*(1-P_rupture_effort_pct),$R161),P161-($Z161-$R161)/$D$136)))</f>
        <v>42.47855201</v>
      </c>
      <c r="R161" s="195">
        <f t="shared" si="13"/>
        <v>42.05376649</v>
      </c>
      <c r="S161" s="191">
        <f t="shared" si="14"/>
        <v>486.6771177</v>
      </c>
      <c r="T161" s="192">
        <f t="shared" si="15"/>
        <v>0.05951745395</v>
      </c>
      <c r="U161" s="17" t="str">
        <f t="shared" si="16"/>
        <v>Biens textiles</v>
      </c>
      <c r="V161" s="17"/>
      <c r="W161" s="17"/>
      <c r="X161" s="17"/>
      <c r="Y161" s="17"/>
      <c r="Z161" s="171">
        <f>HLOOKUP(P_année_rupture,$H$148:$R$163,AC161,0)</f>
        <v>44.66771447</v>
      </c>
      <c r="AB161" s="17"/>
      <c r="AC161" s="82">
        <v>14.0</v>
      </c>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row>
    <row r="162" ht="18.75" customHeight="1" outlineLevel="1">
      <c r="A162" s="17"/>
      <c r="B162" s="17"/>
      <c r="C162" s="17"/>
      <c r="D162" s="17"/>
      <c r="E162" s="17"/>
      <c r="F162" s="225"/>
      <c r="G162" s="226" t="s">
        <v>714</v>
      </c>
      <c r="H162" s="168">
        <f t="shared" si="12"/>
        <v>27.3</v>
      </c>
      <c r="I162" s="168">
        <f>IF(P_rupture_effort_pct=0,I128,IF(I$2&lt;P_année_rupture,I128,IF(I$2=P_année_rupture,MAX(I128*(1-P_rupture_effort_pct),$R162),H162-($Z162-$R162)/$D$136)))</f>
        <v>27.027</v>
      </c>
      <c r="J162" s="168">
        <f>IF(P_rupture_effort_pct=0,J128,IF(J$2&lt;P_année_rupture,J128,IF(J$2=P_année_rupture,MAX(J128*(1-P_rupture_effort_pct),$R162),I162-($Z162-$R162)/$D$136)))</f>
        <v>26.75673</v>
      </c>
      <c r="K162" s="168">
        <f>IF(P_rupture_effort_pct=0,K128,IF(K$2&lt;P_année_rupture,K128,IF(K$2=P_année_rupture,MAX(K128*(1-P_rupture_effort_pct),$R162),J162-($Z162-$R162)/$D$136)))</f>
        <v>26.4891627</v>
      </c>
      <c r="L162" s="168">
        <f>IF(P_rupture_effort_pct=0,L128,IF(L$2&lt;P_année_rupture,L128,IF(L$2=P_année_rupture,MAX(L128*(1-P_rupture_effort_pct),$R162),K162-($Z162-$R162)/$D$136)))</f>
        <v>26.22427107</v>
      </c>
      <c r="M162" s="168">
        <f>IF(P_rupture_effort_pct=0,M128,IF(M$2&lt;P_année_rupture,M128,IF(M$2=P_année_rupture,MAX(M128*(1-P_rupture_effort_pct),$R162),L162-($Z162-$R162)/$D$136)))</f>
        <v>25.96202836</v>
      </c>
      <c r="N162" s="168">
        <f>IF(P_rupture_effort_pct=0,N128,IF(N$2&lt;P_année_rupture,N128,IF(N$2=P_année_rupture,MAX(N128*(1-P_rupture_effort_pct),$R162),M162-($Z162-$R162)/$D$136)))</f>
        <v>25.70240808</v>
      </c>
      <c r="O162" s="168">
        <f>IF(P_rupture_effort_pct=0,O128,IF(O$2&lt;P_année_rupture,O128,IF(O$2=P_année_rupture,MAX(O128*(1-P_rupture_effort_pct),$R162),N162-($Z162-$R162)/$D$136)))</f>
        <v>25.445384</v>
      </c>
      <c r="P162" s="168">
        <f>IF(P_rupture_effort_pct=0,P128,IF(P$2&lt;P_année_rupture,P128,IF(P$2=P_année_rupture,MAX(P128*(1-P_rupture_effort_pct),$R162),O162-($Z162-$R162)/$D$136)))</f>
        <v>25.19093016</v>
      </c>
      <c r="Q162" s="168">
        <f>IF(P_rupture_effort_pct=0,Q128,IF(Q$2&lt;P_année_rupture,Q128,IF(Q$2=P_année_rupture,MAX(Q128*(1-P_rupture_effort_pct),$R162),P162-($Z162-$R162)/$D$136)))</f>
        <v>24.93902086</v>
      </c>
      <c r="R162" s="195">
        <f t="shared" si="13"/>
        <v>24.68963065</v>
      </c>
      <c r="S162" s="191">
        <f t="shared" si="14"/>
        <v>285.7265659</v>
      </c>
      <c r="T162" s="192">
        <f t="shared" si="15"/>
        <v>0.03494250522</v>
      </c>
      <c r="U162" s="17" t="str">
        <f t="shared" si="16"/>
        <v>Autres biens et services (distribution, mobilier...)</v>
      </c>
      <c r="V162" s="17"/>
      <c r="W162" s="17"/>
      <c r="X162" s="17"/>
      <c r="Y162" s="17"/>
      <c r="Z162" s="171">
        <f>HLOOKUP(P_année_rupture,$H$148:$R$163,AC162,0)</f>
        <v>26.22427107</v>
      </c>
      <c r="AB162" s="17"/>
      <c r="AC162" s="82">
        <v>15.0</v>
      </c>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row>
    <row r="163" ht="18.75" customHeight="1" outlineLevel="1">
      <c r="A163" s="17"/>
      <c r="B163" s="17"/>
      <c r="C163" s="17"/>
      <c r="D163" s="17"/>
      <c r="E163" s="17"/>
      <c r="F163" s="227"/>
      <c r="G163" s="236" t="s">
        <v>715</v>
      </c>
      <c r="H163" s="198">
        <f t="shared" si="12"/>
        <v>119.5</v>
      </c>
      <c r="I163" s="198">
        <f>IF(P_rupture_effort_pct=0,I129,IF(I$2&lt;P_année_rupture,I129,IF(I$2=P_année_rupture,MAX(I129*(1-P_rupture_effort_pct),$R163),H163-($Z163-$R163)/$D$136)))</f>
        <v>118.305</v>
      </c>
      <c r="J163" s="198">
        <f>IF(P_rupture_effort_pct=0,J129,IF(J$2&lt;P_année_rupture,J129,IF(J$2=P_année_rupture,MAX(J129*(1-P_rupture_effort_pct),$R163),I163-($Z163-$R163)/$D$136)))</f>
        <v>117.12195</v>
      </c>
      <c r="K163" s="198">
        <f>IF(P_rupture_effort_pct=0,K129,IF(K$2&lt;P_année_rupture,K129,IF(K$2=P_année_rupture,MAX(K129*(1-P_rupture_effort_pct),$R163),J163-($Z163-$R163)/$D$136)))</f>
        <v>115.9507305</v>
      </c>
      <c r="L163" s="198">
        <f>IF(P_rupture_effort_pct=0,L129,IF(L$2&lt;P_année_rupture,L129,IF(L$2=P_année_rupture,MAX(L129*(1-P_rupture_effort_pct),$R163),K163-($Z163-$R163)/$D$136)))</f>
        <v>114.7912232</v>
      </c>
      <c r="M163" s="198">
        <f>IF(P_rupture_effort_pct=0,M129,IF(M$2&lt;P_année_rupture,M129,IF(M$2=P_année_rupture,MAX(M129*(1-P_rupture_effort_pct),$R163),L163-($Z163-$R163)/$D$136)))</f>
        <v>113.643311</v>
      </c>
      <c r="N163" s="198">
        <f>IF(P_rupture_effort_pct=0,N129,IF(N$2&lt;P_année_rupture,N129,IF(N$2=P_année_rupture,MAX(N129*(1-P_rupture_effort_pct),$R163),M163-($Z163-$R163)/$D$136)))</f>
        <v>112.5068779</v>
      </c>
      <c r="O163" s="198">
        <f>IF(P_rupture_effort_pct=0,O129,IF(O$2&lt;P_année_rupture,O129,IF(O$2=P_année_rupture,MAX(O129*(1-P_rupture_effort_pct),$R163),N163-($Z163-$R163)/$D$136)))</f>
        <v>111.3818091</v>
      </c>
      <c r="P163" s="198">
        <f>IF(P_rupture_effort_pct=0,P129,IF(P$2&lt;P_année_rupture,P129,IF(P$2=P_année_rupture,MAX(P129*(1-P_rupture_effort_pct),$R163),O163-($Z163-$R163)/$D$136)))</f>
        <v>110.267991</v>
      </c>
      <c r="Q163" s="198">
        <f>IF(P_rupture_effort_pct=0,Q129,IF(Q$2&lt;P_année_rupture,Q129,IF(Q$2=P_année_rupture,MAX(Q129*(1-P_rupture_effort_pct),$R163),P163-($Z163-$R163)/$D$136)))</f>
        <v>109.1653111</v>
      </c>
      <c r="R163" s="199">
        <f t="shared" si="13"/>
        <v>108.073658</v>
      </c>
      <c r="S163" s="191">
        <f t="shared" si="14"/>
        <v>1250.707862</v>
      </c>
      <c r="T163" s="192">
        <f t="shared" si="15"/>
        <v>0.1529534569</v>
      </c>
      <c r="U163" s="17" t="str">
        <f t="shared" si="16"/>
        <v>Services (dont services publics)</v>
      </c>
      <c r="V163" s="17"/>
      <c r="W163" s="17"/>
      <c r="X163" s="17"/>
      <c r="Y163" s="17"/>
      <c r="Z163" s="171">
        <f>HLOOKUP(P_année_rupture,$H$148:$R$163,AC163,0)</f>
        <v>114.7912232</v>
      </c>
      <c r="AB163" s="17"/>
      <c r="AC163" s="82">
        <v>16.0</v>
      </c>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row>
    <row r="164" ht="18.75" customHeight="1" outlineLevel="1">
      <c r="A164" s="17"/>
      <c r="B164" s="17"/>
      <c r="C164" s="17"/>
      <c r="D164" s="17"/>
      <c r="E164" s="17"/>
      <c r="F164" s="17"/>
      <c r="G164" s="237" t="s">
        <v>52</v>
      </c>
      <c r="H164" s="238">
        <f t="shared" ref="H164:R164" si="17">SUM(H149:H163)</f>
        <v>751.0684856</v>
      </c>
      <c r="I164" s="238">
        <f t="shared" si="17"/>
        <v>753.5956466</v>
      </c>
      <c r="J164" s="238">
        <f t="shared" si="17"/>
        <v>751.1530011</v>
      </c>
      <c r="K164" s="238">
        <f t="shared" si="17"/>
        <v>748.735039</v>
      </c>
      <c r="L164" s="238">
        <f t="shared" si="17"/>
        <v>746.2808442</v>
      </c>
      <c r="M164" s="238">
        <f t="shared" si="17"/>
        <v>743.7902021</v>
      </c>
      <c r="N164" s="238">
        <f t="shared" si="17"/>
        <v>741.3236003</v>
      </c>
      <c r="O164" s="238">
        <f t="shared" si="17"/>
        <v>738.8808281</v>
      </c>
      <c r="P164" s="238">
        <f t="shared" si="17"/>
        <v>736.4616765</v>
      </c>
      <c r="Q164" s="238">
        <f t="shared" si="17"/>
        <v>734.0659383</v>
      </c>
      <c r="R164" s="239">
        <f t="shared" si="17"/>
        <v>731.6934083</v>
      </c>
      <c r="S164" s="191">
        <f t="shared" si="14"/>
        <v>8177.04867</v>
      </c>
      <c r="T164" s="110" t="s">
        <v>716</v>
      </c>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row>
    <row r="165" ht="18.0" customHeight="1" outlineLevel="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row>
    <row r="166" ht="18.0" customHeight="1" outlineLevel="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row>
    <row r="167" ht="18.0" customHeight="1" outlineLevel="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row>
    <row r="168" ht="18.0" customHeight="1" outlineLevel="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row>
    <row r="169" ht="18.0" customHeight="1" outlineLevel="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row>
    <row r="170" ht="18.75" customHeight="1" outlineLevel="1">
      <c r="A170" s="17"/>
      <c r="B170" s="17"/>
      <c r="C170" s="17"/>
      <c r="D170" s="17"/>
      <c r="E170" s="17"/>
      <c r="F170" s="17"/>
      <c r="G170" s="14" t="s">
        <v>730</v>
      </c>
      <c r="H170" s="27">
        <f>(-Calculs!H614)</f>
        <v>0</v>
      </c>
      <c r="I170" s="27">
        <f>(-Calculs!I614)</f>
        <v>0</v>
      </c>
      <c r="J170" s="27">
        <f>(-Calculs!J614)</f>
        <v>0</v>
      </c>
      <c r="K170" s="27">
        <f>(-Calculs!K614)</f>
        <v>0</v>
      </c>
      <c r="L170" s="27">
        <f>(-Calculs!L614)</f>
        <v>0</v>
      </c>
      <c r="M170" s="27">
        <f>(-Calculs!M614)</f>
        <v>0</v>
      </c>
      <c r="N170" s="27">
        <f>(-Calculs!N614)</f>
        <v>0</v>
      </c>
      <c r="O170" s="27">
        <f>(-Calculs!O614)</f>
        <v>0</v>
      </c>
      <c r="P170" s="27">
        <f>(-Calculs!P614)</f>
        <v>0</v>
      </c>
      <c r="Q170" s="27">
        <f>(-Calculs!Q614)</f>
        <v>0</v>
      </c>
      <c r="R170" s="27">
        <f>(-Calculs!R614)</f>
        <v>0</v>
      </c>
      <c r="S170" s="191">
        <f t="shared" ref="S170:S171" si="19">SUM(H170:R170)</f>
        <v>0</v>
      </c>
      <c r="T170" s="192">
        <f>S170/$S$130</f>
        <v>0</v>
      </c>
      <c r="U170" s="17" t="str">
        <f>G170</f>
        <v>Afforestation</v>
      </c>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row>
    <row r="171" ht="18.75" customHeight="1" outlineLevel="1">
      <c r="A171" s="17"/>
      <c r="B171" s="17"/>
      <c r="C171" s="17"/>
      <c r="D171" s="17"/>
      <c r="E171" s="17"/>
      <c r="F171" s="17"/>
      <c r="G171" s="20" t="s">
        <v>731</v>
      </c>
      <c r="H171" s="208">
        <f t="shared" ref="H171:R171" si="18">H164+H170</f>
        <v>751.0684856</v>
      </c>
      <c r="I171" s="208">
        <f t="shared" si="18"/>
        <v>753.5956466</v>
      </c>
      <c r="J171" s="208">
        <f t="shared" si="18"/>
        <v>751.1530011</v>
      </c>
      <c r="K171" s="208">
        <f t="shared" si="18"/>
        <v>748.735039</v>
      </c>
      <c r="L171" s="208">
        <f t="shared" si="18"/>
        <v>746.2808442</v>
      </c>
      <c r="M171" s="208">
        <f t="shared" si="18"/>
        <v>743.7902021</v>
      </c>
      <c r="N171" s="208">
        <f t="shared" si="18"/>
        <v>741.3236003</v>
      </c>
      <c r="O171" s="208">
        <f t="shared" si="18"/>
        <v>738.8808281</v>
      </c>
      <c r="P171" s="208">
        <f t="shared" si="18"/>
        <v>736.4616765</v>
      </c>
      <c r="Q171" s="208">
        <f t="shared" si="18"/>
        <v>734.0659383</v>
      </c>
      <c r="R171" s="208">
        <f t="shared" si="18"/>
        <v>731.6934083</v>
      </c>
      <c r="S171" s="191">
        <f t="shared" si="19"/>
        <v>8177.04867</v>
      </c>
      <c r="T171" s="110" t="s">
        <v>716</v>
      </c>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row>
    <row r="172" ht="18.0" customHeight="1" outlineLevel="1">
      <c r="A172" s="17"/>
      <c r="B172" s="17"/>
      <c r="C172" s="17"/>
      <c r="D172" s="17"/>
      <c r="E172" s="17"/>
      <c r="F172" s="17"/>
      <c r="G172" s="14" t="s">
        <v>732</v>
      </c>
      <c r="H172" s="240">
        <f>(10^6)*H171/Calculs!H108</f>
        <v>11.2099774</v>
      </c>
      <c r="I172" s="240">
        <f>(10^6)*I171/Calculs!I108</f>
        <v>11.02715316</v>
      </c>
      <c r="J172" s="240">
        <f>(10^6)*J171/Calculs!J108</f>
        <v>10.78003733</v>
      </c>
      <c r="K172" s="240">
        <f>(10^6)*K171/Calculs!K108</f>
        <v>10.54259419</v>
      </c>
      <c r="L172" s="240">
        <f>(10^6)*L171/Calculs!L108</f>
        <v>10.3134445</v>
      </c>
      <c r="M172" s="240">
        <f>(10^6)*M171/Calculs!M108</f>
        <v>10.092133</v>
      </c>
      <c r="N172" s="240">
        <f>(10^6)*N171/Calculs!N108</f>
        <v>9.879045847</v>
      </c>
      <c r="O172" s="240">
        <f>(10^6)*O171/Calculs!O108</f>
        <v>9.673747422</v>
      </c>
      <c r="P172" s="240">
        <f>(10^6)*P171/Calculs!P108</f>
        <v>9.475832173</v>
      </c>
      <c r="Q172" s="240">
        <f>(10^6)*Q171/Calculs!Q108</f>
        <v>9.284922063</v>
      </c>
      <c r="R172" s="240">
        <f>(10^6)*R171/Calculs!R108</f>
        <v>9.100664282</v>
      </c>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row>
    <row r="173" ht="18.75" customHeight="1" outlineLevel="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row>
    <row r="174" ht="18.75" customHeight="1" outlineLevel="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row>
    <row r="175" ht="18.0" customHeight="1" outlineLevel="2">
      <c r="A175" s="17"/>
      <c r="B175" s="17"/>
      <c r="C175" s="17"/>
      <c r="D175" s="17"/>
      <c r="E175" s="17"/>
      <c r="F175" s="17"/>
      <c r="G175" s="241" t="s">
        <v>733</v>
      </c>
      <c r="H175" s="182"/>
      <c r="I175" s="182"/>
      <c r="J175" s="182"/>
      <c r="K175" s="182"/>
      <c r="L175" s="182"/>
      <c r="M175" s="182"/>
      <c r="N175" s="182"/>
      <c r="O175" s="182"/>
      <c r="P175" s="182"/>
      <c r="Q175" s="182"/>
      <c r="R175" s="183"/>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row>
    <row r="176" ht="18.75" customHeight="1" outlineLevel="2">
      <c r="A176" s="17"/>
      <c r="B176" s="17"/>
      <c r="C176" s="17"/>
      <c r="D176" s="17"/>
      <c r="E176" s="17"/>
      <c r="F176" s="17"/>
      <c r="G176" s="63" t="s">
        <v>734</v>
      </c>
      <c r="H176" s="242">
        <f>Emissions_GES_2018</f>
        <v>52</v>
      </c>
      <c r="I176" s="242">
        <f t="shared" ref="I176:Q176" si="20">H176+($H$176-$R$176)/($H$2-$R$2)</f>
        <v>54.08053143</v>
      </c>
      <c r="J176" s="242">
        <f t="shared" si="20"/>
        <v>56.16106285</v>
      </c>
      <c r="K176" s="243">
        <f t="shared" si="20"/>
        <v>58.24159428</v>
      </c>
      <c r="L176" s="243">
        <f t="shared" si="20"/>
        <v>60.3221257</v>
      </c>
      <c r="M176" s="243">
        <f t="shared" si="20"/>
        <v>62.40265713</v>
      </c>
      <c r="N176" s="243">
        <f t="shared" si="20"/>
        <v>64.48318855</v>
      </c>
      <c r="O176" s="243">
        <f t="shared" si="20"/>
        <v>66.56371998</v>
      </c>
      <c r="P176" s="243">
        <f t="shared" si="20"/>
        <v>68.6442514</v>
      </c>
      <c r="Q176" s="243">
        <f t="shared" si="20"/>
        <v>70.72478283</v>
      </c>
      <c r="R176" s="243">
        <f>R172*R109*10^-9</f>
        <v>72.80531425</v>
      </c>
      <c r="S176" s="244">
        <f>R176*(1+TCAM_2020_2030)</f>
        <v>72.61528414</v>
      </c>
      <c r="T176" s="244">
        <f>S176*(1+TCAM_2020_2030)</f>
        <v>72.42575003</v>
      </c>
      <c r="U176" s="244">
        <f>T176*(1+TCAM_2020_2030)</f>
        <v>72.23671062</v>
      </c>
      <c r="V176" s="244">
        <f>U176*(1+TCAM_2020_2030)</f>
        <v>72.04816463</v>
      </c>
      <c r="W176" s="244">
        <f>V176*(1+TCAM_2020_2030)</f>
        <v>71.86011076</v>
      </c>
      <c r="X176" s="244">
        <f>W176*(1+TCAM_2020_2030)</f>
        <v>71.67254773</v>
      </c>
      <c r="Y176" s="244">
        <f>X176*(1+TCAM_2020_2030)</f>
        <v>71.48547427</v>
      </c>
      <c r="Z176" s="244">
        <f>Y176*(1+TCAM_2020_2030)</f>
        <v>71.29888909</v>
      </c>
      <c r="AA176" s="244">
        <f>Z176*(1+TCAM_2020_2030)</f>
        <v>71.11279091</v>
      </c>
      <c r="AB176" s="244">
        <f>AA176*(1+TCAM_2020_2030)</f>
        <v>70.92717848</v>
      </c>
      <c r="AC176" s="244">
        <f>AB176*(1+TCAM_2020_2030)</f>
        <v>70.74205051</v>
      </c>
      <c r="AD176" s="244">
        <f>AC176*(1+TCAM_2020_2030)</f>
        <v>70.55740575</v>
      </c>
      <c r="AE176" s="244">
        <f>AD176*(1+TCAM_2020_2030)</f>
        <v>70.37324293</v>
      </c>
      <c r="AF176" s="244">
        <f>AE176*(1+TCAM_2020_2030)</f>
        <v>70.1895608</v>
      </c>
      <c r="AG176" s="244">
        <f>AF176*(1+TCAM_2020_2030)</f>
        <v>70.0063581</v>
      </c>
      <c r="AH176" s="244">
        <f>AG176*(1+TCAM_2020_2030)</f>
        <v>69.82363358</v>
      </c>
      <c r="AI176" s="244">
        <f>AH176*(1+TCAM_2020_2030)</f>
        <v>69.64138599</v>
      </c>
      <c r="AJ176" s="244">
        <f>AI176*(1+TCAM_2020_2030)</f>
        <v>69.45961408</v>
      </c>
      <c r="AK176" s="244">
        <f>AJ176*(1+TCAM_2020_2030)</f>
        <v>69.27831663</v>
      </c>
      <c r="AL176" s="244">
        <f>AK176*(1+TCAM_2020_2030)</f>
        <v>69.09749238</v>
      </c>
      <c r="AM176" s="244">
        <f>AL176*(1+TCAM_2020_2030)</f>
        <v>68.9171401</v>
      </c>
      <c r="AN176" s="244">
        <f>AM176*(1+TCAM_2020_2030)</f>
        <v>68.73725856</v>
      </c>
      <c r="AO176" s="244">
        <f>AN176*(1+TCAM_2020_2030)</f>
        <v>68.55784653</v>
      </c>
      <c r="AP176" s="244">
        <f>AO176*(1+TCAM_2020_2030)</f>
        <v>68.37890279</v>
      </c>
      <c r="AQ176" s="244">
        <f>AP176*(1+TCAM_2020_2030)</f>
        <v>68.20042611</v>
      </c>
      <c r="AR176" s="244">
        <f>AQ176*(1+TCAM_2020_2030)</f>
        <v>68.02241528</v>
      </c>
      <c r="AS176" s="244">
        <f>AR176*(1+TCAM_2020_2030)</f>
        <v>67.84486907</v>
      </c>
      <c r="AT176" s="244">
        <f>AS176*(1+TCAM_2020_2030)</f>
        <v>67.66778628</v>
      </c>
      <c r="AU176" s="244">
        <f>AT176*(1+TCAM_2020_2030)</f>
        <v>67.4911657</v>
      </c>
      <c r="AV176" s="244">
        <f>AU176*(1+TCAM_2020_2030)</f>
        <v>67.31500611</v>
      </c>
      <c r="AW176" s="244">
        <f>AV176*(1+TCAM_2020_2030)</f>
        <v>67.13930632</v>
      </c>
      <c r="AX176" s="244">
        <f>AW176*(1+TCAM_2020_2030)</f>
        <v>66.96406513</v>
      </c>
      <c r="AY176" s="244">
        <f>AX176*(1+TCAM_2020_2030)</f>
        <v>66.78928134</v>
      </c>
      <c r="AZ176" s="244">
        <f>AY176*(1+TCAM_2020_2030)</f>
        <v>66.61495375</v>
      </c>
      <c r="BA176" s="244">
        <f>AZ176*(1+TCAM_2020_2030)</f>
        <v>66.44108118</v>
      </c>
      <c r="BB176" s="244">
        <f>BA176*(1+TCAM_2020_2030)</f>
        <v>66.26766244</v>
      </c>
      <c r="BC176" s="244">
        <f>BB176*(1+TCAM_2020_2030)</f>
        <v>66.09469633</v>
      </c>
      <c r="BD176" s="244">
        <f>BC176*(1+TCAM_2020_2030)</f>
        <v>65.92218169</v>
      </c>
      <c r="BE176" s="244">
        <f>BD176*(1+TCAM_2020_2030)</f>
        <v>65.75011733</v>
      </c>
      <c r="BF176" s="244">
        <f>BE176*(1+TCAM_2020_2030)</f>
        <v>65.57850208</v>
      </c>
      <c r="BG176" s="244">
        <f>BF176*(1+TCAM_2020_2030)</f>
        <v>65.40733477</v>
      </c>
      <c r="BH176" s="244">
        <f>BG176*(1+TCAM_2020_2030)</f>
        <v>65.23661422</v>
      </c>
      <c r="BI176" s="244">
        <f>BH176*(1+TCAM_2020_2030)</f>
        <v>65.06633927</v>
      </c>
      <c r="BJ176" s="244">
        <f>BI176*(1+TCAM_2020_2030)</f>
        <v>64.89650876</v>
      </c>
      <c r="BK176" s="244">
        <f>BJ176*(1+TCAM_2020_2030)</f>
        <v>64.72712152</v>
      </c>
      <c r="BL176" s="244">
        <f>BK176*(1+TCAM_2020_2030)</f>
        <v>64.5581764</v>
      </c>
      <c r="BM176" s="244">
        <f>BL176*(1+TCAM_2020_2030)</f>
        <v>64.38967225</v>
      </c>
      <c r="BN176" s="244">
        <f>BM176*(1+TCAM_2020_2030)</f>
        <v>64.22160792</v>
      </c>
      <c r="BO176" s="244">
        <f>BN176*(1+TCAM_2020_2030)</f>
        <v>64.05398225</v>
      </c>
      <c r="BP176" s="244">
        <f>BO176*(1+TCAM_2020_2030)</f>
        <v>63.8867941</v>
      </c>
      <c r="BQ176" s="244">
        <f>BP176*(1+TCAM_2020_2030)</f>
        <v>63.72004234</v>
      </c>
      <c r="BR176" s="244">
        <f>BQ176*(1+TCAM_2020_2030)</f>
        <v>63.55372581</v>
      </c>
      <c r="BS176" s="244">
        <f>BR176*(1+TCAM_2020_2030)</f>
        <v>63.38784339</v>
      </c>
      <c r="BT176" s="244">
        <f>BS176*(1+TCAM_2020_2030)</f>
        <v>63.22239394</v>
      </c>
      <c r="BU176" s="244">
        <f>BT176*(1+TCAM_2020_2030)</f>
        <v>63.05737634</v>
      </c>
      <c r="BV176" s="244">
        <f>BU176*(1+TCAM_2020_2030)</f>
        <v>62.89278945</v>
      </c>
      <c r="BW176" s="244">
        <f>BV176*(1+TCAM_2020_2030)</f>
        <v>62.72863214</v>
      </c>
      <c r="BX176" s="244">
        <f>BW176*(1+TCAM_2020_2030)</f>
        <v>62.56490331</v>
      </c>
      <c r="BY176" s="244">
        <f>BX176*(1+TCAM_2020_2030)</f>
        <v>62.40160183</v>
      </c>
      <c r="BZ176" s="244">
        <f>BY176*(1+TCAM_2020_2030)</f>
        <v>62.23872658</v>
      </c>
      <c r="CA176" s="244">
        <f>BZ176*(1+TCAM_2020_2030)</f>
        <v>62.07627646</v>
      </c>
      <c r="CB176" s="244">
        <f>CA176*(1+TCAM_2020_2030)</f>
        <v>61.91425035</v>
      </c>
      <c r="CC176" s="244">
        <f>CB176*(1+TCAM_2020_2030)</f>
        <v>61.75264715</v>
      </c>
      <c r="CD176" s="244">
        <f>CC176*(1+TCAM_2020_2030)</f>
        <v>61.59146575</v>
      </c>
      <c r="CE176" s="244">
        <f>CD176*(1+TCAM_2020_2030)</f>
        <v>61.43070505</v>
      </c>
      <c r="CF176" s="244">
        <f>CE176*(1+TCAM_2020_2030)</f>
        <v>61.27036395</v>
      </c>
      <c r="CG176" s="244">
        <f>CF176*(1+TCAM_2020_2030)</f>
        <v>61.11044136</v>
      </c>
      <c r="CH176" s="244">
        <f>CG176*(1+TCAM_2020_2030)</f>
        <v>60.95093619</v>
      </c>
      <c r="CI176" s="244">
        <f>CH176*(1+TCAM_2020_2030)</f>
        <v>60.79184735</v>
      </c>
      <c r="CJ176" s="244">
        <f>CI176*(1+TCAM_2020_2030)</f>
        <v>60.63317374</v>
      </c>
    </row>
    <row r="177" ht="18.75" customHeight="1" outlineLevel="2">
      <c r="A177" s="17"/>
      <c r="B177" s="17"/>
      <c r="C177" s="17"/>
      <c r="D177" s="17"/>
      <c r="E177" s="17"/>
      <c r="F177" s="17"/>
      <c r="G177" s="245" t="s">
        <v>735</v>
      </c>
      <c r="H177" s="182"/>
      <c r="I177" s="182"/>
      <c r="J177" s="183"/>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row>
    <row r="178" ht="18.75" customHeight="1" outlineLevel="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row>
    <row r="179" ht="18.75" customHeight="1" outlineLevel="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row>
    <row r="180" ht="18.75" customHeight="1" outlineLevel="2">
      <c r="A180" s="17"/>
      <c r="B180" s="17"/>
      <c r="C180" s="17"/>
      <c r="D180" s="17"/>
      <c r="E180" s="17"/>
      <c r="F180" s="17"/>
      <c r="G180" s="63" t="s">
        <v>734</v>
      </c>
      <c r="H180" s="242">
        <f>Emissions_GES_2018*H171/$H$171</f>
        <v>52</v>
      </c>
      <c r="I180" s="242">
        <f>Emissions_GES_2018*I171/$H$171</f>
        <v>52.17496723</v>
      </c>
      <c r="J180" s="242">
        <f>Emissions_GES_2018*J171/$H$171</f>
        <v>52.0058514</v>
      </c>
      <c r="K180" s="243">
        <f>Emissions_GES_2018*K171/$H$171</f>
        <v>51.83844453</v>
      </c>
      <c r="L180" s="243">
        <f>Emissions_GES_2018*L171/$H$171</f>
        <v>51.66852909</v>
      </c>
      <c r="M180" s="243">
        <f>Emissions_GES_2018*M171/$H$171</f>
        <v>51.49609024</v>
      </c>
      <c r="N180" s="243">
        <f>Emissions_GES_2018*N171/$H$171</f>
        <v>51.32531581</v>
      </c>
      <c r="O180" s="243">
        <f>Emissions_GES_2018*O171/$H$171</f>
        <v>51.15619121</v>
      </c>
      <c r="P180" s="243">
        <f>Emissions_GES_2018*P171/$H$171</f>
        <v>50.98870198</v>
      </c>
      <c r="Q180" s="243">
        <f>Emissions_GES_2018*Q171/$H$171</f>
        <v>50.82283377</v>
      </c>
      <c r="R180" s="243">
        <f>Emissions_GES_2018*R171/$H$171</f>
        <v>50.65857237</v>
      </c>
      <c r="S180" s="244">
        <f>R180*(1+TCAM_2020_2030)</f>
        <v>50.52634776</v>
      </c>
      <c r="T180" s="244">
        <f>S180*(1+TCAM_2020_2030)</f>
        <v>50.39446827</v>
      </c>
      <c r="U180" s="244">
        <f>T180*(1+TCAM_2020_2030)</f>
        <v>50.262933</v>
      </c>
      <c r="V180" s="244">
        <f>U180*(1+TCAM_2020_2030)</f>
        <v>50.13174105</v>
      </c>
      <c r="W180" s="244">
        <f>V180*(1+TCAM_2020_2030)</f>
        <v>50.00089153</v>
      </c>
      <c r="X180" s="244">
        <f>W180*(1+TCAM_2020_2030)</f>
        <v>49.87038354</v>
      </c>
      <c r="Y180" s="244">
        <f>X180*(1+TCAM_2020_2030)</f>
        <v>49.7402162</v>
      </c>
      <c r="Z180" s="244">
        <f>Y180*(1+TCAM_2020_2030)</f>
        <v>49.6103886</v>
      </c>
      <c r="AA180" s="244">
        <f>Z180*(1+TCAM_2020_2030)</f>
        <v>49.48089987</v>
      </c>
      <c r="AB180" s="244">
        <f>AA180*(1+TCAM_2020_2030)</f>
        <v>49.35174912</v>
      </c>
      <c r="AC180" s="244">
        <f>AB180*(1+TCAM_2020_2030)</f>
        <v>49.22293546</v>
      </c>
      <c r="AD180" s="244">
        <f>AC180*(1+TCAM_2020_2030)</f>
        <v>49.09445803</v>
      </c>
      <c r="AE180" s="244">
        <f>AD180*(1+TCAM_2020_2030)</f>
        <v>48.96631594</v>
      </c>
      <c r="AF180" s="244">
        <f>AE180*(1+TCAM_2020_2030)</f>
        <v>48.83850831</v>
      </c>
      <c r="AG180" s="244">
        <f>AF180*(1+TCAM_2020_2030)</f>
        <v>48.71103427</v>
      </c>
      <c r="AH180" s="244">
        <f>AG180*(1+TCAM_2020_2030)</f>
        <v>48.58389296</v>
      </c>
      <c r="AI180" s="244">
        <f>AH180*(1+TCAM_2020_2030)</f>
        <v>48.45708349</v>
      </c>
      <c r="AJ180" s="244">
        <f>AI180*(1+TCAM_2020_2030)</f>
        <v>48.33060502</v>
      </c>
      <c r="AK180" s="244">
        <f>AJ180*(1+TCAM_2020_2030)</f>
        <v>48.20445667</v>
      </c>
      <c r="AL180" s="244">
        <f>AK180*(1+TCAM_2020_2030)</f>
        <v>48.07863758</v>
      </c>
      <c r="AM180" s="244">
        <f>AL180*(1+TCAM_2020_2030)</f>
        <v>47.95314689</v>
      </c>
      <c r="AN180" s="244">
        <f>AM180*(1+TCAM_2020_2030)</f>
        <v>47.82798375</v>
      </c>
      <c r="AO180" s="244">
        <f>AN180*(1+TCAM_2020_2030)</f>
        <v>47.70314729</v>
      </c>
      <c r="AP180" s="244">
        <f>AO180*(1+TCAM_2020_2030)</f>
        <v>47.57863668</v>
      </c>
      <c r="AQ180" s="244">
        <f>AP180*(1+TCAM_2020_2030)</f>
        <v>47.45445105</v>
      </c>
      <c r="AR180" s="244">
        <f>AQ180*(1+TCAM_2020_2030)</f>
        <v>47.33058956</v>
      </c>
      <c r="AS180" s="244">
        <f>AR180*(1+TCAM_2020_2030)</f>
        <v>47.20705136</v>
      </c>
      <c r="AT180" s="244">
        <f>AS180*(1+TCAM_2020_2030)</f>
        <v>47.08383561</v>
      </c>
      <c r="AU180" s="244">
        <f>AT180*(1+TCAM_2020_2030)</f>
        <v>46.96094147</v>
      </c>
      <c r="AV180" s="244">
        <f>AU180*(1+TCAM_2020_2030)</f>
        <v>46.8383681</v>
      </c>
      <c r="AW180" s="244">
        <f>AV180*(1+TCAM_2020_2030)</f>
        <v>46.71611465</v>
      </c>
      <c r="AX180" s="244">
        <f>AW180*(1+TCAM_2020_2030)</f>
        <v>46.5941803</v>
      </c>
      <c r="AY180" s="244">
        <f>AX180*(1+TCAM_2020_2030)</f>
        <v>46.47256422</v>
      </c>
      <c r="AZ180" s="244">
        <f>AY180*(1+TCAM_2020_2030)</f>
        <v>46.35126556</v>
      </c>
      <c r="BA180" s="244">
        <f>AZ180*(1+TCAM_2020_2030)</f>
        <v>46.23028351</v>
      </c>
      <c r="BB180" s="244">
        <f>BA180*(1+TCAM_2020_2030)</f>
        <v>46.10961724</v>
      </c>
      <c r="BC180" s="244">
        <f>BB180*(1+TCAM_2020_2030)</f>
        <v>45.98926591</v>
      </c>
      <c r="BD180" s="244">
        <f>BC180*(1+TCAM_2020_2030)</f>
        <v>45.86922872</v>
      </c>
      <c r="BE180" s="244">
        <f>BD180*(1+TCAM_2020_2030)</f>
        <v>45.74950484</v>
      </c>
      <c r="BF180" s="244">
        <f>BE180*(1+TCAM_2020_2030)</f>
        <v>45.63009345</v>
      </c>
      <c r="BG180" s="244">
        <f>BF180*(1+TCAM_2020_2030)</f>
        <v>45.51099374</v>
      </c>
      <c r="BH180" s="244">
        <f>BG180*(1+TCAM_2020_2030)</f>
        <v>45.3922049</v>
      </c>
      <c r="BI180" s="244">
        <f>BH180*(1+TCAM_2020_2030)</f>
        <v>45.2737261</v>
      </c>
      <c r="BJ180" s="244">
        <f>BI180*(1+TCAM_2020_2030)</f>
        <v>45.15555655</v>
      </c>
      <c r="BK180" s="244">
        <f>BJ180*(1+TCAM_2020_2030)</f>
        <v>45.03769544</v>
      </c>
      <c r="BL180" s="244">
        <f>BK180*(1+TCAM_2020_2030)</f>
        <v>44.92014195</v>
      </c>
      <c r="BM180" s="244">
        <f>BL180*(1+TCAM_2020_2030)</f>
        <v>44.8028953</v>
      </c>
      <c r="BN180" s="244">
        <f>BM180*(1+TCAM_2020_2030)</f>
        <v>44.68595467</v>
      </c>
      <c r="BO180" s="244">
        <f>BN180*(1+TCAM_2020_2030)</f>
        <v>44.56931926</v>
      </c>
      <c r="BP180" s="244">
        <f>BO180*(1+TCAM_2020_2030)</f>
        <v>44.45298829</v>
      </c>
      <c r="BQ180" s="244">
        <f>BP180*(1+TCAM_2020_2030)</f>
        <v>44.33696096</v>
      </c>
      <c r="BR180" s="244">
        <f>BQ180*(1+TCAM_2020_2030)</f>
        <v>44.22123647</v>
      </c>
      <c r="BS180" s="244">
        <f>BR180*(1+TCAM_2020_2030)</f>
        <v>44.10581404</v>
      </c>
      <c r="BT180" s="244">
        <f>BS180*(1+TCAM_2020_2030)</f>
        <v>43.99069287</v>
      </c>
      <c r="BU180" s="244">
        <f>BT180*(1+TCAM_2020_2030)</f>
        <v>43.87587218</v>
      </c>
      <c r="BV180" s="244">
        <f>BU180*(1+TCAM_2020_2030)</f>
        <v>43.76135119</v>
      </c>
      <c r="BW180" s="244">
        <f>BV180*(1+TCAM_2020_2030)</f>
        <v>43.64712911</v>
      </c>
      <c r="BX180" s="244">
        <f>BW180*(1+TCAM_2020_2030)</f>
        <v>43.53320516</v>
      </c>
      <c r="BY180" s="244">
        <f>BX180*(1+TCAM_2020_2030)</f>
        <v>43.41957856</v>
      </c>
      <c r="BZ180" s="244">
        <f>BY180*(1+TCAM_2020_2030)</f>
        <v>43.30624855</v>
      </c>
      <c r="CA180" s="244">
        <f>BZ180*(1+TCAM_2020_2030)</f>
        <v>43.19321433</v>
      </c>
      <c r="CB180" s="244">
        <f>CA180*(1+TCAM_2020_2030)</f>
        <v>43.08047515</v>
      </c>
      <c r="CC180" s="244">
        <f>CB180*(1+TCAM_2020_2030)</f>
        <v>42.96803024</v>
      </c>
      <c r="CD180" s="244">
        <f>CC180*(1+TCAM_2020_2030)</f>
        <v>42.85587881</v>
      </c>
      <c r="CE180" s="244">
        <f>CD180*(1+TCAM_2020_2030)</f>
        <v>42.74402012</v>
      </c>
      <c r="CF180" s="244">
        <f>CE180*(1+TCAM_2020_2030)</f>
        <v>42.63245338</v>
      </c>
      <c r="CG180" s="244">
        <f>CF180*(1+TCAM_2020_2030)</f>
        <v>42.52117785</v>
      </c>
      <c r="CH180" s="244">
        <f>CG180*(1+TCAM_2020_2030)</f>
        <v>42.41019276</v>
      </c>
      <c r="CI180" s="244">
        <f>CH180*(1+TCAM_2020_2030)</f>
        <v>42.29949736</v>
      </c>
      <c r="CJ180" s="244">
        <f>CI180*(1+TCAM_2020_2030)</f>
        <v>42.18909088</v>
      </c>
    </row>
    <row r="181" ht="18.75" customHeight="1" outlineLevel="2">
      <c r="A181" s="17"/>
      <c r="B181" s="17"/>
      <c r="C181" s="17"/>
      <c r="D181" s="17"/>
      <c r="E181" s="17"/>
      <c r="F181" s="17"/>
      <c r="G181" s="246" t="s">
        <v>736</v>
      </c>
      <c r="H181" s="182"/>
      <c r="I181" s="182"/>
      <c r="J181" s="183"/>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row>
    <row r="182" ht="18.75" customHeight="1" outlineLevel="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row>
    <row r="183" ht="18.75" customHeight="1" outlineLevel="2">
      <c r="A183" s="17"/>
      <c r="B183" s="247" t="s">
        <v>737</v>
      </c>
      <c r="C183" s="241" t="s">
        <v>717</v>
      </c>
      <c r="D183" s="183"/>
      <c r="E183" s="17"/>
      <c r="F183" s="17"/>
      <c r="G183" s="210"/>
      <c r="H183" s="210"/>
      <c r="I183" s="210"/>
      <c r="J183" s="210"/>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row>
    <row r="184" ht="18.75" customHeight="1" outlineLevel="2">
      <c r="A184" s="17"/>
      <c r="B184" s="248"/>
      <c r="C184" s="14" t="s">
        <v>738</v>
      </c>
      <c r="D184" s="249">
        <f>1-R199/H199</f>
        <v>0.02579668528</v>
      </c>
      <c r="E184" s="17"/>
      <c r="F184" s="17"/>
      <c r="G184" s="210"/>
      <c r="H184" s="210"/>
      <c r="I184" s="210"/>
      <c r="J184" s="210"/>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row>
    <row r="185" ht="18.75" customHeight="1" outlineLevel="2">
      <c r="A185" s="17"/>
      <c r="B185" s="248"/>
      <c r="C185" s="14" t="s">
        <v>739</v>
      </c>
      <c r="D185" s="250">
        <v>0.01</v>
      </c>
      <c r="E185" s="17"/>
      <c r="F185" s="17"/>
      <c r="G185" s="210"/>
      <c r="H185" s="210"/>
      <c r="I185" s="210"/>
      <c r="J185" s="210"/>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row>
    <row r="186" ht="18.75" customHeight="1" outlineLevel="2">
      <c r="A186" s="17"/>
      <c r="B186" s="248"/>
      <c r="C186" s="14" t="s">
        <v>718</v>
      </c>
      <c r="D186" s="152">
        <v>2029.0</v>
      </c>
      <c r="E186" s="17"/>
      <c r="F186" s="17"/>
      <c r="G186" s="210"/>
      <c r="H186" s="210"/>
      <c r="I186" s="210"/>
      <c r="J186" s="210"/>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row>
    <row r="187" ht="18.75" customHeight="1" outlineLevel="2">
      <c r="A187" s="17"/>
      <c r="B187" s="248"/>
      <c r="C187" s="14" t="s">
        <v>740</v>
      </c>
      <c r="D187" s="168">
        <f>HLOOKUP(D186,H198:R201,3,0)</f>
        <v>50.65857237</v>
      </c>
      <c r="E187" s="17"/>
      <c r="F187" s="17"/>
      <c r="G187" s="210"/>
      <c r="H187" s="210"/>
      <c r="I187" s="210"/>
      <c r="J187" s="210"/>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row>
    <row r="188" ht="18.75" customHeight="1" outlineLevel="2">
      <c r="A188" s="17"/>
      <c r="B188" s="248"/>
      <c r="C188" s="14" t="s">
        <v>719</v>
      </c>
      <c r="D188" s="14">
        <f>HLOOKUP(D186,H198:R201,4,0)</f>
        <v>1</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row>
    <row r="189" ht="18.75" customHeight="1" outlineLevel="2">
      <c r="A189" s="17"/>
      <c r="B189" s="248"/>
      <c r="C189" s="63" t="s">
        <v>720</v>
      </c>
      <c r="D189" s="63">
        <f>R198-H198</f>
        <v>10</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row>
    <row r="190" ht="18.75" customHeight="1" outlineLevel="2">
      <c r="A190" s="17"/>
      <c r="B190" s="17"/>
      <c r="C190" s="17"/>
      <c r="D190" s="17"/>
      <c r="E190" s="210"/>
      <c r="F190" s="210"/>
      <c r="G190" s="210"/>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row>
    <row r="191" ht="18.75" customHeight="1" outlineLevel="2">
      <c r="A191" s="17"/>
      <c r="B191" s="17"/>
      <c r="C191" s="251" t="s">
        <v>741</v>
      </c>
      <c r="D191" s="251"/>
      <c r="E191" s="210"/>
      <c r="F191" s="210"/>
      <c r="G191" s="210"/>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row>
    <row r="192" ht="18.75" customHeight="1" outlineLevel="2">
      <c r="A192" s="17"/>
      <c r="B192" s="17" t="s">
        <v>742</v>
      </c>
      <c r="C192" s="14" t="s">
        <v>743</v>
      </c>
      <c r="D192" s="252">
        <f>(H199/R199)^(1/(H2-R2))-1</f>
        <v>-0.002610113226</v>
      </c>
      <c r="E192" s="210"/>
      <c r="F192" s="210"/>
      <c r="G192" s="210"/>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row>
    <row r="193" ht="18.75" customHeight="1" outlineLevel="2">
      <c r="A193" s="17"/>
      <c r="B193" s="17"/>
      <c r="C193" s="14"/>
      <c r="D193" s="253"/>
      <c r="E193" s="210"/>
      <c r="F193" s="210"/>
      <c r="G193" s="210"/>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row>
    <row r="194" ht="18.0" customHeight="1" outlineLevel="2">
      <c r="A194" s="17"/>
      <c r="B194" s="17"/>
      <c r="C194" s="17"/>
      <c r="D194" s="17"/>
      <c r="E194" s="210"/>
      <c r="F194" s="210"/>
      <c r="G194" s="210"/>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row>
    <row r="195" ht="18.0" customHeight="1" outlineLevel="2">
      <c r="A195" s="17"/>
      <c r="B195" s="17"/>
      <c r="C195" s="17"/>
      <c r="D195" s="17"/>
      <c r="E195" s="17"/>
      <c r="F195" s="17"/>
      <c r="G195" s="17"/>
      <c r="H195" s="82"/>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row>
    <row r="196" ht="18.75" customHeight="1" outlineLevel="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row>
    <row r="197" ht="18.75" customHeight="1" outlineLevel="2">
      <c r="A197" s="17"/>
      <c r="B197" s="17"/>
      <c r="C197" s="17"/>
      <c r="D197" s="17"/>
      <c r="F197" s="17"/>
      <c r="G197" s="254" t="s">
        <v>744</v>
      </c>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c r="AH197" s="182"/>
      <c r="AI197" s="182"/>
      <c r="AJ197" s="182"/>
      <c r="AK197" s="182"/>
      <c r="AL197" s="182"/>
      <c r="AM197" s="182"/>
      <c r="AN197" s="182"/>
      <c r="AO197" s="182"/>
      <c r="AP197" s="182"/>
      <c r="AQ197" s="182"/>
      <c r="AR197" s="182"/>
      <c r="AS197" s="182"/>
      <c r="AT197" s="182"/>
      <c r="AU197" s="182"/>
      <c r="AV197" s="182"/>
      <c r="AW197" s="182"/>
      <c r="AX197" s="182"/>
      <c r="AY197" s="182"/>
      <c r="AZ197" s="182"/>
      <c r="BA197" s="182"/>
      <c r="BB197" s="182"/>
      <c r="BC197" s="182"/>
      <c r="BD197" s="182"/>
      <c r="BE197" s="182"/>
      <c r="BF197" s="182"/>
      <c r="BG197" s="182"/>
      <c r="BH197" s="182"/>
      <c r="BI197" s="182"/>
      <c r="BJ197" s="182"/>
      <c r="BK197" s="182"/>
      <c r="BL197" s="182"/>
      <c r="BM197" s="182"/>
      <c r="BN197" s="182"/>
      <c r="BO197" s="182"/>
      <c r="BP197" s="182"/>
      <c r="BQ197" s="182"/>
      <c r="BR197" s="182"/>
      <c r="BS197" s="182"/>
      <c r="BT197" s="182"/>
      <c r="BU197" s="182"/>
      <c r="BV197" s="182"/>
      <c r="BW197" s="182"/>
      <c r="BX197" s="182"/>
      <c r="BY197" s="182"/>
      <c r="BZ197" s="182"/>
      <c r="CA197" s="182"/>
      <c r="CB197" s="182"/>
      <c r="CC197" s="182"/>
      <c r="CD197" s="182"/>
      <c r="CE197" s="182"/>
      <c r="CF197" s="182"/>
      <c r="CG197" s="182"/>
      <c r="CH197" s="182"/>
      <c r="CI197" s="182"/>
      <c r="CJ197" s="183"/>
    </row>
    <row r="198" ht="18.0" customHeight="1" outlineLevel="2">
      <c r="A198" s="17"/>
      <c r="B198" s="17"/>
      <c r="C198" s="17"/>
      <c r="D198" s="17"/>
      <c r="E198" s="17"/>
      <c r="F198" s="17"/>
      <c r="G198" s="20" t="s">
        <v>593</v>
      </c>
      <c r="H198" s="20">
        <v>2020.0</v>
      </c>
      <c r="I198" s="20">
        <v>2021.0</v>
      </c>
      <c r="J198" s="20">
        <v>2022.0</v>
      </c>
      <c r="K198" s="20">
        <v>2023.0</v>
      </c>
      <c r="L198" s="20">
        <v>2024.0</v>
      </c>
      <c r="M198" s="20">
        <v>2025.0</v>
      </c>
      <c r="N198" s="20">
        <v>2026.0</v>
      </c>
      <c r="O198" s="20">
        <v>2027.0</v>
      </c>
      <c r="P198" s="20">
        <v>2028.0</v>
      </c>
      <c r="Q198" s="20">
        <v>2029.0</v>
      </c>
      <c r="R198" s="20">
        <v>2030.0</v>
      </c>
      <c r="S198" s="20">
        <v>2031.0</v>
      </c>
      <c r="T198" s="20">
        <v>2032.0</v>
      </c>
      <c r="U198" s="20">
        <v>2033.0</v>
      </c>
      <c r="V198" s="20">
        <v>2034.0</v>
      </c>
      <c r="W198" s="20">
        <v>2035.0</v>
      </c>
      <c r="X198" s="20">
        <v>2036.0</v>
      </c>
      <c r="Y198" s="20">
        <v>2037.0</v>
      </c>
      <c r="Z198" s="20">
        <v>2038.0</v>
      </c>
      <c r="AA198" s="20">
        <v>2039.0</v>
      </c>
      <c r="AB198" s="20">
        <v>2040.0</v>
      </c>
      <c r="AC198" s="20">
        <v>2041.0</v>
      </c>
      <c r="AD198" s="20">
        <v>2042.0</v>
      </c>
      <c r="AE198" s="20">
        <v>2043.0</v>
      </c>
      <c r="AF198" s="20">
        <v>2044.0</v>
      </c>
      <c r="AG198" s="20">
        <v>2045.0</v>
      </c>
      <c r="AH198" s="20">
        <v>2046.0</v>
      </c>
      <c r="AI198" s="20">
        <v>2047.0</v>
      </c>
      <c r="AJ198" s="20">
        <v>2048.0</v>
      </c>
      <c r="AK198" s="20">
        <v>2049.0</v>
      </c>
      <c r="AL198" s="20">
        <v>2050.0</v>
      </c>
      <c r="AM198" s="20">
        <v>2051.0</v>
      </c>
      <c r="AN198" s="20">
        <v>2052.0</v>
      </c>
      <c r="AO198" s="20">
        <v>2053.0</v>
      </c>
      <c r="AP198" s="20">
        <v>2054.0</v>
      </c>
      <c r="AQ198" s="20">
        <v>2055.0</v>
      </c>
      <c r="AR198" s="20">
        <v>2056.0</v>
      </c>
      <c r="AS198" s="20">
        <v>2057.0</v>
      </c>
      <c r="AT198" s="20">
        <v>2058.0</v>
      </c>
      <c r="AU198" s="20">
        <v>2059.0</v>
      </c>
      <c r="AV198" s="20">
        <v>2060.0</v>
      </c>
      <c r="AW198" s="20">
        <v>2061.0</v>
      </c>
      <c r="AX198" s="20">
        <v>2062.0</v>
      </c>
      <c r="AY198" s="20">
        <v>2063.0</v>
      </c>
      <c r="AZ198" s="20">
        <v>2064.0</v>
      </c>
      <c r="BA198" s="20">
        <v>2065.0</v>
      </c>
      <c r="BB198" s="20">
        <v>2066.0</v>
      </c>
      <c r="BC198" s="20">
        <v>2067.0</v>
      </c>
      <c r="BD198" s="20">
        <v>2068.0</v>
      </c>
      <c r="BE198" s="20">
        <v>2069.0</v>
      </c>
      <c r="BF198" s="20">
        <v>2070.0</v>
      </c>
      <c r="BG198" s="20">
        <v>2071.0</v>
      </c>
      <c r="BH198" s="20">
        <v>2072.0</v>
      </c>
      <c r="BI198" s="20">
        <v>2073.0</v>
      </c>
      <c r="BJ198" s="20">
        <v>2074.0</v>
      </c>
      <c r="BK198" s="20">
        <v>2075.0</v>
      </c>
      <c r="BL198" s="20">
        <v>2076.0</v>
      </c>
      <c r="BM198" s="20">
        <v>2077.0</v>
      </c>
      <c r="BN198" s="20">
        <v>2078.0</v>
      </c>
      <c r="BO198" s="20">
        <v>2079.0</v>
      </c>
      <c r="BP198" s="20">
        <v>2080.0</v>
      </c>
      <c r="BQ198" s="20">
        <v>2081.0</v>
      </c>
      <c r="BR198" s="20">
        <v>2082.0</v>
      </c>
      <c r="BS198" s="20">
        <v>2083.0</v>
      </c>
      <c r="BT198" s="20">
        <v>2084.0</v>
      </c>
      <c r="BU198" s="20">
        <v>2085.0</v>
      </c>
      <c r="BV198" s="20">
        <v>2086.0</v>
      </c>
      <c r="BW198" s="20">
        <v>2087.0</v>
      </c>
      <c r="BX198" s="20">
        <v>2088.0</v>
      </c>
      <c r="BY198" s="20">
        <v>2089.0</v>
      </c>
      <c r="BZ198" s="20">
        <v>2090.0</v>
      </c>
      <c r="CA198" s="20">
        <v>2091.0</v>
      </c>
      <c r="CB198" s="20">
        <v>2092.0</v>
      </c>
      <c r="CC198" s="20">
        <v>2093.0</v>
      </c>
      <c r="CD198" s="20">
        <v>2094.0</v>
      </c>
      <c r="CE198" s="20">
        <v>2095.0</v>
      </c>
      <c r="CF198" s="20">
        <v>2096.0</v>
      </c>
      <c r="CG198" s="20">
        <v>2097.0</v>
      </c>
      <c r="CH198" s="20">
        <v>2098.0</v>
      </c>
      <c r="CI198" s="20">
        <v>2099.0</v>
      </c>
      <c r="CJ198" s="20">
        <v>2100.0</v>
      </c>
    </row>
    <row r="199" ht="18.0" customHeight="1" outlineLevel="2">
      <c r="A199" s="17"/>
      <c r="B199" s="17"/>
      <c r="C199" s="17"/>
      <c r="D199" s="17"/>
      <c r="E199" s="17"/>
      <c r="F199" s="17"/>
      <c r="G199" s="255" t="s">
        <v>745</v>
      </c>
      <c r="H199" s="256">
        <f>IF(P_partage_effort="Egalité stricte : tous les habitants ont la même empreinte carbone",H176,IF(P_partage_effort="Maintien des inégalités : tous les pays suivent la même trajectoire",H180,))</f>
        <v>52</v>
      </c>
      <c r="I199" s="256">
        <f>IF(P_partage_effort="Egalité stricte : tous les habitants ont la même empreinte carbone",I176,IF(P_partage_effort="Maintien des inégalités : tous les pays suivent la même trajectoire",I180,))</f>
        <v>52.17496723</v>
      </c>
      <c r="J199" s="256">
        <f>IF(P_partage_effort="Egalité stricte : tous les habitants ont la même empreinte carbone",J176,IF(P_partage_effort="Maintien des inégalités : tous les pays suivent la même trajectoire",J180,))</f>
        <v>52.0058514</v>
      </c>
      <c r="K199" s="256">
        <f>IF(P_partage_effort="Egalité stricte : tous les habitants ont la même empreinte carbone",K176,IF(P_partage_effort="Maintien des inégalités : tous les pays suivent la même trajectoire",K180,))</f>
        <v>51.83844453</v>
      </c>
      <c r="L199" s="256">
        <f>IF(P_partage_effort="Egalité stricte : tous les habitants ont la même empreinte carbone",L176,IF(P_partage_effort="Maintien des inégalités : tous les pays suivent la même trajectoire",L180,))</f>
        <v>51.66852909</v>
      </c>
      <c r="M199" s="256">
        <f>IF(P_partage_effort="Egalité stricte : tous les habitants ont la même empreinte carbone",M176,IF(P_partage_effort="Maintien des inégalités : tous les pays suivent la même trajectoire",M180,))</f>
        <v>51.49609024</v>
      </c>
      <c r="N199" s="256">
        <f>IF(P_partage_effort="Egalité stricte : tous les habitants ont la même empreinte carbone",N176,IF(P_partage_effort="Maintien des inégalités : tous les pays suivent la même trajectoire",N180,))</f>
        <v>51.32531581</v>
      </c>
      <c r="O199" s="256">
        <f>IF(P_partage_effort="Egalité stricte : tous les habitants ont la même empreinte carbone",O176,IF(P_partage_effort="Maintien des inégalités : tous les pays suivent la même trajectoire",O180,))</f>
        <v>51.15619121</v>
      </c>
      <c r="P199" s="256">
        <f>IF(P_partage_effort="Egalité stricte : tous les habitants ont la même empreinte carbone",P176,IF(P_partage_effort="Maintien des inégalités : tous les pays suivent la même trajectoire",P180,))</f>
        <v>50.98870198</v>
      </c>
      <c r="Q199" s="256">
        <f>IF(P_partage_effort="Egalité stricte : tous les habitants ont la même empreinte carbone",Q176,IF(P_partage_effort="Maintien des inégalités : tous les pays suivent la même trajectoire",Q180,))</f>
        <v>50.82283377</v>
      </c>
      <c r="R199" s="256">
        <f>IF(P_partage_effort="Egalité stricte : tous les habitants ont la même empreinte carbone",R176,IF(P_partage_effort="Maintien des inégalités : tous les pays suivent la même trajectoire",R180,))</f>
        <v>50.65857237</v>
      </c>
      <c r="S199" s="256">
        <f>R199*(1+TCAM_2020_2030)</f>
        <v>50.52634776</v>
      </c>
      <c r="T199" s="256">
        <f>S199*(1+TCAM_2020_2030)</f>
        <v>50.39446827</v>
      </c>
      <c r="U199" s="256">
        <f>T199*(1+TCAM_2020_2030)</f>
        <v>50.262933</v>
      </c>
      <c r="V199" s="256">
        <f>U199*(1+TCAM_2020_2030)</f>
        <v>50.13174105</v>
      </c>
      <c r="W199" s="256">
        <f>V199*(1+TCAM_2020_2030)</f>
        <v>50.00089153</v>
      </c>
      <c r="X199" s="256">
        <f>W199*(1+TCAM_2020_2030)</f>
        <v>49.87038354</v>
      </c>
      <c r="Y199" s="256">
        <f>X199*(1+TCAM_2020_2030)</f>
        <v>49.7402162</v>
      </c>
      <c r="Z199" s="256">
        <f>Y199*(1+TCAM_2020_2030)</f>
        <v>49.6103886</v>
      </c>
      <c r="AA199" s="256">
        <f>Z199*(1+TCAM_2020_2030)</f>
        <v>49.48089987</v>
      </c>
      <c r="AB199" s="256">
        <f>AA199*(1+TCAM_2020_2030)</f>
        <v>49.35174912</v>
      </c>
      <c r="AC199" s="256">
        <f>AB199*(1+TCAM_2020_2030)</f>
        <v>49.22293546</v>
      </c>
      <c r="AD199" s="256">
        <f>AC199*(1+TCAM_2020_2030)</f>
        <v>49.09445803</v>
      </c>
      <c r="AE199" s="256">
        <f>AD199*(1+TCAM_2020_2030)</f>
        <v>48.96631594</v>
      </c>
      <c r="AF199" s="256">
        <f>AE199*(1+TCAM_2020_2030)</f>
        <v>48.83850831</v>
      </c>
      <c r="AG199" s="256">
        <f>AF199*(1+TCAM_2020_2030)</f>
        <v>48.71103427</v>
      </c>
      <c r="AH199" s="256">
        <f>AG199*(1+TCAM_2020_2030)</f>
        <v>48.58389296</v>
      </c>
      <c r="AI199" s="256">
        <f>AH199*(1+TCAM_2020_2030)</f>
        <v>48.45708349</v>
      </c>
      <c r="AJ199" s="256">
        <f>AI199*(1+TCAM_2020_2030)</f>
        <v>48.33060502</v>
      </c>
      <c r="AK199" s="256">
        <f>AJ199*(1+TCAM_2020_2030)</f>
        <v>48.20445667</v>
      </c>
      <c r="AL199" s="256">
        <f>AK199*(1+TCAM_2020_2030)</f>
        <v>48.07863758</v>
      </c>
      <c r="AM199" s="256">
        <f>AL199*(1+TCAM_2020_2030)</f>
        <v>47.95314689</v>
      </c>
      <c r="AN199" s="256">
        <f>AM199*(1+TCAM_2020_2030)</f>
        <v>47.82798375</v>
      </c>
      <c r="AO199" s="256">
        <f>AN199*(1+TCAM_2020_2030)</f>
        <v>47.70314729</v>
      </c>
      <c r="AP199" s="256">
        <f>AO199*(1+TCAM_2020_2030)</f>
        <v>47.57863668</v>
      </c>
      <c r="AQ199" s="256">
        <f>AP199*(1+TCAM_2020_2030)</f>
        <v>47.45445105</v>
      </c>
      <c r="AR199" s="256">
        <f>AQ199*(1+TCAM_2020_2030)</f>
        <v>47.33058956</v>
      </c>
      <c r="AS199" s="256">
        <f>AR199*(1+TCAM_2020_2030)</f>
        <v>47.20705136</v>
      </c>
      <c r="AT199" s="256">
        <f>AS199*(1+TCAM_2020_2030)</f>
        <v>47.08383561</v>
      </c>
      <c r="AU199" s="256">
        <f>AT199*(1+TCAM_2020_2030)</f>
        <v>46.96094147</v>
      </c>
      <c r="AV199" s="256">
        <f>AU199*(1+TCAM_2020_2030)</f>
        <v>46.8383681</v>
      </c>
      <c r="AW199" s="256">
        <f>AV199*(1+TCAM_2020_2030)</f>
        <v>46.71611465</v>
      </c>
      <c r="AX199" s="256">
        <f>AW199*(1+TCAM_2020_2030)</f>
        <v>46.5941803</v>
      </c>
      <c r="AY199" s="256">
        <f>AX199*(1+TCAM_2020_2030)</f>
        <v>46.47256422</v>
      </c>
      <c r="AZ199" s="256">
        <f>AY199*(1+TCAM_2020_2030)</f>
        <v>46.35126556</v>
      </c>
      <c r="BA199" s="256">
        <f>AZ199*(1+TCAM_2020_2030)</f>
        <v>46.23028351</v>
      </c>
      <c r="BB199" s="256">
        <f>BA199*(1+TCAM_2020_2030)</f>
        <v>46.10961724</v>
      </c>
      <c r="BC199" s="256">
        <f>BB199*(1+TCAM_2020_2030)</f>
        <v>45.98926591</v>
      </c>
      <c r="BD199" s="256">
        <f>BC199*(1+TCAM_2020_2030)</f>
        <v>45.86922872</v>
      </c>
      <c r="BE199" s="256">
        <f>BD199*(1+TCAM_2020_2030)</f>
        <v>45.74950484</v>
      </c>
      <c r="BF199" s="256">
        <f>BE199*(1+TCAM_2020_2030)</f>
        <v>45.63009345</v>
      </c>
      <c r="BG199" s="256">
        <f>BF199*(1+TCAM_2020_2030)</f>
        <v>45.51099374</v>
      </c>
      <c r="BH199" s="256">
        <f>BG199*(1+TCAM_2020_2030)</f>
        <v>45.3922049</v>
      </c>
      <c r="BI199" s="256">
        <f>BH199*(1+TCAM_2020_2030)</f>
        <v>45.2737261</v>
      </c>
      <c r="BJ199" s="256">
        <f>BI199*(1+TCAM_2020_2030)</f>
        <v>45.15555655</v>
      </c>
      <c r="BK199" s="256">
        <f>BJ199*(1+TCAM_2020_2030)</f>
        <v>45.03769544</v>
      </c>
      <c r="BL199" s="256">
        <f>BK199*(1+TCAM_2020_2030)</f>
        <v>44.92014195</v>
      </c>
      <c r="BM199" s="256">
        <f>BL199*(1+TCAM_2020_2030)</f>
        <v>44.8028953</v>
      </c>
      <c r="BN199" s="256">
        <f>BM199*(1+TCAM_2020_2030)</f>
        <v>44.68595467</v>
      </c>
      <c r="BO199" s="256">
        <f>BN199*(1+TCAM_2020_2030)</f>
        <v>44.56931926</v>
      </c>
      <c r="BP199" s="256">
        <f>BO199*(1+TCAM_2020_2030)</f>
        <v>44.45298829</v>
      </c>
      <c r="BQ199" s="256">
        <f>BP199*(1+TCAM_2020_2030)</f>
        <v>44.33696096</v>
      </c>
      <c r="BR199" s="256">
        <f>BQ199*(1+TCAM_2020_2030)</f>
        <v>44.22123647</v>
      </c>
      <c r="BS199" s="256">
        <f>BR199*(1+TCAM_2020_2030)</f>
        <v>44.10581404</v>
      </c>
      <c r="BT199" s="256">
        <f>BS199*(1+TCAM_2020_2030)</f>
        <v>43.99069287</v>
      </c>
      <c r="BU199" s="256">
        <f>BT199*(1+TCAM_2020_2030)</f>
        <v>43.87587218</v>
      </c>
      <c r="BV199" s="256">
        <f>BU199*(1+TCAM_2020_2030)</f>
        <v>43.76135119</v>
      </c>
      <c r="BW199" s="256">
        <f>BV199*(1+TCAM_2020_2030)</f>
        <v>43.64712911</v>
      </c>
      <c r="BX199" s="256">
        <f>BW199*(1+TCAM_2020_2030)</f>
        <v>43.53320516</v>
      </c>
      <c r="BY199" s="256">
        <f>BX199*(1+TCAM_2020_2030)</f>
        <v>43.41957856</v>
      </c>
      <c r="BZ199" s="256">
        <f>BY199*(1+TCAM_2020_2030)</f>
        <v>43.30624855</v>
      </c>
      <c r="CA199" s="256">
        <f>BZ199*(1+TCAM_2020_2030)</f>
        <v>43.19321433</v>
      </c>
      <c r="CB199" s="256">
        <f>CA199*(1+TCAM_2020_2030)</f>
        <v>43.08047515</v>
      </c>
      <c r="CC199" s="256">
        <f>CB199*(1+TCAM_2020_2030)</f>
        <v>42.96803024</v>
      </c>
      <c r="CD199" s="256">
        <f>CC199*(1+TCAM_2020_2030)</f>
        <v>42.85587881</v>
      </c>
      <c r="CE199" s="256">
        <f>CD199*(1+TCAM_2020_2030)</f>
        <v>42.74402012</v>
      </c>
      <c r="CF199" s="256">
        <f>CE199*(1+TCAM_2020_2030)</f>
        <v>42.63245338</v>
      </c>
      <c r="CG199" s="256">
        <f>CF199*(1+TCAM_2020_2030)</f>
        <v>42.52117785</v>
      </c>
      <c r="CH199" s="256">
        <f>CG199*(1+TCAM_2020_2030)</f>
        <v>42.41019276</v>
      </c>
      <c r="CI199" s="256">
        <f>CH199*(1+TCAM_2020_2030)</f>
        <v>42.29949736</v>
      </c>
      <c r="CJ199" s="256">
        <f>CI199*(1+TCAM_2020_2030)</f>
        <v>42.18909088</v>
      </c>
    </row>
    <row r="200" ht="18.0" customHeight="1" outlineLevel="2">
      <c r="A200" s="17"/>
      <c r="B200" s="17"/>
      <c r="C200" s="17"/>
      <c r="D200" s="17"/>
      <c r="E200" s="247" t="s">
        <v>746</v>
      </c>
      <c r="F200" s="248"/>
      <c r="G200" s="14" t="s">
        <v>747</v>
      </c>
      <c r="H200" s="257">
        <f>H199</f>
        <v>52</v>
      </c>
      <c r="I200" s="257">
        <f t="shared" ref="I200:Q200" si="21">IF($D$185=0,I199,IF(I198&lt;$D$186,I199,IF(I198=$D$186,IF(H200-(H200*($D$185+(H199-I199)/H199))&lt;=$R$200,$R$200,H200-(H200*($D$185+(H199-I199)/H199))),H200-($D$187-$R$200)/$D$188)))</f>
        <v>52.17496723</v>
      </c>
      <c r="J200" s="257">
        <f t="shared" si="21"/>
        <v>52.0058514</v>
      </c>
      <c r="K200" s="257">
        <f t="shared" si="21"/>
        <v>51.83844453</v>
      </c>
      <c r="L200" s="257">
        <f t="shared" si="21"/>
        <v>51.66852909</v>
      </c>
      <c r="M200" s="257">
        <f t="shared" si="21"/>
        <v>51.49609024</v>
      </c>
      <c r="N200" s="257">
        <f t="shared" si="21"/>
        <v>51.32531581</v>
      </c>
      <c r="O200" s="257">
        <f t="shared" si="21"/>
        <v>51.15619121</v>
      </c>
      <c r="P200" s="257">
        <f t="shared" si="21"/>
        <v>50.98870198</v>
      </c>
      <c r="Q200" s="257">
        <f t="shared" si="21"/>
        <v>50.65857237</v>
      </c>
      <c r="R200" s="243">
        <f>H200*(1-D184)</f>
        <v>50.65857237</v>
      </c>
      <c r="S200" s="257">
        <f>R200*(1+TCAM_2020_2030)</f>
        <v>50.52634776</v>
      </c>
      <c r="T200" s="257">
        <f>S200*(1+TCAM_2020_2030)</f>
        <v>50.39446827</v>
      </c>
      <c r="U200" s="257">
        <f>T200*(1+TCAM_2020_2030)</f>
        <v>50.262933</v>
      </c>
      <c r="V200" s="257">
        <f>U200*(1+TCAM_2020_2030)</f>
        <v>50.13174105</v>
      </c>
      <c r="W200" s="257">
        <f>V200*(1+TCAM_2020_2030)</f>
        <v>50.00089153</v>
      </c>
      <c r="X200" s="257">
        <f>W200*(1+TCAM_2020_2030)</f>
        <v>49.87038354</v>
      </c>
      <c r="Y200" s="257">
        <f>X200*(1+TCAM_2020_2030)</f>
        <v>49.7402162</v>
      </c>
      <c r="Z200" s="257">
        <f>Y200*(1+TCAM_2020_2030)</f>
        <v>49.6103886</v>
      </c>
      <c r="AA200" s="257">
        <f>Z200*(1+TCAM_2020_2030)</f>
        <v>49.48089987</v>
      </c>
      <c r="AB200" s="257">
        <f>AA200*(1+TCAM_2020_2030)</f>
        <v>49.35174912</v>
      </c>
      <c r="AC200" s="257">
        <f>AB200*(1+TCAM_2020_2030)</f>
        <v>49.22293546</v>
      </c>
      <c r="AD200" s="257">
        <f>AC200*(1+TCAM_2020_2030)</f>
        <v>49.09445803</v>
      </c>
      <c r="AE200" s="257">
        <f>AD200*(1+TCAM_2020_2030)</f>
        <v>48.96631594</v>
      </c>
      <c r="AF200" s="257">
        <f>AE200*(1+TCAM_2020_2030)</f>
        <v>48.83850831</v>
      </c>
      <c r="AG200" s="257">
        <f>AF200*(1+TCAM_2020_2030)</f>
        <v>48.71103427</v>
      </c>
      <c r="AH200" s="257">
        <f>AG200*(1+TCAM_2020_2030)</f>
        <v>48.58389296</v>
      </c>
      <c r="AI200" s="257">
        <f>AH200*(1+TCAM_2020_2030)</f>
        <v>48.45708349</v>
      </c>
      <c r="AJ200" s="257">
        <f>AI200*(1+TCAM_2020_2030)</f>
        <v>48.33060502</v>
      </c>
      <c r="AK200" s="257">
        <f>AJ200*(1+TCAM_2020_2030)</f>
        <v>48.20445667</v>
      </c>
      <c r="AL200" s="257">
        <f>AK200*(1+TCAM_2020_2030)</f>
        <v>48.07863758</v>
      </c>
      <c r="AM200" s="257">
        <f>AL200*(1+TCAM_2020_2030)</f>
        <v>47.95314689</v>
      </c>
      <c r="AN200" s="257">
        <f>AM200*(1+TCAM_2020_2030)</f>
        <v>47.82798375</v>
      </c>
      <c r="AO200" s="257">
        <f>AN200*(1+TCAM_2020_2030)</f>
        <v>47.70314729</v>
      </c>
      <c r="AP200" s="257">
        <f>AO200*(1+TCAM_2020_2030)</f>
        <v>47.57863668</v>
      </c>
      <c r="AQ200" s="257">
        <f>AP200*(1+TCAM_2020_2030)</f>
        <v>47.45445105</v>
      </c>
      <c r="AR200" s="257">
        <f>AQ200*(1+TCAM_2020_2030)</f>
        <v>47.33058956</v>
      </c>
      <c r="AS200" s="257">
        <f>AR200*(1+TCAM_2020_2030)</f>
        <v>47.20705136</v>
      </c>
      <c r="AT200" s="257">
        <f>AS200*(1+TCAM_2020_2030)</f>
        <v>47.08383561</v>
      </c>
      <c r="AU200" s="257">
        <f>AT200*(1+TCAM_2020_2030)</f>
        <v>46.96094147</v>
      </c>
      <c r="AV200" s="257">
        <f>AU200*(1+TCAM_2020_2030)</f>
        <v>46.8383681</v>
      </c>
      <c r="AW200" s="257">
        <f>AV200*(1+TCAM_2020_2030)</f>
        <v>46.71611465</v>
      </c>
      <c r="AX200" s="257">
        <f>AW200*(1+TCAM_2020_2030)</f>
        <v>46.5941803</v>
      </c>
      <c r="AY200" s="257">
        <f>AX200*(1+TCAM_2020_2030)</f>
        <v>46.47256422</v>
      </c>
      <c r="AZ200" s="257">
        <f>AY200*(1+TCAM_2020_2030)</f>
        <v>46.35126556</v>
      </c>
      <c r="BA200" s="257">
        <f>AZ200*(1+TCAM_2020_2030)</f>
        <v>46.23028351</v>
      </c>
      <c r="BB200" s="257">
        <f>BA200*(1+TCAM_2020_2030)</f>
        <v>46.10961724</v>
      </c>
      <c r="BC200" s="257">
        <f>BB200*(1+TCAM_2020_2030)</f>
        <v>45.98926591</v>
      </c>
      <c r="BD200" s="257">
        <f>BC200*(1+TCAM_2020_2030)</f>
        <v>45.86922872</v>
      </c>
      <c r="BE200" s="257">
        <f>BD200*(1+TCAM_2020_2030)</f>
        <v>45.74950484</v>
      </c>
      <c r="BF200" s="257">
        <f>BE200*(1+TCAM_2020_2030)</f>
        <v>45.63009345</v>
      </c>
      <c r="BG200" s="257">
        <f>BF200*(1+TCAM_2020_2030)</f>
        <v>45.51099374</v>
      </c>
      <c r="BH200" s="257">
        <f>BG200*(1+TCAM_2020_2030)</f>
        <v>45.3922049</v>
      </c>
      <c r="BI200" s="257">
        <f>BH200*(1+TCAM_2020_2030)</f>
        <v>45.2737261</v>
      </c>
      <c r="BJ200" s="257">
        <f>BI200*(1+TCAM_2020_2030)</f>
        <v>45.15555655</v>
      </c>
      <c r="BK200" s="257">
        <f>BJ200*(1+TCAM_2020_2030)</f>
        <v>45.03769544</v>
      </c>
      <c r="BL200" s="257">
        <f>BK200*(1+TCAM_2020_2030)</f>
        <v>44.92014195</v>
      </c>
      <c r="BM200" s="257">
        <f>BL200*(1+TCAM_2020_2030)</f>
        <v>44.8028953</v>
      </c>
      <c r="BN200" s="257">
        <f>BM200*(1+TCAM_2020_2030)</f>
        <v>44.68595467</v>
      </c>
      <c r="BO200" s="257">
        <f>BN200*(1+TCAM_2020_2030)</f>
        <v>44.56931926</v>
      </c>
      <c r="BP200" s="257">
        <f>BO200*(1+TCAM_2020_2030)</f>
        <v>44.45298829</v>
      </c>
      <c r="BQ200" s="257">
        <f>BP200*(1+TCAM_2020_2030)</f>
        <v>44.33696096</v>
      </c>
      <c r="BR200" s="257">
        <f>BQ200*(1+TCAM_2020_2030)</f>
        <v>44.22123647</v>
      </c>
      <c r="BS200" s="257">
        <f>BR200*(1+TCAM_2020_2030)</f>
        <v>44.10581404</v>
      </c>
      <c r="BT200" s="257">
        <f>BS200*(1+TCAM_2020_2030)</f>
        <v>43.99069287</v>
      </c>
      <c r="BU200" s="257">
        <f>BT200*(1+TCAM_2020_2030)</f>
        <v>43.87587218</v>
      </c>
      <c r="BV200" s="257">
        <f>BU200*(1+TCAM_2020_2030)</f>
        <v>43.76135119</v>
      </c>
      <c r="BW200" s="257">
        <f>BV200*(1+TCAM_2020_2030)</f>
        <v>43.64712911</v>
      </c>
      <c r="BX200" s="257">
        <f>BW200*(1+TCAM_2020_2030)</f>
        <v>43.53320516</v>
      </c>
      <c r="BY200" s="257">
        <f>BX200*(1+TCAM_2020_2030)</f>
        <v>43.41957856</v>
      </c>
      <c r="BZ200" s="257">
        <f>BY200*(1+TCAM_2020_2030)</f>
        <v>43.30624855</v>
      </c>
      <c r="CA200" s="257">
        <f>BZ200*(1+TCAM_2020_2030)</f>
        <v>43.19321433</v>
      </c>
      <c r="CB200" s="257">
        <f>CA200*(1+TCAM_2020_2030)</f>
        <v>43.08047515</v>
      </c>
      <c r="CC200" s="257">
        <f>CB200*(1+TCAM_2020_2030)</f>
        <v>42.96803024</v>
      </c>
      <c r="CD200" s="257">
        <f>CC200*(1+TCAM_2020_2030)</f>
        <v>42.85587881</v>
      </c>
      <c r="CE200" s="257">
        <f>CD200*(1+TCAM_2020_2030)</f>
        <v>42.74402012</v>
      </c>
      <c r="CF200" s="257">
        <f>CE200*(1+TCAM_2020_2030)</f>
        <v>42.63245338</v>
      </c>
      <c r="CG200" s="257">
        <f>CF200*(1+TCAM_2020_2030)</f>
        <v>42.52117785</v>
      </c>
      <c r="CH200" s="257">
        <f>CG200*(1+TCAM_2020_2030)</f>
        <v>42.41019276</v>
      </c>
      <c r="CI200" s="257">
        <f>CH200*(1+TCAM_2020_2030)</f>
        <v>42.29949736</v>
      </c>
      <c r="CJ200" s="257">
        <f>CI200*(1+TCAM_2020_2030)</f>
        <v>42.18909088</v>
      </c>
    </row>
    <row r="201" ht="18.75" customHeight="1" outlineLevel="2">
      <c r="A201" s="17"/>
      <c r="B201" s="17"/>
      <c r="C201" s="17"/>
      <c r="D201" s="17"/>
      <c r="E201" s="247" t="s">
        <v>748</v>
      </c>
      <c r="F201" s="248"/>
      <c r="G201" s="14" t="s">
        <v>749</v>
      </c>
      <c r="H201" s="14">
        <v>10.0</v>
      </c>
      <c r="I201" s="14">
        <v>9.0</v>
      </c>
      <c r="J201" s="14">
        <v>8.0</v>
      </c>
      <c r="K201" s="14">
        <v>7.0</v>
      </c>
      <c r="L201" s="14">
        <v>6.0</v>
      </c>
      <c r="M201" s="14">
        <v>5.0</v>
      </c>
      <c r="N201" s="14">
        <v>4.0</v>
      </c>
      <c r="O201" s="14">
        <v>3.0</v>
      </c>
      <c r="P201" s="14">
        <v>2.0</v>
      </c>
      <c r="Q201" s="14">
        <v>1.0</v>
      </c>
      <c r="R201" s="14">
        <v>0.0</v>
      </c>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row>
    <row r="202" ht="18.0" customHeight="1" outlineLevel="2">
      <c r="A202" s="17"/>
      <c r="B202" s="17"/>
      <c r="C202" s="17"/>
      <c r="D202" s="17"/>
      <c r="E202" s="17"/>
      <c r="F202" s="17"/>
      <c r="G202" s="13" t="s">
        <v>750</v>
      </c>
      <c r="H202" s="98">
        <f t="shared" ref="H202:R202" si="22">10^9*H199/H109</f>
        <v>6.933333333</v>
      </c>
      <c r="I202" s="98">
        <f t="shared" si="22"/>
        <v>6.910591686</v>
      </c>
      <c r="J202" s="98">
        <f t="shared" si="22"/>
        <v>6.842875185</v>
      </c>
      <c r="K202" s="98">
        <f t="shared" si="22"/>
        <v>6.776267259</v>
      </c>
      <c r="L202" s="98">
        <f t="shared" si="22"/>
        <v>6.710198583</v>
      </c>
      <c r="M202" s="98">
        <f t="shared" si="22"/>
        <v>6.644656805</v>
      </c>
      <c r="N202" s="98">
        <f t="shared" si="22"/>
        <v>6.580168694</v>
      </c>
      <c r="O202" s="98">
        <f t="shared" si="22"/>
        <v>6.516712256</v>
      </c>
      <c r="P202" s="98">
        <f t="shared" si="22"/>
        <v>6.454266073</v>
      </c>
      <c r="Q202" s="98">
        <f t="shared" si="22"/>
        <v>6.392809279</v>
      </c>
      <c r="R202" s="98">
        <f t="shared" si="22"/>
        <v>6.332321546</v>
      </c>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row>
    <row r="203" ht="18.75" customHeight="1" outlineLevel="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row>
    <row r="204" ht="18.75" customHeight="1" outlineLevel="2">
      <c r="A204" s="17"/>
      <c r="B204" s="17"/>
      <c r="C204" s="17"/>
      <c r="D204" s="17"/>
      <c r="E204" s="17"/>
      <c r="F204" s="17"/>
      <c r="G204" s="241" t="s">
        <v>751</v>
      </c>
      <c r="H204" s="182"/>
      <c r="I204" s="182"/>
      <c r="J204" s="183"/>
      <c r="K204" s="17"/>
      <c r="L204" s="115"/>
      <c r="M204" s="115"/>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row>
    <row r="205" ht="18.75" customHeight="1" outlineLevel="2">
      <c r="A205" s="17"/>
      <c r="B205" s="17"/>
      <c r="C205" s="17"/>
      <c r="D205" s="17"/>
      <c r="E205" s="17"/>
      <c r="F205" s="17"/>
      <c r="G205" s="25"/>
      <c r="H205" s="258">
        <v>2020.0</v>
      </c>
      <c r="I205" s="258">
        <v>2050.0</v>
      </c>
      <c r="J205" s="258">
        <v>2100.0</v>
      </c>
      <c r="K205" s="17"/>
      <c r="L205" s="115"/>
      <c r="M205" s="115"/>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row>
    <row r="206" ht="18.75" customHeight="1" outlineLevel="2">
      <c r="A206" s="17"/>
      <c r="B206" s="17"/>
      <c r="C206" s="17"/>
      <c r="D206" s="17"/>
      <c r="E206" s="17"/>
      <c r="F206" s="17"/>
      <c r="G206" s="25" t="s">
        <v>752</v>
      </c>
      <c r="H206" s="259">
        <v>2000.0</v>
      </c>
      <c r="I206" s="25"/>
      <c r="J206" s="25"/>
      <c r="K206" s="17" t="s">
        <v>634</v>
      </c>
      <c r="L206" s="115"/>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row>
    <row r="207" ht="15.75" customHeight="1" outlineLevel="2">
      <c r="A207" s="17"/>
      <c r="B207" s="17"/>
      <c r="C207" s="17"/>
      <c r="D207" s="17"/>
      <c r="E207" s="17"/>
      <c r="F207" s="17"/>
      <c r="G207" s="25" t="s">
        <v>753</v>
      </c>
      <c r="H207" s="25"/>
      <c r="I207" s="259">
        <v>2500.0</v>
      </c>
      <c r="J207" s="259">
        <v>3000.0</v>
      </c>
      <c r="K207" s="17" t="s">
        <v>634</v>
      </c>
      <c r="L207" s="115"/>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row>
    <row r="208" ht="15.75" customHeight="1" outlineLevel="2">
      <c r="A208" s="17"/>
      <c r="B208" s="17"/>
      <c r="C208" s="17"/>
      <c r="D208" s="17"/>
      <c r="E208" s="17"/>
      <c r="F208" s="17"/>
      <c r="G208" s="25" t="s">
        <v>754</v>
      </c>
      <c r="H208" s="25"/>
      <c r="I208" s="259">
        <v>3000.0</v>
      </c>
      <c r="J208" s="259">
        <v>4500.0</v>
      </c>
      <c r="K208" s="17" t="s">
        <v>634</v>
      </c>
      <c r="L208" s="115"/>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row>
    <row r="209" ht="15.75" customHeight="1" outlineLevel="2">
      <c r="A209" s="17"/>
      <c r="B209" s="17"/>
      <c r="C209" s="17"/>
      <c r="D209" s="17"/>
      <c r="E209" s="17"/>
      <c r="F209" s="17"/>
      <c r="G209" s="25" t="s">
        <v>755</v>
      </c>
      <c r="H209" s="25"/>
      <c r="I209" s="259">
        <v>3100.0</v>
      </c>
      <c r="J209" s="259">
        <v>5200.0</v>
      </c>
      <c r="K209" s="17" t="s">
        <v>634</v>
      </c>
      <c r="L209" s="115"/>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row>
    <row r="210" ht="15.0" customHeight="1" outlineLevel="2">
      <c r="A210" s="17"/>
      <c r="B210" s="17"/>
      <c r="C210" s="17"/>
      <c r="D210" s="17"/>
      <c r="E210" s="17"/>
      <c r="F210" s="17"/>
      <c r="G210" s="25" t="s">
        <v>756</v>
      </c>
      <c r="H210" s="25"/>
      <c r="I210" s="259">
        <v>3200.0</v>
      </c>
      <c r="J210" s="259">
        <v>7800.0</v>
      </c>
      <c r="K210" s="17" t="s">
        <v>634</v>
      </c>
      <c r="L210" s="115"/>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row>
    <row r="211" ht="15.0" customHeight="1" outlineLevel="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row>
    <row r="212" ht="15.75" customHeight="1" outlineLevel="2">
      <c r="A212" s="17"/>
      <c r="B212" s="17"/>
      <c r="C212" s="17"/>
      <c r="D212" s="17"/>
      <c r="E212" s="17"/>
      <c r="F212" s="17"/>
      <c r="G212" s="241" t="s">
        <v>757</v>
      </c>
      <c r="H212" s="183"/>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row>
    <row r="213" ht="15.0" customHeight="1" outlineLevel="2">
      <c r="A213" s="17"/>
      <c r="B213" s="17"/>
      <c r="C213" s="17"/>
      <c r="D213" s="17"/>
      <c r="E213" s="17"/>
      <c r="F213" s="17"/>
      <c r="G213" s="259">
        <v>2030.0</v>
      </c>
      <c r="H213" s="260">
        <f>H206+SUM(G199:R199)</f>
        <v>2566.135498</v>
      </c>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row>
    <row r="214" ht="15.0" customHeight="1" outlineLevel="2">
      <c r="A214" s="17"/>
      <c r="B214" s="17"/>
      <c r="C214" s="17"/>
      <c r="D214" s="17"/>
      <c r="E214" s="17"/>
      <c r="F214" s="17"/>
      <c r="G214" s="259">
        <v>2050.0</v>
      </c>
      <c r="H214" s="260">
        <f>H206+SUM(G199:AL199)</f>
        <v>3551.993444</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row>
    <row r="215" ht="15.0" customHeight="1" outlineLevel="2">
      <c r="A215" s="17"/>
      <c r="B215" s="17"/>
      <c r="C215" s="17"/>
      <c r="D215" s="17"/>
      <c r="E215" s="17"/>
      <c r="F215" s="17"/>
      <c r="G215" s="259">
        <v>2100.0</v>
      </c>
      <c r="H215" s="260">
        <f>H206+SUM(G199:CJ199)</f>
        <v>5802.537311</v>
      </c>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row>
    <row r="216" ht="15.75" customHeight="1" outlineLevel="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row>
    <row r="217" ht="15.75" customHeight="1" outlineLevel="2">
      <c r="A217" s="17"/>
      <c r="B217" s="17"/>
      <c r="C217" s="17"/>
      <c r="D217" s="17"/>
      <c r="E217" s="17"/>
      <c r="F217" s="17"/>
      <c r="G217" s="241" t="s">
        <v>758</v>
      </c>
      <c r="H217" s="183"/>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row>
    <row r="218" ht="15.75" customHeight="1" outlineLevel="2">
      <c r="A218" s="17"/>
      <c r="B218" s="17"/>
      <c r="C218" s="17"/>
      <c r="D218" s="17"/>
      <c r="E218" s="17"/>
      <c r="F218" s="17"/>
      <c r="G218" s="14" t="s">
        <v>759</v>
      </c>
      <c r="H218" s="39">
        <f>(R130-H130)/H130</f>
        <v>-0.02579668528</v>
      </c>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row>
    <row r="219" ht="15.75" customHeight="1" outlineLevel="2">
      <c r="A219" s="17"/>
      <c r="B219" s="17"/>
      <c r="C219" s="17"/>
      <c r="D219" s="17"/>
      <c r="E219" s="17"/>
      <c r="F219" s="17"/>
      <c r="G219" s="14" t="s">
        <v>760</v>
      </c>
      <c r="H219" s="261" t="str">
        <f>IF(H215&lt;J207,G207,IF(H215&lt;J208,G208,IF(H215&lt;J209,G209,G210)))</f>
        <v>RCP 8.5</v>
      </c>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row>
    <row r="220" ht="15.75" customHeight="1" outlineLevel="2">
      <c r="A220" s="17"/>
      <c r="B220" s="17"/>
      <c r="C220" s="17"/>
      <c r="D220" s="17"/>
      <c r="E220" s="17"/>
      <c r="F220" s="17"/>
      <c r="G220" s="14" t="s">
        <v>347</v>
      </c>
      <c r="H220" s="261" t="str">
        <f>VLOOKUP($H$219,$H$232:$L$236,4)</f>
        <v>0.5 - 1</v>
      </c>
      <c r="I220" s="17" t="s">
        <v>348</v>
      </c>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row>
    <row r="221" ht="15.75" customHeight="1" outlineLevel="2">
      <c r="A221" s="17"/>
      <c r="B221" s="17"/>
      <c r="C221" s="17"/>
      <c r="D221" s="17"/>
      <c r="E221" s="17"/>
      <c r="F221" s="17"/>
      <c r="G221" s="14" t="s">
        <v>342</v>
      </c>
      <c r="H221" s="261">
        <f>VLOOKUP($H$219,$H$232:$L$236,2)</f>
        <v>38</v>
      </c>
      <c r="I221" s="17" t="s">
        <v>761</v>
      </c>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row>
    <row r="222" ht="15.75" customHeight="1" outlineLevel="2">
      <c r="A222" s="17"/>
      <c r="B222" s="17"/>
      <c r="C222" s="17"/>
      <c r="D222" s="17"/>
      <c r="E222" s="17"/>
      <c r="F222" s="17"/>
      <c r="G222" s="14" t="s">
        <v>762</v>
      </c>
      <c r="H222" s="261" t="str">
        <f>VLOOKUP($H$219,$H$233:$L$236,5)</f>
        <v>3.4 à 5 °C</v>
      </c>
      <c r="I222" s="17" t="s">
        <v>115</v>
      </c>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row>
    <row r="223" ht="15.75" customHeight="1" outlineLevel="2">
      <c r="A223" s="17"/>
      <c r="B223" s="17"/>
      <c r="C223" s="17"/>
      <c r="D223" s="17"/>
      <c r="E223" s="17"/>
      <c r="F223" s="17"/>
      <c r="G223" s="14" t="s">
        <v>763</v>
      </c>
      <c r="H223" s="261">
        <f>VLOOKUP($H$219,$H$232:$L$236,3)</f>
        <v>40</v>
      </c>
      <c r="I223" s="17" t="s">
        <v>761</v>
      </c>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row>
    <row r="224" ht="15.75" customHeight="1" outlineLevel="2">
      <c r="A224" s="17"/>
      <c r="B224" s="17"/>
      <c r="C224" s="17"/>
      <c r="D224" s="17"/>
      <c r="E224" s="17"/>
      <c r="F224" s="17"/>
      <c r="G224" s="14" t="s">
        <v>762</v>
      </c>
      <c r="H224" s="262">
        <f>IF((1.25+(H215-H206)*0.1/150)&lt;10,(1.25+(H215-H206)*0.1/150),10)</f>
        <v>3.785024874</v>
      </c>
      <c r="I224" s="17" t="s">
        <v>115</v>
      </c>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row>
    <row r="225" ht="15.75" customHeight="1" outlineLevel="2">
      <c r="A225" s="17"/>
      <c r="B225" s="17"/>
      <c r="C225" s="17"/>
      <c r="D225" s="17"/>
      <c r="E225" s="17"/>
      <c r="F225" s="17"/>
      <c r="G225" s="14" t="s">
        <v>764</v>
      </c>
      <c r="H225" s="263">
        <f>H213-H206</f>
        <v>566.1354976</v>
      </c>
      <c r="I225" s="17" t="s">
        <v>357</v>
      </c>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row>
    <row r="226" ht="15.75" customHeight="1" outlineLevel="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row>
    <row r="227" ht="16.5" customHeight="1" outlineLevel="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row>
    <row r="228" ht="15.0" customHeight="1" outlineLevel="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row>
    <row r="229" ht="16.5" customHeight="1" outlineLevel="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row>
    <row r="230" ht="15.75" customHeight="1" outlineLevel="2">
      <c r="A230" s="17"/>
      <c r="B230" s="17"/>
      <c r="C230" s="17"/>
      <c r="D230" s="17"/>
      <c r="E230" s="17"/>
      <c r="F230" s="17"/>
      <c r="G230" s="17"/>
      <c r="H230" s="241" t="s">
        <v>765</v>
      </c>
      <c r="I230" s="182"/>
      <c r="J230" s="182"/>
      <c r="K230" s="182"/>
      <c r="L230" s="183"/>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row>
    <row r="231" ht="15.75" customHeight="1" outlineLevel="2">
      <c r="A231" s="17"/>
      <c r="B231" s="17"/>
      <c r="C231" s="17"/>
      <c r="D231" s="17"/>
      <c r="E231" s="17"/>
      <c r="F231" s="17"/>
      <c r="G231" s="17"/>
      <c r="H231" s="14" t="s">
        <v>766</v>
      </c>
      <c r="I231" s="14">
        <v>1.0</v>
      </c>
      <c r="J231" s="14">
        <v>2.0</v>
      </c>
      <c r="K231" s="14">
        <v>3.0</v>
      </c>
      <c r="L231" s="14">
        <v>4.0</v>
      </c>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row>
    <row r="232" ht="15.75" customHeight="1" outlineLevel="2">
      <c r="A232" s="17"/>
      <c r="B232" s="17"/>
      <c r="C232" s="17"/>
      <c r="D232" s="17"/>
      <c r="E232" s="17"/>
      <c r="F232" s="17"/>
      <c r="G232" s="17"/>
      <c r="H232" s="14" t="s">
        <v>767</v>
      </c>
      <c r="I232" s="25" t="s">
        <v>342</v>
      </c>
      <c r="J232" s="14" t="s">
        <v>763</v>
      </c>
      <c r="K232" s="25" t="s">
        <v>768</v>
      </c>
      <c r="L232" s="14" t="s">
        <v>769</v>
      </c>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row>
    <row r="233" ht="15.75" customHeight="1" outlineLevel="2">
      <c r="A233" s="17"/>
      <c r="B233" s="17"/>
      <c r="C233" s="17"/>
      <c r="D233" s="17"/>
      <c r="E233" s="17"/>
      <c r="F233" s="17"/>
      <c r="G233" s="17"/>
      <c r="H233" s="25" t="s">
        <v>753</v>
      </c>
      <c r="I233" s="25">
        <v>20.0</v>
      </c>
      <c r="J233" s="25">
        <v>25.0</v>
      </c>
      <c r="K233" s="13" t="s">
        <v>770</v>
      </c>
      <c r="L233" s="13" t="s">
        <v>771</v>
      </c>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row>
    <row r="234" ht="15.75" customHeight="1" outlineLevel="2">
      <c r="A234" s="17"/>
      <c r="B234" s="17"/>
      <c r="C234" s="17"/>
      <c r="D234" s="17"/>
      <c r="E234" s="17"/>
      <c r="F234" s="17"/>
      <c r="G234" s="17"/>
      <c r="H234" s="25" t="s">
        <v>754</v>
      </c>
      <c r="I234" s="25">
        <v>24.0</v>
      </c>
      <c r="J234" s="25">
        <v>30.0</v>
      </c>
      <c r="K234" s="13" t="s">
        <v>772</v>
      </c>
      <c r="L234" s="13" t="s">
        <v>773</v>
      </c>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row>
    <row r="235" ht="15.75" customHeight="1" outlineLevel="2">
      <c r="A235" s="17"/>
      <c r="B235" s="17"/>
      <c r="C235" s="17"/>
      <c r="D235" s="17"/>
      <c r="E235" s="17"/>
      <c r="F235" s="17"/>
      <c r="G235" s="17"/>
      <c r="H235" s="25" t="s">
        <v>755</v>
      </c>
      <c r="I235" s="25">
        <v>27.0</v>
      </c>
      <c r="J235" s="25">
        <v>35.0</v>
      </c>
      <c r="K235" s="13" t="s">
        <v>774</v>
      </c>
      <c r="L235" s="13" t="s">
        <v>775</v>
      </c>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row>
    <row r="236" ht="15.75" customHeight="1" outlineLevel="2">
      <c r="A236" s="17"/>
      <c r="B236" s="17"/>
      <c r="C236" s="17"/>
      <c r="D236" s="17"/>
      <c r="E236" s="17"/>
      <c r="F236" s="17"/>
      <c r="G236" s="17"/>
      <c r="H236" s="14" t="s">
        <v>756</v>
      </c>
      <c r="I236" s="25">
        <v>38.0</v>
      </c>
      <c r="J236" s="25">
        <v>40.0</v>
      </c>
      <c r="K236" s="13" t="s">
        <v>776</v>
      </c>
      <c r="L236" s="13" t="s">
        <v>777</v>
      </c>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row>
    <row r="237" ht="15.75" customHeight="1" outlineLevel="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row>
    <row r="238" ht="15.0" customHeight="1" outlineLevel="2">
      <c r="A238" s="17"/>
      <c r="B238" s="17"/>
      <c r="C238" s="17"/>
      <c r="D238" s="17"/>
      <c r="E238" s="17"/>
      <c r="F238" s="17"/>
      <c r="G238" s="17"/>
      <c r="H238" s="17" t="s">
        <v>766</v>
      </c>
      <c r="I238" s="264" t="s">
        <v>778</v>
      </c>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row>
    <row r="239" ht="15.75" customHeight="1" outlineLevel="2">
      <c r="A239" s="17"/>
      <c r="B239" s="17"/>
      <c r="C239" s="17"/>
      <c r="D239" s="17"/>
      <c r="E239" s="17"/>
      <c r="F239" s="17"/>
      <c r="G239" s="17"/>
      <c r="H239" s="17">
        <v>1.0</v>
      </c>
      <c r="I239" s="17" t="s">
        <v>779</v>
      </c>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row>
    <row r="240" ht="15.75" customHeight="1" outlineLevel="2">
      <c r="A240" s="17"/>
      <c r="B240" s="17"/>
      <c r="C240" s="17"/>
      <c r="D240" s="17"/>
      <c r="E240" s="17"/>
      <c r="F240" s="17"/>
      <c r="G240" s="17"/>
      <c r="H240" s="17">
        <v>2.0</v>
      </c>
      <c r="I240" s="17" t="s">
        <v>779</v>
      </c>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row>
    <row r="241" ht="15.75" customHeight="1" outlineLevel="2">
      <c r="A241" s="17"/>
      <c r="B241" s="17"/>
      <c r="C241" s="17"/>
      <c r="D241" s="17"/>
      <c r="E241" s="17"/>
      <c r="F241" s="17"/>
      <c r="G241" s="17"/>
      <c r="H241" s="17">
        <v>3.0</v>
      </c>
      <c r="I241" s="17" t="s">
        <v>780</v>
      </c>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row>
    <row r="242" ht="15.75" customHeight="1" outlineLevel="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row>
    <row r="246" ht="18.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row>
    <row r="247" ht="18.75" customHeight="1">
      <c r="A247" s="265" t="s">
        <v>781</v>
      </c>
      <c r="B247" s="266"/>
      <c r="C247" s="266"/>
      <c r="D247" s="266"/>
      <c r="E247" s="266"/>
      <c r="F247" s="266"/>
      <c r="G247" s="266"/>
      <c r="H247" s="266"/>
      <c r="I247" s="267"/>
      <c r="J247" s="267"/>
      <c r="K247" s="267"/>
      <c r="L247" s="267"/>
      <c r="M247" s="267"/>
      <c r="N247" s="267"/>
      <c r="O247" s="267"/>
      <c r="P247" s="267"/>
      <c r="Q247" s="267"/>
      <c r="R247" s="267"/>
      <c r="S247" s="267"/>
      <c r="T247" s="267"/>
      <c r="U247" s="267"/>
      <c r="V247" s="267"/>
      <c r="W247" s="267"/>
      <c r="X247" s="267"/>
      <c r="Y247" s="267"/>
      <c r="Z247" s="26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row>
    <row r="248" ht="18.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row>
    <row r="249" ht="18.75" customHeight="1" outlineLevel="1">
      <c r="A249" s="17"/>
      <c r="B249" s="17"/>
      <c r="C249" s="268" t="s">
        <v>782</v>
      </c>
      <c r="D249" s="182"/>
      <c r="E249" s="18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row>
    <row r="250" ht="18.75" customHeight="1" outlineLevel="1">
      <c r="A250" s="17"/>
      <c r="B250" s="17" t="s">
        <v>783</v>
      </c>
      <c r="C250" s="14" t="s">
        <v>784</v>
      </c>
      <c r="D250" s="152">
        <v>40.0</v>
      </c>
      <c r="E250" s="14" t="s">
        <v>105</v>
      </c>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row>
    <row r="251" ht="18.0" customHeight="1" outlineLevel="1">
      <c r="A251" s="17"/>
      <c r="B251" s="17" t="s">
        <v>785</v>
      </c>
      <c r="C251" s="14" t="s">
        <v>786</v>
      </c>
      <c r="D251" s="168">
        <f>D250*67</f>
        <v>2680</v>
      </c>
      <c r="E251" s="14" t="s">
        <v>787</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row>
    <row r="252" ht="18.75" customHeight="1" outlineLevel="1">
      <c r="A252" s="17"/>
      <c r="B252" s="17" t="s">
        <v>788</v>
      </c>
      <c r="C252" s="14" t="s">
        <v>789</v>
      </c>
      <c r="D252" s="153">
        <f>27.8*10^6</f>
        <v>27800000</v>
      </c>
      <c r="E252" s="14" t="s">
        <v>790</v>
      </c>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row>
    <row r="253" ht="18.75" customHeight="1" outlineLevel="1">
      <c r="A253" s="17"/>
      <c r="B253" s="17" t="s">
        <v>791</v>
      </c>
      <c r="C253" s="14" t="s">
        <v>792</v>
      </c>
      <c r="D253" s="153">
        <f>29*10^6</f>
        <v>29000000</v>
      </c>
      <c r="E253" s="14" t="s">
        <v>790</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row>
    <row r="254" ht="18.75" customHeight="1" outlineLevel="1">
      <c r="A254" s="17"/>
      <c r="B254" s="17" t="s">
        <v>793</v>
      </c>
      <c r="C254" s="14" t="s">
        <v>794</v>
      </c>
      <c r="D254" s="152">
        <v>93.0</v>
      </c>
      <c r="E254" s="14" t="s">
        <v>105</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row>
    <row r="255" ht="18.75" customHeight="1" outlineLevel="1">
      <c r="A255" s="17"/>
      <c r="B255" s="17" t="s">
        <v>795</v>
      </c>
      <c r="C255" s="14" t="s">
        <v>796</v>
      </c>
      <c r="D255" s="152">
        <v>35.0</v>
      </c>
      <c r="E255" s="14" t="s">
        <v>797</v>
      </c>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row>
    <row r="256" ht="18.75" customHeight="1" outlineLevel="1">
      <c r="A256" s="17"/>
      <c r="B256" s="17" t="s">
        <v>798</v>
      </c>
      <c r="C256" s="14" t="s">
        <v>799</v>
      </c>
      <c r="D256" s="152">
        <v>20.0</v>
      </c>
      <c r="E256" s="14" t="s">
        <v>797</v>
      </c>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row>
    <row r="257" ht="18.75" customHeight="1" outlineLevel="1">
      <c r="A257" s="17"/>
      <c r="B257" s="17" t="s">
        <v>800</v>
      </c>
      <c r="C257" s="14" t="s">
        <v>801</v>
      </c>
      <c r="D257" s="152">
        <v>21.0</v>
      </c>
      <c r="E257" s="14" t="s">
        <v>115</v>
      </c>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row>
    <row r="258" ht="18.75" customHeight="1" outlineLevel="1">
      <c r="A258" s="17"/>
      <c r="B258" s="17" t="s">
        <v>802</v>
      </c>
      <c r="C258" s="14" t="s">
        <v>803</v>
      </c>
      <c r="D258" s="152">
        <v>60.0</v>
      </c>
      <c r="E258" s="14" t="s">
        <v>797</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row>
    <row r="259" ht="18.75" customHeight="1" outlineLevel="1">
      <c r="A259" s="17"/>
      <c r="B259" s="17" t="s">
        <v>804</v>
      </c>
      <c r="C259" s="14" t="s">
        <v>805</v>
      </c>
      <c r="D259" s="152">
        <v>150.0</v>
      </c>
      <c r="E259" s="14" t="s">
        <v>797</v>
      </c>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row>
    <row r="260" ht="18.75" customHeight="1" outlineLevel="1">
      <c r="A260" s="17"/>
      <c r="B260" s="17" t="s">
        <v>806</v>
      </c>
      <c r="C260" s="14" t="s">
        <v>807</v>
      </c>
      <c r="D260" s="152">
        <v>2.0</v>
      </c>
      <c r="E260" s="14"/>
      <c r="F260" s="17" t="s">
        <v>808</v>
      </c>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row>
    <row r="261" ht="18.75" customHeight="1" outlineLevel="1">
      <c r="A261" s="17"/>
      <c r="B261" s="17" t="s">
        <v>809</v>
      </c>
      <c r="C261" s="14" t="s">
        <v>810</v>
      </c>
      <c r="D261" s="269">
        <v>-0.06</v>
      </c>
      <c r="E261" s="14"/>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row>
    <row r="262" ht="18.75" customHeight="1" outlineLevel="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row>
    <row r="263" ht="18.75" customHeight="1" outlineLevel="1">
      <c r="A263" s="17"/>
      <c r="B263" s="17"/>
      <c r="C263" s="268" t="s">
        <v>811</v>
      </c>
      <c r="D263" s="182"/>
      <c r="E263" s="18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row>
    <row r="264" ht="18.75" customHeight="1" outlineLevel="1">
      <c r="A264" s="17"/>
      <c r="B264" s="17" t="s">
        <v>812</v>
      </c>
      <c r="C264" s="14" t="s">
        <v>813</v>
      </c>
      <c r="D264" s="153">
        <f>D253*17%</f>
        <v>4930000</v>
      </c>
      <c r="E264" s="14" t="s">
        <v>790</v>
      </c>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row>
    <row r="265" ht="18.75" customHeight="1" outlineLevel="1">
      <c r="A265" s="17"/>
      <c r="B265" s="17" t="s">
        <v>814</v>
      </c>
      <c r="C265" s="14" t="s">
        <v>815</v>
      </c>
      <c r="D265" s="153">
        <f>D253*40%</f>
        <v>11600000</v>
      </c>
      <c r="E265" s="14" t="s">
        <v>790</v>
      </c>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row>
    <row r="266" ht="18.75" customHeight="1" outlineLevel="1">
      <c r="A266" s="17"/>
      <c r="B266" s="17" t="s">
        <v>816</v>
      </c>
      <c r="C266" s="14" t="s">
        <v>817</v>
      </c>
      <c r="D266" s="153">
        <f>D253*18%</f>
        <v>5220000</v>
      </c>
      <c r="E266" s="14" t="s">
        <v>790</v>
      </c>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row>
    <row r="267" ht="18.75" customHeight="1" outlineLevel="1">
      <c r="A267" s="17"/>
      <c r="B267" s="17" t="s">
        <v>818</v>
      </c>
      <c r="C267" s="14" t="s">
        <v>819</v>
      </c>
      <c r="D267" s="153">
        <f>D253*5%</f>
        <v>1450000</v>
      </c>
      <c r="E267" s="14" t="s">
        <v>790</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row>
    <row r="268" ht="18.75" customHeight="1" outlineLevel="1">
      <c r="A268" s="17"/>
      <c r="B268" s="17" t="s">
        <v>820</v>
      </c>
      <c r="C268" s="14" t="s">
        <v>821</v>
      </c>
      <c r="D268" s="153">
        <f>D253*15%</f>
        <v>4350000</v>
      </c>
      <c r="E268" s="14" t="s">
        <v>790</v>
      </c>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row>
    <row r="269" ht="18.75" customHeight="1" outlineLevel="1">
      <c r="A269" s="17"/>
      <c r="B269" s="17" t="s">
        <v>822</v>
      </c>
      <c r="C269" s="14" t="s">
        <v>823</v>
      </c>
      <c r="D269" s="153">
        <f>D253*5%</f>
        <v>1450000</v>
      </c>
      <c r="E269" s="14" t="s">
        <v>790</v>
      </c>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row>
    <row r="270" ht="34.5" customHeight="1" outlineLevel="1">
      <c r="A270" s="270"/>
      <c r="B270" s="270"/>
      <c r="C270" s="271" t="s">
        <v>824</v>
      </c>
      <c r="D270" s="272"/>
      <c r="E270" s="272"/>
      <c r="F270" s="270"/>
      <c r="G270" s="270"/>
      <c r="H270" s="270"/>
      <c r="I270" s="270"/>
      <c r="J270" s="270"/>
      <c r="K270" s="270"/>
      <c r="L270" s="270"/>
      <c r="M270" s="270"/>
      <c r="N270" s="270"/>
      <c r="O270" s="270"/>
      <c r="P270" s="270"/>
      <c r="Q270" s="270"/>
      <c r="R270" s="270"/>
      <c r="S270" s="270"/>
      <c r="T270" s="270"/>
      <c r="U270" s="270"/>
      <c r="V270" s="270"/>
      <c r="W270" s="270"/>
      <c r="X270" s="270"/>
      <c r="Y270" s="270"/>
      <c r="Z270" s="270"/>
      <c r="AA270" s="270"/>
      <c r="AB270" s="270"/>
      <c r="AC270" s="270"/>
      <c r="AD270" s="270"/>
      <c r="AE270" s="270"/>
      <c r="AF270" s="270"/>
      <c r="AG270" s="270"/>
      <c r="AH270" s="270"/>
      <c r="AI270" s="270"/>
      <c r="AJ270" s="270"/>
      <c r="AK270" s="270"/>
      <c r="AL270" s="270"/>
      <c r="AM270" s="270"/>
      <c r="AN270" s="270"/>
      <c r="AO270" s="270"/>
      <c r="AP270" s="270"/>
      <c r="AQ270" s="270"/>
      <c r="AR270" s="270"/>
      <c r="AS270" s="270"/>
      <c r="AT270" s="270"/>
      <c r="AU270" s="270"/>
      <c r="AV270" s="270"/>
      <c r="AW270" s="270"/>
      <c r="AX270" s="270"/>
      <c r="AY270" s="270"/>
      <c r="AZ270" s="270"/>
      <c r="BA270" s="270"/>
      <c r="BB270" s="270"/>
      <c r="BC270" s="270"/>
      <c r="BD270" s="270"/>
      <c r="BE270" s="270"/>
      <c r="BF270" s="270"/>
      <c r="BG270" s="270"/>
      <c r="BH270" s="270"/>
      <c r="BI270" s="270"/>
      <c r="BJ270" s="270"/>
      <c r="BK270" s="270"/>
      <c r="BL270" s="270"/>
      <c r="BM270" s="270"/>
      <c r="BN270" s="270"/>
      <c r="BO270" s="270"/>
      <c r="BP270" s="270"/>
      <c r="BQ270" s="270"/>
      <c r="BR270" s="270"/>
      <c r="BS270" s="270"/>
      <c r="BT270" s="270"/>
      <c r="BU270" s="270"/>
      <c r="BV270" s="270"/>
      <c r="BW270" s="270"/>
      <c r="BX270" s="270"/>
      <c r="BY270" s="270"/>
      <c r="BZ270" s="270"/>
      <c r="CA270" s="270"/>
      <c r="CB270" s="270"/>
      <c r="CC270" s="270"/>
      <c r="CD270" s="270"/>
      <c r="CE270" s="270"/>
      <c r="CF270" s="270"/>
      <c r="CG270" s="270"/>
      <c r="CH270" s="270"/>
      <c r="CI270" s="270"/>
      <c r="CJ270" s="270"/>
    </row>
    <row r="271" ht="18.75" customHeight="1" outlineLevel="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row>
    <row r="272" ht="18.75" customHeight="1" outlineLevel="1">
      <c r="A272" s="17"/>
      <c r="B272" s="17"/>
      <c r="C272" s="268" t="s">
        <v>825</v>
      </c>
      <c r="D272" s="182"/>
      <c r="E272" s="18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row>
    <row r="273" ht="18.75" customHeight="1" outlineLevel="1">
      <c r="A273" s="17"/>
      <c r="B273" s="17" t="s">
        <v>826</v>
      </c>
      <c r="C273" s="14" t="s">
        <v>827</v>
      </c>
      <c r="D273" s="153">
        <v>1000000.0</v>
      </c>
      <c r="E273" s="14" t="s">
        <v>790</v>
      </c>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row>
    <row r="274" ht="18.75" customHeight="1" outlineLevel="1">
      <c r="A274" s="17"/>
      <c r="B274" s="17" t="s">
        <v>828</v>
      </c>
      <c r="C274" s="14" t="s">
        <v>829</v>
      </c>
      <c r="D274" s="153">
        <v>1000000.0</v>
      </c>
      <c r="E274" s="14" t="s">
        <v>790</v>
      </c>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row>
    <row r="275" ht="18.75" customHeight="1" outlineLevel="1">
      <c r="A275" s="17"/>
      <c r="B275" s="17" t="s">
        <v>830</v>
      </c>
      <c r="C275" s="14" t="s">
        <v>831</v>
      </c>
      <c r="D275" s="153">
        <f>D253*1000-D273-D274</f>
        <v>28998000000</v>
      </c>
      <c r="E275" s="14" t="s">
        <v>790</v>
      </c>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row>
    <row r="276" ht="18.75" customHeight="1" outlineLevel="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row>
    <row r="277" ht="18.75" customHeight="1" outlineLevel="1">
      <c r="A277" s="17"/>
      <c r="B277" s="17"/>
      <c r="C277" s="268" t="s">
        <v>832</v>
      </c>
      <c r="D277" s="182"/>
      <c r="E277" s="18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row>
    <row r="278" ht="18.75" customHeight="1" outlineLevel="1">
      <c r="A278" s="17"/>
      <c r="B278" s="17" t="s">
        <v>833</v>
      </c>
      <c r="C278" s="14" t="s">
        <v>834</v>
      </c>
      <c r="D278" s="14" t="str">
        <f>FE_Gaz</f>
        <v>0,24</v>
      </c>
      <c r="E278" s="14" t="s">
        <v>835</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row>
    <row r="279" ht="18.75" customHeight="1" outlineLevel="1">
      <c r="A279" s="17"/>
      <c r="B279" s="17" t="s">
        <v>836</v>
      </c>
      <c r="C279" s="14" t="s">
        <v>837</v>
      </c>
      <c r="D279" s="152">
        <v>0.03</v>
      </c>
      <c r="E279" s="14" t="s">
        <v>835</v>
      </c>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row>
    <row r="280" ht="18.75" customHeight="1" outlineLevel="1">
      <c r="A280" s="17"/>
      <c r="B280" s="17" t="s">
        <v>838</v>
      </c>
      <c r="C280" s="14" t="s">
        <v>839</v>
      </c>
      <c r="D280" s="152">
        <v>0.324</v>
      </c>
      <c r="E280" s="14" t="s">
        <v>835</v>
      </c>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row>
    <row r="281" ht="18.75" customHeight="1" outlineLevel="1">
      <c r="A281" s="17"/>
      <c r="B281" s="17" t="s">
        <v>840</v>
      </c>
      <c r="C281" s="14" t="s">
        <v>841</v>
      </c>
      <c r="D281" s="14" t="str">
        <f>FE_Electricité</f>
        <v>0,08</v>
      </c>
      <c r="E281" s="14" t="s">
        <v>835</v>
      </c>
      <c r="F281" s="17"/>
      <c r="G281" s="273"/>
      <c r="H281" s="273"/>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row>
    <row r="282" ht="18.75" customHeight="1" outlineLevel="1">
      <c r="A282" s="17"/>
      <c r="B282" s="17" t="s">
        <v>842</v>
      </c>
      <c r="C282" s="14" t="s">
        <v>843</v>
      </c>
      <c r="D282" s="152">
        <v>0.317</v>
      </c>
      <c r="E282" s="14" t="s">
        <v>835</v>
      </c>
      <c r="F282" s="17"/>
      <c r="G282" s="273"/>
      <c r="H282" s="273"/>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row>
    <row r="283" ht="18.75" customHeight="1" outlineLevel="1">
      <c r="A283" s="17"/>
      <c r="B283" s="17" t="s">
        <v>844</v>
      </c>
      <c r="C283" s="14" t="s">
        <v>845</v>
      </c>
      <c r="D283" s="152">
        <v>0.1</v>
      </c>
      <c r="E283" s="14" t="s">
        <v>835</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row>
    <row r="284" ht="18.75" customHeight="1" outlineLevel="1">
      <c r="A284" s="17"/>
      <c r="B284" s="17" t="s">
        <v>846</v>
      </c>
      <c r="C284" s="14" t="s">
        <v>847</v>
      </c>
      <c r="D284" s="152">
        <v>0.025</v>
      </c>
      <c r="E284" s="14" t="s">
        <v>835</v>
      </c>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row>
    <row r="285" ht="18.75" customHeight="1" outlineLevel="1">
      <c r="A285" s="17"/>
      <c r="B285" s="17" t="s">
        <v>848</v>
      </c>
      <c r="C285" s="14" t="s">
        <v>849</v>
      </c>
      <c r="D285" s="152">
        <v>0.025</v>
      </c>
      <c r="E285" s="14" t="s">
        <v>835</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row>
    <row r="286" ht="18.75" customHeight="1" outlineLevel="1">
      <c r="A286" s="17"/>
      <c r="B286" s="17" t="s">
        <v>850</v>
      </c>
      <c r="C286" s="14" t="s">
        <v>851</v>
      </c>
      <c r="D286" s="274">
        <f>(D278*D265+D280*D264)/(D264+D265)</f>
        <v>0.2650526316</v>
      </c>
      <c r="E286" s="14" t="s">
        <v>835</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row>
    <row r="287" ht="18.75" customHeight="1" outlineLevel="1">
      <c r="A287" s="17"/>
      <c r="B287" s="17" t="s">
        <v>852</v>
      </c>
      <c r="C287" s="14" t="s">
        <v>853</v>
      </c>
      <c r="D287" s="152">
        <v>0.7</v>
      </c>
      <c r="E287" s="14" t="s">
        <v>854</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row>
    <row r="288" ht="18.75" customHeight="1" outlineLevel="1">
      <c r="A288" s="17"/>
      <c r="B288" s="17" t="s">
        <v>855</v>
      </c>
      <c r="C288" s="14" t="s">
        <v>856</v>
      </c>
      <c r="D288" s="152">
        <v>0.1</v>
      </c>
      <c r="E288" s="14" t="s">
        <v>854</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row>
    <row r="289" ht="18.75" customHeight="1" outlineLevel="1">
      <c r="A289" s="17"/>
      <c r="B289" s="17" t="s">
        <v>857</v>
      </c>
      <c r="C289" s="14" t="s">
        <v>858</v>
      </c>
      <c r="D289" s="152">
        <v>0.082</v>
      </c>
      <c r="E289" s="14" t="s">
        <v>835</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row>
    <row r="290" ht="18.75" customHeight="1" outlineLevel="1">
      <c r="A290" s="17"/>
      <c r="B290" s="17" t="s">
        <v>859</v>
      </c>
      <c r="C290" s="14" t="s">
        <v>860</v>
      </c>
      <c r="D290" s="152">
        <v>0.243</v>
      </c>
      <c r="E290" s="14" t="s">
        <v>835</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row>
    <row r="291" ht="18.75" customHeight="1" outlineLevel="1">
      <c r="A291" s="17"/>
      <c r="B291" s="17"/>
      <c r="C291" s="275" t="s">
        <v>861</v>
      </c>
      <c r="D291" s="272"/>
      <c r="E291" s="272"/>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row>
    <row r="292" ht="18.0" customHeight="1" outlineLevel="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row>
    <row r="293" ht="18.75" customHeight="1" outlineLevel="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row>
    <row r="294" ht="18.75" customHeight="1" outlineLevel="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row>
    <row r="295" ht="18.75" customHeight="1" outlineLevel="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row>
    <row r="296" ht="18.75" customHeight="1" outlineLevel="1">
      <c r="A296" s="17"/>
      <c r="B296" s="17"/>
      <c r="C296" s="268" t="s">
        <v>862</v>
      </c>
      <c r="D296" s="182"/>
      <c r="E296" s="18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row>
    <row r="297" ht="18.75" customHeight="1" outlineLevel="1">
      <c r="A297" s="17"/>
      <c r="B297" s="17" t="s">
        <v>863</v>
      </c>
      <c r="C297" s="14" t="s">
        <v>864</v>
      </c>
      <c r="D297" s="168">
        <f>Nb_log_fioul*Part_chauffage_fioul_remplacé_2030</f>
        <v>0</v>
      </c>
      <c r="E297" s="14" t="s">
        <v>790</v>
      </c>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row>
    <row r="298" ht="18.75" customHeight="1" outlineLevel="1">
      <c r="A298" s="17"/>
      <c r="B298" s="17" t="s">
        <v>865</v>
      </c>
      <c r="C298" s="14" t="s">
        <v>866</v>
      </c>
      <c r="D298" s="168">
        <f>Nb_log_gaz*Part_chauffage_gaz_remplacé_2030</f>
        <v>0</v>
      </c>
      <c r="E298" s="14" t="s">
        <v>790</v>
      </c>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row>
    <row r="299" ht="18.75" customHeight="1" outlineLevel="1">
      <c r="A299" s="17"/>
      <c r="B299" s="17" t="s">
        <v>867</v>
      </c>
      <c r="C299" s="14" t="s">
        <v>868</v>
      </c>
      <c r="D299" s="14">
        <f>Nb_log_élec*Part_chauffage_électrique_remplacé_2030</f>
        <v>0</v>
      </c>
      <c r="E299" s="14" t="s">
        <v>790</v>
      </c>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row>
    <row r="300" ht="18.75" customHeight="1" outlineLevel="1">
      <c r="A300" s="17"/>
      <c r="B300" s="17" t="s">
        <v>869</v>
      </c>
      <c r="C300" s="14" t="s">
        <v>870</v>
      </c>
      <c r="D300" s="168">
        <f>SUM(D297:D299)</f>
        <v>0</v>
      </c>
      <c r="E300" s="14" t="s">
        <v>790</v>
      </c>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row>
    <row r="301" ht="18.75" customHeight="1" outlineLevel="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row>
    <row r="302" ht="18.75" customHeight="1" outlineLevel="1">
      <c r="A302" s="17"/>
      <c r="B302" s="17"/>
      <c r="C302" s="268" t="s">
        <v>871</v>
      </c>
      <c r="D302" s="182"/>
      <c r="E302" s="18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row>
    <row r="303" ht="18.75" customHeight="1" outlineLevel="1">
      <c r="A303" s="17"/>
      <c r="B303" s="17" t="s">
        <v>872</v>
      </c>
      <c r="C303" s="14" t="s">
        <v>873</v>
      </c>
      <c r="D303" s="152">
        <v>25.0</v>
      </c>
      <c r="E303" s="14" t="s">
        <v>76</v>
      </c>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row>
    <row r="304" ht="18.75" customHeight="1" outlineLevel="1">
      <c r="A304" s="17"/>
      <c r="B304" s="17" t="s">
        <v>874</v>
      </c>
      <c r="C304" s="14" t="s">
        <v>875</v>
      </c>
      <c r="D304" s="269">
        <v>1.0</v>
      </c>
      <c r="E304" s="14" t="s">
        <v>876</v>
      </c>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row>
    <row r="305" ht="18.75" customHeight="1" outlineLevel="1">
      <c r="A305" s="17"/>
      <c r="B305" s="17"/>
      <c r="C305" s="14" t="s">
        <v>877</v>
      </c>
      <c r="D305" s="39">
        <f>((H343-R343)/H343)*Ratio_log_tertiaire</f>
        <v>-0.1188624677</v>
      </c>
      <c r="E305" s="14"/>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row>
    <row r="306" ht="18.75" customHeight="1" outlineLevel="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row>
    <row r="307" ht="18.75" customHeight="1" outlineLevel="1">
      <c r="A307" s="17"/>
      <c r="B307" s="17"/>
      <c r="C307" s="17"/>
      <c r="D307" s="17"/>
      <c r="E307" s="17"/>
      <c r="F307" s="17"/>
      <c r="G307" s="276" t="s">
        <v>878</v>
      </c>
      <c r="H307" s="277"/>
      <c r="I307" s="277"/>
      <c r="J307" s="277"/>
      <c r="K307" s="277"/>
      <c r="L307" s="277"/>
      <c r="M307" s="277"/>
      <c r="N307" s="277"/>
      <c r="O307" s="277"/>
      <c r="P307" s="277"/>
      <c r="Q307" s="277"/>
      <c r="R307" s="277"/>
      <c r="S307" s="278"/>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row>
    <row r="308" ht="18.75" customHeight="1" outlineLevel="1">
      <c r="A308" s="17"/>
      <c r="B308" s="17"/>
      <c r="C308" s="17"/>
      <c r="D308" s="17"/>
      <c r="E308" s="17"/>
      <c r="F308" s="17"/>
      <c r="G308" s="14" t="s">
        <v>879</v>
      </c>
      <c r="H308" s="279">
        <v>20000.0</v>
      </c>
      <c r="I308" s="279">
        <f>Part_Bati_rénové_2030*Nb_res_2020/Nb_années</f>
        <v>0</v>
      </c>
      <c r="J308" s="279">
        <f>Part_Bati_rénové_2030*Nb_res_2020/Nb_années</f>
        <v>0</v>
      </c>
      <c r="K308" s="279">
        <f>Part_Bati_rénové_2030*Nb_res_2020/Nb_années</f>
        <v>0</v>
      </c>
      <c r="L308" s="279">
        <f>Part_Bati_rénové_2030*Nb_res_2020/Nb_années</f>
        <v>0</v>
      </c>
      <c r="M308" s="279">
        <f>Part_Bati_rénové_2030*Nb_res_2020/Nb_années</f>
        <v>0</v>
      </c>
      <c r="N308" s="279">
        <f>Part_Bati_rénové_2030*Nb_res_2020/Nb_années</f>
        <v>0</v>
      </c>
      <c r="O308" s="279">
        <f>Part_Bati_rénové_2030*Nb_res_2020/Nb_années</f>
        <v>0</v>
      </c>
      <c r="P308" s="279">
        <f>Part_Bati_rénové_2030*Nb_res_2020/Nb_années</f>
        <v>0</v>
      </c>
      <c r="Q308" s="279">
        <f>Part_Bati_rénové_2030*Nb_res_2020/Nb_années</f>
        <v>0</v>
      </c>
      <c r="R308" s="279">
        <f>Part_Bati_rénové_2030*Nb_res_2020/Nb_années</f>
        <v>0</v>
      </c>
      <c r="S308" s="208">
        <f t="shared" ref="S308:S310" si="23">SUM(H308:R308)</f>
        <v>20000</v>
      </c>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row>
    <row r="309" ht="18.75" customHeight="1" outlineLevel="1">
      <c r="A309" s="17"/>
      <c r="B309" s="17"/>
      <c r="C309" s="17"/>
      <c r="D309" s="17"/>
      <c r="E309" s="17"/>
      <c r="F309" s="17"/>
      <c r="G309" s="14" t="s">
        <v>880</v>
      </c>
      <c r="H309" s="279">
        <v>20000.0</v>
      </c>
      <c r="I309" s="279">
        <f>(Nb_log_fioul*Part_chauffage_fioul_remplacé_2030+Nb_log_gaz*Part_chauffage_gaz_remplacé_2030)/Nb_années</f>
        <v>0</v>
      </c>
      <c r="J309" s="279">
        <f>(Nb_log_fioul*Part_chauffage_fioul_remplacé_2030+Nb_log_gaz*Part_chauffage_gaz_remplacé_2030)/Nb_années</f>
        <v>0</v>
      </c>
      <c r="K309" s="279">
        <f>(Nb_log_fioul*Part_chauffage_fioul_remplacé_2030+Nb_log_gaz*Part_chauffage_gaz_remplacé_2030)/Nb_années</f>
        <v>0</v>
      </c>
      <c r="L309" s="279">
        <f>(Nb_log_fioul*Part_chauffage_fioul_remplacé_2030+Nb_log_gaz*Part_chauffage_gaz_remplacé_2030)/Nb_années</f>
        <v>0</v>
      </c>
      <c r="M309" s="279">
        <f>(Nb_log_fioul*Part_chauffage_fioul_remplacé_2030+Nb_log_gaz*Part_chauffage_gaz_remplacé_2030)/Nb_années</f>
        <v>0</v>
      </c>
      <c r="N309" s="279">
        <f>(Nb_log_fioul*Part_chauffage_fioul_remplacé_2030+Nb_log_gaz*Part_chauffage_gaz_remplacé_2030)/Nb_années</f>
        <v>0</v>
      </c>
      <c r="O309" s="279">
        <f>(Nb_log_fioul*Part_chauffage_fioul_remplacé_2030+Nb_log_gaz*Part_chauffage_gaz_remplacé_2030)/Nb_années</f>
        <v>0</v>
      </c>
      <c r="P309" s="279">
        <f>(Nb_log_fioul*Part_chauffage_fioul_remplacé_2030+Nb_log_gaz*Part_chauffage_gaz_remplacé_2030)/Nb_années</f>
        <v>0</v>
      </c>
      <c r="Q309" s="279">
        <f>(Nb_log_fioul*Part_chauffage_fioul_remplacé_2030+Nb_log_gaz*Part_chauffage_gaz_remplacé_2030)/Nb_années</f>
        <v>0</v>
      </c>
      <c r="R309" s="279">
        <f>(Nb_log_fioul*Part_chauffage_fioul_remplacé_2030+Nb_log_gaz*Part_chauffage_gaz_remplacé_2030)/Nb_années</f>
        <v>0</v>
      </c>
      <c r="S309" s="208">
        <f t="shared" si="23"/>
        <v>20000</v>
      </c>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row>
    <row r="310" ht="18.75" customHeight="1" outlineLevel="1">
      <c r="A310" s="17"/>
      <c r="B310" s="17"/>
      <c r="C310" s="17"/>
      <c r="D310" s="17"/>
      <c r="E310" s="17"/>
      <c r="F310" s="17"/>
      <c r="G310" s="14" t="s">
        <v>881</v>
      </c>
      <c r="H310" s="280">
        <v>300000.0</v>
      </c>
      <c r="I310" s="280">
        <v>300000.0</v>
      </c>
      <c r="J310" s="280">
        <v>300000.0</v>
      </c>
      <c r="K310" s="280">
        <v>300000.0</v>
      </c>
      <c r="L310" s="280">
        <v>300000.0</v>
      </c>
      <c r="M310" s="280">
        <v>300000.0</v>
      </c>
      <c r="N310" s="280">
        <v>300000.0</v>
      </c>
      <c r="O310" s="280">
        <v>300000.0</v>
      </c>
      <c r="P310" s="280">
        <v>300000.0</v>
      </c>
      <c r="Q310" s="280">
        <v>300000.0</v>
      </c>
      <c r="R310" s="280">
        <v>300000.0</v>
      </c>
      <c r="S310" s="208">
        <f t="shared" si="23"/>
        <v>3300000</v>
      </c>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row>
    <row r="311" ht="18.75" customHeight="1" outlineLevel="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row>
    <row r="312" ht="18.75" customHeight="1" outlineLevel="1">
      <c r="A312" s="17"/>
      <c r="B312" s="17"/>
      <c r="C312" s="17"/>
      <c r="D312" s="17"/>
      <c r="E312" s="17"/>
      <c r="F312" s="17"/>
      <c r="G312" s="281" t="s">
        <v>882</v>
      </c>
      <c r="H312" s="182"/>
      <c r="I312" s="182"/>
      <c r="J312" s="182"/>
      <c r="K312" s="182"/>
      <c r="L312" s="182"/>
      <c r="M312" s="182"/>
      <c r="N312" s="182"/>
      <c r="O312" s="182"/>
      <c r="P312" s="182"/>
      <c r="Q312" s="182"/>
      <c r="R312" s="183"/>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row>
    <row r="313" ht="18.75" customHeight="1" outlineLevel="1">
      <c r="A313" s="17"/>
      <c r="B313" s="17"/>
      <c r="C313" s="17"/>
      <c r="D313" s="17"/>
      <c r="E313" s="17"/>
      <c r="F313" s="17"/>
      <c r="G313" s="257" t="s">
        <v>883</v>
      </c>
      <c r="H313" s="257">
        <f>D273+H310</f>
        <v>1300000</v>
      </c>
      <c r="I313" s="257">
        <f t="shared" ref="I313:R313" si="24">H313+I310</f>
        <v>1600000</v>
      </c>
      <c r="J313" s="257">
        <f t="shared" si="24"/>
        <v>1900000</v>
      </c>
      <c r="K313" s="257">
        <f t="shared" si="24"/>
        <v>2200000</v>
      </c>
      <c r="L313" s="257">
        <f t="shared" si="24"/>
        <v>2500000</v>
      </c>
      <c r="M313" s="257">
        <f t="shared" si="24"/>
        <v>2800000</v>
      </c>
      <c r="N313" s="257">
        <f t="shared" si="24"/>
        <v>3100000</v>
      </c>
      <c r="O313" s="257">
        <f t="shared" si="24"/>
        <v>3400000</v>
      </c>
      <c r="P313" s="257">
        <f t="shared" si="24"/>
        <v>3700000</v>
      </c>
      <c r="Q313" s="257">
        <f t="shared" si="24"/>
        <v>4000000</v>
      </c>
      <c r="R313" s="257">
        <f t="shared" si="24"/>
        <v>4300000</v>
      </c>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row>
    <row r="314" ht="18.0" customHeight="1" outlineLevel="1">
      <c r="A314" s="17"/>
      <c r="B314" s="17"/>
      <c r="C314" s="17"/>
      <c r="D314" s="17"/>
      <c r="E314" s="17"/>
      <c r="F314" s="17"/>
      <c r="G314" s="257" t="s">
        <v>884</v>
      </c>
      <c r="H314" s="257">
        <f>D274+H308</f>
        <v>1020000</v>
      </c>
      <c r="I314" s="257">
        <f t="shared" ref="I314:R314" si="25">H314+I308</f>
        <v>1020000</v>
      </c>
      <c r="J314" s="257">
        <f t="shared" si="25"/>
        <v>1020000</v>
      </c>
      <c r="K314" s="257">
        <f t="shared" si="25"/>
        <v>1020000</v>
      </c>
      <c r="L314" s="257">
        <f t="shared" si="25"/>
        <v>1020000</v>
      </c>
      <c r="M314" s="257">
        <f t="shared" si="25"/>
        <v>1020000</v>
      </c>
      <c r="N314" s="257">
        <f t="shared" si="25"/>
        <v>1020000</v>
      </c>
      <c r="O314" s="257">
        <f t="shared" si="25"/>
        <v>1020000</v>
      </c>
      <c r="P314" s="257">
        <f t="shared" si="25"/>
        <v>1020000</v>
      </c>
      <c r="Q314" s="257">
        <f t="shared" si="25"/>
        <v>1020000</v>
      </c>
      <c r="R314" s="257">
        <f t="shared" si="25"/>
        <v>1020000</v>
      </c>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row>
    <row r="315" ht="18.75" customHeight="1" outlineLevel="1">
      <c r="A315" s="17"/>
      <c r="B315" s="17"/>
      <c r="C315" s="17"/>
      <c r="D315" s="17"/>
      <c r="E315" s="17"/>
      <c r="F315" s="17"/>
      <c r="G315" s="257" t="s">
        <v>885</v>
      </c>
      <c r="H315" s="257">
        <f>Nb_res_2020</f>
        <v>29000000</v>
      </c>
      <c r="I315" s="257">
        <f>Nb_res_2020-I314+$H$314</f>
        <v>29000000</v>
      </c>
      <c r="J315" s="257">
        <f>Nb_res_2020-J314+$H$314</f>
        <v>29000000</v>
      </c>
      <c r="K315" s="257">
        <f>Nb_res_2020-K314+$H$314</f>
        <v>29000000</v>
      </c>
      <c r="L315" s="257">
        <f>Nb_res_2020-L314+$H$314</f>
        <v>29000000</v>
      </c>
      <c r="M315" s="257">
        <f>Nb_res_2020-M314+$H$314</f>
        <v>29000000</v>
      </c>
      <c r="N315" s="257">
        <f>Nb_res_2020-N314+$H$314</f>
        <v>29000000</v>
      </c>
      <c r="O315" s="257">
        <f>Nb_res_2020-O314+$H$314</f>
        <v>29000000</v>
      </c>
      <c r="P315" s="257">
        <f>Nb_res_2020-P314+$H$314</f>
        <v>29000000</v>
      </c>
      <c r="Q315" s="257">
        <f>Nb_res_2020-Q314+$H$314</f>
        <v>29000000</v>
      </c>
      <c r="R315" s="257">
        <f>Nb_res_2020-R314+$H$314</f>
        <v>29000000</v>
      </c>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row>
    <row r="316" ht="18.75" customHeight="1" outlineLevel="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row>
    <row r="317" ht="18.75" customHeight="1" outlineLevel="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row>
    <row r="318" ht="18.75" customHeight="1" outlineLevel="1">
      <c r="A318" s="17"/>
      <c r="B318" s="17"/>
      <c r="C318" s="17"/>
      <c r="D318" s="17"/>
      <c r="E318" s="17"/>
      <c r="F318" s="17"/>
      <c r="G318" s="276" t="s">
        <v>886</v>
      </c>
      <c r="H318" s="277"/>
      <c r="I318" s="277"/>
      <c r="J318" s="277"/>
      <c r="K318" s="277"/>
      <c r="L318" s="277"/>
      <c r="M318" s="277"/>
      <c r="N318" s="277"/>
      <c r="O318" s="277"/>
      <c r="P318" s="277"/>
      <c r="Q318" s="277"/>
      <c r="R318" s="282"/>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row>
    <row r="319" ht="18.75" customHeight="1" outlineLevel="1">
      <c r="A319" s="17"/>
      <c r="B319" s="17"/>
      <c r="C319" s="17"/>
      <c r="D319" s="17"/>
      <c r="E319" s="17"/>
      <c r="F319" s="17"/>
      <c r="G319" s="14" t="s">
        <v>106</v>
      </c>
      <c r="H319" s="283">
        <v>40.0</v>
      </c>
      <c r="I319" s="283">
        <f>S_chauffée_par_p_2020-(S_chauffée_par_p_2020-Surface_chauffée_par_personne)*(I2-Année_référence)/Nb_années</f>
        <v>40</v>
      </c>
      <c r="J319" s="283">
        <f>S_chauffée_par_p_2020-(S_chauffée_par_p_2020-Surface_chauffée_par_personne)*(J2-Année_référence)/Nb_années</f>
        <v>40</v>
      </c>
      <c r="K319" s="283">
        <f>S_chauffée_par_p_2020-(S_chauffée_par_p_2020-Surface_chauffée_par_personne)*(K2-Année_référence)/Nb_années</f>
        <v>40</v>
      </c>
      <c r="L319" s="283">
        <f>S_chauffée_par_p_2020-(S_chauffée_par_p_2020-Surface_chauffée_par_personne)*(L2-Année_référence)/Nb_années</f>
        <v>40</v>
      </c>
      <c r="M319" s="283">
        <f>S_chauffée_par_p_2020-(S_chauffée_par_p_2020-Surface_chauffée_par_personne)*(M2-Année_référence)/Nb_années</f>
        <v>40</v>
      </c>
      <c r="N319" s="283">
        <f>S_chauffée_par_p_2020-(S_chauffée_par_p_2020-Surface_chauffée_par_personne)*(N2-Année_référence)/Nb_années</f>
        <v>40</v>
      </c>
      <c r="O319" s="283">
        <f>S_chauffée_par_p_2020-(S_chauffée_par_p_2020-Surface_chauffée_par_personne)*(O2-Année_référence)/Nb_années</f>
        <v>40</v>
      </c>
      <c r="P319" s="283">
        <f>S_chauffée_par_p_2020-(S_chauffée_par_p_2020-Surface_chauffée_par_personne)*(P2-Année_référence)/Nb_années</f>
        <v>40</v>
      </c>
      <c r="Q319" s="283">
        <f>S_chauffée_par_p_2020-(S_chauffée_par_p_2020-Surface_chauffée_par_personne)*(Q2-Année_référence)/Nb_années</f>
        <v>40</v>
      </c>
      <c r="R319" s="283">
        <f>S_chauffée_par_p_2020-(S_chauffée_par_p_2020-Surface_chauffée_par_personne)*(R2-Année_référence)/Nb_années</f>
        <v>40</v>
      </c>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row>
    <row r="320" ht="18.75" customHeight="1" outlineLevel="1">
      <c r="A320" s="17"/>
      <c r="B320" s="17"/>
      <c r="C320" s="17"/>
      <c r="D320" s="17"/>
      <c r="E320" s="17"/>
      <c r="F320" s="17"/>
      <c r="G320" s="14" t="s">
        <v>887</v>
      </c>
      <c r="H320" s="279">
        <f>H319*Ratio_S_bati</f>
        <v>80</v>
      </c>
      <c r="I320" s="279">
        <f>I319*Ratio_S_bati</f>
        <v>80</v>
      </c>
      <c r="J320" s="279">
        <f>J319*Ratio_S_bati</f>
        <v>80</v>
      </c>
      <c r="K320" s="279">
        <f>K319*Ratio_S_bati</f>
        <v>80</v>
      </c>
      <c r="L320" s="279">
        <f>L319*Ratio_S_bati</f>
        <v>80</v>
      </c>
      <c r="M320" s="279">
        <f>M319*Ratio_S_bati</f>
        <v>80</v>
      </c>
      <c r="N320" s="279">
        <f>N319*Ratio_S_bati</f>
        <v>80</v>
      </c>
      <c r="O320" s="279">
        <f>O319*Ratio_S_bati</f>
        <v>80</v>
      </c>
      <c r="P320" s="279">
        <f>P319*Ratio_S_bati</f>
        <v>80</v>
      </c>
      <c r="Q320" s="279">
        <f>Q319*Ratio_S_bati</f>
        <v>80</v>
      </c>
      <c r="R320" s="279">
        <f>R319*Ratio_S_bati</f>
        <v>80</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row>
    <row r="321" ht="18.75" customHeight="1" outlineLevel="1">
      <c r="A321" s="17"/>
      <c r="B321" s="17"/>
      <c r="C321" s="17"/>
      <c r="D321" s="17"/>
      <c r="E321" s="17"/>
      <c r="F321" s="17"/>
      <c r="G321" s="257" t="s">
        <v>888</v>
      </c>
      <c r="H321" s="257">
        <v>3.31296E11</v>
      </c>
      <c r="I321" s="257">
        <f>I320*((I313+I314)*Conso_hors_élec_spé_m2_BBC+I315*Conso_hors_élec_spé_m2_ancien)</f>
        <v>360576000000</v>
      </c>
      <c r="J321" s="257">
        <f>J320*((J313+J314)*Conso_hors_élec_spé_m2_BBC+J315*Conso_hors_élec_spé_m2_ancien)</f>
        <v>362016000000</v>
      </c>
      <c r="K321" s="257">
        <f>K320*((K313+K314)*Conso_hors_élec_spé_m2_BBC+K315*Conso_hors_élec_spé_m2_ancien)</f>
        <v>363456000000</v>
      </c>
      <c r="L321" s="257">
        <f>L320*((L313+L314)*Conso_hors_élec_spé_m2_BBC+L315*Conso_hors_élec_spé_m2_ancien)</f>
        <v>364896000000</v>
      </c>
      <c r="M321" s="257">
        <f>M320*((M313+M314)*Conso_hors_élec_spé_m2_BBC+M315*Conso_hors_élec_spé_m2_ancien)</f>
        <v>366336000000</v>
      </c>
      <c r="N321" s="257">
        <f>N320*((N313+N314)*Conso_hors_élec_spé_m2_BBC+N315*Conso_hors_élec_spé_m2_ancien)</f>
        <v>367776000000</v>
      </c>
      <c r="O321" s="257">
        <f>O320*((O313+O314)*Conso_hors_élec_spé_m2_BBC+O315*Conso_hors_élec_spé_m2_ancien)</f>
        <v>369216000000</v>
      </c>
      <c r="P321" s="257">
        <f>P320*((P313+P314)*Conso_hors_élec_spé_m2_BBC+P315*Conso_hors_élec_spé_m2_ancien)</f>
        <v>370656000000</v>
      </c>
      <c r="Q321" s="257">
        <f>Q320*((Q313+Q314)*Conso_hors_élec_spé_m2_BBC+Q315*Conso_hors_élec_spé_m2_ancien)</f>
        <v>372096000000</v>
      </c>
      <c r="R321" s="257">
        <f>R320*((R313+R314)*Conso_hors_élec_spé_m2_BBC+R315*Conso_hors_élec_spé_m2_ancien)</f>
        <v>373536000000</v>
      </c>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row>
    <row r="322" ht="18.75" customHeight="1" outlineLevel="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row>
    <row r="323" ht="18.75" customHeight="1" outlineLevel="1">
      <c r="A323" s="17"/>
      <c r="B323" s="17"/>
      <c r="C323" s="17"/>
      <c r="D323" s="17"/>
      <c r="E323" s="17"/>
      <c r="F323" s="17"/>
      <c r="G323" s="14" t="s">
        <v>889</v>
      </c>
      <c r="H323" s="283">
        <v>0.0</v>
      </c>
      <c r="I323" s="283">
        <f>((T_moyenne_chauffage_2020-T_moyenne_logement)*(I2-Année_référence)/Nb_années)</f>
        <v>0</v>
      </c>
      <c r="J323" s="283">
        <f>((T_moyenne_chauffage_2020-T_moyenne_logement)*(J2-Année_référence)/Nb_années)</f>
        <v>0</v>
      </c>
      <c r="K323" s="283">
        <f>((T_moyenne_chauffage_2020-T_moyenne_logement)*(K2-Année_référence)/Nb_années)</f>
        <v>0</v>
      </c>
      <c r="L323" s="283">
        <f>((T_moyenne_chauffage_2020-T_moyenne_logement)*(L2-Année_référence)/Nb_années)</f>
        <v>0</v>
      </c>
      <c r="M323" s="283">
        <f>((T_moyenne_chauffage_2020-T_moyenne_logement)*(M2-Année_référence)/Nb_années)</f>
        <v>0</v>
      </c>
      <c r="N323" s="283">
        <f>((T_moyenne_chauffage_2020-T_moyenne_logement)*(N2-Année_référence)/Nb_années)</f>
        <v>0</v>
      </c>
      <c r="O323" s="283">
        <f>((T_moyenne_chauffage_2020-T_moyenne_logement)*(O2-Année_référence)/Nb_années)</f>
        <v>0</v>
      </c>
      <c r="P323" s="283">
        <f>((T_moyenne_chauffage_2020-T_moyenne_logement)*(P2-Année_référence)/Nb_années)</f>
        <v>0</v>
      </c>
      <c r="Q323" s="283">
        <f>((T_moyenne_chauffage_2020-T_moyenne_logement)*(Q2-Année_référence)/Nb_années)</f>
        <v>0</v>
      </c>
      <c r="R323" s="283">
        <f>((T_moyenne_chauffage_2020-T_moyenne_logement)*(R2-Année_référence)/Nb_années)</f>
        <v>0</v>
      </c>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row>
    <row r="324" ht="18.75" customHeight="1" outlineLevel="1">
      <c r="A324" s="17"/>
      <c r="B324" s="17"/>
      <c r="C324" s="17"/>
      <c r="D324" s="17"/>
      <c r="E324" s="17"/>
      <c r="F324" s="17"/>
      <c r="G324" s="14" t="s">
        <v>890</v>
      </c>
      <c r="H324" s="168">
        <f>H321*(1+Hyp_chauffage_degré*H323)</f>
        <v>331296000000</v>
      </c>
      <c r="I324" s="168">
        <f>I321*(1+Hyp_chauffage_degré*I323)</f>
        <v>360576000000</v>
      </c>
      <c r="J324" s="168">
        <f>J321*(1+Hyp_chauffage_degré*J323)</f>
        <v>362016000000</v>
      </c>
      <c r="K324" s="168">
        <f>K321*(1+Hyp_chauffage_degré*K323)</f>
        <v>363456000000</v>
      </c>
      <c r="L324" s="168">
        <f>L321*(1+Hyp_chauffage_degré*L323)</f>
        <v>364896000000</v>
      </c>
      <c r="M324" s="168">
        <f>M321*(1+Hyp_chauffage_degré*M323)</f>
        <v>366336000000</v>
      </c>
      <c r="N324" s="168">
        <f>N321*(1+Hyp_chauffage_degré*N323)</f>
        <v>367776000000</v>
      </c>
      <c r="O324" s="168">
        <f>O321*(1+Hyp_chauffage_degré*O323)</f>
        <v>369216000000</v>
      </c>
      <c r="P324" s="168">
        <f>P321*(1+Hyp_chauffage_degré*P323)</f>
        <v>370656000000</v>
      </c>
      <c r="Q324" s="168">
        <f>Q321*(1+Hyp_chauffage_degré*Q323)</f>
        <v>372096000000</v>
      </c>
      <c r="R324" s="168">
        <f>R321*(1+Hyp_chauffage_degré*R323)</f>
        <v>373536000000</v>
      </c>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row>
    <row r="325" ht="18.75" customHeight="1" outlineLevel="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row>
    <row r="326" ht="18.75" customHeight="1" outlineLevel="1">
      <c r="A326" s="17"/>
      <c r="B326" s="17"/>
      <c r="C326" s="17"/>
      <c r="D326" s="17"/>
      <c r="E326" s="17"/>
      <c r="F326" s="17"/>
      <c r="G326" s="281" t="s">
        <v>891</v>
      </c>
      <c r="H326" s="182"/>
      <c r="I326" s="182"/>
      <c r="J326" s="182"/>
      <c r="K326" s="182"/>
      <c r="L326" s="182"/>
      <c r="M326" s="182"/>
      <c r="N326" s="182"/>
      <c r="O326" s="182"/>
      <c r="P326" s="182"/>
      <c r="Q326" s="182"/>
      <c r="R326" s="183"/>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row>
    <row r="327" ht="18.75" customHeight="1" outlineLevel="1">
      <c r="A327" s="17"/>
      <c r="B327" s="17"/>
      <c r="C327" s="17"/>
      <c r="D327" s="17"/>
      <c r="E327" s="17"/>
      <c r="F327" s="17"/>
      <c r="G327" s="14" t="s">
        <v>813</v>
      </c>
      <c r="H327" s="257">
        <f>Nb_log_fioul</f>
        <v>4930000</v>
      </c>
      <c r="I327" s="257">
        <f>H327-Nb_log_fioul_remplacés/(Nb_années)</f>
        <v>4930000</v>
      </c>
      <c r="J327" s="257">
        <f>I327-Nb_log_fioul_remplacés/(Nb_années)</f>
        <v>4930000</v>
      </c>
      <c r="K327" s="257">
        <f>J327-Nb_log_fioul_remplacés/(Nb_années)</f>
        <v>4930000</v>
      </c>
      <c r="L327" s="257">
        <f>K327-Nb_log_fioul_remplacés/(Nb_années)</f>
        <v>4930000</v>
      </c>
      <c r="M327" s="257">
        <f>L327-Nb_log_fioul_remplacés/(Nb_années)</f>
        <v>4930000</v>
      </c>
      <c r="N327" s="257">
        <f>M327-Nb_log_fioul_remplacés/(Nb_années)</f>
        <v>4930000</v>
      </c>
      <c r="O327" s="257">
        <f>N327-Nb_log_fioul_remplacés/(Nb_années)</f>
        <v>4930000</v>
      </c>
      <c r="P327" s="257">
        <f>O327-Nb_log_fioul_remplacés/(Nb_années)</f>
        <v>4930000</v>
      </c>
      <c r="Q327" s="257">
        <f>P327-Nb_log_fioul_remplacés/(Nb_années)</f>
        <v>4930000</v>
      </c>
      <c r="R327" s="257">
        <f>Q327-Nb_log_fioul_remplacés/(Nb_années)</f>
        <v>4930000</v>
      </c>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row>
    <row r="328" ht="18.75" customHeight="1" outlineLevel="1">
      <c r="A328" s="17"/>
      <c r="B328" s="17"/>
      <c r="C328" s="17"/>
      <c r="D328" s="17"/>
      <c r="E328" s="17"/>
      <c r="F328" s="17"/>
      <c r="G328" s="14" t="s">
        <v>815</v>
      </c>
      <c r="H328" s="257">
        <f>Nb_log_gaz</f>
        <v>11600000</v>
      </c>
      <c r="I328" s="257">
        <f>H328-Nb_log_gaz_remplacés/Nb_années</f>
        <v>11600000</v>
      </c>
      <c r="J328" s="257">
        <f>I328-Nb_log_gaz_remplacés/Nb_années</f>
        <v>11600000</v>
      </c>
      <c r="K328" s="257">
        <f>J328-Nb_log_gaz_remplacés/Nb_années</f>
        <v>11600000</v>
      </c>
      <c r="L328" s="257">
        <f>K328-Nb_log_gaz_remplacés/Nb_années</f>
        <v>11600000</v>
      </c>
      <c r="M328" s="257">
        <f>L328-Nb_log_gaz_remplacés/Nb_années</f>
        <v>11600000</v>
      </c>
      <c r="N328" s="257">
        <f>M328-Nb_log_gaz_remplacés/Nb_années</f>
        <v>11600000</v>
      </c>
      <c r="O328" s="257">
        <f>N328-Nb_log_gaz_remplacés/Nb_années</f>
        <v>11600000</v>
      </c>
      <c r="P328" s="257">
        <f>O328-Nb_log_gaz_remplacés/Nb_années</f>
        <v>11600000</v>
      </c>
      <c r="Q328" s="257">
        <f>P328-Nb_log_gaz_remplacés/Nb_années</f>
        <v>11600000</v>
      </c>
      <c r="R328" s="257">
        <f>Q328-Nb_log_gaz_remplacés/Nb_années</f>
        <v>11600000</v>
      </c>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row>
    <row r="329" ht="18.75" customHeight="1" outlineLevel="1">
      <c r="A329" s="17"/>
      <c r="B329" s="17"/>
      <c r="C329" s="17"/>
      <c r="D329" s="17"/>
      <c r="E329" s="17"/>
      <c r="F329" s="17"/>
      <c r="G329" s="14" t="s">
        <v>817</v>
      </c>
      <c r="H329" s="257">
        <f>Nb_log_élec</f>
        <v>5220000</v>
      </c>
      <c r="I329" s="257">
        <f>Nb_log_élec-Nb_log_élec_remplacés/Nb_années</f>
        <v>5220000</v>
      </c>
      <c r="J329" s="257">
        <f>Nb_log_élec-Nb_log_élec_remplacés/Nb_années</f>
        <v>5220000</v>
      </c>
      <c r="K329" s="257">
        <f>Nb_log_élec-Nb_log_élec_remplacés/Nb_années</f>
        <v>5220000</v>
      </c>
      <c r="L329" s="257">
        <f>Nb_log_élec-Nb_log_élec_remplacés/Nb_années</f>
        <v>5220000</v>
      </c>
      <c r="M329" s="257">
        <f>Nb_log_élec-Nb_log_élec_remplacés/Nb_années</f>
        <v>5220000</v>
      </c>
      <c r="N329" s="257">
        <f>Nb_log_élec-Nb_log_élec_remplacés/Nb_années</f>
        <v>5220000</v>
      </c>
      <c r="O329" s="257">
        <f>Nb_log_élec-Nb_log_élec_remplacés/Nb_années</f>
        <v>5220000</v>
      </c>
      <c r="P329" s="257">
        <f>Nb_log_élec-Nb_log_élec_remplacés/Nb_années</f>
        <v>5220000</v>
      </c>
      <c r="Q329" s="257">
        <f>Nb_log_élec-Nb_log_élec_remplacés/Nb_années</f>
        <v>5220000</v>
      </c>
      <c r="R329" s="257">
        <f>Nb_log_élec-Nb_log_élec_remplacés/Nb_années</f>
        <v>5220000</v>
      </c>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row>
    <row r="330" ht="18.75" customHeight="1" outlineLevel="1">
      <c r="A330" s="17"/>
      <c r="B330" s="17"/>
      <c r="C330" s="17"/>
      <c r="D330" s="17"/>
      <c r="E330" s="17"/>
      <c r="F330" s="17"/>
      <c r="G330" s="14" t="s">
        <v>819</v>
      </c>
      <c r="H330" s="257">
        <f>Nb_log_CU</f>
        <v>1450000</v>
      </c>
      <c r="I330" s="257">
        <f t="shared" ref="I330:R330" si="26">$D$267</f>
        <v>1450000</v>
      </c>
      <c r="J330" s="257">
        <f t="shared" si="26"/>
        <v>1450000</v>
      </c>
      <c r="K330" s="257">
        <f t="shared" si="26"/>
        <v>1450000</v>
      </c>
      <c r="L330" s="257">
        <f t="shared" si="26"/>
        <v>1450000</v>
      </c>
      <c r="M330" s="257">
        <f t="shared" si="26"/>
        <v>1450000</v>
      </c>
      <c r="N330" s="257">
        <f t="shared" si="26"/>
        <v>1450000</v>
      </c>
      <c r="O330" s="257">
        <f t="shared" si="26"/>
        <v>1450000</v>
      </c>
      <c r="P330" s="257">
        <f t="shared" si="26"/>
        <v>1450000</v>
      </c>
      <c r="Q330" s="257">
        <f t="shared" si="26"/>
        <v>1450000</v>
      </c>
      <c r="R330" s="257">
        <f t="shared" si="26"/>
        <v>1450000</v>
      </c>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row>
    <row r="331" ht="18.75" customHeight="1" outlineLevel="1">
      <c r="A331" s="17"/>
      <c r="B331" s="17"/>
      <c r="C331" s="17"/>
      <c r="D331" s="17"/>
      <c r="E331" s="17"/>
      <c r="F331" s="17"/>
      <c r="G331" s="14" t="s">
        <v>821</v>
      </c>
      <c r="H331" s="257">
        <f>Nb_log_bois</f>
        <v>4350000</v>
      </c>
      <c r="I331" s="257">
        <f t="shared" ref="I331:R331" si="27">$D$268</f>
        <v>4350000</v>
      </c>
      <c r="J331" s="257">
        <f t="shared" si="27"/>
        <v>4350000</v>
      </c>
      <c r="K331" s="257">
        <f t="shared" si="27"/>
        <v>4350000</v>
      </c>
      <c r="L331" s="257">
        <f t="shared" si="27"/>
        <v>4350000</v>
      </c>
      <c r="M331" s="257">
        <f t="shared" si="27"/>
        <v>4350000</v>
      </c>
      <c r="N331" s="257">
        <f t="shared" si="27"/>
        <v>4350000</v>
      </c>
      <c r="O331" s="257">
        <f t="shared" si="27"/>
        <v>4350000</v>
      </c>
      <c r="P331" s="257">
        <f t="shared" si="27"/>
        <v>4350000</v>
      </c>
      <c r="Q331" s="257">
        <f t="shared" si="27"/>
        <v>4350000</v>
      </c>
      <c r="R331" s="257">
        <f t="shared" si="27"/>
        <v>4350000</v>
      </c>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row>
    <row r="332" ht="18.75" customHeight="1" outlineLevel="1">
      <c r="A332" s="17"/>
      <c r="B332" s="17"/>
      <c r="C332" s="17"/>
      <c r="D332" s="17"/>
      <c r="E332" s="17"/>
      <c r="F332" s="17"/>
      <c r="G332" s="14" t="s">
        <v>823</v>
      </c>
      <c r="H332" s="257">
        <f>Nb_log_EnR</f>
        <v>1450000</v>
      </c>
      <c r="I332" s="257">
        <f>Nb_res_2020-SUM(I327:I331)</f>
        <v>1450000</v>
      </c>
      <c r="J332" s="257">
        <f>Nb_res_2020-SUM(J327:J331)</f>
        <v>1450000</v>
      </c>
      <c r="K332" s="257">
        <f>Nb_res_2020-SUM(K327:K331)</f>
        <v>1450000</v>
      </c>
      <c r="L332" s="257">
        <f>Nb_res_2020-SUM(L327:L331)</f>
        <v>1450000</v>
      </c>
      <c r="M332" s="257">
        <f>Nb_res_2020-SUM(M327:M331)</f>
        <v>1450000</v>
      </c>
      <c r="N332" s="257">
        <f>Nb_res_2020-SUM(N327:N331)</f>
        <v>1450000</v>
      </c>
      <c r="O332" s="257">
        <f>Nb_res_2020-SUM(O327:O331)</f>
        <v>1450000</v>
      </c>
      <c r="P332" s="257">
        <f>Nb_res_2020-SUM(P327:P331)</f>
        <v>1450000</v>
      </c>
      <c r="Q332" s="257">
        <f>Nb_res_2020-SUM(Q327:Q331)</f>
        <v>1450000</v>
      </c>
      <c r="R332" s="257">
        <f>Nb_res_2020-SUM(R327:R331)</f>
        <v>1450000</v>
      </c>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row>
    <row r="333" ht="18.75" customHeight="1" outlineLevel="1">
      <c r="A333" s="17"/>
      <c r="B333" s="17"/>
      <c r="C333" s="17"/>
      <c r="D333" s="17"/>
      <c r="E333" s="17"/>
      <c r="F333" s="17"/>
      <c r="G333" s="20" t="s">
        <v>52</v>
      </c>
      <c r="H333" s="208">
        <f t="shared" ref="H333:R333" si="28">SUM(H327:H332)</f>
        <v>29000000</v>
      </c>
      <c r="I333" s="208">
        <f t="shared" si="28"/>
        <v>29000000</v>
      </c>
      <c r="J333" s="208">
        <f t="shared" si="28"/>
        <v>29000000</v>
      </c>
      <c r="K333" s="208">
        <f t="shared" si="28"/>
        <v>29000000</v>
      </c>
      <c r="L333" s="208">
        <f t="shared" si="28"/>
        <v>29000000</v>
      </c>
      <c r="M333" s="208">
        <f t="shared" si="28"/>
        <v>29000000</v>
      </c>
      <c r="N333" s="208">
        <f t="shared" si="28"/>
        <v>29000000</v>
      </c>
      <c r="O333" s="208">
        <f t="shared" si="28"/>
        <v>29000000</v>
      </c>
      <c r="P333" s="208">
        <f t="shared" si="28"/>
        <v>29000000</v>
      </c>
      <c r="Q333" s="208">
        <f t="shared" si="28"/>
        <v>29000000</v>
      </c>
      <c r="R333" s="208">
        <f t="shared" si="28"/>
        <v>29000000</v>
      </c>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row>
    <row r="334" ht="18.75" customHeight="1" outlineLevel="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row>
    <row r="335" ht="18.75" customHeight="1" outlineLevel="1">
      <c r="A335" s="17"/>
      <c r="B335" s="17"/>
      <c r="C335" s="17"/>
      <c r="D335" s="17"/>
      <c r="E335" s="17"/>
      <c r="F335" s="17"/>
      <c r="G335" s="281" t="s">
        <v>892</v>
      </c>
      <c r="H335" s="182"/>
      <c r="I335" s="182"/>
      <c r="J335" s="182"/>
      <c r="K335" s="182"/>
      <c r="L335" s="182"/>
      <c r="M335" s="182"/>
      <c r="N335" s="182"/>
      <c r="O335" s="182"/>
      <c r="P335" s="182"/>
      <c r="Q335" s="182"/>
      <c r="R335" s="183"/>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row>
    <row r="336" ht="18.75" customHeight="1" outlineLevel="1">
      <c r="A336" s="17"/>
      <c r="B336" s="17"/>
      <c r="C336" s="17"/>
      <c r="D336" s="17"/>
      <c r="E336" s="17"/>
      <c r="F336" s="17"/>
      <c r="G336" s="14" t="s">
        <v>813</v>
      </c>
      <c r="H336" s="284">
        <f>(FE_chauffage_fioul*H327/H333*Calculs!H324)*10^-9</f>
        <v>18.24778368</v>
      </c>
      <c r="I336" s="284">
        <f>(FE_chauffage_fioul*I327/I333*Calculs!I324)*10^-9</f>
        <v>19.86052608</v>
      </c>
      <c r="J336" s="284">
        <f>(FE_chauffage_fioul*J327/J333*Calculs!J324)*10^-9</f>
        <v>19.93984128</v>
      </c>
      <c r="K336" s="284">
        <f>(FE_chauffage_fioul*K327/K333*Calculs!K324)*10^-9</f>
        <v>20.01915648</v>
      </c>
      <c r="L336" s="284">
        <f>(FE_chauffage_fioul*L327/L333*Calculs!L324)*10^-9</f>
        <v>20.09847168</v>
      </c>
      <c r="M336" s="284">
        <f>(FE_chauffage_fioul*M327/M333*Calculs!M324)*10^-9</f>
        <v>20.17778688</v>
      </c>
      <c r="N336" s="284">
        <f>(FE_chauffage_fioul*N327/N333*Calculs!N324)*10^-9</f>
        <v>20.25710208</v>
      </c>
      <c r="O336" s="284">
        <f>(FE_chauffage_fioul*O327/O333*Calculs!O324)*10^-9</f>
        <v>20.33641728</v>
      </c>
      <c r="P336" s="284">
        <f>(FE_chauffage_fioul*P327/P333*Calculs!P324)*10^-9</f>
        <v>20.41573248</v>
      </c>
      <c r="Q336" s="284">
        <f>(FE_chauffage_fioul*Q327/Q333*Calculs!Q324)*10^-9</f>
        <v>20.49504768</v>
      </c>
      <c r="R336" s="284">
        <f>(FE_chauffage_fioul*R327/R333*Calculs!R324)*10^-9</f>
        <v>20.57436288</v>
      </c>
      <c r="S336" s="171"/>
      <c r="T336" s="171"/>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row>
    <row r="337" ht="18.75" customHeight="1" outlineLevel="1">
      <c r="A337" s="17"/>
      <c r="B337" s="17"/>
      <c r="C337" s="17"/>
      <c r="D337" s="17"/>
      <c r="E337" s="17"/>
      <c r="F337" s="17"/>
      <c r="G337" s="14" t="s">
        <v>815</v>
      </c>
      <c r="H337" s="284">
        <f>(FE_Gaz_2020*H328/H333*Calculs!H324)*10^-9</f>
        <v>32.2019712</v>
      </c>
      <c r="I337" s="284">
        <f>(FE_Gaz*I328/I333*Calculs!I324)*10^-9</f>
        <v>34.615296</v>
      </c>
      <c r="J337" s="284">
        <f>(FE_Gaz*J328/J333*Calculs!J324)*10^-9</f>
        <v>34.753536</v>
      </c>
      <c r="K337" s="284">
        <f>(FE_Gaz*K328/K333*Calculs!K324)*10^-9</f>
        <v>34.891776</v>
      </c>
      <c r="L337" s="284">
        <f>(FE_Gaz*L328/L333*Calculs!L324)*10^-9</f>
        <v>35.030016</v>
      </c>
      <c r="M337" s="284">
        <f>(FE_Gaz*M328/M333*Calculs!M324)*10^-9</f>
        <v>35.168256</v>
      </c>
      <c r="N337" s="284">
        <f>(FE_Gaz*N328/N333*Calculs!N324)*10^-9</f>
        <v>35.306496</v>
      </c>
      <c r="O337" s="284">
        <f>(FE_Gaz*O328/O333*Calculs!O324)*10^-9</f>
        <v>35.444736</v>
      </c>
      <c r="P337" s="284">
        <f>(FE_Gaz*P328/P333*Calculs!P324)*10^-9</f>
        <v>35.582976</v>
      </c>
      <c r="Q337" s="284">
        <f>(FE_Gaz*Q328/Q333*Calculs!Q324)*10^-9</f>
        <v>35.721216</v>
      </c>
      <c r="R337" s="284">
        <f>(FE_Gaz*R328/R333*Calculs!R324)*10^-9</f>
        <v>35.859456</v>
      </c>
      <c r="S337" s="171"/>
      <c r="T337" s="171"/>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row>
    <row r="338" ht="18.75" customHeight="1" outlineLevel="1">
      <c r="A338" s="17"/>
      <c r="B338" s="17"/>
      <c r="C338" s="17"/>
      <c r="D338" s="17"/>
      <c r="E338" s="17"/>
      <c r="F338" s="17"/>
      <c r="G338" s="14" t="s">
        <v>817</v>
      </c>
      <c r="H338" s="284">
        <f>(FE_Electricité_2020*H329/H333*Calculs!H324)*10^-9</f>
        <v>4.88992896</v>
      </c>
      <c r="I338" s="284">
        <f>(FE_Electricité*I329/I333*Calculs!I324)*10^-9</f>
        <v>5.1922944</v>
      </c>
      <c r="J338" s="284">
        <f>(FE_Electricité*J329/J333*Calculs!J324)*10^-9</f>
        <v>5.2130304</v>
      </c>
      <c r="K338" s="284">
        <f>(FE_Electricité*K329/K333*Calculs!K324)*10^-9</f>
        <v>5.2337664</v>
      </c>
      <c r="L338" s="284">
        <f>(FE_Electricité*L329/L333*Calculs!L324)*10^-9</f>
        <v>5.2545024</v>
      </c>
      <c r="M338" s="284">
        <f>(FE_Electricité*M329/M333*Calculs!M324)*10^-9</f>
        <v>5.2752384</v>
      </c>
      <c r="N338" s="284">
        <f>(FE_Electricité*N329/N333*Calculs!N324)*10^-9</f>
        <v>5.2959744</v>
      </c>
      <c r="O338" s="284">
        <f>(FE_Electricité*O329/O333*Calculs!O324)*10^-9</f>
        <v>5.3167104</v>
      </c>
      <c r="P338" s="284">
        <f>(FE_Electricité*P329/P333*Calculs!P324)*10^-9</f>
        <v>5.3374464</v>
      </c>
      <c r="Q338" s="284">
        <f>(FE_Electricité*Q329/Q333*Calculs!Q324)*10^-9</f>
        <v>5.3581824</v>
      </c>
      <c r="R338" s="284">
        <f>(FE_Electricité*R329/R333*Calculs!R324)*10^-9</f>
        <v>5.3789184</v>
      </c>
      <c r="S338" s="171"/>
      <c r="T338" s="171"/>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row>
    <row r="339" ht="18.75" customHeight="1" outlineLevel="1">
      <c r="A339" s="17"/>
      <c r="B339" s="17"/>
      <c r="C339" s="17"/>
      <c r="D339" s="17"/>
      <c r="E339" s="17"/>
      <c r="F339" s="17"/>
      <c r="G339" s="14" t="s">
        <v>819</v>
      </c>
      <c r="H339" s="284">
        <f>(FE_chauffage_cu*H330/H333*Calculs!H324)*10^-9</f>
        <v>1.65648</v>
      </c>
      <c r="I339" s="284">
        <f>(FE_chauffage_cu*I330/I333*Calculs!I324)*10^-9</f>
        <v>1.80288</v>
      </c>
      <c r="J339" s="284">
        <f>(FE_chauffage_cu*J330/J333*Calculs!J324)*10^-9</f>
        <v>1.81008</v>
      </c>
      <c r="K339" s="284">
        <f>(FE_chauffage_cu*K330/K333*Calculs!K324)*10^-9</f>
        <v>1.81728</v>
      </c>
      <c r="L339" s="284">
        <f>(FE_chauffage_cu*L330/L333*Calculs!L324)*10^-9</f>
        <v>1.82448</v>
      </c>
      <c r="M339" s="284">
        <f>(FE_chauffage_cu*M330/M333*Calculs!M324)*10^-9</f>
        <v>1.83168</v>
      </c>
      <c r="N339" s="284">
        <f>(FE_chauffage_cu*N330/N333*Calculs!N324)*10^-9</f>
        <v>1.83888</v>
      </c>
      <c r="O339" s="284">
        <f>(FE_chauffage_cu*O330/O333*Calculs!O324)*10^-9</f>
        <v>1.84608</v>
      </c>
      <c r="P339" s="284">
        <f>(FE_chauffage_cu*P330/P333*Calculs!P324)*10^-9</f>
        <v>1.85328</v>
      </c>
      <c r="Q339" s="284">
        <f>(FE_chauffage_cu*Q330/Q333*Calculs!Q324)*10^-9</f>
        <v>1.86048</v>
      </c>
      <c r="R339" s="284">
        <f>(FE_chauffage_cu*R330/R333*Calculs!R324)*10^-9</f>
        <v>1.86768</v>
      </c>
      <c r="S339" s="171"/>
      <c r="T339" s="171"/>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row>
    <row r="340" ht="18.75" customHeight="1" outlineLevel="1">
      <c r="A340" s="17"/>
      <c r="B340" s="17"/>
      <c r="C340" s="17"/>
      <c r="D340" s="17"/>
      <c r="E340" s="17"/>
      <c r="F340" s="17"/>
      <c r="G340" s="14" t="s">
        <v>821</v>
      </c>
      <c r="H340" s="284">
        <f>(FE_chauffage_bois*H331/H333*Calculs!H324)*10^-9</f>
        <v>1.24236</v>
      </c>
      <c r="I340" s="284">
        <f>(FE_chauffage_bois*I331/I333*Calculs!I324)*10^-9</f>
        <v>1.35216</v>
      </c>
      <c r="J340" s="284">
        <f>(FE_chauffage_bois*J331/J333*Calculs!J324)*10^-9</f>
        <v>1.35756</v>
      </c>
      <c r="K340" s="284">
        <f>(FE_chauffage_bois*K331/K333*Calculs!K324)*10^-9</f>
        <v>1.36296</v>
      </c>
      <c r="L340" s="284">
        <f>(FE_chauffage_bois*L331/L333*Calculs!L324)*10^-9</f>
        <v>1.36836</v>
      </c>
      <c r="M340" s="284">
        <f>(FE_chauffage_bois*M331/M333*Calculs!M324)*10^-9</f>
        <v>1.37376</v>
      </c>
      <c r="N340" s="284">
        <f>(FE_chauffage_bois*N331/N333*Calculs!N324)*10^-9</f>
        <v>1.37916</v>
      </c>
      <c r="O340" s="284">
        <f>(FE_chauffage_bois*O331/O333*Calculs!O324)*10^-9</f>
        <v>1.38456</v>
      </c>
      <c r="P340" s="284">
        <f>(FE_chauffage_bois*P331/P333*Calculs!P324)*10^-9</f>
        <v>1.38996</v>
      </c>
      <c r="Q340" s="284">
        <f>(FE_chauffage_bois*Q331/Q333*Calculs!Q324)*10^-9</f>
        <v>1.39536</v>
      </c>
      <c r="R340" s="284">
        <f>(FE_chauffage_bois*R331/R333*Calculs!R324)*10^-9</f>
        <v>1.40076</v>
      </c>
      <c r="S340" s="171"/>
      <c r="T340" s="171"/>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row>
    <row r="341" ht="18.75" customHeight="1" outlineLevel="1">
      <c r="A341" s="17"/>
      <c r="B341" s="17"/>
      <c r="C341" s="17"/>
      <c r="D341" s="17"/>
      <c r="E341" s="17"/>
      <c r="F341" s="17"/>
      <c r="G341" s="14" t="s">
        <v>893</v>
      </c>
      <c r="H341" s="284">
        <f>(FE_chauffage_enr*H332/H333*Calculs!H321)*10^-9</f>
        <v>0.41412</v>
      </c>
      <c r="I341" s="284">
        <f>(FE_chauffage_enr*I332/I333*Calculs!I321)*10^-9</f>
        <v>0.45072</v>
      </c>
      <c r="J341" s="284">
        <f>(FE_chauffage_enr*J332/J333*Calculs!J321)*10^-9</f>
        <v>0.45252</v>
      </c>
      <c r="K341" s="284">
        <f>(FE_chauffage_enr*K332/K333*Calculs!K321)*10^-9</f>
        <v>0.45432</v>
      </c>
      <c r="L341" s="284">
        <f>(FE_chauffage_enr*L332/L333*Calculs!L321)*10^-9</f>
        <v>0.45612</v>
      </c>
      <c r="M341" s="284">
        <f>(FE_chauffage_enr*M332/M333*Calculs!M321)*10^-9</f>
        <v>0.45792</v>
      </c>
      <c r="N341" s="284">
        <f>(FE_chauffage_enr*N332/N333*Calculs!N321)*10^-9</f>
        <v>0.45972</v>
      </c>
      <c r="O341" s="284">
        <f>(FE_chauffage_enr*O332/O333*Calculs!O321)*10^-9</f>
        <v>0.46152</v>
      </c>
      <c r="P341" s="284">
        <f>(FE_chauffage_enr*P332/P333*Calculs!P321)*10^-9</f>
        <v>0.46332</v>
      </c>
      <c r="Q341" s="284">
        <f>(FE_chauffage_enr*Q332/Q333*Calculs!Q321)*10^-9</f>
        <v>0.46512</v>
      </c>
      <c r="R341" s="284">
        <f>(FE_chauffage_enr*R332/R333*Calculs!R321)*10^-9</f>
        <v>0.46692</v>
      </c>
      <c r="S341" s="285" t="s">
        <v>52</v>
      </c>
      <c r="T341" s="171"/>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row>
    <row r="342" ht="18.75" customHeight="1" outlineLevel="1">
      <c r="A342" s="17"/>
      <c r="B342" s="17"/>
      <c r="C342" s="17"/>
      <c r="D342" s="17"/>
      <c r="E342" s="17"/>
      <c r="F342" s="17"/>
      <c r="G342" s="20" t="s">
        <v>52</v>
      </c>
      <c r="H342" s="286">
        <f t="shared" ref="H342:R342" si="29">SUM(H336:H341)</f>
        <v>58.65264384</v>
      </c>
      <c r="I342" s="286">
        <f t="shared" si="29"/>
        <v>63.27387648</v>
      </c>
      <c r="J342" s="286">
        <f t="shared" si="29"/>
        <v>63.52656768</v>
      </c>
      <c r="K342" s="286">
        <f t="shared" si="29"/>
        <v>63.77925888</v>
      </c>
      <c r="L342" s="286">
        <f t="shared" si="29"/>
        <v>64.03195008</v>
      </c>
      <c r="M342" s="286">
        <f t="shared" si="29"/>
        <v>64.28464128</v>
      </c>
      <c r="N342" s="286">
        <f t="shared" si="29"/>
        <v>64.53733248</v>
      </c>
      <c r="O342" s="286">
        <f t="shared" si="29"/>
        <v>64.79002368</v>
      </c>
      <c r="P342" s="286">
        <f t="shared" si="29"/>
        <v>65.04271488</v>
      </c>
      <c r="Q342" s="286">
        <f t="shared" si="29"/>
        <v>65.29540608</v>
      </c>
      <c r="R342" s="286">
        <f t="shared" si="29"/>
        <v>65.54809728</v>
      </c>
      <c r="S342" s="287">
        <f t="shared" ref="S342:S344" si="31">SUM(H342:R342)</f>
        <v>702.7625126</v>
      </c>
      <c r="T342" s="171" t="s">
        <v>894</v>
      </c>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row>
    <row r="343" ht="18.75" customHeight="1" outlineLevel="1">
      <c r="A343" s="17"/>
      <c r="B343" s="17"/>
      <c r="C343" s="17"/>
      <c r="D343" s="17"/>
      <c r="E343" s="17"/>
      <c r="F343" s="288"/>
      <c r="G343" s="14" t="s">
        <v>895</v>
      </c>
      <c r="H343" s="289">
        <f t="shared" ref="H343:R343" si="30">H342-H338-H339-H341/2</f>
        <v>51.89917488</v>
      </c>
      <c r="I343" s="289">
        <f t="shared" si="30"/>
        <v>56.05334208</v>
      </c>
      <c r="J343" s="289">
        <f t="shared" si="30"/>
        <v>56.27719728</v>
      </c>
      <c r="K343" s="289">
        <f t="shared" si="30"/>
        <v>56.50105248</v>
      </c>
      <c r="L343" s="289">
        <f t="shared" si="30"/>
        <v>56.72490768</v>
      </c>
      <c r="M343" s="289">
        <f t="shared" si="30"/>
        <v>56.94876288</v>
      </c>
      <c r="N343" s="289">
        <f t="shared" si="30"/>
        <v>57.17261808</v>
      </c>
      <c r="O343" s="289">
        <f t="shared" si="30"/>
        <v>57.39647328</v>
      </c>
      <c r="P343" s="289">
        <f t="shared" si="30"/>
        <v>57.62032848</v>
      </c>
      <c r="Q343" s="289">
        <f t="shared" si="30"/>
        <v>57.84418368</v>
      </c>
      <c r="R343" s="289">
        <f t="shared" si="30"/>
        <v>58.06803888</v>
      </c>
      <c r="S343" s="287">
        <f t="shared" si="31"/>
        <v>622.5060797</v>
      </c>
      <c r="T343" s="171" t="s">
        <v>894</v>
      </c>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row>
    <row r="344" ht="18.75" customHeight="1" outlineLevel="1">
      <c r="A344" s="17"/>
      <c r="B344" s="17"/>
      <c r="C344" s="17"/>
      <c r="D344" s="17"/>
      <c r="E344" s="17"/>
      <c r="F344" s="17"/>
      <c r="G344" s="14" t="s">
        <v>896</v>
      </c>
      <c r="H344" s="289">
        <f t="shared" ref="H344:R344" si="32">H338+H339+H341/2</f>
        <v>6.75346896</v>
      </c>
      <c r="I344" s="289">
        <f t="shared" si="32"/>
        <v>7.2205344</v>
      </c>
      <c r="J344" s="289">
        <f t="shared" si="32"/>
        <v>7.2493704</v>
      </c>
      <c r="K344" s="289">
        <f t="shared" si="32"/>
        <v>7.2782064</v>
      </c>
      <c r="L344" s="289">
        <f t="shared" si="32"/>
        <v>7.3070424</v>
      </c>
      <c r="M344" s="289">
        <f t="shared" si="32"/>
        <v>7.3358784</v>
      </c>
      <c r="N344" s="289">
        <f t="shared" si="32"/>
        <v>7.3647144</v>
      </c>
      <c r="O344" s="289">
        <f t="shared" si="32"/>
        <v>7.3935504</v>
      </c>
      <c r="P344" s="289">
        <f t="shared" si="32"/>
        <v>7.4223864</v>
      </c>
      <c r="Q344" s="289">
        <f t="shared" si="32"/>
        <v>7.4512224</v>
      </c>
      <c r="R344" s="289">
        <f t="shared" si="32"/>
        <v>7.4800584</v>
      </c>
      <c r="S344" s="290">
        <f t="shared" si="31"/>
        <v>80.25643296</v>
      </c>
      <c r="T344" s="171" t="s">
        <v>894</v>
      </c>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row>
    <row r="345" ht="18.75" customHeight="1" outlineLevel="1">
      <c r="A345" s="17"/>
      <c r="B345" s="17"/>
      <c r="C345" s="17"/>
      <c r="D345" s="17"/>
      <c r="E345" s="17"/>
      <c r="F345" s="17"/>
      <c r="G345" s="17"/>
      <c r="H345" s="171"/>
      <c r="I345" s="171"/>
      <c r="J345" s="171"/>
      <c r="K345" s="171"/>
      <c r="L345" s="171"/>
      <c r="M345" s="171"/>
      <c r="N345" s="171"/>
      <c r="O345" s="171"/>
      <c r="P345" s="171"/>
      <c r="Q345" s="171"/>
      <c r="R345" s="171"/>
      <c r="S345" s="171"/>
      <c r="T345" s="171"/>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row>
    <row r="346" ht="18.75" customHeight="1" outlineLevel="1">
      <c r="A346" s="17"/>
      <c r="B346" s="17"/>
      <c r="C346" s="17"/>
      <c r="D346" s="17"/>
      <c r="E346" s="17"/>
      <c r="F346" s="17"/>
      <c r="G346" s="281" t="s">
        <v>897</v>
      </c>
      <c r="H346" s="182"/>
      <c r="I346" s="182"/>
      <c r="J346" s="182"/>
      <c r="K346" s="182"/>
      <c r="L346" s="182"/>
      <c r="M346" s="182"/>
      <c r="N346" s="182"/>
      <c r="O346" s="182"/>
      <c r="P346" s="182"/>
      <c r="Q346" s="182"/>
      <c r="R346" s="183"/>
      <c r="S346" s="291" t="s">
        <v>52</v>
      </c>
      <c r="T346" s="171"/>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row>
    <row r="347" ht="18.75" customHeight="1" outlineLevel="1">
      <c r="A347" s="17"/>
      <c r="B347" s="17"/>
      <c r="C347" s="17"/>
      <c r="D347" s="17"/>
      <c r="E347" s="17"/>
      <c r="F347" s="17"/>
      <c r="G347" s="14" t="s">
        <v>898</v>
      </c>
      <c r="H347" s="284">
        <f>H310*H320*FE_construction*10^-6</f>
        <v>16.8</v>
      </c>
      <c r="I347" s="284">
        <f>I310*I320*FE_construction*10^-6</f>
        <v>16.8</v>
      </c>
      <c r="J347" s="284">
        <f>J310*J320*FE_construction*10^-6</f>
        <v>16.8</v>
      </c>
      <c r="K347" s="284">
        <f>K310*K320*FE_construction*10^-6</f>
        <v>16.8</v>
      </c>
      <c r="L347" s="284">
        <f>L310*L320*FE_construction*10^-6</f>
        <v>16.8</v>
      </c>
      <c r="M347" s="284">
        <f>M310*M320*FE_construction*10^-6</f>
        <v>16.8</v>
      </c>
      <c r="N347" s="284">
        <f>N310*N320*FE_construction*10^-6</f>
        <v>16.8</v>
      </c>
      <c r="O347" s="284">
        <f>O310*O320*FE_construction*10^-6</f>
        <v>16.8</v>
      </c>
      <c r="P347" s="284">
        <f>P310*P320*FE_construction*10^-6</f>
        <v>16.8</v>
      </c>
      <c r="Q347" s="284">
        <f>Q310*Q320*FE_construction*10^-6</f>
        <v>16.8</v>
      </c>
      <c r="R347" s="284">
        <f>R310*R320*FE_construction*10^-6</f>
        <v>16.8</v>
      </c>
      <c r="S347" s="290">
        <f t="shared" ref="S347:S349" si="33">SUM(H347:R347)</f>
        <v>184.8</v>
      </c>
      <c r="T347" s="171" t="s">
        <v>894</v>
      </c>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row>
    <row r="348" ht="18.75" customHeight="1" outlineLevel="1">
      <c r="A348" s="17"/>
      <c r="B348" s="17"/>
      <c r="C348" s="17"/>
      <c r="D348" s="17"/>
      <c r="E348" s="17"/>
      <c r="F348" s="17"/>
      <c r="G348" s="14" t="s">
        <v>899</v>
      </c>
      <c r="H348" s="168">
        <f>H308*$H$320*FE_rénovation*10^-6</f>
        <v>0.16</v>
      </c>
      <c r="I348" s="168">
        <f>I308*$H$320*FE_rénovation*10^-6</f>
        <v>0</v>
      </c>
      <c r="J348" s="168">
        <f>J308*$H$320*FE_rénovation*10^-6</f>
        <v>0</v>
      </c>
      <c r="K348" s="168">
        <f>K308*$H$320*FE_rénovation*10^-6</f>
        <v>0</v>
      </c>
      <c r="L348" s="168">
        <f>L308*$H$320*FE_rénovation*10^-6</f>
        <v>0</v>
      </c>
      <c r="M348" s="168">
        <f>M308*$H$320*FE_rénovation*10^-6</f>
        <v>0</v>
      </c>
      <c r="N348" s="168">
        <f>N308*$H$320*FE_rénovation*10^-6</f>
        <v>0</v>
      </c>
      <c r="O348" s="168">
        <f>O308*$H$320*FE_rénovation*10^-6</f>
        <v>0</v>
      </c>
      <c r="P348" s="168">
        <f>P308*$H$320*FE_rénovation*10^-6</f>
        <v>0</v>
      </c>
      <c r="Q348" s="168">
        <f>Q308*$H$320*FE_rénovation*10^-6</f>
        <v>0</v>
      </c>
      <c r="R348" s="168">
        <f>R308*$H$320*FE_rénovation*10^-6</f>
        <v>0</v>
      </c>
      <c r="S348" s="290">
        <f t="shared" si="33"/>
        <v>0.16</v>
      </c>
      <c r="T348" s="171" t="s">
        <v>894</v>
      </c>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row>
    <row r="349" ht="18.75" customHeight="1" outlineLevel="1">
      <c r="A349" s="17"/>
      <c r="B349" s="17"/>
      <c r="C349" s="17"/>
      <c r="D349" s="17"/>
      <c r="E349" s="17"/>
      <c r="F349" s="288"/>
      <c r="G349" s="20" t="s">
        <v>900</v>
      </c>
      <c r="H349" s="290">
        <f t="shared" ref="H349:R349" si="34">SUM(H347:H348)</f>
        <v>16.96</v>
      </c>
      <c r="I349" s="290">
        <f t="shared" si="34"/>
        <v>16.8</v>
      </c>
      <c r="J349" s="290">
        <f t="shared" si="34"/>
        <v>16.8</v>
      </c>
      <c r="K349" s="290">
        <f t="shared" si="34"/>
        <v>16.8</v>
      </c>
      <c r="L349" s="290">
        <f t="shared" si="34"/>
        <v>16.8</v>
      </c>
      <c r="M349" s="290">
        <f t="shared" si="34"/>
        <v>16.8</v>
      </c>
      <c r="N349" s="290">
        <f t="shared" si="34"/>
        <v>16.8</v>
      </c>
      <c r="O349" s="290">
        <f t="shared" si="34"/>
        <v>16.8</v>
      </c>
      <c r="P349" s="290">
        <f t="shared" si="34"/>
        <v>16.8</v>
      </c>
      <c r="Q349" s="290">
        <f t="shared" si="34"/>
        <v>16.8</v>
      </c>
      <c r="R349" s="290">
        <f t="shared" si="34"/>
        <v>16.8</v>
      </c>
      <c r="S349" s="290">
        <f t="shared" si="33"/>
        <v>184.96</v>
      </c>
      <c r="T349" s="171" t="s">
        <v>894</v>
      </c>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row>
    <row r="350" ht="18.75" customHeight="1" outlineLevel="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row>
    <row r="351" ht="18.75" customHeight="1" outlineLevel="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row>
    <row r="352" ht="18.75" customHeight="1" outlineLevel="1">
      <c r="A352" s="17"/>
      <c r="B352" s="17"/>
      <c r="C352" s="17"/>
      <c r="D352" s="17"/>
      <c r="E352" s="17"/>
      <c r="F352" s="17"/>
      <c r="G352" s="276" t="s">
        <v>901</v>
      </c>
      <c r="H352" s="277"/>
      <c r="I352" s="277"/>
      <c r="J352" s="277"/>
      <c r="K352" s="277"/>
      <c r="L352" s="277"/>
      <c r="M352" s="277"/>
      <c r="N352" s="277"/>
      <c r="O352" s="277"/>
      <c r="P352" s="277"/>
      <c r="Q352" s="277"/>
      <c r="R352" s="278"/>
      <c r="S352" s="291" t="s">
        <v>52</v>
      </c>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row>
    <row r="353" ht="18.75" customHeight="1" outlineLevel="1">
      <c r="A353" s="17"/>
      <c r="B353" s="17"/>
      <c r="C353" s="17"/>
      <c r="D353" s="17"/>
      <c r="E353" s="17"/>
      <c r="F353" s="17"/>
      <c r="G353" s="14" t="s">
        <v>902</v>
      </c>
      <c r="H353" s="257">
        <f>Conso_élec_spécifique_m2_ancien*Nb_res_2020*H320</f>
        <v>81200000000</v>
      </c>
      <c r="I353" s="257">
        <f>Conso_élec_spécifique_m2_ancien*Nb_res_2020*I320</f>
        <v>81200000000</v>
      </c>
      <c r="J353" s="257">
        <f>Conso_élec_spécifique_m2_ancien*Nb_res_2020*J320</f>
        <v>81200000000</v>
      </c>
      <c r="K353" s="257">
        <f>Conso_élec_spécifique_m2_ancien*Nb_res_2020*K320</f>
        <v>81200000000</v>
      </c>
      <c r="L353" s="257">
        <f>Conso_élec_spécifique_m2_ancien*Nb_res_2020*L320</f>
        <v>81200000000</v>
      </c>
      <c r="M353" s="257">
        <f>Conso_élec_spécifique_m2_ancien*Nb_res_2020*M320</f>
        <v>81200000000</v>
      </c>
      <c r="N353" s="257">
        <f>Conso_élec_spécifique_m2_ancien*Nb_res_2020*N320</f>
        <v>81200000000</v>
      </c>
      <c r="O353" s="257">
        <f>Conso_élec_spécifique_m2_ancien*Nb_res_2020*O320</f>
        <v>81200000000</v>
      </c>
      <c r="P353" s="257">
        <f>Conso_élec_spécifique_m2_ancien*Nb_res_2020*P320</f>
        <v>81200000000</v>
      </c>
      <c r="Q353" s="257">
        <f>Conso_élec_spécifique_m2_ancien*Nb_res_2020*Q320</f>
        <v>81200000000</v>
      </c>
      <c r="R353" s="257">
        <f>Conso_élec_spécifique_m2_ancien*Nb_res_2020*R320</f>
        <v>81200000000</v>
      </c>
      <c r="S353" s="290">
        <f t="shared" ref="S353:S354" si="35">SUM(H353:R353)</f>
        <v>893200000000</v>
      </c>
      <c r="T353" s="17" t="s">
        <v>903</v>
      </c>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row>
    <row r="354" ht="18.75" customHeight="1" outlineLevel="1">
      <c r="A354" s="17"/>
      <c r="B354" s="17"/>
      <c r="C354" s="17"/>
      <c r="D354" s="17"/>
      <c r="E354" s="17"/>
      <c r="F354" s="17"/>
      <c r="G354" s="20" t="s">
        <v>904</v>
      </c>
      <c r="H354" s="290">
        <f>H353*FE_Electricité*10^-9</f>
        <v>6.496</v>
      </c>
      <c r="I354" s="290">
        <f>I353*FE_Electricité*10^-9</f>
        <v>6.496</v>
      </c>
      <c r="J354" s="290">
        <f>J353*FE_Electricité*10^-9</f>
        <v>6.496</v>
      </c>
      <c r="K354" s="290">
        <f>K353*FE_Electricité*10^-9</f>
        <v>6.496</v>
      </c>
      <c r="L354" s="290">
        <f>L353*FE_Electricité*10^-9</f>
        <v>6.496</v>
      </c>
      <c r="M354" s="290">
        <f>M353*FE_Electricité*10^-9</f>
        <v>6.496</v>
      </c>
      <c r="N354" s="290">
        <f>N353*FE_Electricité*10^-9</f>
        <v>6.496</v>
      </c>
      <c r="O354" s="290">
        <f>O353*FE_Electricité*10^-9</f>
        <v>6.496</v>
      </c>
      <c r="P354" s="290">
        <f>P353*FE_Electricité*10^-9</f>
        <v>6.496</v>
      </c>
      <c r="Q354" s="290">
        <f>Q353*FE_Electricité*10^-9</f>
        <v>6.496</v>
      </c>
      <c r="R354" s="290">
        <f>R353*FE_Electricité*10^-9</f>
        <v>6.496</v>
      </c>
      <c r="S354" s="290">
        <f t="shared" si="35"/>
        <v>71.456</v>
      </c>
      <c r="T354" s="171" t="s">
        <v>894</v>
      </c>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row>
    <row r="355" ht="18.75" customHeight="1" outlineLevel="1">
      <c r="A355" s="17"/>
      <c r="B355" s="17"/>
      <c r="C355" s="17"/>
      <c r="D355" s="17"/>
      <c r="E355" s="17"/>
      <c r="F355" s="17"/>
      <c r="G355" s="17"/>
      <c r="H355" s="171"/>
      <c r="I355" s="171"/>
      <c r="J355" s="171"/>
      <c r="K355" s="171"/>
      <c r="L355" s="171"/>
      <c r="M355" s="171"/>
      <c r="N355" s="171"/>
      <c r="O355" s="171"/>
      <c r="P355" s="171"/>
      <c r="Q355" s="171"/>
      <c r="R355" s="171"/>
      <c r="S355" s="292" t="s">
        <v>52</v>
      </c>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row>
    <row r="356" ht="18.75" customHeight="1" outlineLevel="1">
      <c r="A356" s="17"/>
      <c r="B356" s="17"/>
      <c r="C356" s="17"/>
      <c r="D356" s="17"/>
      <c r="E356" s="17"/>
      <c r="F356" s="17"/>
      <c r="G356" s="14" t="s">
        <v>905</v>
      </c>
      <c r="H356" s="168">
        <f t="shared" ref="H356:R356" si="36">H354+H344</f>
        <v>13.24946896</v>
      </c>
      <c r="I356" s="168">
        <f t="shared" si="36"/>
        <v>13.7165344</v>
      </c>
      <c r="J356" s="168">
        <f t="shared" si="36"/>
        <v>13.7453704</v>
      </c>
      <c r="K356" s="168">
        <f t="shared" si="36"/>
        <v>13.7742064</v>
      </c>
      <c r="L356" s="168">
        <f t="shared" si="36"/>
        <v>13.8030424</v>
      </c>
      <c r="M356" s="168">
        <f t="shared" si="36"/>
        <v>13.8318784</v>
      </c>
      <c r="N356" s="168">
        <f t="shared" si="36"/>
        <v>13.8607144</v>
      </c>
      <c r="O356" s="168">
        <f t="shared" si="36"/>
        <v>13.8895504</v>
      </c>
      <c r="P356" s="168">
        <f t="shared" si="36"/>
        <v>13.9183864</v>
      </c>
      <c r="Q356" s="168">
        <f t="shared" si="36"/>
        <v>13.9472224</v>
      </c>
      <c r="R356" s="168">
        <f t="shared" si="36"/>
        <v>13.9760584</v>
      </c>
      <c r="S356" s="293">
        <f t="shared" ref="S356:S357" si="37">SUM(H356:R356)</f>
        <v>151.712433</v>
      </c>
      <c r="T356" s="171" t="s">
        <v>894</v>
      </c>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row>
    <row r="357" ht="18.75" customHeight="1" outlineLevel="1">
      <c r="A357" s="17"/>
      <c r="B357" s="17"/>
      <c r="C357" s="17"/>
      <c r="D357" s="17"/>
      <c r="E357" s="17"/>
      <c r="F357" s="17"/>
      <c r="G357" s="14" t="s">
        <v>906</v>
      </c>
      <c r="H357" s="168">
        <f>FE_gaz_amont*H343</f>
        <v>1.556975246</v>
      </c>
      <c r="I357" s="168">
        <f>FE_gaz_amont*I343</f>
        <v>1.681600262</v>
      </c>
      <c r="J357" s="168">
        <f>FE_gaz_amont*J343</f>
        <v>1.688315918</v>
      </c>
      <c r="K357" s="168">
        <f>FE_gaz_amont*K343</f>
        <v>1.695031574</v>
      </c>
      <c r="L357" s="168">
        <f>FE_gaz_amont*L343</f>
        <v>1.70174723</v>
      </c>
      <c r="M357" s="168">
        <f>FE_gaz_amont*M343</f>
        <v>1.708462886</v>
      </c>
      <c r="N357" s="168">
        <f>FE_gaz_amont*N343</f>
        <v>1.715178542</v>
      </c>
      <c r="O357" s="168">
        <f>FE_gaz_amont*O343</f>
        <v>1.721894198</v>
      </c>
      <c r="P357" s="168">
        <f>FE_gaz_amont*P343</f>
        <v>1.728609854</v>
      </c>
      <c r="Q357" s="168">
        <f>FE_gaz_amont*Q343</f>
        <v>1.73532551</v>
      </c>
      <c r="R357" s="168">
        <f>FE_gaz_amont*R343</f>
        <v>1.742041166</v>
      </c>
      <c r="S357" s="293">
        <f t="shared" si="37"/>
        <v>18.67518239</v>
      </c>
      <c r="T357" s="171" t="s">
        <v>894</v>
      </c>
      <c r="U357" s="17"/>
      <c r="V357" s="32"/>
      <c r="W357" s="32"/>
      <c r="X357" s="32"/>
      <c r="Y357" s="32"/>
      <c r="Z357" s="32"/>
      <c r="AA357" s="32"/>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row>
    <row r="358" ht="18.75" customHeight="1" outlineLevel="1">
      <c r="A358" s="17"/>
      <c r="B358" s="17"/>
      <c r="C358" s="17"/>
      <c r="D358" s="17"/>
      <c r="E358" s="17"/>
      <c r="F358" s="17"/>
      <c r="G358" s="17"/>
      <c r="H358" s="171"/>
      <c r="I358" s="171"/>
      <c r="J358" s="171"/>
      <c r="K358" s="171"/>
      <c r="L358" s="171"/>
      <c r="M358" s="171"/>
      <c r="N358" s="171"/>
      <c r="O358" s="171"/>
      <c r="P358" s="171"/>
      <c r="Q358" s="171"/>
      <c r="R358" s="171"/>
      <c r="S358" s="171"/>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row>
    <row r="359" ht="18.75" customHeight="1" outlineLevel="1">
      <c r="A359" s="17"/>
      <c r="B359" s="17"/>
      <c r="C359" s="17"/>
      <c r="D359" s="17"/>
      <c r="E359" s="17"/>
      <c r="F359" s="17"/>
      <c r="G359" s="17"/>
      <c r="H359" s="32"/>
      <c r="I359" s="32"/>
      <c r="J359" s="32"/>
      <c r="K359" s="32"/>
      <c r="L359" s="32"/>
      <c r="M359" s="32"/>
      <c r="N359" s="32"/>
      <c r="O359" s="32"/>
      <c r="P359" s="32"/>
      <c r="Q359" s="32"/>
      <c r="R359" s="32"/>
      <c r="S359" s="32"/>
      <c r="T359" s="294"/>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row>
    <row r="360" ht="18.75" customHeight="1" outlineLevel="1">
      <c r="A360" s="17"/>
      <c r="B360" s="17"/>
      <c r="C360" s="17"/>
      <c r="D360" s="17"/>
      <c r="E360" s="17"/>
      <c r="F360" s="17"/>
      <c r="G360" s="295" t="s">
        <v>907</v>
      </c>
      <c r="H360" s="182"/>
      <c r="I360" s="182"/>
      <c r="J360" s="182"/>
      <c r="K360" s="182"/>
      <c r="L360" s="182"/>
      <c r="M360" s="182"/>
      <c r="N360" s="182"/>
      <c r="O360" s="182"/>
      <c r="P360" s="182"/>
      <c r="Q360" s="182"/>
      <c r="R360" s="183"/>
      <c r="S360" s="291" t="s">
        <v>52</v>
      </c>
      <c r="T360" s="171"/>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row>
    <row r="361" ht="18.75" customHeight="1" outlineLevel="1">
      <c r="A361" s="17"/>
      <c r="B361" s="17"/>
      <c r="C361" s="17"/>
      <c r="D361" s="17"/>
      <c r="E361" s="17"/>
      <c r="F361" s="288"/>
      <c r="G361" s="14" t="s">
        <v>908</v>
      </c>
      <c r="H361" s="14">
        <f>Emissions_GES_tertiaire</f>
        <v>25</v>
      </c>
      <c r="I361" s="27">
        <f>$H$361-($H$361*((H2-Année_référence)*$D$305/Nb_années))</f>
        <v>25</v>
      </c>
      <c r="J361" s="27">
        <f>$H$361-($H$361*((I2-Année_référence)*$D$305/Nb_années))</f>
        <v>25.29715617</v>
      </c>
      <c r="K361" s="27">
        <f>$H$361-($H$361*((J2-Année_référence)*$D$305/Nb_années))</f>
        <v>25.59431234</v>
      </c>
      <c r="L361" s="27">
        <f>$H$361-($H$361*((K2-Année_référence)*$D$305/Nb_années))</f>
        <v>25.89146851</v>
      </c>
      <c r="M361" s="27">
        <f>$H$361-($H$361*((L2-Année_référence)*$D$305/Nb_années))</f>
        <v>26.18862468</v>
      </c>
      <c r="N361" s="27">
        <f>$H$361-($H$361*((M2-Année_référence)*$D$305/Nb_années))</f>
        <v>26.48578085</v>
      </c>
      <c r="O361" s="27">
        <f>$H$361-($H$361*((N2-Année_référence)*$D$305/Nb_années))</f>
        <v>26.78293702</v>
      </c>
      <c r="P361" s="27">
        <f>$H$361-($H$361*((O2-Année_référence)*$D$305/Nb_années))</f>
        <v>27.08009319</v>
      </c>
      <c r="Q361" s="27">
        <f>$H$361-($H$361*((P2-Année_référence)*$D$305/Nb_années))</f>
        <v>27.37724935</v>
      </c>
      <c r="R361" s="27">
        <f>$H$361-($H$361*((Q2-Année_référence)*$D$305/Nb_années))</f>
        <v>27.67440552</v>
      </c>
      <c r="S361" s="290">
        <f>SUM(H361:R361)</f>
        <v>288.3720276</v>
      </c>
      <c r="T361" s="171" t="s">
        <v>894</v>
      </c>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row>
    <row r="362" ht="18.75" customHeight="1" outlineLevel="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row>
    <row r="363" ht="18.75" customHeight="1" outlineLevel="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row>
    <row r="364" ht="18.75" customHeight="1">
      <c r="A364" s="296" t="s">
        <v>909</v>
      </c>
      <c r="B364" s="297"/>
      <c r="C364" s="297"/>
      <c r="D364" s="297"/>
      <c r="E364" s="297"/>
      <c r="F364" s="297"/>
      <c r="G364" s="297"/>
      <c r="H364" s="297"/>
      <c r="I364" s="297"/>
      <c r="J364" s="297"/>
      <c r="K364" s="297"/>
      <c r="L364" s="297"/>
      <c r="M364" s="297"/>
      <c r="N364" s="297"/>
      <c r="O364" s="297"/>
      <c r="P364" s="297"/>
      <c r="Q364" s="297"/>
      <c r="R364" s="297"/>
      <c r="S364" s="297"/>
      <c r="T364" s="297"/>
      <c r="U364" s="297"/>
      <c r="V364" s="297"/>
      <c r="W364" s="297"/>
      <c r="X364" s="297"/>
      <c r="Y364" s="297"/>
      <c r="Z364" s="29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row>
    <row r="365" ht="18.75" customHeight="1">
      <c r="A365" s="298"/>
      <c r="B365" s="299"/>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row>
    <row r="366" ht="18.75" customHeight="1" outlineLevel="1">
      <c r="A366" s="17"/>
      <c r="B366" s="17"/>
      <c r="C366" s="300" t="s">
        <v>910</v>
      </c>
      <c r="D366" s="183"/>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row>
    <row r="367" ht="18.75" customHeight="1" outlineLevel="1">
      <c r="A367" s="17"/>
      <c r="B367" s="17" t="s">
        <v>911</v>
      </c>
      <c r="C367" s="14" t="s">
        <v>912</v>
      </c>
      <c r="D367" s="152">
        <v>757.7</v>
      </c>
      <c r="E367" s="17" t="s">
        <v>913</v>
      </c>
      <c r="F367" s="301"/>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row>
    <row r="368" ht="18.75" customHeight="1" outlineLevel="1">
      <c r="A368" s="17"/>
      <c r="B368" s="17" t="s">
        <v>914</v>
      </c>
      <c r="C368" s="14" t="s">
        <v>915</v>
      </c>
      <c r="D368" s="302">
        <v>458.0</v>
      </c>
      <c r="E368" s="17" t="s">
        <v>916</v>
      </c>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row>
    <row r="369" ht="18.75" customHeight="1" outlineLevel="1">
      <c r="A369" s="17"/>
      <c r="B369" s="17" t="s">
        <v>917</v>
      </c>
      <c r="C369" s="14" t="s">
        <v>918</v>
      </c>
      <c r="D369" s="302">
        <v>6.5</v>
      </c>
      <c r="E369" s="17" t="s">
        <v>919</v>
      </c>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row>
    <row r="370" ht="18.75" customHeight="1" outlineLevel="1">
      <c r="A370" s="17"/>
      <c r="B370" s="17" t="s">
        <v>920</v>
      </c>
      <c r="C370" s="14" t="s">
        <v>921</v>
      </c>
      <c r="D370" s="153">
        <v>17400.0</v>
      </c>
      <c r="E370" s="17" t="s">
        <v>922</v>
      </c>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row>
    <row r="371" ht="18.75" customHeight="1" outlineLevel="1">
      <c r="A371" s="17"/>
      <c r="B371" s="17" t="s">
        <v>923</v>
      </c>
      <c r="C371" s="14" t="s">
        <v>924</v>
      </c>
      <c r="D371" s="152">
        <v>27.0</v>
      </c>
      <c r="E371" s="17" t="s">
        <v>925</v>
      </c>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row>
    <row r="372" ht="18.75" customHeight="1" outlineLevel="1">
      <c r="A372" s="17"/>
      <c r="B372" s="17" t="s">
        <v>926</v>
      </c>
      <c r="C372" s="14" t="s">
        <v>927</v>
      </c>
      <c r="D372" s="168">
        <f>D367*10^9/D370</f>
        <v>43545977.01</v>
      </c>
      <c r="E372" s="17" t="s">
        <v>928</v>
      </c>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row>
    <row r="373" ht="18.75" customHeight="1" outlineLevel="1">
      <c r="A373" s="17"/>
      <c r="B373" s="17" t="s">
        <v>929</v>
      </c>
      <c r="C373" s="14" t="s">
        <v>930</v>
      </c>
      <c r="D373" s="303">
        <v>1.2</v>
      </c>
      <c r="E373" s="17" t="s">
        <v>931</v>
      </c>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row>
    <row r="374" ht="18.75" customHeight="1" outlineLevel="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row>
    <row r="375" ht="18.75" customHeight="1" outlineLevel="1">
      <c r="A375" s="298"/>
      <c r="B375" s="299"/>
      <c r="C375" s="300" t="s">
        <v>163</v>
      </c>
      <c r="D375" s="183"/>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row>
    <row r="376" ht="18.75" customHeight="1" outlineLevel="1">
      <c r="A376" s="17"/>
      <c r="B376" s="17" t="s">
        <v>162</v>
      </c>
      <c r="C376" s="14" t="s">
        <v>164</v>
      </c>
      <c r="D376" s="249">
        <f>Part_ecoconduite_2030</f>
        <v>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row>
    <row r="377" ht="18.75" customHeight="1" outlineLevel="1">
      <c r="A377" s="17"/>
      <c r="B377" s="17" t="s">
        <v>196</v>
      </c>
      <c r="C377" s="14" t="s">
        <v>198</v>
      </c>
      <c r="D377" s="304" t="str">
        <f>Gain_ecoconduite</f>
        <v>0,2</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row>
    <row r="378" ht="18.75" customHeight="1" outlineLevel="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row>
    <row r="379" ht="18.75" customHeight="1" outlineLevel="1">
      <c r="A379" s="17"/>
      <c r="B379" s="17"/>
      <c r="C379" s="300" t="s">
        <v>932</v>
      </c>
      <c r="D379" s="183"/>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row>
    <row r="380" ht="18.75" customHeight="1" outlineLevel="1">
      <c r="A380" s="17"/>
      <c r="B380" s="17" t="s">
        <v>933</v>
      </c>
      <c r="C380" s="14" t="s">
        <v>934</v>
      </c>
      <c r="D380" s="305">
        <v>80.0</v>
      </c>
      <c r="E380" s="17" t="s">
        <v>935</v>
      </c>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row>
    <row r="381" ht="18.75" customHeight="1" outlineLevel="1">
      <c r="A381" s="17"/>
      <c r="B381" s="17" t="s">
        <v>936</v>
      </c>
      <c r="C381" s="14" t="s">
        <v>937</v>
      </c>
      <c r="D381" s="305">
        <v>20.0</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row>
    <row r="382" ht="18.75" customHeight="1" outlineLevel="1">
      <c r="A382" s="17"/>
      <c r="B382" s="17" t="s">
        <v>938</v>
      </c>
      <c r="C382" s="14" t="s">
        <v>934</v>
      </c>
      <c r="D382" s="305">
        <f>FE_amont_elec_VE_2020*FE_Electricité/FE_Electricité_2020</f>
        <v>19.51219512</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row>
    <row r="383" ht="18.75" customHeight="1" outlineLevel="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row>
    <row r="384" ht="18.75" customHeight="1" outlineLevel="1">
      <c r="A384" s="17"/>
      <c r="B384" s="17"/>
      <c r="C384" s="300" t="s">
        <v>832</v>
      </c>
      <c r="D384" s="183"/>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row>
    <row r="385" ht="18.75" customHeight="1" outlineLevel="1">
      <c r="A385" s="17"/>
      <c r="B385" s="17" t="s">
        <v>939</v>
      </c>
      <c r="C385" s="14" t="s">
        <v>940</v>
      </c>
      <c r="D385" s="152">
        <v>0.317</v>
      </c>
      <c r="E385" s="17" t="s">
        <v>835</v>
      </c>
      <c r="F385" s="17" t="s">
        <v>861</v>
      </c>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row>
    <row r="386" ht="18.75" customHeight="1" outlineLevel="1">
      <c r="A386" s="17"/>
      <c r="B386" s="17" t="s">
        <v>941</v>
      </c>
      <c r="C386" s="14" t="s">
        <v>942</v>
      </c>
      <c r="D386" s="152">
        <v>0.17</v>
      </c>
      <c r="E386" s="17" t="s">
        <v>943</v>
      </c>
      <c r="F386" s="17" t="s">
        <v>861</v>
      </c>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row>
    <row r="387" ht="18.75" customHeight="1" outlineLevel="1">
      <c r="A387" s="17"/>
      <c r="B387" s="17" t="s">
        <v>944</v>
      </c>
      <c r="C387" s="14" t="s">
        <v>945</v>
      </c>
      <c r="D387" s="152">
        <v>0.043</v>
      </c>
      <c r="E387" s="17" t="s">
        <v>943</v>
      </c>
      <c r="F387" s="17" t="s">
        <v>861</v>
      </c>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row>
    <row r="388" ht="18.75" customHeight="1" outlineLevel="1">
      <c r="A388" s="17"/>
      <c r="B388" s="17" t="s">
        <v>946</v>
      </c>
      <c r="C388" s="14" t="s">
        <v>947</v>
      </c>
      <c r="D388" s="152">
        <v>0.04</v>
      </c>
      <c r="E388" s="17" t="s">
        <v>943</v>
      </c>
      <c r="F388" s="17" t="s">
        <v>861</v>
      </c>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row>
    <row r="389" ht="18.75" customHeight="1" outlineLevel="1">
      <c r="A389" s="17"/>
      <c r="B389" s="17" t="s">
        <v>948</v>
      </c>
      <c r="C389" s="14" t="s">
        <v>949</v>
      </c>
      <c r="D389" s="152">
        <v>2.5</v>
      </c>
      <c r="E389" s="17" t="s">
        <v>950</v>
      </c>
      <c r="F389" s="17" t="s">
        <v>861</v>
      </c>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row>
    <row r="390" ht="18.75" customHeight="1" outlineLevel="1">
      <c r="A390" s="17"/>
      <c r="B390" s="17" t="s">
        <v>951</v>
      </c>
      <c r="C390" s="14" t="s">
        <v>952</v>
      </c>
      <c r="D390" s="152">
        <v>0.6</v>
      </c>
      <c r="E390" s="17" t="s">
        <v>950</v>
      </c>
      <c r="F390" s="17" t="s">
        <v>861</v>
      </c>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row>
    <row r="391" ht="18.75" customHeight="1" outlineLevel="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row>
    <row r="392" ht="18.75" customHeight="1" outlineLevel="1">
      <c r="A392" s="17"/>
      <c r="B392" s="17"/>
      <c r="C392" s="17"/>
      <c r="D392" s="17"/>
      <c r="E392" s="17"/>
      <c r="F392" s="17"/>
      <c r="G392" s="306" t="s">
        <v>953</v>
      </c>
      <c r="H392" s="182"/>
      <c r="I392" s="182"/>
      <c r="J392" s="182"/>
      <c r="K392" s="182"/>
      <c r="L392" s="182"/>
      <c r="M392" s="182"/>
      <c r="N392" s="182"/>
      <c r="O392" s="182"/>
      <c r="P392" s="182"/>
      <c r="Q392" s="182"/>
      <c r="R392" s="183"/>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row>
    <row r="393" ht="18.75" customHeight="1" outlineLevel="1">
      <c r="A393" s="17"/>
      <c r="B393" s="17"/>
      <c r="C393" s="17"/>
      <c r="D393" s="17"/>
      <c r="E393" s="17"/>
      <c r="F393" s="17"/>
      <c r="G393" s="14" t="s">
        <v>954</v>
      </c>
      <c r="H393" s="307">
        <f>Voyageurs_km_2020_VP</f>
        <v>757.7</v>
      </c>
      <c r="I393" s="307">
        <f>IF(Var_distance_2020_2030&lt;=100%, I397, I395)</f>
        <v>757.7</v>
      </c>
      <c r="J393" s="307">
        <f>IF(Var_distance_2020_2030&lt;=100%, J397, J395)</f>
        <v>757.7</v>
      </c>
      <c r="K393" s="307">
        <f>IF(Var_distance_2020_2030&lt;=100%, K397, K395)</f>
        <v>757.7</v>
      </c>
      <c r="L393" s="307">
        <f>IF(Var_distance_2020_2030&lt;=100%, L397, L395)</f>
        <v>757.7</v>
      </c>
      <c r="M393" s="307">
        <f>IF(Var_distance_2020_2030&lt;=100%, M397, M395)</f>
        <v>757.7</v>
      </c>
      <c r="N393" s="307">
        <f>IF(Var_distance_2020_2030&lt;=100%, N397, N395)</f>
        <v>757.7</v>
      </c>
      <c r="O393" s="307">
        <f>IF(Var_distance_2020_2030&lt;=100%, O397, O395)</f>
        <v>757.7</v>
      </c>
      <c r="P393" s="307">
        <f>IF(Var_distance_2020_2030&lt;=100%, P397, P395)</f>
        <v>757.7</v>
      </c>
      <c r="Q393" s="307">
        <f>IF(Var_distance_2020_2030&lt;=100%, Q397, Q395)</f>
        <v>757.7</v>
      </c>
      <c r="R393" s="307">
        <f>IF(Var_distance_2020_2030&lt;=100%, R397, R395)</f>
        <v>757.7</v>
      </c>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row>
    <row r="394" ht="18.75" customHeight="1" outlineLevel="1">
      <c r="A394" s="17"/>
      <c r="B394" s="17"/>
      <c r="C394" s="17"/>
      <c r="D394" s="17"/>
      <c r="E394" s="17"/>
      <c r="F394" s="17"/>
      <c r="G394" s="308" t="s">
        <v>955</v>
      </c>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row>
    <row r="395" ht="18.75" customHeight="1" outlineLevel="1">
      <c r="A395" s="17"/>
      <c r="B395" s="17"/>
      <c r="C395" s="17"/>
      <c r="D395" s="17"/>
      <c r="E395" s="17"/>
      <c r="F395" s="17"/>
      <c r="G395" s="14" t="s">
        <v>954</v>
      </c>
      <c r="H395" s="307">
        <f>Nb_voyageurs_2020/1000000000*(km_moyen_VP+(km_moyen_VP*(H2-Année_référence)*(Var_distance_2020_2030-100%)/Nb_années))</f>
        <v>757.7</v>
      </c>
      <c r="I395" s="307">
        <f>Nb_voyageurs_2020/1000000000*(km_moyen_VP+(km_moyen_VP*(I2-Année_référence)*(Var_distance_2020_2030-100%)/Nb_années))</f>
        <v>757.7</v>
      </c>
      <c r="J395" s="307">
        <f>Nb_voyageurs_2020/1000000000*(km_moyen_VP+(km_moyen_VP*(J2-Année_référence)*(Var_distance_2020_2030-100%)/Nb_années))</f>
        <v>757.7</v>
      </c>
      <c r="K395" s="307">
        <f>Nb_voyageurs_2020/1000000000*(km_moyen_VP+(km_moyen_VP*(K2-Année_référence)*(Var_distance_2020_2030-100%)/Nb_années))</f>
        <v>757.7</v>
      </c>
      <c r="L395" s="307">
        <f>Nb_voyageurs_2020/1000000000*(km_moyen_VP+(km_moyen_VP*(L2-Année_référence)*(Var_distance_2020_2030-100%)/Nb_années))</f>
        <v>757.7</v>
      </c>
      <c r="M395" s="307">
        <f>Nb_voyageurs_2020/1000000000*(km_moyen_VP+(km_moyen_VP*(M2-Année_référence)*(Var_distance_2020_2030-100%)/Nb_années))</f>
        <v>757.7</v>
      </c>
      <c r="N395" s="307">
        <f>Nb_voyageurs_2020/1000000000*(km_moyen_VP+(km_moyen_VP*(N2-Année_référence)*(Var_distance_2020_2030-100%)/Nb_années))</f>
        <v>757.7</v>
      </c>
      <c r="O395" s="307">
        <f>Nb_voyageurs_2020/1000000000*(km_moyen_VP+(km_moyen_VP*(O2-Année_référence)*(Var_distance_2020_2030-100%)/Nb_années))</f>
        <v>757.7</v>
      </c>
      <c r="P395" s="307">
        <f>Nb_voyageurs_2020/1000000000*(km_moyen_VP+(km_moyen_VP*(P2-Année_référence)*(Var_distance_2020_2030-100%)/Nb_années))</f>
        <v>757.7</v>
      </c>
      <c r="Q395" s="307">
        <f>Nb_voyageurs_2020/1000000000*(km_moyen_VP+(km_moyen_VP*(Q2-Année_référence)*(Var_distance_2020_2030-100%)/Nb_années))</f>
        <v>757.7</v>
      </c>
      <c r="R395" s="307">
        <f>Nb_voyageurs_2020/1000000000*(km_moyen_VP+(km_moyen_VP*(R2-Année_référence)*(Var_distance_2020_2030-100%)/Nb_années))</f>
        <v>757.7</v>
      </c>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row>
    <row r="396" ht="18.75" customHeight="1" outlineLevel="1">
      <c r="A396" s="17"/>
      <c r="B396" s="17"/>
      <c r="C396" s="17"/>
      <c r="D396" s="17"/>
      <c r="E396" s="17"/>
      <c r="F396" s="17"/>
      <c r="G396" s="308" t="s">
        <v>956</v>
      </c>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row>
    <row r="397" ht="18.75" customHeight="1" outlineLevel="1">
      <c r="A397" s="309"/>
      <c r="B397" s="310"/>
      <c r="C397" s="299"/>
      <c r="D397" s="17"/>
      <c r="E397" s="17"/>
      <c r="F397" s="17"/>
      <c r="G397" s="311" t="s">
        <v>954</v>
      </c>
      <c r="H397" s="307">
        <f>$D$372/1000000000*(km_moyen_VP-(km_moyen_VP*(H2-Année_référence)*(Var_distance_2020_2030)/Nb_années))</f>
        <v>757.7</v>
      </c>
      <c r="I397" s="307">
        <f>$D$372/1000000000*(km_moyen_VP-(km_moyen_VP*(I2-Année_référence)*(Var_distance_2020_2030)/Nb_années))</f>
        <v>681.93</v>
      </c>
      <c r="J397" s="307">
        <f>$D$372/1000000000*(km_moyen_VP-(km_moyen_VP*(J2-Année_référence)*(Var_distance_2020_2030)/Nb_années))</f>
        <v>606.16</v>
      </c>
      <c r="K397" s="307">
        <f>$D$372/1000000000*(km_moyen_VP-(km_moyen_VP*(K2-Année_référence)*(Var_distance_2020_2030)/Nb_années))</f>
        <v>530.39</v>
      </c>
      <c r="L397" s="307">
        <f>$D$372/1000000000*(km_moyen_VP-(km_moyen_VP*(L2-Année_référence)*(Var_distance_2020_2030)/Nb_années))</f>
        <v>454.62</v>
      </c>
      <c r="M397" s="307">
        <f>$D$372/1000000000*(km_moyen_VP-(km_moyen_VP*(M2-Année_référence)*(Var_distance_2020_2030)/Nb_années))</f>
        <v>378.85</v>
      </c>
      <c r="N397" s="307">
        <f>$D$372/1000000000*(km_moyen_VP-(km_moyen_VP*(N2-Année_référence)*(Var_distance_2020_2030)/Nb_années))</f>
        <v>303.08</v>
      </c>
      <c r="O397" s="307">
        <f>$D$372/1000000000*(km_moyen_VP-(km_moyen_VP*(O2-Année_référence)*(Var_distance_2020_2030)/Nb_années))</f>
        <v>227.31</v>
      </c>
      <c r="P397" s="307">
        <f>$D$372/1000000000*(km_moyen_VP-(km_moyen_VP*(P2-Année_référence)*(Var_distance_2020_2030)/Nb_années))</f>
        <v>151.54</v>
      </c>
      <c r="Q397" s="307">
        <f>$D$372/1000000000*(km_moyen_VP-(km_moyen_VP*(Q2-Année_référence)*(Var_distance_2020_2030)/Nb_années))</f>
        <v>75.77</v>
      </c>
      <c r="R397" s="307">
        <f>$D$372/1000000000*(km_moyen_VP-(km_moyen_VP*(R2-Année_référence)*(Var_distance_2020_2030)/Nb_années))</f>
        <v>0</v>
      </c>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row>
    <row r="398" ht="18.75" customHeight="1" outlineLevel="1">
      <c r="A398" s="309"/>
      <c r="B398" s="310"/>
      <c r="C398" s="299"/>
      <c r="D398" s="17"/>
      <c r="E398" s="17"/>
      <c r="F398" s="17"/>
      <c r="G398" s="310"/>
      <c r="H398" s="312"/>
      <c r="I398" s="312"/>
      <c r="J398" s="312"/>
      <c r="K398" s="312"/>
      <c r="L398" s="312"/>
      <c r="M398" s="312"/>
      <c r="N398" s="312"/>
      <c r="O398" s="312"/>
      <c r="P398" s="312"/>
      <c r="Q398" s="312"/>
      <c r="R398" s="312"/>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row>
    <row r="399" ht="18.75" customHeight="1" outlineLevel="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row>
    <row r="400" ht="18.75" customHeight="1" outlineLevel="1">
      <c r="A400" s="17"/>
      <c r="B400" s="17"/>
      <c r="C400" s="17"/>
      <c r="D400" s="17"/>
      <c r="E400" s="17"/>
      <c r="F400" s="17"/>
      <c r="G400" s="306" t="s">
        <v>163</v>
      </c>
      <c r="H400" s="182"/>
      <c r="I400" s="182"/>
      <c r="J400" s="182"/>
      <c r="K400" s="182"/>
      <c r="L400" s="182"/>
      <c r="M400" s="182"/>
      <c r="N400" s="182"/>
      <c r="O400" s="182"/>
      <c r="P400" s="182"/>
      <c r="Q400" s="182"/>
      <c r="R400" s="183"/>
      <c r="S400" s="17"/>
      <c r="T400" s="17"/>
      <c r="U400" s="17"/>
      <c r="V400" s="17"/>
      <c r="W400" s="17"/>
      <c r="X400" s="17"/>
      <c r="Y400" s="17"/>
      <c r="Z400" s="17"/>
      <c r="AA400" s="17"/>
      <c r="AB400" s="310"/>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row>
    <row r="401" ht="18.75" customHeight="1" outlineLevel="1">
      <c r="A401" s="17"/>
      <c r="B401" s="17"/>
      <c r="C401" s="17"/>
      <c r="D401" s="17"/>
      <c r="E401" s="17"/>
      <c r="F401" s="17"/>
      <c r="G401" s="14" t="s">
        <v>957</v>
      </c>
      <c r="H401" s="98">
        <f>Conso_moyenne_2020</f>
        <v>6.5</v>
      </c>
      <c r="I401" s="98">
        <f>(Conso_moyenne_2030*I405+I406*3)/(I405+I406)</f>
        <v>6.5</v>
      </c>
      <c r="J401" s="98">
        <f>(Conso_moyenne_2030*J405+J406*3)/(J405+J406)</f>
        <v>6.5</v>
      </c>
      <c r="K401" s="98">
        <f>(Conso_moyenne_2030*K405+K406*3)/(K405+K406)</f>
        <v>6.5</v>
      </c>
      <c r="L401" s="98">
        <f>(Conso_moyenne_2030*L405+L406*3)/(L405+L406)</f>
        <v>6.5</v>
      </c>
      <c r="M401" s="98">
        <f>(Conso_moyenne_2030*M405+M406*3)/(M405+M406)</f>
        <v>6.5</v>
      </c>
      <c r="N401" s="98">
        <f>(Conso_moyenne_2030*N405+N406*3)/(N405+N406)</f>
        <v>6.5</v>
      </c>
      <c r="O401" s="98">
        <f>(Conso_moyenne_2030*O405+O406*3)/(O405+O406)</f>
        <v>6.5</v>
      </c>
      <c r="P401" s="98">
        <f>(Conso_moyenne_2030*P405+P406*3)/(P405+P406)</f>
        <v>6.5</v>
      </c>
      <c r="Q401" s="98">
        <f>(Conso_moyenne_2030*Q405+Q406*3)/(Q405+Q406)</f>
        <v>6.5</v>
      </c>
      <c r="R401" s="98">
        <f>(Conso_moyenne_2030*R405+R406*3)/(R405+R406)</f>
        <v>6.5</v>
      </c>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row>
    <row r="402" ht="18.75" customHeight="1" outlineLevel="1">
      <c r="A402" s="17"/>
      <c r="B402" s="17"/>
      <c r="C402" s="17"/>
      <c r="D402" s="17"/>
      <c r="E402" s="17"/>
      <c r="F402" s="17"/>
      <c r="G402" s="14" t="s">
        <v>958</v>
      </c>
      <c r="H402" s="27">
        <f>Conso_moyenne_2020</f>
        <v>6.5</v>
      </c>
      <c r="I402" s="27">
        <f>I401*Part_ecoconduite_2030*(1-Gain_ecoconduite)+(1-Part_ecoconduite_2030)*I401</f>
        <v>6.5</v>
      </c>
      <c r="J402" s="27">
        <f>J401*Part_ecoconduite_2030*(1-Gain_ecoconduite)+(1-Part_ecoconduite_2030)*J401</f>
        <v>6.5</v>
      </c>
      <c r="K402" s="27">
        <f>K401*Part_ecoconduite_2030*(1-Gain_ecoconduite)+(1-Part_ecoconduite_2030)*K401</f>
        <v>6.5</v>
      </c>
      <c r="L402" s="27">
        <f>L401*Part_ecoconduite_2030*(1-Gain_ecoconduite)+(1-Part_ecoconduite_2030)*L401</f>
        <v>6.5</v>
      </c>
      <c r="M402" s="27">
        <f>M401*Part_ecoconduite_2030*(1-Gain_ecoconduite)+(1-Part_ecoconduite_2030)*M401</f>
        <v>6.5</v>
      </c>
      <c r="N402" s="27">
        <f>N401*Part_ecoconduite_2030*(1-Gain_ecoconduite)+(1-Part_ecoconduite_2030)*N401</f>
        <v>6.5</v>
      </c>
      <c r="O402" s="27">
        <f>O401*Part_ecoconduite_2030*(1-Gain_ecoconduite)+(1-Part_ecoconduite_2030)*O401</f>
        <v>6.5</v>
      </c>
      <c r="P402" s="27">
        <f>P401*Part_ecoconduite_2030*(1-Gain_ecoconduite)+(1-Part_ecoconduite_2030)*P401</f>
        <v>6.5</v>
      </c>
      <c r="Q402" s="27">
        <f>Q401*Part_ecoconduite_2030*(1-Gain_ecoconduite)+(1-Part_ecoconduite_2030)*Q401</f>
        <v>6.5</v>
      </c>
      <c r="R402" s="27">
        <f>R401*Part_ecoconduite_2030*(1-Gain_ecoconduite)+(1-Part_ecoconduite_2030)*R401</f>
        <v>6.5</v>
      </c>
      <c r="S402" s="17"/>
      <c r="T402" s="313"/>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row>
    <row r="403" ht="18.75" customHeight="1" outlineLevel="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row>
    <row r="404" ht="18.75" customHeight="1" outlineLevel="1">
      <c r="A404" s="17"/>
      <c r="B404" s="17"/>
      <c r="C404" s="17"/>
      <c r="D404" s="17"/>
      <c r="E404" s="17"/>
      <c r="F404" s="17"/>
      <c r="G404" s="306" t="s">
        <v>959</v>
      </c>
      <c r="H404" s="182"/>
      <c r="I404" s="182"/>
      <c r="J404" s="182"/>
      <c r="K404" s="182"/>
      <c r="L404" s="182"/>
      <c r="M404" s="182"/>
      <c r="N404" s="182"/>
      <c r="O404" s="182"/>
      <c r="P404" s="182"/>
      <c r="Q404" s="182"/>
      <c r="R404" s="183"/>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row>
    <row r="405" ht="18.75" customHeight="1" outlineLevel="1">
      <c r="A405" s="17"/>
      <c r="B405" s="17"/>
      <c r="C405" s="17"/>
      <c r="D405" s="17"/>
      <c r="E405" s="17"/>
      <c r="F405" s="17"/>
      <c r="G405" s="14" t="s">
        <v>960</v>
      </c>
      <c r="H405" s="314">
        <f>100%-(H2-Année_référence)*Taux_remplacement_VT/Nb_années</f>
        <v>1</v>
      </c>
      <c r="I405" s="314">
        <f>100%-(I2-Année_référence)*Taux_remplacement_VT/Nb_années</f>
        <v>1</v>
      </c>
      <c r="J405" s="314">
        <f>100%-(J2-Année_référence)*Taux_remplacement_VT/Nb_années</f>
        <v>1</v>
      </c>
      <c r="K405" s="314">
        <f>100%-(K2-Année_référence)*Taux_remplacement_VT/Nb_années</f>
        <v>1</v>
      </c>
      <c r="L405" s="314">
        <f>100%-(L2-Année_référence)*Taux_remplacement_VT/Nb_années</f>
        <v>1</v>
      </c>
      <c r="M405" s="314">
        <f>100%-(M2-Année_référence)*Taux_remplacement_VT/Nb_années</f>
        <v>1</v>
      </c>
      <c r="N405" s="314">
        <f>100%-(N2-Année_référence)*Taux_remplacement_VT/Nb_années</f>
        <v>1</v>
      </c>
      <c r="O405" s="314">
        <f>100%-(O2-Année_référence)*Taux_remplacement_VT/Nb_années</f>
        <v>1</v>
      </c>
      <c r="P405" s="314">
        <f>100%-(P2-Année_référence)*Taux_remplacement_VT/Nb_années</f>
        <v>1</v>
      </c>
      <c r="Q405" s="314">
        <f>100%-(Q2-Année_référence)*Taux_remplacement_VT/Nb_années</f>
        <v>1</v>
      </c>
      <c r="R405" s="314">
        <f>100%-(R2-Année_référence)*Taux_remplacement_VT/Nb_années</f>
        <v>1</v>
      </c>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row>
    <row r="406" ht="18.75" customHeight="1" outlineLevel="1">
      <c r="A406" s="17"/>
      <c r="B406" s="17"/>
      <c r="C406" s="17"/>
      <c r="D406" s="17"/>
      <c r="E406" s="17"/>
      <c r="F406" s="17"/>
      <c r="G406" s="14" t="s">
        <v>961</v>
      </c>
      <c r="H406" s="314">
        <f>(H2-Année_référence)*Taux_remplacement_VT/Nb_années</f>
        <v>0</v>
      </c>
      <c r="I406" s="314">
        <f>(I2-Année_référence)*Taux_remplacement_VT/Nb_années</f>
        <v>0</v>
      </c>
      <c r="J406" s="314">
        <f>(J2-Année_référence)*Taux_remplacement_VT/Nb_années</f>
        <v>0</v>
      </c>
      <c r="K406" s="314">
        <f>(K2-Année_référence)*Taux_remplacement_VT/Nb_années</f>
        <v>0</v>
      </c>
      <c r="L406" s="314">
        <f>(L2-Année_référence)*Taux_remplacement_VT/Nb_années</f>
        <v>0</v>
      </c>
      <c r="M406" s="314">
        <f>(M2-Année_référence)*Taux_remplacement_VT/Nb_années</f>
        <v>0</v>
      </c>
      <c r="N406" s="314">
        <f>(N2-Année_référence)*Taux_remplacement_VT/Nb_années</f>
        <v>0</v>
      </c>
      <c r="O406" s="314">
        <f>(O2-Année_référence)*Taux_remplacement_VT/Nb_années</f>
        <v>0</v>
      </c>
      <c r="P406" s="314">
        <f>(P2-Année_référence)*Taux_remplacement_VT/Nb_années</f>
        <v>0</v>
      </c>
      <c r="Q406" s="314">
        <f>(Q2-Année_référence)*Taux_remplacement_VT/Nb_années</f>
        <v>0</v>
      </c>
      <c r="R406" s="314">
        <f>(R2-Année_référence)*Taux_remplacement_VT/Nb_années</f>
        <v>0</v>
      </c>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row>
    <row r="407" ht="18.75" customHeight="1" outlineLevel="1">
      <c r="A407" s="17"/>
      <c r="B407" s="17"/>
      <c r="C407" s="17"/>
      <c r="D407" s="17"/>
      <c r="E407" s="17"/>
      <c r="F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row>
    <row r="408" ht="18.75" customHeight="1" outlineLevel="1">
      <c r="A408" s="17"/>
      <c r="B408" s="17"/>
      <c r="C408" s="17"/>
      <c r="D408" s="17"/>
      <c r="E408" s="17"/>
      <c r="F408" s="17"/>
      <c r="G408" s="14" t="s">
        <v>962</v>
      </c>
      <c r="H408" s="314">
        <v>0.0</v>
      </c>
      <c r="I408" s="314">
        <f t="shared" ref="I408:R408" si="38">I406-H406</f>
        <v>0</v>
      </c>
      <c r="J408" s="314">
        <f t="shared" si="38"/>
        <v>0</v>
      </c>
      <c r="K408" s="314">
        <f t="shared" si="38"/>
        <v>0</v>
      </c>
      <c r="L408" s="314">
        <f t="shared" si="38"/>
        <v>0</v>
      </c>
      <c r="M408" s="314">
        <f t="shared" si="38"/>
        <v>0</v>
      </c>
      <c r="N408" s="314">
        <f t="shared" si="38"/>
        <v>0</v>
      </c>
      <c r="O408" s="314">
        <f t="shared" si="38"/>
        <v>0</v>
      </c>
      <c r="P408" s="314">
        <f t="shared" si="38"/>
        <v>0</v>
      </c>
      <c r="Q408" s="314">
        <f t="shared" si="38"/>
        <v>0</v>
      </c>
      <c r="R408" s="314">
        <f t="shared" si="38"/>
        <v>0</v>
      </c>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row>
    <row r="409" ht="18.75" customHeight="1" outlineLevel="1">
      <c r="A409" s="17"/>
      <c r="B409" s="17"/>
      <c r="C409" s="17"/>
      <c r="D409" s="17"/>
      <c r="E409" s="17"/>
      <c r="F409" s="17"/>
      <c r="G409" s="14" t="s">
        <v>963</v>
      </c>
      <c r="H409" s="315">
        <f>H408*Nb_véhicules_2020*10^6</f>
        <v>0</v>
      </c>
      <c r="I409" s="315">
        <f>I408*Nb_véhicules_2020*10^6</f>
        <v>0</v>
      </c>
      <c r="J409" s="315">
        <f>J408*Nb_véhicules_2020*10^6</f>
        <v>0</v>
      </c>
      <c r="K409" s="315">
        <f>K408*Nb_véhicules_2020*10^6</f>
        <v>0</v>
      </c>
      <c r="L409" s="315">
        <f>L408*Nb_véhicules_2020*10^6</f>
        <v>0</v>
      </c>
      <c r="M409" s="315">
        <f>M408*Nb_véhicules_2020*10^6</f>
        <v>0</v>
      </c>
      <c r="N409" s="315">
        <f>N408*Nb_véhicules_2020*10^6</f>
        <v>0</v>
      </c>
      <c r="O409" s="315">
        <f>O408*Nb_véhicules_2020*10^6</f>
        <v>0</v>
      </c>
      <c r="P409" s="315">
        <f>P408*Nb_véhicules_2020*10^6</f>
        <v>0</v>
      </c>
      <c r="Q409" s="315">
        <f>Q408*Nb_véhicules_2020*10^6</f>
        <v>0</v>
      </c>
      <c r="R409" s="315">
        <f>R408*Nb_véhicules_2020*10^6</f>
        <v>0</v>
      </c>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row>
    <row r="410" ht="18.75" customHeight="1" outlineLevel="1">
      <c r="A410" s="17"/>
      <c r="B410" s="17"/>
      <c r="C410" s="17"/>
      <c r="D410" s="17"/>
      <c r="E410" s="17"/>
      <c r="F410" s="17"/>
      <c r="G410" s="14" t="s">
        <v>964</v>
      </c>
      <c r="H410" s="152">
        <v>10.0</v>
      </c>
      <c r="I410" s="152">
        <f>H410-($H$410-$R$410)/Nb_années</f>
        <v>9.7</v>
      </c>
      <c r="J410" s="152">
        <f>I410-($H$410-$R$410)/Nb_années</f>
        <v>9.4</v>
      </c>
      <c r="K410" s="152">
        <f>J410-($H$410-$R$410)/Nb_années</f>
        <v>9.1</v>
      </c>
      <c r="L410" s="152">
        <f>K410-($H$410-$R$410)/Nb_années</f>
        <v>8.8</v>
      </c>
      <c r="M410" s="152">
        <f>L410-($H$410-$R$410)/Nb_années</f>
        <v>8.5</v>
      </c>
      <c r="N410" s="152">
        <f>M410-($H$410-$R$410)/Nb_années</f>
        <v>8.2</v>
      </c>
      <c r="O410" s="152">
        <f>N410-($H$410-$R$410)/Nb_années</f>
        <v>7.9</v>
      </c>
      <c r="P410" s="152">
        <f>O410-($H$410-$R$410)/Nb_années</f>
        <v>7.6</v>
      </c>
      <c r="Q410" s="152">
        <f>P410-($H$410-$R$410)/Nb_années</f>
        <v>7.3</v>
      </c>
      <c r="R410" s="152">
        <v>7.0</v>
      </c>
      <c r="S410" s="17"/>
      <c r="T410" s="17" t="s">
        <v>965</v>
      </c>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row>
    <row r="411" ht="18.75" customHeight="1" outlineLevel="1">
      <c r="A411" s="17"/>
      <c r="B411" s="17"/>
      <c r="C411" s="17"/>
      <c r="D411" s="17"/>
      <c r="E411" s="17"/>
      <c r="F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row>
    <row r="412" ht="18.75" customHeight="1" outlineLevel="1">
      <c r="A412" s="17"/>
      <c r="B412" s="17"/>
      <c r="C412" s="17"/>
      <c r="D412" s="17"/>
      <c r="E412" s="17"/>
      <c r="F412" s="17"/>
      <c r="G412" s="14" t="s">
        <v>966</v>
      </c>
      <c r="H412" s="314">
        <f>IF($H$406&lt;=2%,2%,0)</f>
        <v>0.02</v>
      </c>
      <c r="I412" s="314">
        <f t="shared" ref="I412:R412" si="39">IF($I$406&lt;=2%,2%,0)</f>
        <v>0.02</v>
      </c>
      <c r="J412" s="314">
        <f t="shared" si="39"/>
        <v>0.02</v>
      </c>
      <c r="K412" s="314">
        <f t="shared" si="39"/>
        <v>0.02</v>
      </c>
      <c r="L412" s="314">
        <f t="shared" si="39"/>
        <v>0.02</v>
      </c>
      <c r="M412" s="314">
        <f t="shared" si="39"/>
        <v>0.02</v>
      </c>
      <c r="N412" s="314">
        <f t="shared" si="39"/>
        <v>0.02</v>
      </c>
      <c r="O412" s="314">
        <f t="shared" si="39"/>
        <v>0.02</v>
      </c>
      <c r="P412" s="314">
        <f t="shared" si="39"/>
        <v>0.02</v>
      </c>
      <c r="Q412" s="314">
        <f t="shared" si="39"/>
        <v>0.02</v>
      </c>
      <c r="R412" s="314">
        <f t="shared" si="39"/>
        <v>0.02</v>
      </c>
      <c r="S412" s="17" t="s">
        <v>967</v>
      </c>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row>
    <row r="413" ht="18.75" customHeight="1" outlineLevel="1">
      <c r="A413" s="17"/>
      <c r="B413" s="17"/>
      <c r="C413" s="17"/>
      <c r="D413" s="17"/>
      <c r="E413" s="17"/>
      <c r="F413" s="17"/>
      <c r="G413" s="14" t="s">
        <v>968</v>
      </c>
      <c r="H413" s="315">
        <f>H412*Nb_véhicules_2020*10^6</f>
        <v>540000</v>
      </c>
      <c r="I413" s="315">
        <f>I412*Nb_véhicules_2020*10^6</f>
        <v>540000</v>
      </c>
      <c r="J413" s="315">
        <f>J412*Nb_véhicules_2020*10^6</f>
        <v>540000</v>
      </c>
      <c r="K413" s="315">
        <f>K412*Nb_véhicules_2020*10^6</f>
        <v>540000</v>
      </c>
      <c r="L413" s="315">
        <f>L412*Nb_véhicules_2020*10^6</f>
        <v>540000</v>
      </c>
      <c r="M413" s="315">
        <f>M412*Nb_véhicules_2020*10^6</f>
        <v>540000</v>
      </c>
      <c r="N413" s="315">
        <f>N412*Nb_véhicules_2020*10^6</f>
        <v>540000</v>
      </c>
      <c r="O413" s="315">
        <f>O412*Nb_véhicules_2020*10^6</f>
        <v>540000</v>
      </c>
      <c r="P413" s="315">
        <f>P412*Nb_véhicules_2020*10^6</f>
        <v>540000</v>
      </c>
      <c r="Q413" s="315">
        <f>Q412*Nb_véhicules_2020*10^6</f>
        <v>540000</v>
      </c>
      <c r="R413" s="315">
        <f>R412*Nb_véhicules_2020*10^6</f>
        <v>540000</v>
      </c>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row>
    <row r="414" ht="18.75" customHeight="1" outlineLevel="1">
      <c r="A414" s="17"/>
      <c r="B414" s="17"/>
      <c r="C414" s="17"/>
      <c r="D414" s="17"/>
      <c r="E414" s="17"/>
      <c r="F414" s="17"/>
      <c r="G414" s="14" t="s">
        <v>969</v>
      </c>
      <c r="H414" s="152">
        <v>6.0</v>
      </c>
      <c r="I414" s="152">
        <f>H414-($H$414-$R$414)/Nb_années</f>
        <v>5.9</v>
      </c>
      <c r="J414" s="152">
        <f>I414-($H$414-$R$414)/Nb_années</f>
        <v>5.8</v>
      </c>
      <c r="K414" s="152">
        <f>J414-($H$414-$R$414)/Nb_années</f>
        <v>5.7</v>
      </c>
      <c r="L414" s="152">
        <f>K414-($H$414-$R$414)/Nb_années</f>
        <v>5.6</v>
      </c>
      <c r="M414" s="152">
        <f>L414-($H$414-$R$414)/Nb_années</f>
        <v>5.5</v>
      </c>
      <c r="N414" s="152">
        <f>M414-($H$414-$R$414)/Nb_années</f>
        <v>5.4</v>
      </c>
      <c r="O414" s="152">
        <f>N414-($H$414-$R$414)/Nb_années</f>
        <v>5.3</v>
      </c>
      <c r="P414" s="152">
        <f>O414-($H$414-$R$414)/Nb_années</f>
        <v>5.2</v>
      </c>
      <c r="Q414" s="152">
        <f>P414-($H$414-$R$414)/Nb_années</f>
        <v>5.1</v>
      </c>
      <c r="R414" s="152">
        <v>5.0</v>
      </c>
      <c r="S414" s="17"/>
      <c r="T414" s="17" t="s">
        <v>965</v>
      </c>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row>
    <row r="415" ht="18.75" customHeight="1" outlineLevel="1">
      <c r="A415" s="17"/>
      <c r="B415" s="17"/>
      <c r="C415" s="17"/>
      <c r="D415" s="17"/>
      <c r="E415" s="17"/>
      <c r="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row>
    <row r="416" ht="18.75" customHeight="1" outlineLevel="1">
      <c r="A416" s="17"/>
      <c r="B416" s="17"/>
      <c r="C416" s="17"/>
      <c r="D416" s="17"/>
      <c r="E416" s="17"/>
      <c r="F416" s="17"/>
      <c r="G416" s="316" t="s">
        <v>970</v>
      </c>
      <c r="H416" s="182"/>
      <c r="I416" s="182"/>
      <c r="J416" s="182"/>
      <c r="K416" s="182"/>
      <c r="L416" s="182"/>
      <c r="M416" s="182"/>
      <c r="N416" s="182"/>
      <c r="O416" s="182"/>
      <c r="P416" s="182"/>
      <c r="Q416" s="182"/>
      <c r="R416" s="183"/>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row>
    <row r="417" ht="18.75" customHeight="1" outlineLevel="1">
      <c r="A417" s="17"/>
      <c r="B417" s="17"/>
      <c r="C417" s="17"/>
      <c r="D417" s="17"/>
      <c r="E417" s="17"/>
      <c r="F417" s="17"/>
      <c r="G417" s="14" t="s">
        <v>971</v>
      </c>
      <c r="H417" s="283">
        <f t="array" ref="H417">Passager_covoit_2020</f>
        <v>1.2</v>
      </c>
      <c r="I417" s="283">
        <f>Passager_covoit_2020+(I2-Année_référence)*(Passager_covoit_2030-Passager_covoit_2020)/Nb_années</f>
        <v>1.2</v>
      </c>
      <c r="J417" s="283">
        <f>Passager_covoit_2020+(J2-Année_référence)*(Passager_covoit_2030-Passager_covoit_2020)/Nb_années</f>
        <v>1.2</v>
      </c>
      <c r="K417" s="283">
        <f>Passager_covoit_2020+(K2-Année_référence)*(Passager_covoit_2030-Passager_covoit_2020)/Nb_années</f>
        <v>1.2</v>
      </c>
      <c r="L417" s="283">
        <f>Passager_covoit_2020+(L2-Année_référence)*(Passager_covoit_2030-Passager_covoit_2020)/Nb_années</f>
        <v>1.2</v>
      </c>
      <c r="M417" s="283">
        <f>Passager_covoit_2020+(M2-Année_référence)*(Passager_covoit_2030-Passager_covoit_2020)/Nb_années</f>
        <v>1.2</v>
      </c>
      <c r="N417" s="283">
        <f>Passager_covoit_2020+(N2-Année_référence)*(Passager_covoit_2030-Passager_covoit_2020)/Nb_années</f>
        <v>1.2</v>
      </c>
      <c r="O417" s="283">
        <f>Passager_covoit_2020+(O2-Année_référence)*(Passager_covoit_2030-Passager_covoit_2020)/Nb_années</f>
        <v>1.2</v>
      </c>
      <c r="P417" s="283">
        <f>Passager_covoit_2020+(P2-Année_référence)*(Passager_covoit_2030-Passager_covoit_2020)/Nb_années</f>
        <v>1.2</v>
      </c>
      <c r="Q417" s="283">
        <f>Passager_covoit_2020+(Q2-Année_référence)*(Passager_covoit_2030-Passager_covoit_2020)/Nb_années</f>
        <v>1.2</v>
      </c>
      <c r="R417" s="283">
        <f>Passager_covoit_2020+(R2-Année_référence)*(Passager_covoit_2030-Passager_covoit_2020)/Nb_années</f>
        <v>1.2</v>
      </c>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row>
    <row r="418" ht="18.75" customHeight="1" outlineLevel="1">
      <c r="A418" s="17"/>
      <c r="B418" s="17"/>
      <c r="C418" s="17"/>
      <c r="D418" s="17"/>
      <c r="E418" s="17"/>
      <c r="F418" s="17"/>
      <c r="G418" s="14" t="s">
        <v>972</v>
      </c>
      <c r="H418" s="317">
        <f t="shared" ref="H418:R418" si="40">H393/H417</f>
        <v>631.4166667</v>
      </c>
      <c r="I418" s="317">
        <f t="shared" si="40"/>
        <v>631.4166667</v>
      </c>
      <c r="J418" s="317">
        <f t="shared" si="40"/>
        <v>631.4166667</v>
      </c>
      <c r="K418" s="317">
        <f t="shared" si="40"/>
        <v>631.4166667</v>
      </c>
      <c r="L418" s="317">
        <f t="shared" si="40"/>
        <v>631.4166667</v>
      </c>
      <c r="M418" s="317">
        <f t="shared" si="40"/>
        <v>631.4166667</v>
      </c>
      <c r="N418" s="317">
        <f t="shared" si="40"/>
        <v>631.4166667</v>
      </c>
      <c r="O418" s="317">
        <f t="shared" si="40"/>
        <v>631.4166667</v>
      </c>
      <c r="P418" s="317">
        <f t="shared" si="40"/>
        <v>631.4166667</v>
      </c>
      <c r="Q418" s="317">
        <f t="shared" si="40"/>
        <v>631.4166667</v>
      </c>
      <c r="R418" s="317">
        <f t="shared" si="40"/>
        <v>631.4166667</v>
      </c>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row>
    <row r="419" ht="18.75" customHeight="1" outlineLevel="1">
      <c r="A419" s="17"/>
      <c r="B419" s="17"/>
      <c r="C419" s="17"/>
      <c r="D419" s="17"/>
      <c r="E419" s="17"/>
      <c r="F419" s="17"/>
      <c r="G419" s="14" t="s">
        <v>973</v>
      </c>
      <c r="H419" s="27">
        <f>H418*(H401*(100%-Part_ecoconduite_2030)+H402*Part_ecoconduite_2030)/100*H405</f>
        <v>41.04208333</v>
      </c>
      <c r="I419" s="27">
        <f>I418*(I401*(100%-Part_ecoconduite_2030)+I402*Part_ecoconduite_2030)/100*I405</f>
        <v>41.04208333</v>
      </c>
      <c r="J419" s="27">
        <f>J418*(J401*(100%-Part_ecoconduite_2030)+J402*Part_ecoconduite_2030)/100*J405</f>
        <v>41.04208333</v>
      </c>
      <c r="K419" s="27">
        <f>K418*(K401*(100%-Part_ecoconduite_2030)+K402*Part_ecoconduite_2030)/100*K405</f>
        <v>41.04208333</v>
      </c>
      <c r="L419" s="27">
        <f>L418*(L401*(100%-Part_ecoconduite_2030)+L402*Part_ecoconduite_2030)/100*L405</f>
        <v>41.04208333</v>
      </c>
      <c r="M419" s="27">
        <f>M418*(M401*(100%-Part_ecoconduite_2030)+M402*Part_ecoconduite_2030)/100*M405</f>
        <v>41.04208333</v>
      </c>
      <c r="N419" s="27">
        <f>N418*(N401*(100%-Part_ecoconduite_2030)+N402*Part_ecoconduite_2030)/100*N405</f>
        <v>41.04208333</v>
      </c>
      <c r="O419" s="27">
        <f>O418*(O401*(100%-Part_ecoconduite_2030)+O402*Part_ecoconduite_2030)/100*O405</f>
        <v>41.04208333</v>
      </c>
      <c r="P419" s="27">
        <f>P418*(P401*(100%-Part_ecoconduite_2030)+P402*Part_ecoconduite_2030)/100*P405</f>
        <v>41.04208333</v>
      </c>
      <c r="Q419" s="27">
        <f>Q418*(Q401*(100%-Part_ecoconduite_2030)+Q402*Part_ecoconduite_2030)/100*Q405</f>
        <v>41.04208333</v>
      </c>
      <c r="R419" s="27">
        <f>R418*(R401*(100%-Part_ecoconduite_2030)+R402*Part_ecoconduite_2030)/100*R405</f>
        <v>41.04208333</v>
      </c>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row>
    <row r="420" ht="15.0" customHeight="1" outlineLevel="1">
      <c r="A420" s="17"/>
      <c r="B420" s="17"/>
      <c r="C420" s="17"/>
      <c r="D420" s="17"/>
      <c r="E420" s="17"/>
      <c r="F420" s="17"/>
      <c r="G420" s="17"/>
      <c r="H420" s="32"/>
      <c r="I420" s="32"/>
      <c r="J420" s="32"/>
      <c r="K420" s="32"/>
      <c r="L420" s="32"/>
      <c r="M420" s="32"/>
      <c r="N420" s="32"/>
      <c r="O420" s="32"/>
      <c r="P420" s="32"/>
      <c r="Q420" s="32"/>
      <c r="R420" s="32"/>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row>
    <row r="421" ht="17.25" customHeight="1" outlineLevel="1">
      <c r="A421" s="17"/>
      <c r="B421" s="17"/>
      <c r="C421" s="17"/>
      <c r="D421" s="17"/>
      <c r="E421" s="17"/>
      <c r="F421" s="17"/>
      <c r="G421" s="318" t="s">
        <v>974</v>
      </c>
      <c r="H421" s="182"/>
      <c r="I421" s="182"/>
      <c r="J421" s="182"/>
      <c r="K421" s="182"/>
      <c r="L421" s="182"/>
      <c r="M421" s="182"/>
      <c r="N421" s="182"/>
      <c r="O421" s="182"/>
      <c r="P421" s="182"/>
      <c r="Q421" s="182"/>
      <c r="R421" s="183"/>
      <c r="S421" s="319" t="s">
        <v>52</v>
      </c>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row>
    <row r="422" ht="15.0" customHeight="1" outlineLevel="1">
      <c r="A422" s="17"/>
      <c r="B422" s="17"/>
      <c r="C422" s="17"/>
      <c r="D422" s="17"/>
      <c r="E422" s="17"/>
      <c r="F422" s="17"/>
      <c r="G422" s="14" t="s">
        <v>975</v>
      </c>
      <c r="H422" s="14">
        <v>18.0</v>
      </c>
      <c r="I422" s="168">
        <f>IF(I426&lt;=$H$422,$H$422-I426,I414*I412*Nb_véhicules_2020)</f>
        <v>18</v>
      </c>
      <c r="J422" s="168">
        <f>IF(J426&lt;=$H$422,$H$422-J426,J414*J412*Nb_véhicules_2020)</f>
        <v>18</v>
      </c>
      <c r="K422" s="168">
        <f>IF(K426&lt;=$H$422,$H$422-K426,K414*K412*Nb_véhicules_2020)</f>
        <v>18</v>
      </c>
      <c r="L422" s="168">
        <f>IF(L426&lt;=$H$422,$H$422-L426,L414*L412*Nb_véhicules_2020)</f>
        <v>18</v>
      </c>
      <c r="M422" s="168">
        <f>IF(M426&lt;=$H$422,$H$422-M426,M414*M412*Nb_véhicules_2020)</f>
        <v>18</v>
      </c>
      <c r="N422" s="168">
        <f>IF(N426&lt;=$H$422,$H$422-N426,N414*N412*Nb_véhicules_2020)</f>
        <v>18</v>
      </c>
      <c r="O422" s="168">
        <f>IF(O426&lt;=$H$422,$H$422-O426,O414*O412*Nb_véhicules_2020)</f>
        <v>18</v>
      </c>
      <c r="P422" s="168">
        <f>IF(P426&lt;=$H$422,$H$422-P426,P414*P412*Nb_véhicules_2020)</f>
        <v>18</v>
      </c>
      <c r="Q422" s="168">
        <f>IF(Q426&lt;=$H$422,$H$422-Q426,Q414*Q412*Nb_véhicules_2020)</f>
        <v>18</v>
      </c>
      <c r="R422" s="168">
        <f>IF(R426&lt;=$H$422,$H$422-R426,R414*R412*Nb_véhicules_2020)</f>
        <v>18</v>
      </c>
      <c r="S422" s="320">
        <f t="shared" ref="S422:S424" si="42">SUM(H422:R422)</f>
        <v>198</v>
      </c>
      <c r="T422" s="321" t="s">
        <v>76</v>
      </c>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row>
    <row r="423" ht="18.75" customHeight="1" outlineLevel="1">
      <c r="A423" s="17"/>
      <c r="B423" s="17"/>
      <c r="C423" s="17"/>
      <c r="D423" s="17"/>
      <c r="E423" s="17"/>
      <c r="F423" s="17"/>
      <c r="G423" s="14" t="s">
        <v>976</v>
      </c>
      <c r="H423" s="27">
        <f>H424*FE_carburant_amont_2/FE_carburant_direct</f>
        <v>25.95308211</v>
      </c>
      <c r="I423" s="27">
        <f t="shared" ref="I423:R423" si="41">$D$387*I424/$D$386</f>
        <v>25.95308211</v>
      </c>
      <c r="J423" s="27">
        <f t="shared" si="41"/>
        <v>25.95308211</v>
      </c>
      <c r="K423" s="27">
        <f t="shared" si="41"/>
        <v>25.95308211</v>
      </c>
      <c r="L423" s="27">
        <f t="shared" si="41"/>
        <v>25.95308211</v>
      </c>
      <c r="M423" s="27">
        <f t="shared" si="41"/>
        <v>25.95308211</v>
      </c>
      <c r="N423" s="27">
        <f t="shared" si="41"/>
        <v>25.95308211</v>
      </c>
      <c r="O423" s="27">
        <f t="shared" si="41"/>
        <v>25.95308211</v>
      </c>
      <c r="P423" s="27">
        <f t="shared" si="41"/>
        <v>25.95308211</v>
      </c>
      <c r="Q423" s="27">
        <f t="shared" si="41"/>
        <v>25.95308211</v>
      </c>
      <c r="R423" s="27">
        <f t="shared" si="41"/>
        <v>25.95308211</v>
      </c>
      <c r="S423" s="320">
        <f t="shared" si="42"/>
        <v>285.4839032</v>
      </c>
      <c r="T423" s="321" t="s">
        <v>76</v>
      </c>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row>
    <row r="424" ht="18.75" customHeight="1" outlineLevel="1">
      <c r="A424" s="17"/>
      <c r="B424" s="17"/>
      <c r="C424" s="17"/>
      <c r="D424" s="17"/>
      <c r="E424" s="17"/>
      <c r="F424" s="17"/>
      <c r="G424" s="14" t="s">
        <v>977</v>
      </c>
      <c r="H424" s="27">
        <f>(FE_carburant_combustion*10^-3)*(H419*10^9)*10^-6</f>
        <v>102.6052083</v>
      </c>
      <c r="I424" s="27">
        <f>(FE_carburant_combustion*10^-3)*(I419*10^9)*10^-6</f>
        <v>102.6052083</v>
      </c>
      <c r="J424" s="27">
        <f>(FE_carburant_combustion*10^-3)*(J419*10^9)*10^-6</f>
        <v>102.6052083</v>
      </c>
      <c r="K424" s="27">
        <f>(FE_carburant_combustion*10^-3)*(K419*10^9)*10^-6</f>
        <v>102.6052083</v>
      </c>
      <c r="L424" s="27">
        <f>(FE_carburant_combustion*10^-3)*(L419*10^9)*10^-6</f>
        <v>102.6052083</v>
      </c>
      <c r="M424" s="27">
        <f>(FE_carburant_combustion*10^-3)*(M419*10^9)*10^-6</f>
        <v>102.6052083</v>
      </c>
      <c r="N424" s="27">
        <f>(FE_carburant_combustion*10^-3)*(N419*10^9)*10^-6</f>
        <v>102.6052083</v>
      </c>
      <c r="O424" s="27">
        <f>(FE_carburant_combustion*10^-3)*(O419*10^9)*10^-6</f>
        <v>102.6052083</v>
      </c>
      <c r="P424" s="27">
        <f>(FE_carburant_combustion*10^-3)*(P419*10^9)*10^-6</f>
        <v>102.6052083</v>
      </c>
      <c r="Q424" s="27">
        <f>(FE_carburant_combustion*10^-3)*(Q419*10^9)*10^-6</f>
        <v>102.6052083</v>
      </c>
      <c r="R424" s="27">
        <f>(FE_carburant_combustion*10^-3)*(R419*10^9)*10^-6</f>
        <v>102.6052083</v>
      </c>
      <c r="S424" s="320">
        <f t="shared" si="42"/>
        <v>1128.657292</v>
      </c>
      <c r="T424" s="321" t="s">
        <v>76</v>
      </c>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row>
    <row r="425" ht="18.75" customHeight="1" outlineLevel="1">
      <c r="A425" s="17"/>
      <c r="B425" s="17"/>
      <c r="C425" s="17"/>
      <c r="D425" s="17"/>
      <c r="E425" s="17"/>
      <c r="F425" s="17"/>
      <c r="S425" s="322"/>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row>
    <row r="426" ht="18.75" customHeight="1" outlineLevel="1">
      <c r="A426" s="17"/>
      <c r="B426" s="17"/>
      <c r="C426" s="17"/>
      <c r="D426" s="17"/>
      <c r="E426" s="17"/>
      <c r="F426" s="17"/>
      <c r="G426" s="14" t="s">
        <v>978</v>
      </c>
      <c r="H426" s="168">
        <f t="shared" ref="H426:R426" si="43">H409*H410*10^-6</f>
        <v>0</v>
      </c>
      <c r="I426" s="168">
        <f t="shared" si="43"/>
        <v>0</v>
      </c>
      <c r="J426" s="168">
        <f t="shared" si="43"/>
        <v>0</v>
      </c>
      <c r="K426" s="168">
        <f t="shared" si="43"/>
        <v>0</v>
      </c>
      <c r="L426" s="168">
        <f t="shared" si="43"/>
        <v>0</v>
      </c>
      <c r="M426" s="168">
        <f t="shared" si="43"/>
        <v>0</v>
      </c>
      <c r="N426" s="168">
        <f t="shared" si="43"/>
        <v>0</v>
      </c>
      <c r="O426" s="168">
        <f t="shared" si="43"/>
        <v>0</v>
      </c>
      <c r="P426" s="168">
        <f t="shared" si="43"/>
        <v>0</v>
      </c>
      <c r="Q426" s="168">
        <f t="shared" si="43"/>
        <v>0</v>
      </c>
      <c r="R426" s="168">
        <f t="shared" si="43"/>
        <v>0</v>
      </c>
      <c r="S426" s="320">
        <f t="shared" ref="S426:S427" si="44">SUM(H426:R426)</f>
        <v>0</v>
      </c>
      <c r="T426" s="321" t="s">
        <v>76</v>
      </c>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row>
    <row r="427" ht="18.75" customHeight="1" outlineLevel="1">
      <c r="A427" s="17"/>
      <c r="B427" s="17"/>
      <c r="C427" s="17"/>
      <c r="D427" s="17"/>
      <c r="E427" s="17"/>
      <c r="F427" s="17"/>
      <c r="G427" s="14" t="s">
        <v>979</v>
      </c>
      <c r="H427" s="27">
        <f t="array" ref="H427">(H418*10^9)*H406*(FE_amont_elec_VE_2020*10^-6)*10^-6</f>
        <v>0</v>
      </c>
      <c r="I427" s="27">
        <f>(I418*10^9)*I406*(FE_amont_elec_VE*10^-6)*10^-6</f>
        <v>0</v>
      </c>
      <c r="J427" s="27">
        <f>(J418*10^9)*J406*(FE_amont_elec_VE*10^-6)*10^-6</f>
        <v>0</v>
      </c>
      <c r="K427" s="27">
        <f>(K418*10^9)*K406*(FE_amont_elec_VE*10^-6)*10^-6</f>
        <v>0</v>
      </c>
      <c r="L427" s="27">
        <f>(L418*10^9)*L406*(FE_amont_elec_VE*10^-6)*10^-6</f>
        <v>0</v>
      </c>
      <c r="M427" s="27">
        <f>(M418*10^9)*M406*(FE_amont_elec_VE*10^-6)*10^-6</f>
        <v>0</v>
      </c>
      <c r="N427" s="27">
        <f>(N418*10^9)*N406*(FE_amont_elec_VE*10^-6)*10^-6</f>
        <v>0</v>
      </c>
      <c r="O427" s="27">
        <f>(O418*10^9)*O406*(FE_amont_elec_VE*10^-6)*10^-6</f>
        <v>0</v>
      </c>
      <c r="P427" s="27">
        <f>(P418*10^9)*P406*(FE_amont_elec_VE*10^-6)*10^-6</f>
        <v>0</v>
      </c>
      <c r="Q427" s="27">
        <f>(Q418*10^9)*Q406*(FE_amont_elec_VE*10^-6)*10^-6</f>
        <v>0</v>
      </c>
      <c r="R427" s="27">
        <f>(R418*10^9)*R406*(FE_amont_elec_VE*10^-6)*10^-6</f>
        <v>0</v>
      </c>
      <c r="S427" s="320">
        <f t="shared" si="44"/>
        <v>0</v>
      </c>
      <c r="T427" s="321" t="s">
        <v>76</v>
      </c>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row>
    <row r="428" ht="18.75" customHeight="1" outlineLevel="1">
      <c r="A428" s="309"/>
      <c r="B428" s="310"/>
      <c r="C428" s="299"/>
      <c r="D428" s="17"/>
      <c r="E428" s="17"/>
      <c r="F428" s="17"/>
      <c r="G428" s="17"/>
      <c r="H428" s="17"/>
      <c r="I428" s="17"/>
      <c r="J428" s="17"/>
      <c r="K428" s="17"/>
      <c r="L428" s="17"/>
      <c r="M428" s="17"/>
      <c r="N428" s="17"/>
      <c r="O428" s="17"/>
      <c r="P428" s="17"/>
      <c r="Q428" s="17"/>
      <c r="R428" s="17"/>
      <c r="S428" s="32"/>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row>
    <row r="429" ht="18.75" customHeight="1" outlineLevel="1">
      <c r="A429" s="309"/>
      <c r="B429" s="310"/>
      <c r="C429" s="299"/>
      <c r="D429" s="17"/>
      <c r="E429" s="17"/>
      <c r="F429" s="17"/>
      <c r="G429" s="20" t="s">
        <v>980</v>
      </c>
      <c r="H429" s="320">
        <f t="shared" ref="H429:R429" si="45">SUM(H422:H427)</f>
        <v>146.5582904</v>
      </c>
      <c r="I429" s="320">
        <f t="shared" si="45"/>
        <v>146.5582904</v>
      </c>
      <c r="J429" s="320">
        <f t="shared" si="45"/>
        <v>146.5582904</v>
      </c>
      <c r="K429" s="320">
        <f t="shared" si="45"/>
        <v>146.5582904</v>
      </c>
      <c r="L429" s="320">
        <f t="shared" si="45"/>
        <v>146.5582904</v>
      </c>
      <c r="M429" s="320">
        <f t="shared" si="45"/>
        <v>146.5582904</v>
      </c>
      <c r="N429" s="320">
        <f t="shared" si="45"/>
        <v>146.5582904</v>
      </c>
      <c r="O429" s="320">
        <f t="shared" si="45"/>
        <v>146.5582904</v>
      </c>
      <c r="P429" s="320">
        <f t="shared" si="45"/>
        <v>146.5582904</v>
      </c>
      <c r="Q429" s="320">
        <f t="shared" si="45"/>
        <v>146.5582904</v>
      </c>
      <c r="R429" s="320">
        <f t="shared" si="45"/>
        <v>146.5582904</v>
      </c>
      <c r="S429" s="320">
        <f>SUM(H429:R429)</f>
        <v>1612.141195</v>
      </c>
      <c r="T429" s="321" t="s">
        <v>76</v>
      </c>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row>
    <row r="430" ht="18.75" customHeight="1" outlineLevel="1">
      <c r="A430" s="309"/>
      <c r="B430" s="310"/>
      <c r="C430" s="299"/>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row>
    <row r="431" ht="18.75" customHeight="1" outlineLevel="1">
      <c r="A431" s="323" t="s">
        <v>981</v>
      </c>
      <c r="B431" s="324"/>
      <c r="C431" s="299"/>
      <c r="D431" s="299"/>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row>
    <row r="432" ht="18.75" customHeight="1" outlineLevel="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row>
    <row r="433" ht="18.75" customHeight="1" outlineLevel="1">
      <c r="A433" s="17"/>
      <c r="B433" s="17"/>
      <c r="C433" s="300" t="s">
        <v>982</v>
      </c>
      <c r="D433" s="183"/>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row>
    <row r="434" ht="18.75" customHeight="1" outlineLevel="1">
      <c r="A434" s="17"/>
      <c r="B434" s="17"/>
      <c r="C434" s="14" t="s">
        <v>983</v>
      </c>
      <c r="D434" s="152">
        <v>60.7</v>
      </c>
      <c r="E434" s="17" t="s">
        <v>984</v>
      </c>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row>
    <row r="435" ht="18.75" customHeight="1" outlineLevel="1">
      <c r="A435" s="17"/>
      <c r="B435" s="17"/>
      <c r="C435" s="14" t="s">
        <v>985</v>
      </c>
      <c r="D435" s="152">
        <v>110.0</v>
      </c>
      <c r="E435" s="17" t="s">
        <v>984</v>
      </c>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row>
    <row r="436" ht="18.75" customHeight="1" outlineLevel="1">
      <c r="A436" s="17"/>
      <c r="B436" s="17"/>
      <c r="C436" s="14" t="s">
        <v>986</v>
      </c>
      <c r="D436" s="269">
        <f t="shared" ref="D436:D437" si="46">1/5</f>
        <v>0.2</v>
      </c>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row>
    <row r="437" ht="18.75" customHeight="1" outlineLevel="1">
      <c r="A437" s="17"/>
      <c r="B437" s="17"/>
      <c r="C437" s="14" t="s">
        <v>987</v>
      </c>
      <c r="D437" s="269">
        <f t="shared" si="46"/>
        <v>0.2</v>
      </c>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row>
    <row r="438" ht="18.75" customHeight="1" outlineLevel="1">
      <c r="A438" s="17"/>
      <c r="B438" s="17"/>
      <c r="C438" s="14" t="s">
        <v>988</v>
      </c>
      <c r="D438" s="249">
        <f>1-D437-D436</f>
        <v>0.6</v>
      </c>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row>
    <row r="439" ht="18.75" customHeight="1" outlineLevel="1">
      <c r="A439" s="17"/>
      <c r="B439" s="17"/>
      <c r="C439" s="17" t="s">
        <v>989</v>
      </c>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row>
    <row r="440" ht="18.75" customHeight="1" outlineLevel="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row>
    <row r="441" ht="18.75" customHeight="1" outlineLevel="1">
      <c r="A441" s="17"/>
      <c r="B441" s="17"/>
      <c r="C441" s="300" t="s">
        <v>990</v>
      </c>
      <c r="D441" s="183"/>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c r="CI441" s="17"/>
      <c r="CJ441" s="17"/>
    </row>
    <row r="442" ht="18.75" customHeight="1" outlineLevel="1">
      <c r="A442" s="17"/>
      <c r="B442" s="17"/>
      <c r="C442" s="14" t="s">
        <v>991</v>
      </c>
      <c r="D442" s="14">
        <f>0.1</f>
        <v>0.1</v>
      </c>
      <c r="E442" s="17" t="s">
        <v>992</v>
      </c>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row>
    <row r="443" ht="18.75" customHeight="1" outlineLevel="1">
      <c r="A443" s="17"/>
      <c r="B443" s="17"/>
      <c r="C443" s="14" t="s">
        <v>993</v>
      </c>
      <c r="D443" s="14">
        <v>0.005</v>
      </c>
      <c r="E443" s="17" t="s">
        <v>992</v>
      </c>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row>
    <row r="444" ht="18.75" customHeight="1" outlineLevel="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row>
    <row r="445" ht="18.75" customHeight="1" outlineLevel="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row>
    <row r="446" ht="18.75" customHeight="1" outlineLevel="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c r="CI446" s="17"/>
      <c r="CJ446" s="17"/>
    </row>
    <row r="447" ht="18.75" customHeight="1" outlineLevel="1">
      <c r="A447" s="17"/>
      <c r="B447" s="17"/>
      <c r="C447" s="17"/>
      <c r="D447" s="17"/>
      <c r="E447" s="17"/>
      <c r="F447" s="17"/>
      <c r="G447" s="14" t="s">
        <v>994</v>
      </c>
      <c r="H447" s="27">
        <f t="shared" ref="H447:H448" si="48">D434</f>
        <v>60.7</v>
      </c>
      <c r="I447" s="27">
        <f t="shared" ref="I447:R447" si="47">H447+(H393-I393)*$D$436</f>
        <v>60.7</v>
      </c>
      <c r="J447" s="27">
        <f t="shared" si="47"/>
        <v>60.7</v>
      </c>
      <c r="K447" s="27">
        <f t="shared" si="47"/>
        <v>60.7</v>
      </c>
      <c r="L447" s="27">
        <f t="shared" si="47"/>
        <v>60.7</v>
      </c>
      <c r="M447" s="27">
        <f t="shared" si="47"/>
        <v>60.7</v>
      </c>
      <c r="N447" s="27">
        <f t="shared" si="47"/>
        <v>60.7</v>
      </c>
      <c r="O447" s="27">
        <f t="shared" si="47"/>
        <v>60.7</v>
      </c>
      <c r="P447" s="27">
        <f t="shared" si="47"/>
        <v>60.7</v>
      </c>
      <c r="Q447" s="27">
        <f t="shared" si="47"/>
        <v>60.7</v>
      </c>
      <c r="R447" s="27">
        <f t="shared" si="47"/>
        <v>60.7</v>
      </c>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c r="CI447" s="17"/>
      <c r="CJ447" s="17"/>
    </row>
    <row r="448" ht="18.75" customHeight="1" outlineLevel="1">
      <c r="A448" s="17"/>
      <c r="B448" s="17"/>
      <c r="C448" s="17"/>
      <c r="D448" s="17"/>
      <c r="E448" s="17"/>
      <c r="F448" s="17"/>
      <c r="G448" s="14" t="s">
        <v>995</v>
      </c>
      <c r="H448" s="27">
        <f t="shared" si="48"/>
        <v>110</v>
      </c>
      <c r="I448" s="27">
        <f t="shared" ref="I448:R448" si="49">H448+(H393-I393)*$D$437</f>
        <v>110</v>
      </c>
      <c r="J448" s="27">
        <f t="shared" si="49"/>
        <v>110</v>
      </c>
      <c r="K448" s="27">
        <f t="shared" si="49"/>
        <v>110</v>
      </c>
      <c r="L448" s="27">
        <f t="shared" si="49"/>
        <v>110</v>
      </c>
      <c r="M448" s="27">
        <f t="shared" si="49"/>
        <v>110</v>
      </c>
      <c r="N448" s="27">
        <f t="shared" si="49"/>
        <v>110</v>
      </c>
      <c r="O448" s="27">
        <f t="shared" si="49"/>
        <v>110</v>
      </c>
      <c r="P448" s="27">
        <f t="shared" si="49"/>
        <v>110</v>
      </c>
      <c r="Q448" s="27">
        <f t="shared" si="49"/>
        <v>110</v>
      </c>
      <c r="R448" s="27">
        <f t="shared" si="49"/>
        <v>110</v>
      </c>
      <c r="S448" s="32"/>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c r="CI448" s="17"/>
      <c r="CJ448" s="17"/>
    </row>
    <row r="449" ht="18.75" customHeight="1" outlineLevel="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row>
    <row r="450" ht="18.75" customHeight="1" outlineLevel="1">
      <c r="A450" s="17"/>
      <c r="B450" s="17"/>
      <c r="C450" s="17"/>
      <c r="D450" s="17"/>
      <c r="E450" s="17"/>
      <c r="F450" s="17"/>
      <c r="G450" s="14" t="s">
        <v>996</v>
      </c>
      <c r="H450" s="269">
        <v>0.02</v>
      </c>
      <c r="I450" s="269">
        <v>0.05</v>
      </c>
      <c r="J450" s="269">
        <v>0.08</v>
      </c>
      <c r="K450" s="269">
        <v>0.11</v>
      </c>
      <c r="L450" s="269">
        <v>0.15</v>
      </c>
      <c r="M450" s="269">
        <v>0.2</v>
      </c>
      <c r="N450" s="269">
        <v>0.25</v>
      </c>
      <c r="O450" s="269">
        <v>0.3</v>
      </c>
      <c r="P450" s="269">
        <v>0.35</v>
      </c>
      <c r="Q450" s="269">
        <v>0.4</v>
      </c>
      <c r="R450" s="269">
        <v>0.45</v>
      </c>
      <c r="S450" s="325"/>
      <c r="T450" s="17" t="str">
        <f>"arbitraire"</f>
        <v>arbitraire</v>
      </c>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c r="CI450" s="17"/>
      <c r="CJ450" s="17"/>
    </row>
    <row r="451" ht="18.75" customHeight="1" outlineLevel="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c r="CI451" s="17"/>
      <c r="CJ451" s="17"/>
    </row>
    <row r="452" ht="18.75" customHeight="1" outlineLevel="1">
      <c r="A452" s="17"/>
      <c r="B452" s="17"/>
      <c r="C452" s="17"/>
      <c r="D452" s="17"/>
      <c r="E452" s="17"/>
      <c r="F452" s="17"/>
      <c r="G452" s="326" t="s">
        <v>997</v>
      </c>
      <c r="H452" s="327">
        <f t="shared" ref="H452:R452" si="50">H447*$D$442*(1-H450)</f>
        <v>5.9486</v>
      </c>
      <c r="I452" s="327">
        <f t="shared" si="50"/>
        <v>5.7665</v>
      </c>
      <c r="J452" s="327">
        <f t="shared" si="50"/>
        <v>5.5844</v>
      </c>
      <c r="K452" s="327">
        <f t="shared" si="50"/>
        <v>5.4023</v>
      </c>
      <c r="L452" s="327">
        <f t="shared" si="50"/>
        <v>5.1595</v>
      </c>
      <c r="M452" s="327">
        <f t="shared" si="50"/>
        <v>4.856</v>
      </c>
      <c r="N452" s="327">
        <f t="shared" si="50"/>
        <v>4.5525</v>
      </c>
      <c r="O452" s="327">
        <f t="shared" si="50"/>
        <v>4.249</v>
      </c>
      <c r="P452" s="327">
        <f t="shared" si="50"/>
        <v>3.9455</v>
      </c>
      <c r="Q452" s="327">
        <f t="shared" si="50"/>
        <v>3.642</v>
      </c>
      <c r="R452" s="327">
        <f t="shared" si="50"/>
        <v>3.3385</v>
      </c>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c r="CI452" s="17"/>
      <c r="CJ452" s="17"/>
    </row>
    <row r="453" ht="18.75" customHeight="1" outlineLevel="1">
      <c r="A453" s="17"/>
      <c r="B453" s="17"/>
      <c r="C453" s="17"/>
      <c r="D453" s="17"/>
      <c r="E453" s="17"/>
      <c r="F453" s="17"/>
      <c r="G453" s="326" t="s">
        <v>998</v>
      </c>
      <c r="H453" s="327">
        <f t="shared" ref="H453:R453" si="51">H448*$D$443</f>
        <v>0.55</v>
      </c>
      <c r="I453" s="327">
        <f t="shared" si="51"/>
        <v>0.55</v>
      </c>
      <c r="J453" s="327">
        <f t="shared" si="51"/>
        <v>0.55</v>
      </c>
      <c r="K453" s="327">
        <f t="shared" si="51"/>
        <v>0.55</v>
      </c>
      <c r="L453" s="327">
        <f t="shared" si="51"/>
        <v>0.55</v>
      </c>
      <c r="M453" s="327">
        <f t="shared" si="51"/>
        <v>0.55</v>
      </c>
      <c r="N453" s="327">
        <f t="shared" si="51"/>
        <v>0.55</v>
      </c>
      <c r="O453" s="327">
        <f t="shared" si="51"/>
        <v>0.55</v>
      </c>
      <c r="P453" s="327">
        <f t="shared" si="51"/>
        <v>0.55</v>
      </c>
      <c r="Q453" s="327">
        <f t="shared" si="51"/>
        <v>0.55</v>
      </c>
      <c r="R453" s="327">
        <f t="shared" si="51"/>
        <v>0.55</v>
      </c>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c r="CI453" s="17"/>
      <c r="CJ453" s="17"/>
    </row>
    <row r="454" ht="18.75" customHeight="1" outlineLevel="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row>
    <row r="455" ht="18.75" customHeight="1" outlineLevel="1">
      <c r="A455" s="309"/>
      <c r="B455" s="310"/>
      <c r="C455" s="299"/>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c r="CI455" s="17"/>
      <c r="CJ455" s="17"/>
    </row>
    <row r="456" ht="18.75" customHeight="1" outlineLevel="1">
      <c r="A456" s="309"/>
      <c r="B456" s="310"/>
      <c r="C456" s="299"/>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row>
    <row r="457" ht="18.75" customHeight="1" outlineLevel="1">
      <c r="A457" s="309"/>
      <c r="B457" s="310"/>
      <c r="C457" s="299"/>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c r="CI457" s="17"/>
      <c r="CJ457" s="17"/>
    </row>
    <row r="458" ht="18.75" customHeight="1" outlineLevel="1">
      <c r="A458" s="323" t="s">
        <v>999</v>
      </c>
      <c r="B458" s="324"/>
      <c r="C458" s="299"/>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c r="CI458" s="17"/>
      <c r="CJ458" s="17"/>
    </row>
    <row r="459" ht="18.75" customHeight="1" outlineLevel="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row>
    <row r="460" ht="18.75" customHeight="1" outlineLevel="1">
      <c r="A460" s="17"/>
      <c r="B460" s="17"/>
      <c r="C460" s="300" t="s">
        <v>1000</v>
      </c>
      <c r="D460" s="183"/>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c r="CI460" s="17"/>
      <c r="CJ460" s="17"/>
    </row>
    <row r="461" ht="18.75" customHeight="1" outlineLevel="1">
      <c r="A461" s="17"/>
      <c r="B461" s="17"/>
      <c r="C461" s="14" t="s">
        <v>1001</v>
      </c>
      <c r="D461" s="39">
        <f>Var_distance_VU_2020_2030</f>
        <v>1</v>
      </c>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c r="CI461" s="17"/>
      <c r="CJ461" s="17"/>
    </row>
    <row r="462" ht="18.75" customHeight="1" outlineLevel="1">
      <c r="A462" s="17"/>
      <c r="B462" s="17"/>
      <c r="C462" s="14" t="s">
        <v>1002</v>
      </c>
      <c r="D462" s="152">
        <v>0.16</v>
      </c>
      <c r="E462" s="17" t="s">
        <v>1003</v>
      </c>
      <c r="F462" s="17" t="s">
        <v>1004</v>
      </c>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c r="CI462" s="17"/>
      <c r="CJ462" s="17"/>
    </row>
    <row r="463" ht="18.75" customHeight="1" outlineLevel="1">
      <c r="A463" s="17"/>
      <c r="B463" s="17"/>
      <c r="C463" s="14" t="s">
        <v>1005</v>
      </c>
      <c r="D463" s="152">
        <v>0.547</v>
      </c>
      <c r="E463" s="17" t="s">
        <v>1006</v>
      </c>
      <c r="F463" s="17" t="s">
        <v>1004</v>
      </c>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c r="CI463" s="17"/>
      <c r="CJ463" s="17"/>
    </row>
    <row r="464" ht="18.75" customHeight="1" outlineLevel="1">
      <c r="A464" s="17"/>
      <c r="B464" s="17"/>
      <c r="C464" s="14" t="s">
        <v>1007</v>
      </c>
      <c r="D464" s="305">
        <f>D463/D462</f>
        <v>3.41875</v>
      </c>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row>
    <row r="465" ht="18.75" customHeight="1" outlineLevel="1">
      <c r="A465" s="17"/>
      <c r="B465" s="17"/>
      <c r="C465" s="14" t="s">
        <v>1008</v>
      </c>
      <c r="D465" s="152">
        <v>24.6</v>
      </c>
      <c r="E465" s="17" t="s">
        <v>1009</v>
      </c>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row>
    <row r="466" ht="18.75" customHeight="1" outlineLevel="1">
      <c r="A466" s="17"/>
      <c r="B466" s="17"/>
      <c r="C466" s="14" t="s">
        <v>1010</v>
      </c>
      <c r="D466" s="328">
        <f>6152*58.7%</f>
        <v>3611.224</v>
      </c>
      <c r="E466" s="17" t="s">
        <v>1011</v>
      </c>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c r="CI466" s="17"/>
      <c r="CJ466" s="17"/>
    </row>
    <row r="467" ht="18.75" customHeight="1" outlineLevel="1">
      <c r="A467" s="17"/>
      <c r="B467" s="17"/>
      <c r="C467" s="14" t="s">
        <v>1012</v>
      </c>
      <c r="D467" s="328">
        <f>6152*42.3%</f>
        <v>2602.296</v>
      </c>
      <c r="E467" s="17" t="s">
        <v>1011</v>
      </c>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c r="CI467" s="17"/>
      <c r="CJ467" s="17"/>
    </row>
    <row r="468" ht="18.75" customHeight="1" outlineLevel="1">
      <c r="A468" s="17"/>
      <c r="B468" s="17" t="s">
        <v>1013</v>
      </c>
      <c r="C468" s="14" t="s">
        <v>1014</v>
      </c>
      <c r="D468" s="317">
        <f>SUM(D466:D467)</f>
        <v>6213.52</v>
      </c>
      <c r="E468" s="17" t="s">
        <v>1011</v>
      </c>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c r="CI468" s="17"/>
      <c r="CJ468" s="17"/>
    </row>
    <row r="469" ht="18.75" customHeight="1" outlineLevel="1">
      <c r="A469" s="17"/>
      <c r="B469" s="17"/>
      <c r="C469" s="14" t="s">
        <v>1015</v>
      </c>
      <c r="D469" s="152">
        <v>440.0</v>
      </c>
      <c r="E469" s="17" t="s">
        <v>1016</v>
      </c>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row>
    <row r="470" ht="18.75" customHeight="1" outlineLevel="1">
      <c r="A470" s="17"/>
      <c r="B470" s="17"/>
      <c r="C470" s="14" t="s">
        <v>1017</v>
      </c>
      <c r="D470" s="329">
        <f>D469/(D467+D466)</f>
        <v>0.0708133232</v>
      </c>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c r="CI470" s="17"/>
      <c r="CJ470" s="17"/>
    </row>
    <row r="471" ht="18.75" customHeight="1" outlineLevel="1">
      <c r="A471" s="17"/>
      <c r="B471" s="17" t="s">
        <v>1018</v>
      </c>
      <c r="C471" s="14" t="s">
        <v>1002</v>
      </c>
      <c r="D471" s="152">
        <v>9.3</v>
      </c>
      <c r="E471" s="17" t="s">
        <v>919</v>
      </c>
      <c r="F471" s="17" t="s">
        <v>1019</v>
      </c>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c r="CI471" s="17"/>
      <c r="CJ471" s="17"/>
    </row>
    <row r="472" ht="18.75" customHeight="1" outlineLevel="1">
      <c r="A472" s="17"/>
      <c r="B472" s="17"/>
      <c r="C472" s="14" t="s">
        <v>1020</v>
      </c>
      <c r="D472" s="14">
        <f>1.2*17550</f>
        <v>21060</v>
      </c>
      <c r="E472" s="17" t="s">
        <v>922</v>
      </c>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c r="CI472" s="17"/>
      <c r="CJ472" s="17"/>
    </row>
    <row r="473" ht="18.75" customHeight="1" outlineLevel="1">
      <c r="A473" s="17"/>
      <c r="B473" s="17"/>
      <c r="C473" s="14" t="s">
        <v>1021</v>
      </c>
      <c r="D473" s="14">
        <f>1.2*9170</f>
        <v>11004</v>
      </c>
      <c r="E473" s="17" t="s">
        <v>922</v>
      </c>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c r="CI473" s="17"/>
      <c r="CJ473" s="17"/>
    </row>
    <row r="474" ht="18.75" customHeight="1" outlineLevel="1">
      <c r="A474" s="17"/>
      <c r="B474" s="17"/>
      <c r="C474" s="14" t="s">
        <v>1022</v>
      </c>
      <c r="D474" s="27">
        <f>D472/220</f>
        <v>95.72727273</v>
      </c>
      <c r="E474" s="17" t="s">
        <v>922</v>
      </c>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row>
    <row r="475" ht="18.75" customHeight="1" outlineLevel="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c r="CI475" s="17"/>
      <c r="CJ475" s="17"/>
    </row>
    <row r="476" ht="18.75" customHeight="1" outlineLevel="1">
      <c r="A476" s="17"/>
      <c r="B476" s="17"/>
      <c r="C476" s="17"/>
      <c r="D476" s="17"/>
      <c r="E476" s="17"/>
      <c r="F476" s="17"/>
      <c r="G476" s="14" t="s">
        <v>1023</v>
      </c>
      <c r="H476" s="257">
        <f t="shared" ref="H476:H477" si="52">D466*D472/1000</f>
        <v>76052.37744</v>
      </c>
      <c r="I476" s="257">
        <f>H476+($H$476-$R$476)*(H2-I2)/Nb_années</f>
        <v>76052.37744</v>
      </c>
      <c r="J476" s="257">
        <f>I476+($H$476-$R$476)*(I2-J2)/Nb_années</f>
        <v>76052.37744</v>
      </c>
      <c r="K476" s="257">
        <f>J476+($H$476-$R$476)*(J2-K2)/Nb_années</f>
        <v>76052.37744</v>
      </c>
      <c r="L476" s="257">
        <f>K476+($H$476-$R$476)*(K2-L2)/Nb_années</f>
        <v>76052.37744</v>
      </c>
      <c r="M476" s="257">
        <f>L476+($H$476-$R$476)*(L2-M2)/Nb_années</f>
        <v>76052.37744</v>
      </c>
      <c r="N476" s="257">
        <f>M476+($H$476-$R$476)*(M2-N2)/Nb_années</f>
        <v>76052.37744</v>
      </c>
      <c r="O476" s="257">
        <f>N476+($H$476-$R$476)*(N2-O2)/Nb_années</f>
        <v>76052.37744</v>
      </c>
      <c r="P476" s="257">
        <f>O476+($H$476-$R$476)*(O2-P2)/Nb_années</f>
        <v>76052.37744</v>
      </c>
      <c r="Q476" s="257">
        <f>P476+($H$476-$R$476)*(P2-Q2)/Nb_années</f>
        <v>76052.37744</v>
      </c>
      <c r="R476" s="257">
        <f>H476*Var_distance_VU_2020_2030</f>
        <v>76052.37744</v>
      </c>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c r="CI476" s="17"/>
      <c r="CJ476" s="17"/>
    </row>
    <row r="477" ht="18.75" customHeight="1" outlineLevel="1">
      <c r="A477" s="17"/>
      <c r="B477" s="17"/>
      <c r="C477" s="17"/>
      <c r="D477" s="17"/>
      <c r="E477" s="17"/>
      <c r="F477" s="17"/>
      <c r="G477" s="14" t="s">
        <v>1024</v>
      </c>
      <c r="H477" s="257">
        <f t="shared" si="52"/>
        <v>28635.66518</v>
      </c>
      <c r="I477" s="257">
        <f>H477+($H$476-$R$476)*(H3-I3)/Nb_années</f>
        <v>28635.66518</v>
      </c>
      <c r="J477" s="257">
        <f>I477+($H$476-$R$476)*(I3-J3)/Nb_années</f>
        <v>28635.66518</v>
      </c>
      <c r="K477" s="257">
        <f>J477+($H$476-$R$476)*(J3-K3)/Nb_années</f>
        <v>28635.66518</v>
      </c>
      <c r="L477" s="257">
        <f>K477+($H$476-$R$476)*(K3-L3)/Nb_années</f>
        <v>28635.66518</v>
      </c>
      <c r="M477" s="257">
        <f>L477+($H$476-$R$476)*(L3-M3)/Nb_années</f>
        <v>28635.66518</v>
      </c>
      <c r="N477" s="257">
        <f>M477+($H$476-$R$476)*(M3-N3)/Nb_années</f>
        <v>28635.66518</v>
      </c>
      <c r="O477" s="257">
        <f>N477+($H$476-$R$476)*(N3-O3)/Nb_années</f>
        <v>28635.66518</v>
      </c>
      <c r="P477" s="257">
        <f>O477+($H$476-$R$476)*(O3-P3)/Nb_années</f>
        <v>28635.66518</v>
      </c>
      <c r="Q477" s="257">
        <f>P477+($H$476-$R$476)*(P3-Q3)/Nb_années</f>
        <v>28635.66518</v>
      </c>
      <c r="R477" s="257">
        <f>H477*Var_distance_VU_2020_2030</f>
        <v>28635.66518</v>
      </c>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c r="CI477" s="17"/>
      <c r="CJ477" s="17"/>
    </row>
    <row r="478" ht="18.75" customHeight="1" outlineLevel="1">
      <c r="A478" s="17"/>
      <c r="B478" s="17"/>
      <c r="C478" s="17"/>
      <c r="D478" s="17"/>
      <c r="E478" s="17"/>
      <c r="F478" s="17"/>
      <c r="G478" s="14" t="s">
        <v>1025</v>
      </c>
      <c r="H478" s="314">
        <f>(H2-Année_référence)*Taux_remplacement_Marchandises/Nb_années</f>
        <v>0</v>
      </c>
      <c r="I478" s="314">
        <f>(I2-Année_référence)*Taux_remplacement_Marchandises/Nb_années</f>
        <v>0</v>
      </c>
      <c r="J478" s="314">
        <f>(J2-Année_référence)*Taux_remplacement_Marchandises/Nb_années</f>
        <v>0</v>
      </c>
      <c r="K478" s="314">
        <f>(K2-Année_référence)*Taux_remplacement_Marchandises/Nb_années</f>
        <v>0</v>
      </c>
      <c r="L478" s="314">
        <f>(L2-Année_référence)*Taux_remplacement_Marchandises/Nb_années</f>
        <v>0</v>
      </c>
      <c r="M478" s="314">
        <f>(M2-Année_référence)*Taux_remplacement_Marchandises/Nb_années</f>
        <v>0</v>
      </c>
      <c r="N478" s="314">
        <f>(N2-Année_référence)*Taux_remplacement_Marchandises/Nb_années</f>
        <v>0</v>
      </c>
      <c r="O478" s="314">
        <f>(O2-Année_référence)*Taux_remplacement_Marchandises/Nb_années</f>
        <v>0</v>
      </c>
      <c r="P478" s="314">
        <f>(P2-Année_référence)*Taux_remplacement_Marchandises/Nb_années</f>
        <v>0</v>
      </c>
      <c r="Q478" s="314">
        <f>(Q2-Année_référence)*Taux_remplacement_Marchandises/Nb_années</f>
        <v>0</v>
      </c>
      <c r="R478" s="314">
        <f>(R2-Année_référence)*Taux_remplacement_Marchandises/Nb_années</f>
        <v>0</v>
      </c>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c r="CI478" s="17"/>
      <c r="CJ478" s="17"/>
    </row>
    <row r="479" ht="18.75" customHeight="1" outlineLevel="1">
      <c r="A479" s="17"/>
      <c r="B479" s="17"/>
      <c r="C479" s="17"/>
      <c r="D479" s="17"/>
      <c r="E479" s="17"/>
      <c r="F479" s="17"/>
      <c r="G479" s="14" t="s">
        <v>962</v>
      </c>
      <c r="H479" s="314">
        <v>0.0</v>
      </c>
      <c r="I479" s="314">
        <f t="shared" ref="I479:R479" si="53">I478-H478</f>
        <v>0</v>
      </c>
      <c r="J479" s="314">
        <f t="shared" si="53"/>
        <v>0</v>
      </c>
      <c r="K479" s="314">
        <f t="shared" si="53"/>
        <v>0</v>
      </c>
      <c r="L479" s="314">
        <f t="shared" si="53"/>
        <v>0</v>
      </c>
      <c r="M479" s="314">
        <f t="shared" si="53"/>
        <v>0</v>
      </c>
      <c r="N479" s="314">
        <f t="shared" si="53"/>
        <v>0</v>
      </c>
      <c r="O479" s="314">
        <f t="shared" si="53"/>
        <v>0</v>
      </c>
      <c r="P479" s="314">
        <f t="shared" si="53"/>
        <v>0</v>
      </c>
      <c r="Q479" s="314">
        <f t="shared" si="53"/>
        <v>0</v>
      </c>
      <c r="R479" s="314">
        <f t="shared" si="53"/>
        <v>0</v>
      </c>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row>
    <row r="480" ht="18.75" customHeight="1" outlineLevel="1">
      <c r="A480" s="17"/>
      <c r="B480" s="17"/>
      <c r="C480" s="17"/>
      <c r="D480" s="17"/>
      <c r="E480" s="17"/>
      <c r="F480" s="17"/>
      <c r="G480" s="14" t="s">
        <v>963</v>
      </c>
      <c r="H480" s="315">
        <f>H479*Nb_véhicules_VU*10^3</f>
        <v>0</v>
      </c>
      <c r="I480" s="315">
        <f>I479*Nb_véhicules_VU*10^3</f>
        <v>0</v>
      </c>
      <c r="J480" s="315">
        <f>J479*Nb_véhicules_VU*10^3</f>
        <v>0</v>
      </c>
      <c r="K480" s="315">
        <f>K479*Nb_véhicules_VU*10^3</f>
        <v>0</v>
      </c>
      <c r="L480" s="315">
        <f>L479*Nb_véhicules_VU*10^3</f>
        <v>0</v>
      </c>
      <c r="M480" s="315">
        <f>M479*Nb_véhicules_VU*10^3</f>
        <v>0</v>
      </c>
      <c r="N480" s="315">
        <f>N479*Nb_véhicules_VU*10^3</f>
        <v>0</v>
      </c>
      <c r="O480" s="315">
        <f>O479*Nb_véhicules_VU*10^3</f>
        <v>0</v>
      </c>
      <c r="P480" s="315">
        <f>P479*Nb_véhicules_VU*10^3</f>
        <v>0</v>
      </c>
      <c r="Q480" s="315">
        <f>Q479*Nb_véhicules_VU*10^3</f>
        <v>0</v>
      </c>
      <c r="R480" s="315">
        <f>R479*Nb_véhicules_VU*10^3</f>
        <v>0</v>
      </c>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c r="CI480" s="17"/>
      <c r="CJ480" s="17"/>
    </row>
    <row r="481" ht="18.75" customHeight="1" outlineLevel="1">
      <c r="A481" s="17"/>
      <c r="B481" s="17"/>
      <c r="C481" s="17"/>
      <c r="D481" s="17"/>
      <c r="E481" s="17"/>
      <c r="F481" s="17"/>
      <c r="G481" s="14" t="s">
        <v>969</v>
      </c>
      <c r="H481" s="152">
        <v>10.0</v>
      </c>
      <c r="I481" s="152">
        <f>H481-($H$481-$R$481)/Nb_années</f>
        <v>9.7</v>
      </c>
      <c r="J481" s="152">
        <f>I481-($H$481-$R$481)/Nb_années</f>
        <v>9.4</v>
      </c>
      <c r="K481" s="152">
        <f>J481-($H$481-$R$481)/Nb_années</f>
        <v>9.1</v>
      </c>
      <c r="L481" s="152">
        <f>K481-($H$481-$R$481)/Nb_années</f>
        <v>8.8</v>
      </c>
      <c r="M481" s="152">
        <f>L481-($H$481-$R$481)/Nb_années</f>
        <v>8.5</v>
      </c>
      <c r="N481" s="152">
        <f>M481-($H$481-$R$481)/Nb_années</f>
        <v>8.2</v>
      </c>
      <c r="O481" s="152">
        <f>N481-($H$481-$R$481)/Nb_années</f>
        <v>7.9</v>
      </c>
      <c r="P481" s="152">
        <f>O481-($H$481-$R$481)/Nb_années</f>
        <v>7.6</v>
      </c>
      <c r="Q481" s="152">
        <f>P481-($H$481-$R$481)/Nb_années</f>
        <v>7.3</v>
      </c>
      <c r="R481" s="152">
        <v>7.0</v>
      </c>
      <c r="S481" s="17"/>
      <c r="T481" s="17" t="s">
        <v>965</v>
      </c>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c r="CI481" s="17"/>
      <c r="CJ481" s="17"/>
    </row>
    <row r="482" ht="18.75" customHeight="1" outlineLevel="1">
      <c r="A482" s="17"/>
      <c r="B482" s="17"/>
      <c r="C482" s="17"/>
      <c r="D482" s="17"/>
      <c r="E482" s="17"/>
      <c r="F482" s="17"/>
      <c r="G482" s="14" t="s">
        <v>1026</v>
      </c>
      <c r="H482" s="39">
        <f t="shared" ref="H482:R482" si="54">100%-H478</f>
        <v>1</v>
      </c>
      <c r="I482" s="39">
        <f t="shared" si="54"/>
        <v>1</v>
      </c>
      <c r="J482" s="39">
        <f t="shared" si="54"/>
        <v>1</v>
      </c>
      <c r="K482" s="39">
        <f t="shared" si="54"/>
        <v>1</v>
      </c>
      <c r="L482" s="39">
        <f t="shared" si="54"/>
        <v>1</v>
      </c>
      <c r="M482" s="39">
        <f t="shared" si="54"/>
        <v>1</v>
      </c>
      <c r="N482" s="39">
        <f t="shared" si="54"/>
        <v>1</v>
      </c>
      <c r="O482" s="39">
        <f t="shared" si="54"/>
        <v>1</v>
      </c>
      <c r="P482" s="39">
        <f t="shared" si="54"/>
        <v>1</v>
      </c>
      <c r="Q482" s="39">
        <f t="shared" si="54"/>
        <v>1</v>
      </c>
      <c r="R482" s="39">
        <f t="shared" si="54"/>
        <v>1</v>
      </c>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c r="CI482" s="17"/>
      <c r="CJ482" s="17"/>
    </row>
    <row r="483" ht="18.75" customHeight="1" outlineLevel="1">
      <c r="A483" s="17"/>
      <c r="B483" s="17"/>
      <c r="C483" s="17"/>
      <c r="D483" s="17"/>
      <c r="E483" s="17"/>
      <c r="F483" s="17"/>
      <c r="G483" s="14" t="s">
        <v>1027</v>
      </c>
      <c r="H483" s="39">
        <f t="shared" ref="H483:R483" si="55">H478</f>
        <v>0</v>
      </c>
      <c r="I483" s="39">
        <f t="shared" si="55"/>
        <v>0</v>
      </c>
      <c r="J483" s="39">
        <f t="shared" si="55"/>
        <v>0</v>
      </c>
      <c r="K483" s="39">
        <f t="shared" si="55"/>
        <v>0</v>
      </c>
      <c r="L483" s="39">
        <f t="shared" si="55"/>
        <v>0</v>
      </c>
      <c r="M483" s="39">
        <f t="shared" si="55"/>
        <v>0</v>
      </c>
      <c r="N483" s="39">
        <f t="shared" si="55"/>
        <v>0</v>
      </c>
      <c r="O483" s="39">
        <f t="shared" si="55"/>
        <v>0</v>
      </c>
      <c r="P483" s="39">
        <f t="shared" si="55"/>
        <v>0</v>
      </c>
      <c r="Q483" s="39">
        <f t="shared" si="55"/>
        <v>0</v>
      </c>
      <c r="R483" s="39">
        <f t="shared" si="55"/>
        <v>0</v>
      </c>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c r="CI483" s="17"/>
      <c r="CJ483" s="17"/>
    </row>
    <row r="484" ht="18.75" customHeight="1" outlineLevel="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row>
    <row r="485" ht="17.25" customHeight="1" outlineLevel="1">
      <c r="A485" s="17"/>
      <c r="B485" s="17"/>
      <c r="C485" s="17"/>
      <c r="D485" s="17"/>
      <c r="E485" s="17"/>
      <c r="F485" s="17"/>
      <c r="G485" s="318" t="s">
        <v>974</v>
      </c>
      <c r="H485" s="182"/>
      <c r="I485" s="182"/>
      <c r="J485" s="182"/>
      <c r="K485" s="182"/>
      <c r="L485" s="182"/>
      <c r="M485" s="182"/>
      <c r="N485" s="182"/>
      <c r="O485" s="182"/>
      <c r="P485" s="182"/>
      <c r="Q485" s="182"/>
      <c r="R485" s="183"/>
      <c r="S485" s="319" t="s">
        <v>52</v>
      </c>
      <c r="T485" s="15"/>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c r="CI485" s="17"/>
      <c r="CJ485" s="17"/>
    </row>
    <row r="486" ht="18.75" customHeight="1" outlineLevel="1">
      <c r="A486" s="17"/>
      <c r="B486" s="17"/>
      <c r="C486" s="17"/>
      <c r="D486" s="17"/>
      <c r="E486" s="17"/>
      <c r="F486" s="17"/>
      <c r="G486" s="14" t="s">
        <v>1028</v>
      </c>
      <c r="H486" s="27">
        <f>H487*FE_carburant_amont_2/FE_carburant_direct</f>
        <v>6.156580624</v>
      </c>
      <c r="I486" s="27">
        <f t="shared" ref="I486:R486" si="56">$D$387*I487/$D$386</f>
        <v>6.156580624</v>
      </c>
      <c r="J486" s="27">
        <f t="shared" si="56"/>
        <v>6.156580624</v>
      </c>
      <c r="K486" s="27">
        <f t="shared" si="56"/>
        <v>6.156580624</v>
      </c>
      <c r="L486" s="27">
        <f t="shared" si="56"/>
        <v>6.156580624</v>
      </c>
      <c r="M486" s="27">
        <f t="shared" si="56"/>
        <v>6.156580624</v>
      </c>
      <c r="N486" s="27">
        <f t="shared" si="56"/>
        <v>6.156580624</v>
      </c>
      <c r="O486" s="27">
        <f t="shared" si="56"/>
        <v>6.156580624</v>
      </c>
      <c r="P486" s="27">
        <f t="shared" si="56"/>
        <v>6.156580624</v>
      </c>
      <c r="Q486" s="27">
        <f t="shared" si="56"/>
        <v>6.156580624</v>
      </c>
      <c r="R486" s="27">
        <f t="shared" si="56"/>
        <v>6.156580624</v>
      </c>
      <c r="S486" s="320">
        <f t="shared" ref="S486:S487" si="57">SUM(H486:R486)</f>
        <v>67.72238687</v>
      </c>
      <c r="T486" s="15" t="s">
        <v>76</v>
      </c>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row>
    <row r="487" ht="18.75" customHeight="1" outlineLevel="1">
      <c r="A487" s="17"/>
      <c r="B487" s="17"/>
      <c r="C487" s="17"/>
      <c r="D487" s="17"/>
      <c r="E487" s="17"/>
      <c r="F487" s="17"/>
      <c r="G487" s="14" t="s">
        <v>1029</v>
      </c>
      <c r="H487" s="27">
        <f>(Conso_carburant_VU*FE_carburant_combustion*10^-5)*(H482*(H476+H477)*10^6)*10^-6</f>
        <v>24.33996991</v>
      </c>
      <c r="I487" s="27">
        <f>(Conso_carburant_VU*FE_carburant_combustion*10^-5)*(I482*(I476+I477)*10^6)*10^-6</f>
        <v>24.33996991</v>
      </c>
      <c r="J487" s="27">
        <f>(Conso_carburant_VU*FE_carburant_combustion*10^-5)*(J482*(J476+J477)*10^6)*10^-6</f>
        <v>24.33996991</v>
      </c>
      <c r="K487" s="27">
        <f>(Conso_carburant_VU*FE_carburant_combustion*10^-5)*(K482*(K476+K477)*10^6)*10^-6</f>
        <v>24.33996991</v>
      </c>
      <c r="L487" s="27">
        <f>(Conso_carburant_VU*FE_carburant_combustion*10^-5)*(L482*(L476+L477)*10^6)*10^-6</f>
        <v>24.33996991</v>
      </c>
      <c r="M487" s="27">
        <f>(Conso_carburant_VU*FE_carburant_combustion*10^-5)*(M482*(M476+M477)*10^6)*10^-6</f>
        <v>24.33996991</v>
      </c>
      <c r="N487" s="27">
        <f>(Conso_carburant_VU*FE_carburant_combustion*10^-5)*(N482*(N476+N477)*10^6)*10^-6</f>
        <v>24.33996991</v>
      </c>
      <c r="O487" s="27">
        <f>(Conso_carburant_VU*FE_carburant_combustion*10^-5)*(O482*(O476+O477)*10^6)*10^-6</f>
        <v>24.33996991</v>
      </c>
      <c r="P487" s="27">
        <f>(Conso_carburant_VU*FE_carburant_combustion*10^-5)*(P482*(P476+P477)*10^6)*10^-6</f>
        <v>24.33996991</v>
      </c>
      <c r="Q487" s="27">
        <f>(Conso_carburant_VU*FE_carburant_combustion*10^-5)*(Q482*(Q476+Q477)*10^6)*10^-6</f>
        <v>24.33996991</v>
      </c>
      <c r="R487" s="27">
        <f>(Conso_carburant_VU*FE_carburant_combustion*10^-5)*(R482*(R476+R477)*10^6)*10^-6</f>
        <v>24.33996991</v>
      </c>
      <c r="S487" s="320">
        <f t="shared" si="57"/>
        <v>267.739669</v>
      </c>
      <c r="T487" s="15" t="s">
        <v>76</v>
      </c>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c r="CI487" s="17"/>
      <c r="CJ487" s="17"/>
    </row>
    <row r="488" ht="18.75" customHeight="1" outlineLevel="1">
      <c r="A488" s="17"/>
      <c r="B488" s="17"/>
      <c r="C488" s="17"/>
      <c r="D488" s="17"/>
      <c r="E488" s="17"/>
      <c r="F488" s="17"/>
      <c r="G488" s="15"/>
      <c r="H488" s="15"/>
      <c r="I488" s="15"/>
      <c r="J488" s="15"/>
      <c r="K488" s="15"/>
      <c r="L488" s="15"/>
      <c r="M488" s="15"/>
      <c r="N488" s="15"/>
      <c r="O488" s="15"/>
      <c r="P488" s="15"/>
      <c r="Q488" s="15"/>
      <c r="R488" s="15"/>
      <c r="S488" s="322"/>
      <c r="T488" s="15"/>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c r="CI488" s="17"/>
      <c r="CJ488" s="17"/>
    </row>
    <row r="489" ht="18.75" customHeight="1" outlineLevel="1">
      <c r="A489" s="17"/>
      <c r="B489" s="17"/>
      <c r="C489" s="17"/>
      <c r="D489" s="17"/>
      <c r="E489" s="17"/>
      <c r="F489" s="17"/>
      <c r="G489" s="14" t="s">
        <v>1030</v>
      </c>
      <c r="H489" s="168">
        <f t="shared" ref="H489:R489" si="58">H480*H481*10^-6</f>
        <v>0</v>
      </c>
      <c r="I489" s="168">
        <f t="shared" si="58"/>
        <v>0</v>
      </c>
      <c r="J489" s="168">
        <f t="shared" si="58"/>
        <v>0</v>
      </c>
      <c r="K489" s="168">
        <f t="shared" si="58"/>
        <v>0</v>
      </c>
      <c r="L489" s="168">
        <f t="shared" si="58"/>
        <v>0</v>
      </c>
      <c r="M489" s="168">
        <f t="shared" si="58"/>
        <v>0</v>
      </c>
      <c r="N489" s="168">
        <f t="shared" si="58"/>
        <v>0</v>
      </c>
      <c r="O489" s="168">
        <f t="shared" si="58"/>
        <v>0</v>
      </c>
      <c r="P489" s="168">
        <f t="shared" si="58"/>
        <v>0</v>
      </c>
      <c r="Q489" s="168">
        <f t="shared" si="58"/>
        <v>0</v>
      </c>
      <c r="R489" s="168">
        <f t="shared" si="58"/>
        <v>0</v>
      </c>
      <c r="S489" s="320">
        <f t="shared" ref="S489:S490" si="59">SUM(H489:R489)</f>
        <v>0</v>
      </c>
      <c r="T489" s="15" t="s">
        <v>76</v>
      </c>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row>
    <row r="490" ht="18.75" customHeight="1" outlineLevel="1">
      <c r="A490" s="17"/>
      <c r="B490" s="17"/>
      <c r="C490" s="17"/>
      <c r="D490" s="17"/>
      <c r="E490" s="17"/>
      <c r="F490" s="17"/>
      <c r="G490" s="14" t="s">
        <v>1031</v>
      </c>
      <c r="H490" s="27">
        <f>((H477+H476)*10^6)*H478*(FE_amont_elec_VE_2020*10^-6)*10^-6</f>
        <v>0</v>
      </c>
      <c r="I490" s="27">
        <f>((I477+I476)*10^6)*I478*(FE_amont_elec_VE*10^-6)*10^-6</f>
        <v>0</v>
      </c>
      <c r="J490" s="27">
        <f>((J477+J476)*10^6)*J478*(FE_amont_elec_VE*10^-6)*10^-6</f>
        <v>0</v>
      </c>
      <c r="K490" s="27">
        <f>((K477+K476)*10^6)*K478*(FE_amont_elec_VE*10^-6)*10^-6</f>
        <v>0</v>
      </c>
      <c r="L490" s="27">
        <f>((L477+L476)*10^6)*L478*(FE_amont_elec_VE*10^-6)*10^-6</f>
        <v>0</v>
      </c>
      <c r="M490" s="27">
        <f>((M477+M476)*10^6)*M478*(FE_amont_elec_VE*10^-6)*10^-6</f>
        <v>0</v>
      </c>
      <c r="N490" s="27">
        <f>((N477+N476)*10^6)*N478*(FE_amont_elec_VE*10^-6)*10^-6</f>
        <v>0</v>
      </c>
      <c r="O490" s="27">
        <f>((O477+O476)*10^6)*O478*(FE_amont_elec_VE*10^-6)*10^-6</f>
        <v>0</v>
      </c>
      <c r="P490" s="27">
        <f>((P477+P476)*10^6)*P478*(FE_amont_elec_VE*10^-6)*10^-6</f>
        <v>0</v>
      </c>
      <c r="Q490" s="27">
        <f>((Q477+Q476)*10^6)*Q478*(FE_amont_elec_VE*10^-6)*10^-6</f>
        <v>0</v>
      </c>
      <c r="R490" s="27">
        <f>((R477+R476)*10^6)*R478*(FE_amont_elec_VE*10^-6)*10^-6</f>
        <v>0</v>
      </c>
      <c r="S490" s="320">
        <f t="shared" si="59"/>
        <v>0</v>
      </c>
      <c r="T490" s="15" t="s">
        <v>76</v>
      </c>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c r="CI490" s="17"/>
      <c r="CJ490" s="17"/>
    </row>
    <row r="491" ht="18.75" customHeight="1" outlineLevel="1">
      <c r="A491" s="309"/>
      <c r="B491" s="310"/>
      <c r="C491" s="299"/>
      <c r="D491" s="17"/>
      <c r="E491" s="17"/>
      <c r="F491" s="17"/>
      <c r="G491" s="17"/>
      <c r="H491" s="17"/>
      <c r="I491" s="17"/>
      <c r="J491" s="17"/>
      <c r="K491" s="17"/>
      <c r="L491" s="17"/>
      <c r="M491" s="17"/>
      <c r="N491" s="17"/>
      <c r="O491" s="17"/>
      <c r="P491" s="17"/>
      <c r="Q491" s="17"/>
      <c r="R491" s="17"/>
      <c r="S491" s="32"/>
      <c r="T491" s="15"/>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c r="CI491" s="17"/>
      <c r="CJ491" s="17"/>
    </row>
    <row r="492" ht="18.75" customHeight="1" outlineLevel="1">
      <c r="A492" s="309"/>
      <c r="B492" s="310"/>
      <c r="C492" s="299"/>
      <c r="D492" s="17"/>
      <c r="E492" s="17"/>
      <c r="F492" s="17"/>
      <c r="G492" s="20" t="s">
        <v>1032</v>
      </c>
      <c r="H492" s="320">
        <f t="shared" ref="H492:R492" si="60">SUM(H486:H490)</f>
        <v>30.49655053</v>
      </c>
      <c r="I492" s="320">
        <f t="shared" si="60"/>
        <v>30.49655053</v>
      </c>
      <c r="J492" s="320">
        <f t="shared" si="60"/>
        <v>30.49655053</v>
      </c>
      <c r="K492" s="320">
        <f t="shared" si="60"/>
        <v>30.49655053</v>
      </c>
      <c r="L492" s="320">
        <f t="shared" si="60"/>
        <v>30.49655053</v>
      </c>
      <c r="M492" s="320">
        <f t="shared" si="60"/>
        <v>30.49655053</v>
      </c>
      <c r="N492" s="320">
        <f t="shared" si="60"/>
        <v>30.49655053</v>
      </c>
      <c r="O492" s="320">
        <f t="shared" si="60"/>
        <v>30.49655053</v>
      </c>
      <c r="P492" s="320">
        <f t="shared" si="60"/>
        <v>30.49655053</v>
      </c>
      <c r="Q492" s="320">
        <f t="shared" si="60"/>
        <v>30.49655053</v>
      </c>
      <c r="R492" s="320">
        <f t="shared" si="60"/>
        <v>30.49655053</v>
      </c>
      <c r="S492" s="320">
        <f>SUM(H492:R492)</f>
        <v>335.4620559</v>
      </c>
      <c r="T492" s="15" t="s">
        <v>76</v>
      </c>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c r="CI492" s="17"/>
      <c r="CJ492" s="17"/>
    </row>
    <row r="493" ht="18.75" customHeight="1" outlineLevel="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c r="CI493" s="17"/>
      <c r="CJ493" s="17"/>
    </row>
    <row r="494" ht="18.75" customHeight="1" outlineLevel="1">
      <c r="A494" s="17"/>
      <c r="B494" s="17"/>
      <c r="C494" s="17"/>
      <c r="D494" s="17"/>
      <c r="E494" s="17"/>
      <c r="F494" s="17"/>
      <c r="G494" s="14" t="s">
        <v>1033</v>
      </c>
      <c r="H494" s="330">
        <f t="shared" ref="H494:R494" si="61">$D$471*(H476+H477)/100*H482/1000</f>
        <v>9.735987964</v>
      </c>
      <c r="I494" s="330">
        <f t="shared" si="61"/>
        <v>9.735987964</v>
      </c>
      <c r="J494" s="330">
        <f t="shared" si="61"/>
        <v>9.735987964</v>
      </c>
      <c r="K494" s="330">
        <f t="shared" si="61"/>
        <v>9.735987964</v>
      </c>
      <c r="L494" s="330">
        <f t="shared" si="61"/>
        <v>9.735987964</v>
      </c>
      <c r="M494" s="330">
        <f t="shared" si="61"/>
        <v>9.735987964</v>
      </c>
      <c r="N494" s="330">
        <f t="shared" si="61"/>
        <v>9.735987964</v>
      </c>
      <c r="O494" s="330">
        <f t="shared" si="61"/>
        <v>9.735987964</v>
      </c>
      <c r="P494" s="330">
        <f t="shared" si="61"/>
        <v>9.735987964</v>
      </c>
      <c r="Q494" s="330">
        <f t="shared" si="61"/>
        <v>9.735987964</v>
      </c>
      <c r="R494" s="330">
        <f t="shared" si="61"/>
        <v>9.735987964</v>
      </c>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row>
    <row r="495" ht="18.75" customHeight="1" outlineLevel="1">
      <c r="A495" s="17"/>
      <c r="B495" s="17"/>
      <c r="C495" s="17"/>
      <c r="D495" s="17"/>
      <c r="E495" s="17"/>
      <c r="F495" s="17"/>
      <c r="G495" s="14" t="s">
        <v>1034</v>
      </c>
      <c r="H495" s="330">
        <f t="shared" ref="H495:R495" si="62">$D$464*H494</f>
        <v>33.28490885</v>
      </c>
      <c r="I495" s="330">
        <f t="shared" si="62"/>
        <v>33.28490885</v>
      </c>
      <c r="J495" s="330">
        <f t="shared" si="62"/>
        <v>33.28490885</v>
      </c>
      <c r="K495" s="330">
        <f t="shared" si="62"/>
        <v>33.28490885</v>
      </c>
      <c r="L495" s="330">
        <f t="shared" si="62"/>
        <v>33.28490885</v>
      </c>
      <c r="M495" s="330">
        <f t="shared" si="62"/>
        <v>33.28490885</v>
      </c>
      <c r="N495" s="330">
        <f t="shared" si="62"/>
        <v>33.28490885</v>
      </c>
      <c r="O495" s="330">
        <f t="shared" si="62"/>
        <v>33.28490885</v>
      </c>
      <c r="P495" s="330">
        <f t="shared" si="62"/>
        <v>33.28490885</v>
      </c>
      <c r="Q495" s="330">
        <f t="shared" si="62"/>
        <v>33.28490885</v>
      </c>
      <c r="R495" s="330">
        <f t="shared" si="62"/>
        <v>33.28490885</v>
      </c>
      <c r="S495" s="331"/>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c r="CI495" s="17"/>
      <c r="CJ495" s="17"/>
    </row>
    <row r="496" ht="18.75" customHeight="1" outlineLevel="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c r="CI496" s="17"/>
      <c r="CJ496" s="17"/>
    </row>
    <row r="497" ht="18.75" customHeight="1" outlineLevel="1">
      <c r="A497" s="332" t="s">
        <v>1035</v>
      </c>
      <c r="B497" s="297"/>
      <c r="C497" s="17"/>
      <c r="D497" s="17"/>
      <c r="E497" s="17"/>
      <c r="F497" s="17"/>
      <c r="G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c r="CI497" s="17"/>
      <c r="CJ497" s="17"/>
    </row>
    <row r="498" ht="18.75" customHeight="1" outlineLevel="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c r="CI498" s="17"/>
      <c r="CJ498" s="17"/>
    </row>
    <row r="499" ht="18.75" customHeight="1" outlineLevel="1">
      <c r="A499" s="17"/>
      <c r="B499" s="17"/>
      <c r="C499" s="300" t="s">
        <v>1036</v>
      </c>
      <c r="D499" s="183"/>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row>
    <row r="500" ht="18.75" customHeight="1" outlineLevel="1">
      <c r="A500" s="17"/>
      <c r="B500" s="17" t="s">
        <v>182</v>
      </c>
      <c r="C500" s="14" t="s">
        <v>1037</v>
      </c>
      <c r="D500" s="249" t="str">
        <f>Taux_remplacement_Marchandises</f>
        <v>0</v>
      </c>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c r="CI500" s="17"/>
      <c r="CJ500" s="17"/>
    </row>
    <row r="501" ht="18.75" customHeight="1" outlineLevel="1">
      <c r="A501" s="17"/>
      <c r="B501" s="17"/>
      <c r="C501" s="17"/>
      <c r="D501" s="17"/>
      <c r="E501" s="17"/>
      <c r="F501" s="17"/>
      <c r="G501" s="17"/>
      <c r="H501" s="17"/>
      <c r="I501" s="17"/>
      <c r="J501" s="109" t="s">
        <v>1038</v>
      </c>
      <c r="K501" s="310"/>
      <c r="L501" s="310"/>
      <c r="M501" s="310"/>
      <c r="N501" s="310"/>
      <c r="O501" s="310"/>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c r="CI501" s="17"/>
      <c r="CJ501" s="17"/>
    </row>
    <row r="502" ht="18.75" customHeight="1" outlineLevel="1">
      <c r="A502" s="17"/>
      <c r="B502" s="17"/>
      <c r="C502" s="14" t="s">
        <v>1039</v>
      </c>
      <c r="D502" s="311">
        <v>307.0</v>
      </c>
      <c r="E502" s="14" t="s">
        <v>1040</v>
      </c>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c r="CI502" s="17"/>
      <c r="CJ502" s="17"/>
    </row>
    <row r="503" ht="18.75" customHeight="1" outlineLevel="1">
      <c r="A503" s="17"/>
      <c r="B503" s="17"/>
      <c r="C503" s="14" t="s">
        <v>1041</v>
      </c>
      <c r="D503" s="13">
        <v>27.6</v>
      </c>
      <c r="E503" s="14" t="s">
        <v>595</v>
      </c>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row>
    <row r="504" ht="18.75" customHeight="1" outlineLevel="1">
      <c r="A504" s="17"/>
      <c r="B504" s="17"/>
      <c r="C504" s="14" t="s">
        <v>1042</v>
      </c>
      <c r="D504" s="14">
        <v>0.09</v>
      </c>
      <c r="E504" s="14" t="s">
        <v>1043</v>
      </c>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row>
    <row r="505" ht="18.75" customHeight="1" outlineLevel="1">
      <c r="A505" s="17"/>
      <c r="B505" s="17"/>
      <c r="C505" s="14" t="s">
        <v>1044</v>
      </c>
      <c r="D505" s="14">
        <v>0.02</v>
      </c>
      <c r="E505" s="14" t="s">
        <v>1043</v>
      </c>
      <c r="I505" s="333" t="s">
        <v>1045</v>
      </c>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c r="CI505" s="17"/>
      <c r="CJ505" s="17"/>
    </row>
    <row r="506" ht="18.75" customHeight="1" outlineLevel="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row>
    <row r="507" ht="18.75" customHeight="1" outlineLevel="1">
      <c r="A507" s="17"/>
      <c r="B507" s="17"/>
      <c r="C507" s="17"/>
      <c r="D507" s="17"/>
      <c r="E507" s="17"/>
      <c r="F507" s="17"/>
      <c r="G507" s="14" t="s">
        <v>1046</v>
      </c>
      <c r="H507" s="27">
        <f t="shared" ref="H507:H508" si="63">D502</f>
        <v>307</v>
      </c>
      <c r="I507" s="27">
        <f>H507+($H$507-$R$507)*(H2-I2)/Nb_années</f>
        <v>307</v>
      </c>
      <c r="J507" s="27">
        <f>I507+($H$507-$R$507)*(I2-J2)/Nb_années</f>
        <v>307</v>
      </c>
      <c r="K507" s="27">
        <f>J507+($H$507-$R$507)*(J2-K2)/Nb_années</f>
        <v>307</v>
      </c>
      <c r="L507" s="27">
        <f>K507+($H$507-$R$507)*(K2-L2)/Nb_années</f>
        <v>307</v>
      </c>
      <c r="M507" s="27">
        <f>L507+($H$507-$R$507)*(L2-M2)/Nb_années</f>
        <v>307</v>
      </c>
      <c r="N507" s="27">
        <f>M507+($H$507-$R$507)*(M2-N2)/Nb_années</f>
        <v>307</v>
      </c>
      <c r="O507" s="27">
        <f>N507+($H$507-$R$507)*(N2-O2)/Nb_années</f>
        <v>307</v>
      </c>
      <c r="P507" s="27">
        <f>O507+($H$507-$R$507)*(O2-P2)/Nb_années</f>
        <v>307</v>
      </c>
      <c r="Q507" s="27">
        <f>P507+($H$507-$R$507)*(P2-Q2)/Nb_années</f>
        <v>307</v>
      </c>
      <c r="R507" s="27">
        <f>$D$502*Var_qté_marchandises_2020_2030</f>
        <v>307</v>
      </c>
      <c r="S507" s="41"/>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row>
    <row r="508" ht="18.75" customHeight="1" outlineLevel="1">
      <c r="A508" s="17"/>
      <c r="B508" s="17"/>
      <c r="C508" s="17"/>
      <c r="D508" s="17"/>
      <c r="E508" s="17"/>
      <c r="F508" s="17"/>
      <c r="G508" s="334" t="s">
        <v>1047</v>
      </c>
      <c r="H508" s="335">
        <f t="shared" si="63"/>
        <v>27.6</v>
      </c>
      <c r="I508" s="335">
        <f t="shared" ref="I508:R508" si="64">$D$504*I507</f>
        <v>27.63</v>
      </c>
      <c r="J508" s="335">
        <f t="shared" si="64"/>
        <v>27.63</v>
      </c>
      <c r="K508" s="335">
        <f t="shared" si="64"/>
        <v>27.63</v>
      </c>
      <c r="L508" s="335">
        <f t="shared" si="64"/>
        <v>27.63</v>
      </c>
      <c r="M508" s="335">
        <f t="shared" si="64"/>
        <v>27.63</v>
      </c>
      <c r="N508" s="335">
        <f t="shared" si="64"/>
        <v>27.63</v>
      </c>
      <c r="O508" s="335">
        <f t="shared" si="64"/>
        <v>27.63</v>
      </c>
      <c r="P508" s="335">
        <f t="shared" si="64"/>
        <v>27.63</v>
      </c>
      <c r="Q508" s="335">
        <f t="shared" si="64"/>
        <v>27.63</v>
      </c>
      <c r="R508" s="336">
        <f t="shared" si="64"/>
        <v>27.63</v>
      </c>
      <c r="S508" s="337">
        <f t="shared" ref="S508:S509" si="66">SUM(H508:R508)</f>
        <v>303.9</v>
      </c>
      <c r="T508" s="17" t="s">
        <v>595</v>
      </c>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row>
    <row r="509" ht="18.75" customHeight="1" outlineLevel="1">
      <c r="A509" s="17"/>
      <c r="B509" s="17"/>
      <c r="C509" s="17"/>
      <c r="D509" s="17"/>
      <c r="E509" s="17"/>
      <c r="F509" s="17"/>
      <c r="G509" s="334" t="s">
        <v>1048</v>
      </c>
      <c r="H509" s="335">
        <f t="shared" ref="H509:R509" si="65">H507*$D$505</f>
        <v>6.14</v>
      </c>
      <c r="I509" s="335">
        <f t="shared" si="65"/>
        <v>6.14</v>
      </c>
      <c r="J509" s="335">
        <f t="shared" si="65"/>
        <v>6.14</v>
      </c>
      <c r="K509" s="335">
        <f t="shared" si="65"/>
        <v>6.14</v>
      </c>
      <c r="L509" s="335">
        <f t="shared" si="65"/>
        <v>6.14</v>
      </c>
      <c r="M509" s="335">
        <f t="shared" si="65"/>
        <v>6.14</v>
      </c>
      <c r="N509" s="335">
        <f t="shared" si="65"/>
        <v>6.14</v>
      </c>
      <c r="O509" s="335">
        <f t="shared" si="65"/>
        <v>6.14</v>
      </c>
      <c r="P509" s="335">
        <f t="shared" si="65"/>
        <v>6.14</v>
      </c>
      <c r="Q509" s="335">
        <f t="shared" si="65"/>
        <v>6.14</v>
      </c>
      <c r="R509" s="336">
        <f t="shared" si="65"/>
        <v>6.14</v>
      </c>
      <c r="S509" s="337">
        <f t="shared" si="66"/>
        <v>67.54</v>
      </c>
      <c r="T509" s="17" t="s">
        <v>595</v>
      </c>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row>
    <row r="510" ht="18.75" customHeight="1" outlineLevel="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row>
    <row r="511" ht="18.75" customHeight="1" outlineLevel="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row>
    <row r="512" ht="18.75" customHeight="1" outlineLevel="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row>
    <row r="513" ht="18.75" customHeight="1" outlineLevel="1">
      <c r="A513" s="332" t="s">
        <v>169</v>
      </c>
      <c r="B513" s="29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c r="CI513" s="17"/>
      <c r="CJ513" s="17"/>
    </row>
    <row r="514" ht="18.75" customHeight="1" outlineLevel="1">
      <c r="A514" s="17"/>
      <c r="B514" s="17"/>
      <c r="C514" s="17"/>
      <c r="D514" s="17"/>
      <c r="E514" s="17"/>
      <c r="F514" s="17"/>
      <c r="G514" s="14" t="s">
        <v>1049</v>
      </c>
      <c r="H514" s="289">
        <f>Emissions_GES_Aérien_Fr_2020</f>
        <v>32.912</v>
      </c>
      <c r="I514" s="289">
        <f>Emissions_GES_Aérien_Fr_2020-(Emissions_GES_Aérien_Fr_2020*(I2-Année_référence)*(1-NB_vols_2030/Nb_vols_2020)/Nb_années)</f>
        <v>32.912</v>
      </c>
      <c r="J514" s="289">
        <f>Emissions_GES_Aérien_Fr_2020-(Emissions_GES_Aérien_Fr_2020*(J2-Année_référence)*(1-NB_vols_2030/Nb_vols_2020)/Nb_années)</f>
        <v>32.912</v>
      </c>
      <c r="K514" s="289">
        <f>Emissions_GES_Aérien_Fr_2020-(Emissions_GES_Aérien_Fr_2020*(K2-Année_référence)*(1-NB_vols_2030/Nb_vols_2020)/Nb_années)</f>
        <v>32.912</v>
      </c>
      <c r="L514" s="289">
        <f>Emissions_GES_Aérien_Fr_2020-(Emissions_GES_Aérien_Fr_2020*(L2-Année_référence)*(1-NB_vols_2030/Nb_vols_2020)/Nb_années)</f>
        <v>32.912</v>
      </c>
      <c r="M514" s="289">
        <f>Emissions_GES_Aérien_Fr_2020-(Emissions_GES_Aérien_Fr_2020*(M2-Année_référence)*(1-NB_vols_2030/Nb_vols_2020)/Nb_années)</f>
        <v>32.912</v>
      </c>
      <c r="N514" s="289">
        <f>Emissions_GES_Aérien_Fr_2020-(Emissions_GES_Aérien_Fr_2020*(N2-Année_référence)*(1-NB_vols_2030/Nb_vols_2020)/Nb_années)</f>
        <v>32.912</v>
      </c>
      <c r="O514" s="289">
        <f>Emissions_GES_Aérien_Fr_2020-(Emissions_GES_Aérien_Fr_2020*(O2-Année_référence)*(1-NB_vols_2030/Nb_vols_2020)/Nb_années)</f>
        <v>32.912</v>
      </c>
      <c r="P514" s="289">
        <f>Emissions_GES_Aérien_Fr_2020-(Emissions_GES_Aérien_Fr_2020*(P2-Année_référence)*(1-NB_vols_2030/Nb_vols_2020)/Nb_années)</f>
        <v>32.912</v>
      </c>
      <c r="Q514" s="289">
        <f>Emissions_GES_Aérien_Fr_2020-(Emissions_GES_Aérien_Fr_2020*(Q2-Année_référence)*(1-NB_vols_2030/Nb_vols_2020)/Nb_années)</f>
        <v>32.912</v>
      </c>
      <c r="R514" s="289">
        <f>Emissions_GES_Aérien_Fr_2020-(Emissions_GES_Aérien_Fr_2020*(R2-Année_référence)*(1-NB_vols_2030/Nb_vols_2020)/Nb_années)</f>
        <v>32.912</v>
      </c>
      <c r="S514" s="32">
        <f t="shared" ref="S514:S515" si="67">SUM(H514:R514)</f>
        <v>362.032</v>
      </c>
      <c r="T514" s="17" t="s">
        <v>595</v>
      </c>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row>
    <row r="515" ht="18.75" customHeight="1" outlineLevel="1">
      <c r="A515" s="17"/>
      <c r="B515" s="17"/>
      <c r="C515" s="17"/>
      <c r="D515" s="17"/>
      <c r="E515" s="17"/>
      <c r="F515" s="17"/>
      <c r="G515" s="338" t="s">
        <v>1050</v>
      </c>
      <c r="H515" s="339">
        <f>H514</f>
        <v>32.912</v>
      </c>
      <c r="I515" s="339">
        <f>I514*(1-Gain_eff_carbone_aérien)^(I2-Année_référence)</f>
        <v>32.58288</v>
      </c>
      <c r="J515" s="339">
        <f>J514*(1-Gain_eff_carbone_aérien)^(J2-Année_référence)</f>
        <v>32.2570512</v>
      </c>
      <c r="K515" s="339">
        <f>K514*(1-Gain_eff_carbone_aérien)^(K2-Année_référence)</f>
        <v>31.93448069</v>
      </c>
      <c r="L515" s="339">
        <f>L514*(1-Gain_eff_carbone_aérien)^(L2-Année_référence)</f>
        <v>31.61513588</v>
      </c>
      <c r="M515" s="339">
        <f>M514*(1-Gain_eff_carbone_aérien)^(M2-Année_référence)</f>
        <v>31.29898452</v>
      </c>
      <c r="N515" s="339">
        <f>N514*(1-Gain_eff_carbone_aérien)^(N2-Année_référence)</f>
        <v>30.98599468</v>
      </c>
      <c r="O515" s="339">
        <f>O514*(1-Gain_eff_carbone_aérien)^(O2-Année_référence)</f>
        <v>30.67613473</v>
      </c>
      <c r="P515" s="339">
        <f>P514*(1-Gain_eff_carbone_aérien)^(P2-Année_référence)</f>
        <v>30.36937338</v>
      </c>
      <c r="Q515" s="339">
        <f>Q514*(1-Gain_eff_carbone_aérien)^(Q2-Année_référence)</f>
        <v>30.06567965</v>
      </c>
      <c r="R515" s="339">
        <f>R514*(1-Gain_eff_carbone_aérien)^(R2-Année_référence)</f>
        <v>29.76502285</v>
      </c>
      <c r="S515" s="32">
        <f t="shared" si="67"/>
        <v>344.4627376</v>
      </c>
      <c r="T515" s="17" t="s">
        <v>595</v>
      </c>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row>
    <row r="516" ht="18.75" customHeight="1" outlineLevel="1">
      <c r="A516" s="17"/>
      <c r="B516" s="17"/>
      <c r="C516" s="14" t="s">
        <v>1051</v>
      </c>
      <c r="D516" s="152">
        <v>18.7</v>
      </c>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row>
    <row r="517" ht="18.75" customHeight="1" outlineLevel="1">
      <c r="A517" s="17"/>
      <c r="B517" s="17"/>
      <c r="C517" s="14" t="s">
        <v>1052</v>
      </c>
      <c r="D517" s="152">
        <v>1.6</v>
      </c>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row>
    <row r="518" ht="18.75" customHeight="1" outlineLevel="1">
      <c r="A518" s="17"/>
      <c r="B518" s="17"/>
      <c r="C518" s="14" t="s">
        <v>1053</v>
      </c>
      <c r="D518" s="152">
        <v>2.0</v>
      </c>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row>
    <row r="519" ht="18.75" customHeight="1" outlineLevel="1">
      <c r="A519" s="17"/>
      <c r="B519" s="17"/>
      <c r="C519" s="14" t="s">
        <v>1054</v>
      </c>
      <c r="D519" s="269">
        <v>0.45</v>
      </c>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row>
    <row r="520" ht="18.75" customHeight="1" outlineLevel="1">
      <c r="A520" s="17"/>
      <c r="B520" s="17" t="s">
        <v>1055</v>
      </c>
      <c r="C520" s="14" t="s">
        <v>1056</v>
      </c>
      <c r="D520" s="67">
        <f>D516*D517*D518*(1-D519)</f>
        <v>32.912</v>
      </c>
      <c r="E520" s="17" t="s">
        <v>76</v>
      </c>
      <c r="F520" s="17" t="s">
        <v>1057</v>
      </c>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row>
    <row r="521" ht="18.75" customHeight="1" outlineLevel="1">
      <c r="A521" s="17"/>
      <c r="B521" s="17" t="s">
        <v>1058</v>
      </c>
      <c r="C521" s="14" t="s">
        <v>1059</v>
      </c>
      <c r="D521" s="340">
        <v>77.0</v>
      </c>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row>
    <row r="522" ht="18.75" customHeight="1" outlineLevel="1">
      <c r="A522" s="17"/>
      <c r="B522" s="17" t="s">
        <v>1060</v>
      </c>
      <c r="C522" s="14" t="s">
        <v>1061</v>
      </c>
      <c r="D522" s="14" t="str">
        <f t="array" ref="D522">Gain_eff_carbone_aérien</f>
        <v>0,01</v>
      </c>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row>
    <row r="523" ht="18.75" customHeight="1" outlineLevel="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row>
    <row r="524" ht="18.75" customHeight="1" outlineLevel="1">
      <c r="A524" s="341" t="s">
        <v>1062</v>
      </c>
      <c r="B524" s="326"/>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row>
    <row r="525" ht="18.75" customHeight="1" outlineLevel="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row>
    <row r="526" ht="18.75" customHeight="1" outlineLevel="1">
      <c r="A526" s="17"/>
      <c r="B526" s="17"/>
      <c r="C526" s="17"/>
      <c r="D526" s="17"/>
      <c r="E526" s="17"/>
      <c r="F526" s="17"/>
      <c r="G526" s="342" t="s">
        <v>1063</v>
      </c>
      <c r="H526" s="182"/>
      <c r="I526" s="182"/>
      <c r="J526" s="182"/>
      <c r="K526" s="182"/>
      <c r="L526" s="182"/>
      <c r="M526" s="182"/>
      <c r="N526" s="182"/>
      <c r="O526" s="182"/>
      <c r="P526" s="182"/>
      <c r="Q526" s="182"/>
      <c r="R526" s="183"/>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row>
    <row r="527" ht="18.75" customHeight="1" outlineLevel="1">
      <c r="A527" s="17"/>
      <c r="B527" s="17"/>
      <c r="C527" s="17"/>
      <c r="D527" s="17"/>
      <c r="E527" s="17"/>
      <c r="F527" s="17"/>
      <c r="G527" s="14" t="s">
        <v>1064</v>
      </c>
      <c r="H527" s="330">
        <f t="shared" ref="H527:R527" si="68">H424</f>
        <v>102.6052083</v>
      </c>
      <c r="I527" s="330">
        <f t="shared" si="68"/>
        <v>102.6052083</v>
      </c>
      <c r="J527" s="330">
        <f t="shared" si="68"/>
        <v>102.6052083</v>
      </c>
      <c r="K527" s="330">
        <f t="shared" si="68"/>
        <v>102.6052083</v>
      </c>
      <c r="L527" s="330">
        <f t="shared" si="68"/>
        <v>102.6052083</v>
      </c>
      <c r="M527" s="330">
        <f t="shared" si="68"/>
        <v>102.6052083</v>
      </c>
      <c r="N527" s="330">
        <f t="shared" si="68"/>
        <v>102.6052083</v>
      </c>
      <c r="O527" s="330">
        <f t="shared" si="68"/>
        <v>102.6052083</v>
      </c>
      <c r="P527" s="330">
        <f t="shared" si="68"/>
        <v>102.6052083</v>
      </c>
      <c r="Q527" s="330">
        <f t="shared" si="68"/>
        <v>102.6052083</v>
      </c>
      <c r="R527" s="330">
        <f t="shared" si="68"/>
        <v>102.6052083</v>
      </c>
      <c r="S527" s="17" t="s">
        <v>595</v>
      </c>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row>
    <row r="528" ht="18.75" customHeight="1" outlineLevel="1">
      <c r="A528" s="17"/>
      <c r="B528" s="17"/>
      <c r="C528" s="17"/>
      <c r="D528" s="17"/>
      <c r="E528" s="17"/>
      <c r="F528" s="17"/>
      <c r="G528" s="14" t="s">
        <v>1065</v>
      </c>
      <c r="H528" s="330">
        <f t="shared" ref="H528:R528" si="69">H487</f>
        <v>24.33996991</v>
      </c>
      <c r="I528" s="330">
        <f t="shared" si="69"/>
        <v>24.33996991</v>
      </c>
      <c r="J528" s="330">
        <f t="shared" si="69"/>
        <v>24.33996991</v>
      </c>
      <c r="K528" s="330">
        <f t="shared" si="69"/>
        <v>24.33996991</v>
      </c>
      <c r="L528" s="330">
        <f t="shared" si="69"/>
        <v>24.33996991</v>
      </c>
      <c r="M528" s="330">
        <f t="shared" si="69"/>
        <v>24.33996991</v>
      </c>
      <c r="N528" s="330">
        <f t="shared" si="69"/>
        <v>24.33996991</v>
      </c>
      <c r="O528" s="330">
        <f t="shared" si="69"/>
        <v>24.33996991</v>
      </c>
      <c r="P528" s="330">
        <f t="shared" si="69"/>
        <v>24.33996991</v>
      </c>
      <c r="Q528" s="330">
        <f t="shared" si="69"/>
        <v>24.33996991</v>
      </c>
      <c r="R528" s="330">
        <f t="shared" si="69"/>
        <v>24.33996991</v>
      </c>
      <c r="S528" s="17" t="s">
        <v>595</v>
      </c>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row>
    <row r="529" ht="18.75" customHeight="1" outlineLevel="1">
      <c r="A529" s="17"/>
      <c r="B529" s="17"/>
      <c r="C529" s="17"/>
      <c r="D529" s="17"/>
      <c r="E529" s="17"/>
      <c r="F529" s="17"/>
      <c r="G529" s="14" t="s">
        <v>1066</v>
      </c>
      <c r="H529" s="330">
        <f t="shared" ref="H529:R529" si="70">H452</f>
        <v>5.9486</v>
      </c>
      <c r="I529" s="330">
        <f t="shared" si="70"/>
        <v>5.7665</v>
      </c>
      <c r="J529" s="330">
        <f t="shared" si="70"/>
        <v>5.5844</v>
      </c>
      <c r="K529" s="330">
        <f t="shared" si="70"/>
        <v>5.4023</v>
      </c>
      <c r="L529" s="330">
        <f t="shared" si="70"/>
        <v>5.1595</v>
      </c>
      <c r="M529" s="330">
        <f t="shared" si="70"/>
        <v>4.856</v>
      </c>
      <c r="N529" s="330">
        <f t="shared" si="70"/>
        <v>4.5525</v>
      </c>
      <c r="O529" s="330">
        <f t="shared" si="70"/>
        <v>4.249</v>
      </c>
      <c r="P529" s="330">
        <f t="shared" si="70"/>
        <v>3.9455</v>
      </c>
      <c r="Q529" s="330">
        <f t="shared" si="70"/>
        <v>3.642</v>
      </c>
      <c r="R529" s="330">
        <f t="shared" si="70"/>
        <v>3.3385</v>
      </c>
      <c r="S529" s="17" t="s">
        <v>595</v>
      </c>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row>
    <row r="530" ht="18.75" customHeight="1" outlineLevel="1">
      <c r="A530" s="17"/>
      <c r="B530" s="17"/>
      <c r="C530" s="17"/>
      <c r="D530" s="17"/>
      <c r="E530" s="17"/>
      <c r="F530" s="17"/>
      <c r="G530" s="14" t="s">
        <v>1067</v>
      </c>
      <c r="H530" s="330">
        <f t="shared" ref="H530:R530" si="71">H508</f>
        <v>27.6</v>
      </c>
      <c r="I530" s="330">
        <f t="shared" si="71"/>
        <v>27.63</v>
      </c>
      <c r="J530" s="330">
        <f t="shared" si="71"/>
        <v>27.63</v>
      </c>
      <c r="K530" s="330">
        <f t="shared" si="71"/>
        <v>27.63</v>
      </c>
      <c r="L530" s="330">
        <f t="shared" si="71"/>
        <v>27.63</v>
      </c>
      <c r="M530" s="330">
        <f t="shared" si="71"/>
        <v>27.63</v>
      </c>
      <c r="N530" s="330">
        <f t="shared" si="71"/>
        <v>27.63</v>
      </c>
      <c r="O530" s="330">
        <f t="shared" si="71"/>
        <v>27.63</v>
      </c>
      <c r="P530" s="330">
        <f t="shared" si="71"/>
        <v>27.63</v>
      </c>
      <c r="Q530" s="330">
        <f t="shared" si="71"/>
        <v>27.63</v>
      </c>
      <c r="R530" s="330">
        <f t="shared" si="71"/>
        <v>27.63</v>
      </c>
      <c r="S530" s="17" t="s">
        <v>595</v>
      </c>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row>
    <row r="531" ht="18.75" customHeight="1" outlineLevel="1">
      <c r="A531" s="17"/>
      <c r="B531" s="17"/>
      <c r="C531" s="17"/>
      <c r="D531" s="17"/>
      <c r="E531" s="17"/>
      <c r="F531" s="17"/>
      <c r="G531" s="343" t="s">
        <v>1068</v>
      </c>
      <c r="H531" s="344">
        <f t="shared" ref="H531:R531" si="72">SUM(H527:H530)</f>
        <v>160.4937782</v>
      </c>
      <c r="I531" s="344">
        <f t="shared" si="72"/>
        <v>160.3416782</v>
      </c>
      <c r="J531" s="344">
        <f t="shared" si="72"/>
        <v>160.1595782</v>
      </c>
      <c r="K531" s="344">
        <f t="shared" si="72"/>
        <v>159.9774782</v>
      </c>
      <c r="L531" s="344">
        <f t="shared" si="72"/>
        <v>159.7346782</v>
      </c>
      <c r="M531" s="344">
        <f t="shared" si="72"/>
        <v>159.4311782</v>
      </c>
      <c r="N531" s="344">
        <f t="shared" si="72"/>
        <v>159.1276782</v>
      </c>
      <c r="O531" s="344">
        <f t="shared" si="72"/>
        <v>158.8241782</v>
      </c>
      <c r="P531" s="344">
        <f t="shared" si="72"/>
        <v>158.5206782</v>
      </c>
      <c r="Q531" s="344">
        <f t="shared" si="72"/>
        <v>158.2171782</v>
      </c>
      <c r="R531" s="344">
        <f t="shared" si="72"/>
        <v>157.9136782</v>
      </c>
      <c r="S531" s="110" t="s">
        <v>595</v>
      </c>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row>
    <row r="532" ht="18.75" customHeight="1" outlineLevel="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row>
    <row r="533" ht="18.75" customHeight="1" outlineLevel="1">
      <c r="A533" s="17"/>
      <c r="B533" s="17"/>
      <c r="C533" s="17"/>
      <c r="D533" s="17"/>
      <c r="E533" s="17"/>
      <c r="F533" s="17"/>
      <c r="G533" s="342" t="s">
        <v>1069</v>
      </c>
      <c r="H533" s="182"/>
      <c r="I533" s="182"/>
      <c r="J533" s="182"/>
      <c r="K533" s="182"/>
      <c r="L533" s="182"/>
      <c r="M533" s="182"/>
      <c r="N533" s="182"/>
      <c r="O533" s="182"/>
      <c r="P533" s="182"/>
      <c r="Q533" s="182"/>
      <c r="R533" s="183"/>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row>
    <row r="534" ht="18.75" customHeight="1" outlineLevel="1">
      <c r="A534" s="17"/>
      <c r="B534" s="17"/>
      <c r="C534" s="17"/>
      <c r="D534" s="17"/>
      <c r="E534" s="17"/>
      <c r="F534" s="17"/>
      <c r="G534" s="14" t="s">
        <v>1070</v>
      </c>
      <c r="H534" s="27">
        <f t="shared" ref="H534:R534" si="73">H427</f>
        <v>0</v>
      </c>
      <c r="I534" s="27">
        <f t="shared" si="73"/>
        <v>0</v>
      </c>
      <c r="J534" s="27">
        <f t="shared" si="73"/>
        <v>0</v>
      </c>
      <c r="K534" s="27">
        <f t="shared" si="73"/>
        <v>0</v>
      </c>
      <c r="L534" s="27">
        <f t="shared" si="73"/>
        <v>0</v>
      </c>
      <c r="M534" s="27">
        <f t="shared" si="73"/>
        <v>0</v>
      </c>
      <c r="N534" s="27">
        <f t="shared" si="73"/>
        <v>0</v>
      </c>
      <c r="O534" s="27">
        <f t="shared" si="73"/>
        <v>0</v>
      </c>
      <c r="P534" s="27">
        <f t="shared" si="73"/>
        <v>0</v>
      </c>
      <c r="Q534" s="27">
        <f t="shared" si="73"/>
        <v>0</v>
      </c>
      <c r="R534" s="27">
        <f t="shared" si="73"/>
        <v>0</v>
      </c>
      <c r="S534" s="17" t="s">
        <v>595</v>
      </c>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row>
    <row r="535" ht="18.75" customHeight="1" outlineLevel="1">
      <c r="A535" s="17"/>
      <c r="B535" s="17"/>
      <c r="C535" s="17"/>
      <c r="D535" s="17"/>
      <c r="E535" s="17"/>
      <c r="F535" s="17"/>
      <c r="G535" s="14" t="s">
        <v>1071</v>
      </c>
      <c r="H535" s="27">
        <f t="shared" ref="H535:R535" si="74">H423</f>
        <v>25.95308211</v>
      </c>
      <c r="I535" s="27">
        <f t="shared" si="74"/>
        <v>25.95308211</v>
      </c>
      <c r="J535" s="27">
        <f t="shared" si="74"/>
        <v>25.95308211</v>
      </c>
      <c r="K535" s="27">
        <f t="shared" si="74"/>
        <v>25.95308211</v>
      </c>
      <c r="L535" s="27">
        <f t="shared" si="74"/>
        <v>25.95308211</v>
      </c>
      <c r="M535" s="27">
        <f t="shared" si="74"/>
        <v>25.95308211</v>
      </c>
      <c r="N535" s="27">
        <f t="shared" si="74"/>
        <v>25.95308211</v>
      </c>
      <c r="O535" s="27">
        <f t="shared" si="74"/>
        <v>25.95308211</v>
      </c>
      <c r="P535" s="27">
        <f t="shared" si="74"/>
        <v>25.95308211</v>
      </c>
      <c r="Q535" s="27">
        <f t="shared" si="74"/>
        <v>25.95308211</v>
      </c>
      <c r="R535" s="27">
        <f t="shared" si="74"/>
        <v>25.95308211</v>
      </c>
      <c r="S535" s="17" t="s">
        <v>595</v>
      </c>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c r="CI535" s="17"/>
      <c r="CJ535" s="17"/>
    </row>
    <row r="536" ht="18.75" customHeight="1" outlineLevel="1">
      <c r="A536" s="17"/>
      <c r="B536" s="17"/>
      <c r="C536" s="17"/>
      <c r="D536" s="17"/>
      <c r="E536" s="17"/>
      <c r="F536" s="17"/>
      <c r="G536" s="14" t="s">
        <v>1072</v>
      </c>
      <c r="H536" s="27">
        <f t="shared" ref="H536:R536" si="75">H486</f>
        <v>6.156580624</v>
      </c>
      <c r="I536" s="27">
        <f t="shared" si="75"/>
        <v>6.156580624</v>
      </c>
      <c r="J536" s="27">
        <f t="shared" si="75"/>
        <v>6.156580624</v>
      </c>
      <c r="K536" s="27">
        <f t="shared" si="75"/>
        <v>6.156580624</v>
      </c>
      <c r="L536" s="27">
        <f t="shared" si="75"/>
        <v>6.156580624</v>
      </c>
      <c r="M536" s="27">
        <f t="shared" si="75"/>
        <v>6.156580624</v>
      </c>
      <c r="N536" s="27">
        <f t="shared" si="75"/>
        <v>6.156580624</v>
      </c>
      <c r="O536" s="27">
        <f t="shared" si="75"/>
        <v>6.156580624</v>
      </c>
      <c r="P536" s="27">
        <f t="shared" si="75"/>
        <v>6.156580624</v>
      </c>
      <c r="Q536" s="27">
        <f t="shared" si="75"/>
        <v>6.156580624</v>
      </c>
      <c r="R536" s="27">
        <f t="shared" si="75"/>
        <v>6.156580624</v>
      </c>
      <c r="S536" s="17" t="s">
        <v>595</v>
      </c>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row>
    <row r="537" ht="18.75" customHeight="1" outlineLevel="1">
      <c r="A537" s="17"/>
      <c r="B537" s="17"/>
      <c r="C537" s="17"/>
      <c r="D537" s="17"/>
      <c r="E537" s="17"/>
      <c r="F537" s="17"/>
      <c r="G537" s="14" t="s">
        <v>1073</v>
      </c>
      <c r="H537" s="27">
        <f t="shared" ref="H537:R537" si="76">H490</f>
        <v>0</v>
      </c>
      <c r="I537" s="27">
        <f t="shared" si="76"/>
        <v>0</v>
      </c>
      <c r="J537" s="27">
        <f t="shared" si="76"/>
        <v>0</v>
      </c>
      <c r="K537" s="27">
        <f t="shared" si="76"/>
        <v>0</v>
      </c>
      <c r="L537" s="27">
        <f t="shared" si="76"/>
        <v>0</v>
      </c>
      <c r="M537" s="27">
        <f t="shared" si="76"/>
        <v>0</v>
      </c>
      <c r="N537" s="27">
        <f t="shared" si="76"/>
        <v>0</v>
      </c>
      <c r="O537" s="27">
        <f t="shared" si="76"/>
        <v>0</v>
      </c>
      <c r="P537" s="27">
        <f t="shared" si="76"/>
        <v>0</v>
      </c>
      <c r="Q537" s="27">
        <f t="shared" si="76"/>
        <v>0</v>
      </c>
      <c r="R537" s="27">
        <f t="shared" si="76"/>
        <v>0</v>
      </c>
      <c r="S537" s="17" t="s">
        <v>595</v>
      </c>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row>
    <row r="538" ht="18.75" customHeight="1" outlineLevel="1">
      <c r="A538" s="17"/>
      <c r="B538" s="17"/>
      <c r="C538" s="17"/>
      <c r="D538" s="17"/>
      <c r="E538" s="17"/>
      <c r="F538" s="17"/>
      <c r="G538" s="14" t="s">
        <v>985</v>
      </c>
      <c r="H538" s="27">
        <f t="shared" ref="H538:R538" si="77">H453</f>
        <v>0.55</v>
      </c>
      <c r="I538" s="27">
        <f t="shared" si="77"/>
        <v>0.55</v>
      </c>
      <c r="J538" s="27">
        <f t="shared" si="77"/>
        <v>0.55</v>
      </c>
      <c r="K538" s="27">
        <f t="shared" si="77"/>
        <v>0.55</v>
      </c>
      <c r="L538" s="27">
        <f t="shared" si="77"/>
        <v>0.55</v>
      </c>
      <c r="M538" s="27">
        <f t="shared" si="77"/>
        <v>0.55</v>
      </c>
      <c r="N538" s="27">
        <f t="shared" si="77"/>
        <v>0.55</v>
      </c>
      <c r="O538" s="27">
        <f t="shared" si="77"/>
        <v>0.55</v>
      </c>
      <c r="P538" s="27">
        <f t="shared" si="77"/>
        <v>0.55</v>
      </c>
      <c r="Q538" s="27">
        <f t="shared" si="77"/>
        <v>0.55</v>
      </c>
      <c r="R538" s="27">
        <f t="shared" si="77"/>
        <v>0.55</v>
      </c>
      <c r="S538" s="17" t="s">
        <v>595</v>
      </c>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c r="CI538" s="17"/>
      <c r="CJ538" s="17"/>
    </row>
    <row r="539" ht="18.75" customHeight="1" outlineLevel="1">
      <c r="A539" s="17"/>
      <c r="B539" s="17"/>
      <c r="C539" s="17"/>
      <c r="D539" s="17"/>
      <c r="E539" s="17"/>
      <c r="F539" s="17"/>
      <c r="G539" s="14" t="s">
        <v>1074</v>
      </c>
      <c r="H539" s="27">
        <f t="shared" ref="H539:R539" si="78">H509</f>
        <v>6.14</v>
      </c>
      <c r="I539" s="27">
        <f t="shared" si="78"/>
        <v>6.14</v>
      </c>
      <c r="J539" s="27">
        <f t="shared" si="78"/>
        <v>6.14</v>
      </c>
      <c r="K539" s="27">
        <f t="shared" si="78"/>
        <v>6.14</v>
      </c>
      <c r="L539" s="27">
        <f t="shared" si="78"/>
        <v>6.14</v>
      </c>
      <c r="M539" s="27">
        <f t="shared" si="78"/>
        <v>6.14</v>
      </c>
      <c r="N539" s="27">
        <f t="shared" si="78"/>
        <v>6.14</v>
      </c>
      <c r="O539" s="27">
        <f t="shared" si="78"/>
        <v>6.14</v>
      </c>
      <c r="P539" s="27">
        <f t="shared" si="78"/>
        <v>6.14</v>
      </c>
      <c r="Q539" s="27">
        <f t="shared" si="78"/>
        <v>6.14</v>
      </c>
      <c r="R539" s="27">
        <f t="shared" si="78"/>
        <v>6.14</v>
      </c>
      <c r="S539" s="17" t="s">
        <v>595</v>
      </c>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row>
    <row r="540" ht="18.75" customHeight="1" outlineLevel="1">
      <c r="A540" s="110"/>
      <c r="B540" s="110"/>
      <c r="C540" s="110"/>
      <c r="D540" s="110"/>
      <c r="E540" s="110"/>
      <c r="F540" s="110"/>
      <c r="G540" s="343" t="s">
        <v>1075</v>
      </c>
      <c r="H540" s="344">
        <f t="shared" ref="H540:R540" si="79">SUM(H534:H539)</f>
        <v>38.79966273</v>
      </c>
      <c r="I540" s="344">
        <f t="shared" si="79"/>
        <v>38.79966273</v>
      </c>
      <c r="J540" s="344">
        <f t="shared" si="79"/>
        <v>38.79966273</v>
      </c>
      <c r="K540" s="344">
        <f t="shared" si="79"/>
        <v>38.79966273</v>
      </c>
      <c r="L540" s="344">
        <f t="shared" si="79"/>
        <v>38.79966273</v>
      </c>
      <c r="M540" s="344">
        <f t="shared" si="79"/>
        <v>38.79966273</v>
      </c>
      <c r="N540" s="344">
        <f t="shared" si="79"/>
        <v>38.79966273</v>
      </c>
      <c r="O540" s="344">
        <f t="shared" si="79"/>
        <v>38.79966273</v>
      </c>
      <c r="P540" s="344">
        <f t="shared" si="79"/>
        <v>38.79966273</v>
      </c>
      <c r="Q540" s="344">
        <f t="shared" si="79"/>
        <v>38.79966273</v>
      </c>
      <c r="R540" s="344">
        <f t="shared" si="79"/>
        <v>38.79966273</v>
      </c>
      <c r="S540" s="110" t="s">
        <v>595</v>
      </c>
      <c r="T540" s="110"/>
      <c r="U540" s="110"/>
      <c r="V540" s="110"/>
      <c r="W540" s="110"/>
      <c r="X540" s="110"/>
      <c r="Y540" s="110"/>
      <c r="Z540" s="110"/>
      <c r="AA540" s="110"/>
      <c r="AB540" s="110"/>
      <c r="AC540" s="110"/>
      <c r="AD540" s="110"/>
      <c r="AE540" s="110"/>
      <c r="AF540" s="110"/>
      <c r="AG540" s="110"/>
      <c r="AH540" s="110"/>
      <c r="AI540" s="110"/>
      <c r="AJ540" s="110"/>
      <c r="AK540" s="110"/>
      <c r="AL540" s="110"/>
      <c r="AM540" s="110"/>
      <c r="AN540" s="110"/>
      <c r="AO540" s="110"/>
      <c r="AP540" s="110"/>
      <c r="AQ540" s="110"/>
      <c r="AR540" s="110"/>
      <c r="AS540" s="110"/>
      <c r="AT540" s="110"/>
      <c r="AU540" s="110"/>
      <c r="AV540" s="110"/>
      <c r="AW540" s="110"/>
      <c r="AX540" s="110"/>
      <c r="AY540" s="110"/>
      <c r="AZ540" s="110"/>
      <c r="BA540" s="110"/>
      <c r="BB540" s="110"/>
      <c r="BC540" s="110"/>
      <c r="BD540" s="110"/>
      <c r="BE540" s="110"/>
      <c r="BF540" s="110"/>
      <c r="BG540" s="110"/>
      <c r="BH540" s="110"/>
      <c r="BI540" s="110"/>
      <c r="BJ540" s="110"/>
      <c r="BK540" s="110"/>
      <c r="BL540" s="110"/>
      <c r="BM540" s="110"/>
      <c r="BN540" s="110"/>
      <c r="BO540" s="110"/>
      <c r="BP540" s="110"/>
      <c r="BQ540" s="110"/>
      <c r="BR540" s="110"/>
      <c r="BS540" s="110"/>
      <c r="BT540" s="110"/>
      <c r="BU540" s="110"/>
      <c r="BV540" s="110"/>
      <c r="BW540" s="110"/>
      <c r="BX540" s="110"/>
      <c r="BY540" s="110"/>
      <c r="BZ540" s="110"/>
      <c r="CA540" s="110"/>
      <c r="CB540" s="110"/>
      <c r="CC540" s="110"/>
      <c r="CD540" s="110"/>
      <c r="CE540" s="110"/>
      <c r="CF540" s="110"/>
      <c r="CG540" s="110"/>
      <c r="CH540" s="110"/>
      <c r="CI540" s="110"/>
      <c r="CJ540" s="110"/>
    </row>
    <row r="541" ht="18.75" customHeight="1" outlineLevel="1">
      <c r="A541" s="17"/>
      <c r="B541" s="17"/>
      <c r="C541" s="17"/>
      <c r="D541" s="17"/>
      <c r="E541" s="17"/>
      <c r="F541" s="17"/>
      <c r="G541" s="345" t="s">
        <v>1076</v>
      </c>
      <c r="H541" s="346">
        <f t="shared" ref="H541:R541" si="80">H538+H537+H534</f>
        <v>0.55</v>
      </c>
      <c r="I541" s="346">
        <f t="shared" si="80"/>
        <v>0.55</v>
      </c>
      <c r="J541" s="346">
        <f t="shared" si="80"/>
        <v>0.55</v>
      </c>
      <c r="K541" s="346">
        <f t="shared" si="80"/>
        <v>0.55</v>
      </c>
      <c r="L541" s="346">
        <f t="shared" si="80"/>
        <v>0.55</v>
      </c>
      <c r="M541" s="346">
        <f t="shared" si="80"/>
        <v>0.55</v>
      </c>
      <c r="N541" s="346">
        <f t="shared" si="80"/>
        <v>0.55</v>
      </c>
      <c r="O541" s="346">
        <f t="shared" si="80"/>
        <v>0.55</v>
      </c>
      <c r="P541" s="346">
        <f t="shared" si="80"/>
        <v>0.55</v>
      </c>
      <c r="Q541" s="346">
        <f t="shared" si="80"/>
        <v>0.55</v>
      </c>
      <c r="R541" s="346">
        <f t="shared" si="80"/>
        <v>0.55</v>
      </c>
      <c r="S541" s="17" t="s">
        <v>595</v>
      </c>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row>
    <row r="542" ht="18.75" customHeight="1" outlineLevel="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row>
    <row r="543" ht="18.75" customHeight="1" outlineLevel="1">
      <c r="A543" s="17"/>
      <c r="B543" s="17"/>
      <c r="C543" s="17"/>
      <c r="D543" s="17"/>
      <c r="E543" s="17"/>
      <c r="F543" s="17"/>
      <c r="G543" s="342" t="s">
        <v>1077</v>
      </c>
      <c r="H543" s="182"/>
      <c r="I543" s="182"/>
      <c r="J543" s="182"/>
      <c r="K543" s="182"/>
      <c r="L543" s="182"/>
      <c r="M543" s="182"/>
      <c r="N543" s="182"/>
      <c r="O543" s="182"/>
      <c r="P543" s="182"/>
      <c r="Q543" s="182"/>
      <c r="R543" s="183"/>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row>
    <row r="544" ht="18.75" customHeight="1" outlineLevel="1">
      <c r="A544" s="17"/>
      <c r="B544" s="17"/>
      <c r="C544" s="17"/>
      <c r="D544" s="17"/>
      <c r="E544" s="17"/>
      <c r="F544" s="17"/>
      <c r="G544" s="14" t="s">
        <v>1078</v>
      </c>
      <c r="H544" s="27">
        <f t="shared" ref="H544:R544" si="81">H422</f>
        <v>18</v>
      </c>
      <c r="I544" s="27">
        <f t="shared" si="81"/>
        <v>18</v>
      </c>
      <c r="J544" s="27">
        <f t="shared" si="81"/>
        <v>18</v>
      </c>
      <c r="K544" s="27">
        <f t="shared" si="81"/>
        <v>18</v>
      </c>
      <c r="L544" s="27">
        <f t="shared" si="81"/>
        <v>18</v>
      </c>
      <c r="M544" s="27">
        <f t="shared" si="81"/>
        <v>18</v>
      </c>
      <c r="N544" s="27">
        <f t="shared" si="81"/>
        <v>18</v>
      </c>
      <c r="O544" s="27">
        <f t="shared" si="81"/>
        <v>18</v>
      </c>
      <c r="P544" s="27">
        <f t="shared" si="81"/>
        <v>18</v>
      </c>
      <c r="Q544" s="27">
        <f t="shared" si="81"/>
        <v>18</v>
      </c>
      <c r="R544" s="27">
        <f t="shared" si="81"/>
        <v>18</v>
      </c>
      <c r="S544" s="17" t="s">
        <v>595</v>
      </c>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row>
    <row r="545" ht="18.75" customHeight="1" outlineLevel="1">
      <c r="A545" s="17"/>
      <c r="B545" s="17"/>
      <c r="C545" s="17"/>
      <c r="D545" s="17"/>
      <c r="E545" s="17"/>
      <c r="F545" s="17"/>
      <c r="G545" s="63" t="s">
        <v>1079</v>
      </c>
      <c r="H545" s="62">
        <f t="shared" ref="H545:R545" si="82">H489+H426</f>
        <v>0</v>
      </c>
      <c r="I545" s="62">
        <f t="shared" si="82"/>
        <v>0</v>
      </c>
      <c r="J545" s="62">
        <f t="shared" si="82"/>
        <v>0</v>
      </c>
      <c r="K545" s="62">
        <f t="shared" si="82"/>
        <v>0</v>
      </c>
      <c r="L545" s="62">
        <f t="shared" si="82"/>
        <v>0</v>
      </c>
      <c r="M545" s="62">
        <f t="shared" si="82"/>
        <v>0</v>
      </c>
      <c r="N545" s="62">
        <f t="shared" si="82"/>
        <v>0</v>
      </c>
      <c r="O545" s="62">
        <f t="shared" si="82"/>
        <v>0</v>
      </c>
      <c r="P545" s="62">
        <f t="shared" si="82"/>
        <v>0</v>
      </c>
      <c r="Q545" s="62">
        <f t="shared" si="82"/>
        <v>0</v>
      </c>
      <c r="R545" s="62">
        <f t="shared" si="82"/>
        <v>0</v>
      </c>
      <c r="S545" s="17" t="s">
        <v>595</v>
      </c>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row>
    <row r="546" ht="18.75" customHeight="1" outlineLevel="1">
      <c r="A546" s="17"/>
      <c r="B546" s="17"/>
      <c r="C546" s="17"/>
      <c r="D546" s="17"/>
      <c r="E546" s="17"/>
      <c r="F546" s="17"/>
      <c r="G546" s="343" t="s">
        <v>1080</v>
      </c>
      <c r="H546" s="344">
        <f t="shared" ref="H546:R546" si="83">SUM(H544:H545)</f>
        <v>18</v>
      </c>
      <c r="I546" s="344">
        <f t="shared" si="83"/>
        <v>18</v>
      </c>
      <c r="J546" s="344">
        <f t="shared" si="83"/>
        <v>18</v>
      </c>
      <c r="K546" s="344">
        <f t="shared" si="83"/>
        <v>18</v>
      </c>
      <c r="L546" s="344">
        <f t="shared" si="83"/>
        <v>18</v>
      </c>
      <c r="M546" s="344">
        <f t="shared" si="83"/>
        <v>18</v>
      </c>
      <c r="N546" s="344">
        <f t="shared" si="83"/>
        <v>18</v>
      </c>
      <c r="O546" s="344">
        <f t="shared" si="83"/>
        <v>18</v>
      </c>
      <c r="P546" s="344">
        <f t="shared" si="83"/>
        <v>18</v>
      </c>
      <c r="Q546" s="344">
        <f t="shared" si="83"/>
        <v>18</v>
      </c>
      <c r="R546" s="344">
        <f t="shared" si="83"/>
        <v>18</v>
      </c>
      <c r="S546" s="110" t="s">
        <v>595</v>
      </c>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c r="CI546" s="17"/>
      <c r="CJ546" s="17"/>
    </row>
    <row r="547" ht="18.0" customHeight="1" outlineLevel="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row>
    <row r="548" ht="18.75" customHeight="1" outlineLevel="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row>
    <row r="549" ht="18.75" customHeight="1">
      <c r="A549" s="347" t="s">
        <v>1081</v>
      </c>
      <c r="B549" s="348"/>
      <c r="C549" s="348"/>
      <c r="D549" s="348"/>
      <c r="E549" s="348"/>
      <c r="F549" s="348"/>
      <c r="G549" s="348"/>
      <c r="H549" s="348"/>
      <c r="I549" s="348"/>
      <c r="J549" s="348"/>
      <c r="K549" s="348"/>
      <c r="L549" s="348"/>
      <c r="M549" s="348"/>
      <c r="N549" s="348"/>
      <c r="O549" s="348"/>
      <c r="P549" s="348"/>
      <c r="Q549" s="348"/>
      <c r="R549" s="348"/>
      <c r="S549" s="348"/>
      <c r="T549" s="348"/>
      <c r="U549" s="348"/>
      <c r="V549" s="348"/>
      <c r="W549" s="348"/>
      <c r="X549" s="348"/>
      <c r="Y549" s="348"/>
      <c r="Z549" s="348"/>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row>
    <row r="550" ht="18.75" customHeight="1" outlineLevel="1">
      <c r="A550" s="349"/>
      <c r="B550" s="349"/>
      <c r="C550" s="349"/>
      <c r="D550" s="349"/>
      <c r="E550" s="349"/>
      <c r="F550" s="349"/>
      <c r="G550" s="349"/>
      <c r="H550" s="349"/>
      <c r="I550" s="349"/>
      <c r="J550" s="349"/>
      <c r="K550" s="349"/>
      <c r="L550" s="349"/>
      <c r="M550" s="349"/>
      <c r="N550" s="349"/>
      <c r="O550" s="349"/>
      <c r="P550" s="349"/>
      <c r="Q550" s="349"/>
      <c r="R550" s="349"/>
      <c r="S550" s="349"/>
      <c r="T550" s="349"/>
      <c r="U550" s="349"/>
      <c r="V550" s="349"/>
      <c r="W550" s="349"/>
      <c r="X550" s="349"/>
      <c r="Y550" s="349"/>
      <c r="Z550" s="349"/>
      <c r="AA550" s="349"/>
      <c r="AB550" s="349"/>
      <c r="AC550" s="349"/>
      <c r="AD550" s="349"/>
      <c r="AE550" s="349"/>
      <c r="AF550" s="349"/>
      <c r="AG550" s="349"/>
      <c r="AH550" s="349"/>
      <c r="AI550" s="349"/>
      <c r="AJ550" s="349"/>
      <c r="AK550" s="349"/>
      <c r="AL550" s="349"/>
      <c r="AM550" s="349"/>
      <c r="AN550" s="349"/>
      <c r="AO550" s="349"/>
      <c r="AP550" s="349"/>
      <c r="AQ550" s="349"/>
      <c r="AR550" s="349"/>
      <c r="AS550" s="349"/>
      <c r="AT550" s="349"/>
      <c r="AU550" s="349"/>
      <c r="AV550" s="349"/>
      <c r="AW550" s="349"/>
      <c r="AX550" s="349"/>
      <c r="AY550" s="349"/>
      <c r="AZ550" s="349"/>
      <c r="BA550" s="349"/>
      <c r="BB550" s="349"/>
      <c r="BC550" s="349"/>
      <c r="BD550" s="349"/>
      <c r="BE550" s="349"/>
      <c r="BF550" s="349"/>
      <c r="BG550" s="349"/>
      <c r="BH550" s="349"/>
      <c r="BI550" s="349"/>
      <c r="BJ550" s="349"/>
      <c r="BK550" s="349"/>
      <c r="BL550" s="349"/>
      <c r="BM550" s="349"/>
      <c r="BN550" s="349"/>
      <c r="BO550" s="349"/>
      <c r="BP550" s="349"/>
      <c r="BQ550" s="349"/>
      <c r="BR550" s="349"/>
      <c r="BS550" s="349"/>
      <c r="BT550" s="349"/>
      <c r="BU550" s="349"/>
      <c r="BV550" s="349"/>
      <c r="BW550" s="349"/>
      <c r="BX550" s="349"/>
      <c r="BY550" s="349"/>
      <c r="BZ550" s="349"/>
      <c r="CA550" s="349"/>
      <c r="CB550" s="349"/>
      <c r="CC550" s="349"/>
      <c r="CD550" s="349"/>
      <c r="CE550" s="349"/>
      <c r="CF550" s="349"/>
      <c r="CG550" s="349"/>
      <c r="CH550" s="349"/>
      <c r="CI550" s="349"/>
      <c r="CJ550" s="349"/>
    </row>
    <row r="551" ht="18.75" customHeight="1" outlineLevel="1">
      <c r="A551" s="349"/>
      <c r="B551" s="349"/>
      <c r="C551" s="349"/>
      <c r="D551" s="349"/>
      <c r="E551" s="349"/>
      <c r="F551" s="349"/>
      <c r="G551" s="350" t="s">
        <v>1082</v>
      </c>
      <c r="H551" s="351">
        <f>FE_Gaz_2020</f>
        <v>0.243</v>
      </c>
      <c r="I551" s="351">
        <f>H551+(FE_Gaz_2020-FE_Gaz)*(H2-I2)/Nb_années</f>
        <v>0.2427</v>
      </c>
      <c r="J551" s="351">
        <f>I551+(FE_Gaz_2020-FE_Gaz)*(I2-J2)/Nb_années</f>
        <v>0.2424</v>
      </c>
      <c r="K551" s="351">
        <f>J551+(FE_Gaz_2020-FE_Gaz)*(J2-K2)/Nb_années</f>
        <v>0.2421</v>
      </c>
      <c r="L551" s="351">
        <f>K551+(FE_Gaz_2020-FE_Gaz)*(K2-L2)/Nb_années</f>
        <v>0.2418</v>
      </c>
      <c r="M551" s="351">
        <f>L551+(FE_Gaz_2020-FE_Gaz)*(L2-M2)/Nb_années</f>
        <v>0.2415</v>
      </c>
      <c r="N551" s="351">
        <f>M551+(FE_Gaz_2020-FE_Gaz)*(M2-N2)/Nb_années</f>
        <v>0.2412</v>
      </c>
      <c r="O551" s="351">
        <f>N551+(FE_Gaz_2020-FE_Gaz)*(N2-O2)/Nb_années</f>
        <v>0.2409</v>
      </c>
      <c r="P551" s="351">
        <f>O551+(FE_Gaz_2020-FE_Gaz)*(O2-P2)/Nb_années</f>
        <v>0.2406</v>
      </c>
      <c r="Q551" s="351">
        <f>P551+(FE_Gaz_2020-FE_Gaz)*(P2-Q2)/Nb_années</f>
        <v>0.2403</v>
      </c>
      <c r="R551" s="351" t="str">
        <f>FE_Gaz</f>
        <v>0,24</v>
      </c>
      <c r="S551" s="349"/>
      <c r="T551" s="349"/>
      <c r="U551" s="349"/>
      <c r="V551" s="349"/>
      <c r="W551" s="349"/>
      <c r="X551" s="349"/>
      <c r="Y551" s="349"/>
      <c r="Z551" s="349"/>
      <c r="AA551" s="349"/>
      <c r="AB551" s="349"/>
      <c r="AC551" s="349"/>
      <c r="AD551" s="349"/>
      <c r="AE551" s="349"/>
      <c r="AF551" s="349"/>
      <c r="AG551" s="349"/>
      <c r="AH551" s="349"/>
      <c r="AI551" s="349"/>
      <c r="AJ551" s="349"/>
      <c r="AK551" s="349"/>
      <c r="AL551" s="349"/>
      <c r="AM551" s="349"/>
      <c r="AN551" s="349"/>
      <c r="AO551" s="349"/>
      <c r="AP551" s="349"/>
      <c r="AQ551" s="349"/>
      <c r="AR551" s="349"/>
      <c r="AS551" s="349"/>
      <c r="AT551" s="349"/>
      <c r="AU551" s="349"/>
      <c r="AV551" s="349"/>
      <c r="AW551" s="349"/>
      <c r="AX551" s="349"/>
      <c r="AY551" s="349"/>
      <c r="AZ551" s="349"/>
      <c r="BA551" s="349"/>
      <c r="BB551" s="349"/>
      <c r="BC551" s="349"/>
      <c r="BD551" s="349"/>
      <c r="BE551" s="349"/>
      <c r="BF551" s="349"/>
      <c r="BG551" s="349"/>
      <c r="BH551" s="349"/>
      <c r="BI551" s="349"/>
      <c r="BJ551" s="349"/>
      <c r="BK551" s="349"/>
      <c r="BL551" s="349"/>
      <c r="BM551" s="349"/>
      <c r="BN551" s="349"/>
      <c r="BO551" s="349"/>
      <c r="BP551" s="349"/>
      <c r="BQ551" s="349"/>
      <c r="BR551" s="349"/>
      <c r="BS551" s="349"/>
      <c r="BT551" s="349"/>
      <c r="BU551" s="349"/>
      <c r="BV551" s="349"/>
      <c r="BW551" s="349"/>
      <c r="BX551" s="349"/>
      <c r="BY551" s="349"/>
      <c r="BZ551" s="349"/>
      <c r="CA551" s="349"/>
      <c r="CB551" s="349"/>
      <c r="CC551" s="349"/>
      <c r="CD551" s="349"/>
      <c r="CE551" s="349"/>
      <c r="CF551" s="349"/>
      <c r="CG551" s="349"/>
      <c r="CH551" s="349"/>
      <c r="CI551" s="349"/>
      <c r="CJ551" s="349"/>
    </row>
    <row r="552" ht="18.75" customHeight="1" outlineLevel="1">
      <c r="A552" s="349"/>
      <c r="B552" s="349"/>
      <c r="C552" s="349"/>
      <c r="D552" s="349"/>
      <c r="E552" s="349"/>
      <c r="F552" s="349"/>
      <c r="G552" s="350" t="s">
        <v>1083</v>
      </c>
      <c r="H552" s="351">
        <f>FE_Electricité_2020</f>
        <v>0.082</v>
      </c>
      <c r="I552" s="351">
        <f>H552+(FE_Electricité_2020-FE_Electricité)*(H3-I3)/Nb_années</f>
        <v>0.082</v>
      </c>
      <c r="J552" s="351">
        <f>I552+(FE_Electricité_2020-FE_Electricité)*(I3-J3)/Nb_années</f>
        <v>0.082</v>
      </c>
      <c r="K552" s="351">
        <f>J552+(FE_Electricité_2020-FE_Electricité)*(J3-K3)/Nb_années</f>
        <v>0.082</v>
      </c>
      <c r="L552" s="351">
        <f>K552+(FE_Electricité_2020-FE_Electricité)*(K3-L3)/Nb_années</f>
        <v>0.082</v>
      </c>
      <c r="M552" s="351">
        <f>L552+(FE_Electricité_2020-FE_Electricité)*(L3-M3)/Nb_années</f>
        <v>0.082</v>
      </c>
      <c r="N552" s="351">
        <f>M552+(FE_Electricité_2020-FE_Electricité)*(M3-N3)/Nb_années</f>
        <v>0.082</v>
      </c>
      <c r="O552" s="351">
        <f>N552+(FE_Electricité_2020-FE_Electricité)*(N3-O3)/Nb_années</f>
        <v>0.082</v>
      </c>
      <c r="P552" s="351">
        <f>O552+(FE_Electricité_2020-FE_Electricité)*(O3-P3)/Nb_années</f>
        <v>0.082</v>
      </c>
      <c r="Q552" s="351">
        <f>P552+(FE_Electricité_2020-FE_Electricité)*(P3-Q3)/Nb_années</f>
        <v>0.082</v>
      </c>
      <c r="R552" s="351" t="str">
        <f>FE_Electricité</f>
        <v>0,08</v>
      </c>
      <c r="S552" s="349"/>
      <c r="T552" s="349"/>
      <c r="U552" s="349"/>
      <c r="V552" s="349"/>
      <c r="W552" s="349"/>
      <c r="X552" s="349"/>
      <c r="Y552" s="349"/>
      <c r="Z552" s="349"/>
      <c r="AA552" s="349"/>
      <c r="AB552" s="349"/>
      <c r="AC552" s="349"/>
      <c r="AD552" s="349"/>
      <c r="AE552" s="349"/>
      <c r="AF552" s="349"/>
      <c r="AG552" s="349"/>
      <c r="AH552" s="349"/>
      <c r="AI552" s="349"/>
      <c r="AJ552" s="349"/>
      <c r="AK552" s="349"/>
      <c r="AL552" s="349"/>
      <c r="AM552" s="349"/>
      <c r="AN552" s="349"/>
      <c r="AO552" s="349"/>
      <c r="AP552" s="349"/>
      <c r="AQ552" s="349"/>
      <c r="AR552" s="349"/>
      <c r="AS552" s="349"/>
      <c r="AT552" s="349"/>
      <c r="AU552" s="349"/>
      <c r="AV552" s="349"/>
      <c r="AW552" s="349"/>
      <c r="AX552" s="349"/>
      <c r="AY552" s="349"/>
      <c r="AZ552" s="349"/>
      <c r="BA552" s="349"/>
      <c r="BB552" s="349"/>
      <c r="BC552" s="349"/>
      <c r="BD552" s="349"/>
      <c r="BE552" s="349"/>
      <c r="BF552" s="349"/>
      <c r="BG552" s="349"/>
      <c r="BH552" s="349"/>
      <c r="BI552" s="349"/>
      <c r="BJ552" s="349"/>
      <c r="BK552" s="349"/>
      <c r="BL552" s="349"/>
      <c r="BM552" s="349"/>
      <c r="BN552" s="349"/>
      <c r="BO552" s="349"/>
      <c r="BP552" s="349"/>
      <c r="BQ552" s="349"/>
      <c r="BR552" s="349"/>
      <c r="BS552" s="349"/>
      <c r="BT552" s="349"/>
      <c r="BU552" s="349"/>
      <c r="BV552" s="349"/>
      <c r="BW552" s="349"/>
      <c r="BX552" s="349"/>
      <c r="BY552" s="349"/>
      <c r="BZ552" s="349"/>
      <c r="CA552" s="349"/>
      <c r="CB552" s="349"/>
      <c r="CC552" s="349"/>
      <c r="CD552" s="349"/>
      <c r="CE552" s="349"/>
      <c r="CF552" s="349"/>
      <c r="CG552" s="349"/>
      <c r="CH552" s="349"/>
      <c r="CI552" s="349"/>
      <c r="CJ552" s="349"/>
    </row>
    <row r="553" ht="18.75" customHeight="1" outlineLevel="1">
      <c r="A553" s="210"/>
      <c r="B553" s="210"/>
      <c r="C553" s="210"/>
      <c r="D553" s="210"/>
      <c r="E553" s="210"/>
      <c r="F553" s="210"/>
      <c r="G553" s="333" t="s">
        <v>1084</v>
      </c>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D553" s="210"/>
      <c r="AE553" s="210"/>
      <c r="AF553" s="210"/>
      <c r="AG553" s="210"/>
      <c r="AH553" s="210"/>
      <c r="AI553" s="210"/>
      <c r="AJ553" s="210"/>
      <c r="AK553" s="210"/>
      <c r="AL553" s="210"/>
      <c r="AM553" s="210"/>
      <c r="AN553" s="210"/>
      <c r="AO553" s="210"/>
      <c r="AP553" s="210"/>
      <c r="AQ553" s="210"/>
      <c r="AR553" s="210"/>
      <c r="AS553" s="210"/>
      <c r="AT553" s="210"/>
      <c r="AU553" s="210"/>
      <c r="AV553" s="210"/>
      <c r="AW553" s="210"/>
      <c r="AX553" s="210"/>
      <c r="AY553" s="210"/>
      <c r="AZ553" s="210"/>
      <c r="BA553" s="210"/>
      <c r="BB553" s="210"/>
      <c r="BC553" s="210"/>
      <c r="BD553" s="210"/>
      <c r="BE553" s="210"/>
      <c r="BF553" s="210"/>
      <c r="BG553" s="210"/>
      <c r="BH553" s="210"/>
      <c r="BI553" s="210"/>
      <c r="BJ553" s="210"/>
      <c r="BK553" s="210"/>
      <c r="BL553" s="210"/>
      <c r="BM553" s="210"/>
      <c r="BN553" s="210"/>
      <c r="BO553" s="210"/>
      <c r="BP553" s="210"/>
      <c r="BQ553" s="210"/>
      <c r="BR553" s="210"/>
      <c r="BS553" s="210"/>
      <c r="BT553" s="210"/>
      <c r="BU553" s="210"/>
      <c r="BV553" s="210"/>
      <c r="BW553" s="210"/>
      <c r="BX553" s="210"/>
      <c r="BY553" s="210"/>
      <c r="BZ553" s="210"/>
      <c r="CA553" s="210"/>
      <c r="CB553" s="210"/>
      <c r="CC553" s="210"/>
      <c r="CD553" s="210"/>
      <c r="CE553" s="210"/>
      <c r="CF553" s="210"/>
      <c r="CG553" s="210"/>
      <c r="CH553" s="210"/>
      <c r="CI553" s="210"/>
      <c r="CJ553" s="210"/>
    </row>
    <row r="554" ht="18.75" customHeight="1" outlineLevel="1">
      <c r="A554" s="349"/>
      <c r="B554" s="349"/>
      <c r="C554" s="349"/>
      <c r="D554" s="349"/>
      <c r="E554" s="349"/>
      <c r="F554" s="349"/>
      <c r="G554" s="349"/>
      <c r="H554" s="349"/>
      <c r="I554" s="349"/>
      <c r="J554" s="349"/>
      <c r="K554" s="349"/>
      <c r="L554" s="349"/>
      <c r="M554" s="349"/>
      <c r="N554" s="349"/>
      <c r="O554" s="349"/>
      <c r="P554" s="349"/>
      <c r="Q554" s="349"/>
      <c r="R554" s="349"/>
      <c r="S554" s="349"/>
      <c r="T554" s="349"/>
      <c r="U554" s="349"/>
      <c r="V554" s="349"/>
      <c r="W554" s="349"/>
      <c r="X554" s="349"/>
      <c r="Y554" s="349"/>
      <c r="Z554" s="349"/>
      <c r="AA554" s="349"/>
      <c r="AB554" s="349"/>
      <c r="AC554" s="349"/>
      <c r="AD554" s="349"/>
      <c r="AE554" s="349"/>
      <c r="AF554" s="349"/>
      <c r="AG554" s="349"/>
      <c r="AH554" s="349"/>
      <c r="AI554" s="349"/>
      <c r="AJ554" s="349"/>
      <c r="AK554" s="349"/>
      <c r="AL554" s="349"/>
      <c r="AM554" s="349"/>
      <c r="AN554" s="349"/>
      <c r="AO554" s="349"/>
      <c r="AP554" s="349"/>
      <c r="AQ554" s="349"/>
      <c r="AR554" s="349"/>
      <c r="AS554" s="349"/>
      <c r="AT554" s="349"/>
      <c r="AU554" s="349"/>
      <c r="AV554" s="349"/>
      <c r="AW554" s="349"/>
      <c r="AX554" s="349"/>
      <c r="AY554" s="349"/>
      <c r="AZ554" s="349"/>
      <c r="BA554" s="349"/>
      <c r="BB554" s="349"/>
      <c r="BC554" s="349"/>
      <c r="BD554" s="349"/>
      <c r="BE554" s="349"/>
      <c r="BF554" s="349"/>
      <c r="BG554" s="349"/>
      <c r="BH554" s="349"/>
      <c r="BI554" s="349"/>
      <c r="BJ554" s="349"/>
      <c r="BK554" s="349"/>
      <c r="BL554" s="349"/>
      <c r="BM554" s="349"/>
      <c r="BN554" s="349"/>
      <c r="BO554" s="349"/>
      <c r="BP554" s="349"/>
      <c r="BQ554" s="349"/>
      <c r="BR554" s="349"/>
      <c r="BS554" s="349"/>
      <c r="BT554" s="349"/>
      <c r="BU554" s="349"/>
      <c r="BV554" s="349"/>
      <c r="BW554" s="349"/>
      <c r="BX554" s="349"/>
      <c r="BY554" s="349"/>
      <c r="BZ554" s="349"/>
      <c r="CA554" s="349"/>
      <c r="CB554" s="349"/>
      <c r="CC554" s="349"/>
      <c r="CD554" s="349"/>
      <c r="CE554" s="349"/>
      <c r="CF554" s="349"/>
      <c r="CG554" s="349"/>
      <c r="CH554" s="349"/>
      <c r="CI554" s="349"/>
      <c r="CJ554" s="349"/>
    </row>
    <row r="555" ht="18.75" customHeight="1" outlineLevel="1">
      <c r="A555" s="17"/>
      <c r="B555" s="17"/>
      <c r="C555" s="17"/>
      <c r="D555" s="17"/>
      <c r="E555" s="17"/>
      <c r="F555" s="17"/>
      <c r="G555" s="352" t="s">
        <v>1085</v>
      </c>
      <c r="H555" s="182"/>
      <c r="I555" s="182"/>
      <c r="J555" s="182"/>
      <c r="K555" s="182"/>
      <c r="L555" s="182"/>
      <c r="M555" s="182"/>
      <c r="N555" s="182"/>
      <c r="O555" s="182"/>
      <c r="P555" s="182"/>
      <c r="Q555" s="182"/>
      <c r="R555" s="183"/>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row>
    <row r="556" ht="18.75" customHeight="1" outlineLevel="1">
      <c r="A556" s="17"/>
      <c r="B556" s="17"/>
      <c r="C556" s="17"/>
      <c r="D556" s="17"/>
      <c r="E556" s="17"/>
      <c r="F556" s="17"/>
      <c r="G556" s="14" t="s">
        <v>1086</v>
      </c>
      <c r="H556" s="27">
        <f>Calculs!H357</f>
        <v>1.556975246</v>
      </c>
      <c r="I556" s="27">
        <f>Calculs!I357</f>
        <v>1.681600262</v>
      </c>
      <c r="J556" s="27">
        <f>Calculs!J357</f>
        <v>1.688315918</v>
      </c>
      <c r="K556" s="27">
        <f>Calculs!K357</f>
        <v>1.695031574</v>
      </c>
      <c r="L556" s="27">
        <f>Calculs!L357</f>
        <v>1.70174723</v>
      </c>
      <c r="M556" s="27">
        <f>Calculs!M357</f>
        <v>1.708462886</v>
      </c>
      <c r="N556" s="27">
        <f>Calculs!N357</f>
        <v>1.715178542</v>
      </c>
      <c r="O556" s="27">
        <f>Calculs!O357</f>
        <v>1.721894198</v>
      </c>
      <c r="P556" s="27">
        <f>Calculs!P357</f>
        <v>1.728609854</v>
      </c>
      <c r="Q556" s="27">
        <f>Calculs!Q357</f>
        <v>1.73532551</v>
      </c>
      <c r="R556" s="27">
        <f>Calculs!R357</f>
        <v>1.742041166</v>
      </c>
      <c r="S556" s="17" t="s">
        <v>595</v>
      </c>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c r="CI556" s="17"/>
      <c r="CJ556" s="17"/>
    </row>
    <row r="557" ht="18.75" customHeight="1" outlineLevel="1">
      <c r="A557" s="17"/>
      <c r="B557" s="17"/>
      <c r="C557" s="17"/>
      <c r="D557" s="17"/>
      <c r="E557" s="17"/>
      <c r="F557" s="17"/>
      <c r="G557" s="14" t="s">
        <v>1087</v>
      </c>
      <c r="H557" s="27">
        <f t="shared" ref="H557:R557" si="84">H556/2</f>
        <v>0.7784876232</v>
      </c>
      <c r="I557" s="27">
        <f t="shared" si="84"/>
        <v>0.8408001312</v>
      </c>
      <c r="J557" s="27">
        <f t="shared" si="84"/>
        <v>0.8441579592</v>
      </c>
      <c r="K557" s="27">
        <f t="shared" si="84"/>
        <v>0.8475157872</v>
      </c>
      <c r="L557" s="27">
        <f t="shared" si="84"/>
        <v>0.8508736152</v>
      </c>
      <c r="M557" s="27">
        <f t="shared" si="84"/>
        <v>0.8542314432</v>
      </c>
      <c r="N557" s="27">
        <f t="shared" si="84"/>
        <v>0.8575892712</v>
      </c>
      <c r="O557" s="27">
        <f t="shared" si="84"/>
        <v>0.8609470992</v>
      </c>
      <c r="P557" s="27">
        <f t="shared" si="84"/>
        <v>0.8643049272</v>
      </c>
      <c r="Q557" s="27">
        <f t="shared" si="84"/>
        <v>0.8676627552</v>
      </c>
      <c r="R557" s="27">
        <f t="shared" si="84"/>
        <v>0.8710205832</v>
      </c>
      <c r="S557" s="17" t="s">
        <v>595</v>
      </c>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G557" s="17"/>
      <c r="CH557" s="17"/>
      <c r="CI557" s="17"/>
      <c r="CJ557" s="17"/>
    </row>
    <row r="558" ht="18.75" customHeight="1" outlineLevel="1">
      <c r="A558" s="17"/>
      <c r="B558" s="17"/>
      <c r="C558" s="17"/>
      <c r="D558" s="17"/>
      <c r="E558" s="17"/>
      <c r="F558" s="17"/>
      <c r="G558" s="14" t="s">
        <v>1088</v>
      </c>
      <c r="H558" s="27">
        <f>Calculs!H540-Calculs!H541</f>
        <v>38.24966273</v>
      </c>
      <c r="I558" s="27">
        <f>Calculs!I540-Calculs!I541</f>
        <v>38.24966273</v>
      </c>
      <c r="J558" s="27">
        <f>Calculs!J540-Calculs!J541</f>
        <v>38.24966273</v>
      </c>
      <c r="K558" s="27">
        <f>Calculs!K540-Calculs!K541</f>
        <v>38.24966273</v>
      </c>
      <c r="L558" s="27">
        <f>Calculs!L540-Calculs!L541</f>
        <v>38.24966273</v>
      </c>
      <c r="M558" s="27">
        <f>Calculs!M540-Calculs!M541</f>
        <v>38.24966273</v>
      </c>
      <c r="N558" s="27">
        <f>Calculs!N540-Calculs!N541</f>
        <v>38.24966273</v>
      </c>
      <c r="O558" s="27">
        <f>Calculs!O540-Calculs!O541</f>
        <v>38.24966273</v>
      </c>
      <c r="P558" s="27">
        <f>Calculs!P540-Calculs!P541</f>
        <v>38.24966273</v>
      </c>
      <c r="Q558" s="27">
        <f>Calculs!Q540-Calculs!Q541</f>
        <v>38.24966273</v>
      </c>
      <c r="R558" s="27">
        <f>Calculs!R540-Calculs!R541</f>
        <v>38.24966273</v>
      </c>
      <c r="S558" s="17" t="s">
        <v>595</v>
      </c>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G558" s="17"/>
      <c r="CH558" s="17"/>
      <c r="CI558" s="17"/>
      <c r="CJ558" s="17"/>
    </row>
    <row r="559" ht="18.75" customHeight="1" outlineLevel="1">
      <c r="A559" s="17"/>
      <c r="B559" s="17"/>
      <c r="C559" s="17"/>
      <c r="D559" s="17"/>
      <c r="E559" s="17"/>
      <c r="F559" s="17"/>
      <c r="G559" s="14" t="s">
        <v>1089</v>
      </c>
      <c r="H559" s="14"/>
      <c r="I559" s="14"/>
      <c r="J559" s="14"/>
      <c r="K559" s="14"/>
      <c r="L559" s="14"/>
      <c r="M559" s="14"/>
      <c r="N559" s="14"/>
      <c r="O559" s="14"/>
      <c r="P559" s="14"/>
      <c r="Q559" s="14"/>
      <c r="R559" s="14"/>
      <c r="S559" s="17" t="s">
        <v>595</v>
      </c>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row>
    <row r="560" ht="18.75" customHeight="1" outlineLevel="1">
      <c r="A560" s="17"/>
      <c r="B560" s="17"/>
      <c r="C560" s="17"/>
      <c r="D560" s="17"/>
      <c r="E560" s="17"/>
      <c r="F560" s="17"/>
      <c r="G560" s="20" t="s">
        <v>52</v>
      </c>
      <c r="H560" s="320">
        <f t="shared" ref="H560:R560" si="85">SUM(H556:H559)</f>
        <v>40.5851256</v>
      </c>
      <c r="I560" s="320">
        <f t="shared" si="85"/>
        <v>40.77206313</v>
      </c>
      <c r="J560" s="320">
        <f t="shared" si="85"/>
        <v>40.78213661</v>
      </c>
      <c r="K560" s="320">
        <f t="shared" si="85"/>
        <v>40.79221009</v>
      </c>
      <c r="L560" s="320">
        <f t="shared" si="85"/>
        <v>40.80228358</v>
      </c>
      <c r="M560" s="320">
        <f t="shared" si="85"/>
        <v>40.81235706</v>
      </c>
      <c r="N560" s="320">
        <f t="shared" si="85"/>
        <v>40.82243055</v>
      </c>
      <c r="O560" s="320">
        <f t="shared" si="85"/>
        <v>40.83250403</v>
      </c>
      <c r="P560" s="320">
        <f t="shared" si="85"/>
        <v>40.84257751</v>
      </c>
      <c r="Q560" s="320">
        <f t="shared" si="85"/>
        <v>40.852651</v>
      </c>
      <c r="R560" s="320">
        <f t="shared" si="85"/>
        <v>40.86272448</v>
      </c>
      <c r="S560" s="110" t="s">
        <v>595</v>
      </c>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row>
    <row r="561" ht="18.75" customHeight="1" outlineLevel="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row>
    <row r="562" ht="18.75" customHeight="1" outlineLevel="1">
      <c r="A562" s="17"/>
      <c r="B562" s="17"/>
      <c r="C562" s="17"/>
      <c r="D562" s="17"/>
      <c r="E562" s="17"/>
      <c r="F562" s="17"/>
      <c r="G562" s="352" t="s">
        <v>1090</v>
      </c>
      <c r="H562" s="182"/>
      <c r="I562" s="182"/>
      <c r="J562" s="182"/>
      <c r="K562" s="182"/>
      <c r="L562" s="182"/>
      <c r="M562" s="182"/>
      <c r="N562" s="182"/>
      <c r="O562" s="182"/>
      <c r="P562" s="182"/>
      <c r="Q562" s="182"/>
      <c r="R562" s="183"/>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row>
    <row r="563" ht="18.75" customHeight="1" outlineLevel="1">
      <c r="A563" s="17"/>
      <c r="B563" s="17"/>
      <c r="C563" s="17"/>
      <c r="D563" s="17"/>
      <c r="E563" s="17"/>
      <c r="F563" s="17"/>
      <c r="G563" s="14" t="s">
        <v>1086</v>
      </c>
      <c r="H563" s="27">
        <f>Calculs!H356</f>
        <v>13.24946896</v>
      </c>
      <c r="I563" s="27">
        <f>Calculs!I356</f>
        <v>13.7165344</v>
      </c>
      <c r="J563" s="27">
        <f>Calculs!J356</f>
        <v>13.7453704</v>
      </c>
      <c r="K563" s="27">
        <f>Calculs!K356</f>
        <v>13.7742064</v>
      </c>
      <c r="L563" s="27">
        <f>Calculs!L356</f>
        <v>13.8030424</v>
      </c>
      <c r="M563" s="27">
        <f>Calculs!M356</f>
        <v>13.8318784</v>
      </c>
      <c r="N563" s="27">
        <f>Calculs!N356</f>
        <v>13.8607144</v>
      </c>
      <c r="O563" s="27">
        <f>Calculs!O356</f>
        <v>13.8895504</v>
      </c>
      <c r="P563" s="27">
        <f>Calculs!P356</f>
        <v>13.9183864</v>
      </c>
      <c r="Q563" s="27">
        <f>Calculs!Q356</f>
        <v>13.9472224</v>
      </c>
      <c r="R563" s="27">
        <f>Calculs!R356</f>
        <v>13.9760584</v>
      </c>
      <c r="S563" s="17" t="s">
        <v>595</v>
      </c>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row>
    <row r="564" ht="18.75" customHeight="1" outlineLevel="1">
      <c r="A564" s="17"/>
      <c r="B564" s="17"/>
      <c r="C564" s="17"/>
      <c r="D564" s="17"/>
      <c r="E564" s="17"/>
      <c r="F564" s="17"/>
      <c r="G564" s="14" t="s">
        <v>1087</v>
      </c>
      <c r="H564" s="27">
        <f t="shared" ref="H564:R564" si="86">H563</f>
        <v>13.24946896</v>
      </c>
      <c r="I564" s="27">
        <f t="shared" si="86"/>
        <v>13.7165344</v>
      </c>
      <c r="J564" s="27">
        <f t="shared" si="86"/>
        <v>13.7453704</v>
      </c>
      <c r="K564" s="27">
        <f t="shared" si="86"/>
        <v>13.7742064</v>
      </c>
      <c r="L564" s="27">
        <f t="shared" si="86"/>
        <v>13.8030424</v>
      </c>
      <c r="M564" s="27">
        <f t="shared" si="86"/>
        <v>13.8318784</v>
      </c>
      <c r="N564" s="27">
        <f t="shared" si="86"/>
        <v>13.8607144</v>
      </c>
      <c r="O564" s="27">
        <f t="shared" si="86"/>
        <v>13.8895504</v>
      </c>
      <c r="P564" s="27">
        <f t="shared" si="86"/>
        <v>13.9183864</v>
      </c>
      <c r="Q564" s="27">
        <f t="shared" si="86"/>
        <v>13.9472224</v>
      </c>
      <c r="R564" s="27">
        <f t="shared" si="86"/>
        <v>13.9760584</v>
      </c>
      <c r="S564" s="17" t="s">
        <v>595</v>
      </c>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row>
    <row r="565" ht="18.75" customHeight="1" outlineLevel="1">
      <c r="A565" s="17"/>
      <c r="B565" s="17"/>
      <c r="C565" s="17"/>
      <c r="D565" s="17"/>
      <c r="E565" s="17"/>
      <c r="F565" s="17"/>
      <c r="G565" s="14" t="s">
        <v>1088</v>
      </c>
      <c r="H565" s="27">
        <f>Calculs!H541</f>
        <v>0.55</v>
      </c>
      <c r="I565" s="27">
        <f>Calculs!I541</f>
        <v>0.55</v>
      </c>
      <c r="J565" s="27">
        <f>Calculs!J541</f>
        <v>0.55</v>
      </c>
      <c r="K565" s="27">
        <f>Calculs!K541</f>
        <v>0.55</v>
      </c>
      <c r="L565" s="27">
        <f>Calculs!L541</f>
        <v>0.55</v>
      </c>
      <c r="M565" s="27">
        <f>Calculs!M541</f>
        <v>0.55</v>
      </c>
      <c r="N565" s="27">
        <f>Calculs!N541</f>
        <v>0.55</v>
      </c>
      <c r="O565" s="27">
        <f>Calculs!O541</f>
        <v>0.55</v>
      </c>
      <c r="P565" s="27">
        <f>Calculs!P541</f>
        <v>0.55</v>
      </c>
      <c r="Q565" s="27">
        <f>Calculs!Q541</f>
        <v>0.55</v>
      </c>
      <c r="R565" s="27">
        <f>Calculs!R541</f>
        <v>0.55</v>
      </c>
      <c r="S565" s="17" t="s">
        <v>595</v>
      </c>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row>
    <row r="566" ht="18.75" customHeight="1" outlineLevel="1">
      <c r="A566" s="17"/>
      <c r="B566" s="17"/>
      <c r="C566" s="17"/>
      <c r="D566" s="17"/>
      <c r="E566" s="17"/>
      <c r="F566" s="17"/>
      <c r="G566" s="14" t="s">
        <v>1089</v>
      </c>
      <c r="H566" s="27">
        <f t="shared" ref="H566:R566" si="87">H563</f>
        <v>13.24946896</v>
      </c>
      <c r="I566" s="27">
        <f t="shared" si="87"/>
        <v>13.7165344</v>
      </c>
      <c r="J566" s="27">
        <f t="shared" si="87"/>
        <v>13.7453704</v>
      </c>
      <c r="K566" s="27">
        <f t="shared" si="87"/>
        <v>13.7742064</v>
      </c>
      <c r="L566" s="27">
        <f t="shared" si="87"/>
        <v>13.8030424</v>
      </c>
      <c r="M566" s="27">
        <f t="shared" si="87"/>
        <v>13.8318784</v>
      </c>
      <c r="N566" s="27">
        <f t="shared" si="87"/>
        <v>13.8607144</v>
      </c>
      <c r="O566" s="27">
        <f t="shared" si="87"/>
        <v>13.8895504</v>
      </c>
      <c r="P566" s="27">
        <f t="shared" si="87"/>
        <v>13.9183864</v>
      </c>
      <c r="Q566" s="27">
        <f t="shared" si="87"/>
        <v>13.9472224</v>
      </c>
      <c r="R566" s="27">
        <f t="shared" si="87"/>
        <v>13.9760584</v>
      </c>
      <c r="S566" s="17" t="s">
        <v>595</v>
      </c>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row>
    <row r="567" ht="18.75" customHeight="1" outlineLevel="1">
      <c r="A567" s="17"/>
      <c r="B567" s="17"/>
      <c r="C567" s="17"/>
      <c r="D567" s="17"/>
      <c r="E567" s="17"/>
      <c r="F567" s="17"/>
      <c r="G567" s="20" t="s">
        <v>52</v>
      </c>
      <c r="H567" s="320">
        <f t="shared" ref="H567:R567" si="88">SUM(H563:H566)</f>
        <v>40.29840688</v>
      </c>
      <c r="I567" s="320">
        <f t="shared" si="88"/>
        <v>41.6996032</v>
      </c>
      <c r="J567" s="320">
        <f t="shared" si="88"/>
        <v>41.7861112</v>
      </c>
      <c r="K567" s="320">
        <f t="shared" si="88"/>
        <v>41.8726192</v>
      </c>
      <c r="L567" s="320">
        <f t="shared" si="88"/>
        <v>41.9591272</v>
      </c>
      <c r="M567" s="320">
        <f t="shared" si="88"/>
        <v>42.0456352</v>
      </c>
      <c r="N567" s="320">
        <f t="shared" si="88"/>
        <v>42.1321432</v>
      </c>
      <c r="O567" s="320">
        <f t="shared" si="88"/>
        <v>42.2186512</v>
      </c>
      <c r="P567" s="320">
        <f t="shared" si="88"/>
        <v>42.3051592</v>
      </c>
      <c r="Q567" s="320">
        <f t="shared" si="88"/>
        <v>42.3916672</v>
      </c>
      <c r="R567" s="320">
        <f t="shared" si="88"/>
        <v>42.4781752</v>
      </c>
      <c r="S567" s="110" t="s">
        <v>595</v>
      </c>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row>
    <row r="568" ht="18.75" customHeight="1" outlineLevel="1">
      <c r="A568" s="17"/>
      <c r="B568" s="17"/>
      <c r="C568" s="17"/>
      <c r="D568" s="17"/>
      <c r="E568" s="17"/>
      <c r="F568" s="17"/>
      <c r="G568" s="17"/>
      <c r="H568" s="32"/>
      <c r="I568" s="32"/>
      <c r="J568" s="32"/>
      <c r="K568" s="32"/>
      <c r="L568" s="32"/>
      <c r="M568" s="32"/>
      <c r="N568" s="32"/>
      <c r="O568" s="32"/>
      <c r="P568" s="32"/>
      <c r="Q568" s="32"/>
      <c r="R568" s="32"/>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row>
    <row r="569" ht="18.75" customHeight="1" outlineLevel="1">
      <c r="A569" s="17"/>
      <c r="B569" s="17"/>
      <c r="C569" s="17"/>
      <c r="D569" s="17"/>
      <c r="E569" s="17"/>
      <c r="F569" s="17"/>
      <c r="G569" s="353" t="s">
        <v>1091</v>
      </c>
      <c r="H569" s="354">
        <f t="shared" ref="H569:R569" si="89">H567+H560</f>
        <v>80.88353248</v>
      </c>
      <c r="I569" s="354">
        <f t="shared" si="89"/>
        <v>82.47166633</v>
      </c>
      <c r="J569" s="354">
        <f t="shared" si="89"/>
        <v>82.56824781</v>
      </c>
      <c r="K569" s="354">
        <f t="shared" si="89"/>
        <v>82.66482929</v>
      </c>
      <c r="L569" s="354">
        <f t="shared" si="89"/>
        <v>82.76141078</v>
      </c>
      <c r="M569" s="354">
        <f t="shared" si="89"/>
        <v>82.85799226</v>
      </c>
      <c r="N569" s="354">
        <f t="shared" si="89"/>
        <v>82.95457375</v>
      </c>
      <c r="O569" s="354">
        <f t="shared" si="89"/>
        <v>83.05115523</v>
      </c>
      <c r="P569" s="354">
        <f t="shared" si="89"/>
        <v>83.14773671</v>
      </c>
      <c r="Q569" s="354">
        <f t="shared" si="89"/>
        <v>83.2443182</v>
      </c>
      <c r="R569" s="354">
        <f t="shared" si="89"/>
        <v>83.34089968</v>
      </c>
      <c r="S569" s="110" t="s">
        <v>595</v>
      </c>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row>
    <row r="570" ht="18.75" customHeight="1" outlineLevel="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row>
    <row r="571" ht="18.75" customHeight="1">
      <c r="A571" s="17"/>
      <c r="B571" s="17"/>
      <c r="C571" s="17"/>
      <c r="D571" s="17"/>
      <c r="E571" s="17"/>
      <c r="F571" s="17"/>
      <c r="G571" s="17"/>
      <c r="H571" s="17"/>
      <c r="I571" s="17"/>
      <c r="J571" s="17" t="s">
        <v>1092</v>
      </c>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row>
    <row r="572" ht="18.75" customHeight="1">
      <c r="A572" s="355" t="s">
        <v>1093</v>
      </c>
      <c r="B572" s="356"/>
      <c r="C572" s="356"/>
      <c r="D572" s="356"/>
      <c r="E572" s="356"/>
      <c r="F572" s="356"/>
      <c r="G572" s="356"/>
      <c r="H572" s="356"/>
      <c r="I572" s="356"/>
      <c r="J572" s="356"/>
      <c r="K572" s="356"/>
      <c r="L572" s="356"/>
      <c r="M572" s="356"/>
      <c r="N572" s="356"/>
      <c r="O572" s="356"/>
      <c r="P572" s="356"/>
      <c r="Q572" s="356"/>
      <c r="R572" s="356"/>
      <c r="S572" s="356"/>
      <c r="T572" s="356"/>
      <c r="U572" s="356"/>
      <c r="V572" s="356"/>
      <c r="W572" s="356"/>
      <c r="X572" s="356"/>
      <c r="Y572" s="356"/>
      <c r="Z572" s="356"/>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row>
    <row r="573" ht="18.75" hidden="1" customHeight="1" outlineLevel="1">
      <c r="A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row>
    <row r="574" ht="18.75" hidden="1" customHeight="1" outlineLevel="1">
      <c r="A574" s="17"/>
      <c r="B574" s="15"/>
      <c r="C574" s="14" t="s">
        <v>1094</v>
      </c>
      <c r="D574" s="39" t="str">
        <f>Part_exploitations_agricoles_exemplaires</f>
        <v>0</v>
      </c>
      <c r="E574" s="14"/>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row>
    <row r="575" ht="18.75" hidden="1" customHeight="1" outlineLevel="1">
      <c r="A575" s="17"/>
      <c r="C575" s="34" t="s">
        <v>1095</v>
      </c>
      <c r="D575" s="357" t="str">
        <f>Gain_eff_carbone_exploitations</f>
        <v>0,01</v>
      </c>
      <c r="E575" s="34" t="s">
        <v>1096</v>
      </c>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row>
    <row r="576" ht="18.75" hidden="1" customHeight="1" outlineLevel="1">
      <c r="A576" s="17"/>
      <c r="C576" s="34" t="s">
        <v>1097</v>
      </c>
      <c r="D576" s="358">
        <v>3.1</v>
      </c>
      <c r="E576" s="34" t="s">
        <v>1098</v>
      </c>
      <c r="F576" s="17" t="s">
        <v>1099</v>
      </c>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row>
    <row r="577" ht="18.75" hidden="1" customHeight="1" outlineLevel="1">
      <c r="A577" s="17"/>
      <c r="C577" s="34" t="s">
        <v>1100</v>
      </c>
      <c r="D577" s="358">
        <v>4.6</v>
      </c>
      <c r="E577" s="34" t="s">
        <v>1098</v>
      </c>
      <c r="F577" s="17" t="s">
        <v>1099</v>
      </c>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row>
    <row r="578" ht="18.75" hidden="1" customHeight="1" outlineLevel="1">
      <c r="A578" s="17"/>
      <c r="C578" s="34" t="s">
        <v>1101</v>
      </c>
      <c r="D578" s="358">
        <v>2.4</v>
      </c>
      <c r="E578" s="34" t="s">
        <v>1098</v>
      </c>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row>
    <row r="579" ht="18.75" hidden="1" customHeight="1" outlineLevel="1">
      <c r="A579" s="17"/>
      <c r="C579" s="34" t="s">
        <v>1102</v>
      </c>
      <c r="D579" s="358">
        <v>0.8</v>
      </c>
      <c r="E579" s="34" t="s">
        <v>1098</v>
      </c>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row>
    <row r="580" ht="18.75" hidden="1" customHeight="1" outlineLevel="1">
      <c r="A580" s="17"/>
      <c r="C580" s="34" t="s">
        <v>1103</v>
      </c>
      <c r="D580" s="358">
        <v>28.0</v>
      </c>
      <c r="E580" s="34" t="s">
        <v>1104</v>
      </c>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c r="CI580" s="17"/>
      <c r="CJ580" s="17"/>
    </row>
    <row r="581" ht="18.75" hidden="1" customHeight="1" outlineLevel="1">
      <c r="A581" s="17"/>
      <c r="C581" s="34" t="s">
        <v>1105</v>
      </c>
      <c r="D581" s="358">
        <v>9.5</v>
      </c>
      <c r="E581" s="34" t="s">
        <v>1104</v>
      </c>
      <c r="F581" s="17" t="s">
        <v>1106</v>
      </c>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row>
    <row r="582" ht="18.75" hidden="1" customHeight="1" outlineLevel="1">
      <c r="A582" s="17"/>
      <c r="B582" s="15"/>
      <c r="C582" s="34" t="s">
        <v>1107</v>
      </c>
      <c r="D582" s="358">
        <v>9.5</v>
      </c>
      <c r="E582" s="34" t="s">
        <v>1104</v>
      </c>
      <c r="F582" s="17" t="s">
        <v>1108</v>
      </c>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row>
    <row r="583" ht="18.75" hidden="1" customHeight="1" outlineLevel="1">
      <c r="A583" s="17"/>
      <c r="C583" s="34" t="s">
        <v>1109</v>
      </c>
      <c r="D583" s="358">
        <v>9.0</v>
      </c>
      <c r="E583" s="34" t="s">
        <v>1104</v>
      </c>
      <c r="F583" s="17" t="s">
        <v>1110</v>
      </c>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row>
    <row r="584" ht="18.75" hidden="1" customHeight="1" outlineLevel="1">
      <c r="A584" s="17"/>
      <c r="C584" s="34" t="s">
        <v>1111</v>
      </c>
      <c r="D584" s="358">
        <v>1.3</v>
      </c>
      <c r="E584" s="34" t="s">
        <v>1104</v>
      </c>
      <c r="F584" s="17" t="s">
        <v>1112</v>
      </c>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row>
    <row r="585" ht="18.75" hidden="1" customHeight="1" outlineLevel="1">
      <c r="A585" s="17"/>
      <c r="C585" s="34" t="s">
        <v>1113</v>
      </c>
      <c r="D585" s="358">
        <v>43.0</v>
      </c>
      <c r="E585" s="34" t="s">
        <v>595</v>
      </c>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row>
    <row r="586" ht="18.75" hidden="1" customHeight="1" outlineLevel="1">
      <c r="A586" s="17"/>
      <c r="C586" s="34" t="s">
        <v>1114</v>
      </c>
      <c r="D586" s="358">
        <v>90.0</v>
      </c>
      <c r="E586" s="34" t="s">
        <v>1115</v>
      </c>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row>
    <row r="587" ht="18.75" hidden="1" customHeight="1" outlineLevel="1">
      <c r="A587" s="17"/>
      <c r="C587" s="34" t="s">
        <v>1116</v>
      </c>
      <c r="D587" s="358">
        <v>1.22</v>
      </c>
      <c r="E587" s="34" t="s">
        <v>1117</v>
      </c>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row>
    <row r="588" ht="18.75" hidden="1" customHeight="1" outlineLevel="1">
      <c r="A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row>
    <row r="589" ht="18.75" hidden="1" customHeight="1" outlineLevel="1">
      <c r="A589" s="17"/>
      <c r="B589" s="17"/>
      <c r="C589" s="17"/>
      <c r="D589" s="17"/>
      <c r="E589" s="17"/>
      <c r="F589" s="17"/>
      <c r="G589" s="359" t="s">
        <v>1118</v>
      </c>
      <c r="H589" s="182"/>
      <c r="I589" s="182"/>
      <c r="J589" s="182"/>
      <c r="K589" s="182"/>
      <c r="L589" s="182"/>
      <c r="M589" s="182"/>
      <c r="N589" s="182"/>
      <c r="O589" s="182"/>
      <c r="P589" s="182"/>
      <c r="Q589" s="182"/>
      <c r="R589" s="183"/>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row>
    <row r="590" ht="18.75" hidden="1" customHeight="1" outlineLevel="1">
      <c r="A590" s="17"/>
      <c r="B590" s="17"/>
      <c r="C590" s="17"/>
      <c r="D590" s="17"/>
      <c r="E590" s="17"/>
      <c r="F590" s="17"/>
      <c r="G590" s="360" t="s">
        <v>1119</v>
      </c>
      <c r="H590" s="361">
        <f>D584</f>
        <v>1.3</v>
      </c>
      <c r="I590" s="361">
        <f t="shared" ref="I590:R590" si="90">I593*I596</f>
        <v>1.17</v>
      </c>
      <c r="J590" s="361">
        <f t="shared" si="90"/>
        <v>1.04</v>
      </c>
      <c r="K590" s="361">
        <f t="shared" si="90"/>
        <v>0.91</v>
      </c>
      <c r="L590" s="361">
        <f t="shared" si="90"/>
        <v>0.78</v>
      </c>
      <c r="M590" s="361">
        <f t="shared" si="90"/>
        <v>0.65</v>
      </c>
      <c r="N590" s="361">
        <f t="shared" si="90"/>
        <v>0.52</v>
      </c>
      <c r="O590" s="361">
        <f t="shared" si="90"/>
        <v>0.39</v>
      </c>
      <c r="P590" s="361">
        <f t="shared" si="90"/>
        <v>0.26</v>
      </c>
      <c r="Q590" s="361">
        <f t="shared" si="90"/>
        <v>0.13</v>
      </c>
      <c r="R590" s="362">
        <f t="shared" si="90"/>
        <v>0</v>
      </c>
      <c r="S590" s="117">
        <f t="shared" ref="S590:S591" si="92">SUM(H590:R590)</f>
        <v>7.15</v>
      </c>
      <c r="T590" s="110" t="s">
        <v>76</v>
      </c>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row>
    <row r="591" ht="18.0" hidden="1" customHeight="1" outlineLevel="1">
      <c r="A591" s="17"/>
      <c r="B591" s="17"/>
      <c r="C591" s="17"/>
      <c r="D591" s="17"/>
      <c r="E591" s="17"/>
      <c r="F591" s="17"/>
      <c r="G591" s="14" t="s">
        <v>1120</v>
      </c>
      <c r="H591" s="27">
        <f>(D583+D582)-D584</f>
        <v>17.2</v>
      </c>
      <c r="I591" s="27">
        <f t="shared" ref="I591:R591" si="91">I593-I590</f>
        <v>17.33</v>
      </c>
      <c r="J591" s="27">
        <f t="shared" si="91"/>
        <v>17.46</v>
      </c>
      <c r="K591" s="27">
        <f t="shared" si="91"/>
        <v>17.59</v>
      </c>
      <c r="L591" s="27">
        <f t="shared" si="91"/>
        <v>17.72</v>
      </c>
      <c r="M591" s="27">
        <f t="shared" si="91"/>
        <v>17.85</v>
      </c>
      <c r="N591" s="27">
        <f t="shared" si="91"/>
        <v>17.98</v>
      </c>
      <c r="O591" s="27">
        <f t="shared" si="91"/>
        <v>18.11</v>
      </c>
      <c r="P591" s="27">
        <f t="shared" si="91"/>
        <v>18.24</v>
      </c>
      <c r="Q591" s="27">
        <f t="shared" si="91"/>
        <v>18.37</v>
      </c>
      <c r="R591" s="363">
        <f t="shared" si="91"/>
        <v>18.5</v>
      </c>
      <c r="S591" s="117">
        <f t="shared" si="92"/>
        <v>196.35</v>
      </c>
      <c r="T591" s="110" t="s">
        <v>76</v>
      </c>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c r="CI591" s="17"/>
      <c r="CJ591" s="17"/>
    </row>
    <row r="592" ht="18.0" hidden="1" customHeight="1" outlineLevel="1">
      <c r="A592" s="17"/>
      <c r="B592" s="17"/>
      <c r="C592" s="17"/>
      <c r="D592" s="17"/>
      <c r="E592" s="17"/>
      <c r="F592" s="17"/>
      <c r="G592" s="17"/>
      <c r="H592" s="17"/>
      <c r="I592" s="17"/>
      <c r="J592" s="17"/>
      <c r="K592" s="17"/>
      <c r="L592" s="17"/>
      <c r="M592" s="17"/>
      <c r="N592" s="17"/>
      <c r="O592" s="17"/>
      <c r="P592" s="17"/>
      <c r="Q592" s="17"/>
      <c r="R592" s="15"/>
      <c r="S592" s="15"/>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c r="CI592" s="17"/>
      <c r="CJ592" s="17"/>
    </row>
    <row r="593" ht="18.75" hidden="1" customHeight="1" outlineLevel="1">
      <c r="A593" s="17"/>
      <c r="B593" s="17"/>
      <c r="C593" s="17"/>
      <c r="D593" s="17"/>
      <c r="E593" s="17"/>
      <c r="F593" s="17"/>
      <c r="G593" s="14" t="s">
        <v>1121</v>
      </c>
      <c r="H593" s="27">
        <f t="shared" ref="H593:R593" si="93">SUM($H$590:$H$591)</f>
        <v>18.5</v>
      </c>
      <c r="I593" s="27">
        <f t="shared" si="93"/>
        <v>18.5</v>
      </c>
      <c r="J593" s="27">
        <f t="shared" si="93"/>
        <v>18.5</v>
      </c>
      <c r="K593" s="27">
        <f t="shared" si="93"/>
        <v>18.5</v>
      </c>
      <c r="L593" s="27">
        <f t="shared" si="93"/>
        <v>18.5</v>
      </c>
      <c r="M593" s="27">
        <f t="shared" si="93"/>
        <v>18.5</v>
      </c>
      <c r="N593" s="27">
        <f t="shared" si="93"/>
        <v>18.5</v>
      </c>
      <c r="O593" s="27">
        <f t="shared" si="93"/>
        <v>18.5</v>
      </c>
      <c r="P593" s="27">
        <f t="shared" si="93"/>
        <v>18.5</v>
      </c>
      <c r="Q593" s="27">
        <f t="shared" si="93"/>
        <v>18.5</v>
      </c>
      <c r="R593" s="363">
        <f t="shared" si="93"/>
        <v>18.5</v>
      </c>
      <c r="S593" s="117">
        <f t="shared" ref="S593:S594" si="94">SUM(H593:R593)</f>
        <v>203.5</v>
      </c>
      <c r="T593" s="110" t="s">
        <v>76</v>
      </c>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row>
    <row r="594" ht="18.75" hidden="1" customHeight="1" outlineLevel="1">
      <c r="A594" s="17"/>
      <c r="B594" s="17"/>
      <c r="C594" s="17"/>
      <c r="D594" s="17"/>
      <c r="E594" s="17"/>
      <c r="F594" s="17"/>
      <c r="G594" s="14" t="s">
        <v>1122</v>
      </c>
      <c r="H594" s="14">
        <f>D581</f>
        <v>9.5</v>
      </c>
      <c r="I594" s="14">
        <v>9.5</v>
      </c>
      <c r="J594" s="14">
        <v>9.5</v>
      </c>
      <c r="K594" s="14">
        <v>9.5</v>
      </c>
      <c r="L594" s="14">
        <v>9.5</v>
      </c>
      <c r="M594" s="14">
        <v>9.5</v>
      </c>
      <c r="N594" s="14">
        <v>9.5</v>
      </c>
      <c r="O594" s="14">
        <v>9.5</v>
      </c>
      <c r="P594" s="14">
        <v>9.5</v>
      </c>
      <c r="Q594" s="14">
        <v>9.5</v>
      </c>
      <c r="R594" s="66">
        <v>9.5</v>
      </c>
      <c r="S594" s="117">
        <f t="shared" si="94"/>
        <v>104.5</v>
      </c>
      <c r="T594" s="110" t="s">
        <v>76</v>
      </c>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row>
    <row r="595" ht="18.75" hidden="1" customHeight="1" outlineLevel="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row>
    <row r="596" ht="18.75" hidden="1" customHeight="1" outlineLevel="1">
      <c r="A596" s="17"/>
      <c r="B596" s="17"/>
      <c r="C596" s="17"/>
      <c r="D596" s="17"/>
      <c r="E596" s="17"/>
      <c r="F596" s="17"/>
      <c r="G596" s="14" t="s">
        <v>1123</v>
      </c>
      <c r="H596" s="314">
        <f>H590/H593</f>
        <v>0.07027027027</v>
      </c>
      <c r="I596" s="314">
        <f>$H$596+(I2-Année_référence)*(Part_exploitations_agricoles_exemplaires-$H$596)/Nb_années</f>
        <v>0.06324324324</v>
      </c>
      <c r="J596" s="314">
        <f>$H$596+(J2-Année_référence)*(Part_exploitations_agricoles_exemplaires-$H$596)/Nb_années</f>
        <v>0.05621621622</v>
      </c>
      <c r="K596" s="314">
        <f>$H$596+(K2-Année_référence)*(Part_exploitations_agricoles_exemplaires-$H$596)/Nb_années</f>
        <v>0.04918918919</v>
      </c>
      <c r="L596" s="314">
        <f>$H$596+(L2-Année_référence)*(Part_exploitations_agricoles_exemplaires-$H$596)/Nb_années</f>
        <v>0.04216216216</v>
      </c>
      <c r="M596" s="314">
        <f>$H$596+(M2-Année_référence)*(Part_exploitations_agricoles_exemplaires-$H$596)/Nb_années</f>
        <v>0.03513513514</v>
      </c>
      <c r="N596" s="314">
        <f>$H$596+(N2-Année_référence)*(Part_exploitations_agricoles_exemplaires-$H$596)/Nb_années</f>
        <v>0.02810810811</v>
      </c>
      <c r="O596" s="314">
        <f>$H$596+(O2-Année_référence)*(Part_exploitations_agricoles_exemplaires-$H$596)/Nb_années</f>
        <v>0.02108108108</v>
      </c>
      <c r="P596" s="314">
        <f>$H$596+(P2-Année_référence)*(Part_exploitations_agricoles_exemplaires-$H$596)/Nb_années</f>
        <v>0.01405405405</v>
      </c>
      <c r="Q596" s="314">
        <f>$H$596+(Q2-Année_référence)*(Part_exploitations_agricoles_exemplaires-$H$596)/Nb_années</f>
        <v>0.007027027027</v>
      </c>
      <c r="R596" s="314">
        <f>$H$596+(R2-Année_référence)*(Part_exploitations_agricoles_exemplaires-$H$596)/Nb_années</f>
        <v>0</v>
      </c>
      <c r="S596" s="32"/>
      <c r="T596" s="126"/>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row>
    <row r="597" ht="18.75" hidden="1" customHeight="1" outlineLevel="1">
      <c r="A597" s="17"/>
      <c r="B597" s="17"/>
      <c r="C597" s="17"/>
      <c r="D597" s="17"/>
      <c r="E597" s="17"/>
      <c r="F597" s="17"/>
      <c r="G597" s="14" t="s">
        <v>1124</v>
      </c>
      <c r="H597" s="27">
        <f>D578</f>
        <v>2.4</v>
      </c>
      <c r="I597" s="27">
        <f>H597*(1-Gain_eff_carbone_exploitations)</f>
        <v>2.376</v>
      </c>
      <c r="J597" s="27">
        <f>I597*(1-Gain_eff_carbone_exploitations)</f>
        <v>2.35224</v>
      </c>
      <c r="K597" s="27">
        <f>J597*(1-Gain_eff_carbone_exploitations)</f>
        <v>2.3287176</v>
      </c>
      <c r="L597" s="27">
        <f>K597*(1-Gain_eff_carbone_exploitations)</f>
        <v>2.305430424</v>
      </c>
      <c r="M597" s="27">
        <f>L597*(1-Gain_eff_carbone_exploitations)</f>
        <v>2.28237612</v>
      </c>
      <c r="N597" s="27">
        <f>M597*(1-Gain_eff_carbone_exploitations)</f>
        <v>2.259552359</v>
      </c>
      <c r="O597" s="27">
        <f>N597*(1-Gain_eff_carbone_exploitations)</f>
        <v>2.236956835</v>
      </c>
      <c r="P597" s="27">
        <f>O597*(1-Gain_eff_carbone_exploitations)</f>
        <v>2.214587267</v>
      </c>
      <c r="Q597" s="27">
        <f>P597*(1-Gain_eff_carbone_exploitations)</f>
        <v>2.192441394</v>
      </c>
      <c r="R597" s="363">
        <f>Q597*(1-Gain_eff_carbone_exploitations)</f>
        <v>2.17051698</v>
      </c>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row>
    <row r="598" ht="18.75" hidden="1" customHeight="1" outlineLevel="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row>
    <row r="599" ht="18.75" hidden="1" customHeight="1" outlineLevel="1">
      <c r="A599" s="17"/>
      <c r="B599" s="17"/>
      <c r="C599" s="17"/>
      <c r="D599" s="17"/>
      <c r="E599" s="17"/>
      <c r="F599" s="17"/>
      <c r="G599" s="14" t="s">
        <v>1125</v>
      </c>
      <c r="H599" s="27">
        <f t="shared" ref="H599:R599" si="95">H590*$D$579</f>
        <v>1.04</v>
      </c>
      <c r="I599" s="27">
        <f t="shared" si="95"/>
        <v>0.936</v>
      </c>
      <c r="J599" s="27">
        <f t="shared" si="95"/>
        <v>0.832</v>
      </c>
      <c r="K599" s="27">
        <f t="shared" si="95"/>
        <v>0.728</v>
      </c>
      <c r="L599" s="27">
        <f t="shared" si="95"/>
        <v>0.624</v>
      </c>
      <c r="M599" s="27">
        <f t="shared" si="95"/>
        <v>0.52</v>
      </c>
      <c r="N599" s="27">
        <f t="shared" si="95"/>
        <v>0.416</v>
      </c>
      <c r="O599" s="27">
        <f t="shared" si="95"/>
        <v>0.312</v>
      </c>
      <c r="P599" s="27">
        <f t="shared" si="95"/>
        <v>0.208</v>
      </c>
      <c r="Q599" s="27">
        <f t="shared" si="95"/>
        <v>0.104</v>
      </c>
      <c r="R599" s="66">
        <f t="shared" si="95"/>
        <v>0</v>
      </c>
      <c r="S599" s="117">
        <f t="shared" ref="S599:S600" si="97">SUM(H599:R599)</f>
        <v>5.72</v>
      </c>
      <c r="T599" s="110" t="s">
        <v>76</v>
      </c>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row>
    <row r="600" ht="18.75" hidden="1" customHeight="1" outlineLevel="1">
      <c r="A600" s="17"/>
      <c r="B600" s="17"/>
      <c r="C600" s="17"/>
      <c r="D600" s="17"/>
      <c r="E600" s="17"/>
      <c r="F600" s="17"/>
      <c r="G600" s="14" t="s">
        <v>1126</v>
      </c>
      <c r="H600" s="27">
        <f t="shared" ref="H600:R600" si="96">H591*H597</f>
        <v>41.28</v>
      </c>
      <c r="I600" s="27">
        <f t="shared" si="96"/>
        <v>41.17608</v>
      </c>
      <c r="J600" s="27">
        <f t="shared" si="96"/>
        <v>41.0701104</v>
      </c>
      <c r="K600" s="27">
        <f t="shared" si="96"/>
        <v>40.96214258</v>
      </c>
      <c r="L600" s="27">
        <f t="shared" si="96"/>
        <v>40.85222711</v>
      </c>
      <c r="M600" s="27">
        <f t="shared" si="96"/>
        <v>40.74041374</v>
      </c>
      <c r="N600" s="27">
        <f t="shared" si="96"/>
        <v>40.62675141</v>
      </c>
      <c r="O600" s="27">
        <f t="shared" si="96"/>
        <v>40.51128828</v>
      </c>
      <c r="P600" s="27">
        <f t="shared" si="96"/>
        <v>40.39407174</v>
      </c>
      <c r="Q600" s="27">
        <f t="shared" si="96"/>
        <v>40.27514841</v>
      </c>
      <c r="R600" s="363">
        <f t="shared" si="96"/>
        <v>40.15456413</v>
      </c>
      <c r="S600" s="117">
        <f t="shared" si="97"/>
        <v>448.0427978</v>
      </c>
      <c r="T600" s="110" t="s">
        <v>76</v>
      </c>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row>
    <row r="601" ht="18.75" hidden="1" customHeight="1" outlineLevel="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row>
    <row r="602" ht="18.75" hidden="1" customHeight="1" outlineLevel="1">
      <c r="A602" s="17"/>
      <c r="B602" s="17"/>
      <c r="C602" s="17"/>
      <c r="D602" s="17"/>
      <c r="E602" s="17"/>
      <c r="F602" s="17"/>
      <c r="G602" s="364" t="s">
        <v>1127</v>
      </c>
      <c r="H602" s="365">
        <f t="shared" ref="H602:R602" si="98">H600+H599</f>
        <v>42.32</v>
      </c>
      <c r="I602" s="365">
        <f t="shared" si="98"/>
        <v>42.11208</v>
      </c>
      <c r="J602" s="365">
        <f t="shared" si="98"/>
        <v>41.9021104</v>
      </c>
      <c r="K602" s="365">
        <f t="shared" si="98"/>
        <v>41.69014258</v>
      </c>
      <c r="L602" s="365">
        <f t="shared" si="98"/>
        <v>41.47622711</v>
      </c>
      <c r="M602" s="365">
        <f t="shared" si="98"/>
        <v>41.26041374</v>
      </c>
      <c r="N602" s="365">
        <f t="shared" si="98"/>
        <v>41.04275141</v>
      </c>
      <c r="O602" s="365">
        <f t="shared" si="98"/>
        <v>40.82328828</v>
      </c>
      <c r="P602" s="365">
        <f t="shared" si="98"/>
        <v>40.60207174</v>
      </c>
      <c r="Q602" s="365">
        <f t="shared" si="98"/>
        <v>40.37914841</v>
      </c>
      <c r="R602" s="366">
        <f t="shared" si="98"/>
        <v>40.15456413</v>
      </c>
      <c r="S602" s="117">
        <f>SUM(H602:R602)</f>
        <v>453.7627978</v>
      </c>
      <c r="T602" s="110" t="s">
        <v>76</v>
      </c>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c r="CI602" s="17"/>
      <c r="CJ602" s="17"/>
    </row>
    <row r="603" ht="18.75" hidden="1" customHeight="1" outlineLevel="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row>
    <row r="604" ht="18.75" hidden="1" customHeight="1" outlineLevel="1">
      <c r="A604" s="17"/>
      <c r="B604" s="17"/>
      <c r="C604" s="17"/>
      <c r="D604" s="17"/>
      <c r="E604" s="17"/>
      <c r="F604" s="17"/>
      <c r="G604" s="359" t="s">
        <v>211</v>
      </c>
      <c r="H604" s="182"/>
      <c r="I604" s="182"/>
      <c r="J604" s="182"/>
      <c r="K604" s="182"/>
      <c r="L604" s="182"/>
      <c r="M604" s="182"/>
      <c r="N604" s="182"/>
      <c r="O604" s="182"/>
      <c r="P604" s="182"/>
      <c r="Q604" s="182"/>
      <c r="R604" s="183"/>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row>
    <row r="605" ht="18.75" hidden="1" customHeight="1" outlineLevel="1">
      <c r="A605" s="17"/>
      <c r="B605" s="17"/>
      <c r="C605" s="17"/>
      <c r="D605" s="17"/>
      <c r="E605" s="17"/>
      <c r="F605" s="17"/>
      <c r="G605" s="360" t="s">
        <v>1128</v>
      </c>
      <c r="H605" s="367">
        <f>(H2-Année_référence)*(100%-Var_conso_viande_2020_2030)/Nb_années</f>
        <v>0</v>
      </c>
      <c r="I605" s="367">
        <f>(I2-Année_référence)*(100%-Var_conso_viande_2020_2030)/Nb_années</f>
        <v>0</v>
      </c>
      <c r="J605" s="367">
        <f>(J2-Année_référence)*(100%-Var_conso_viande_2020_2030)/Nb_années</f>
        <v>0</v>
      </c>
      <c r="K605" s="367">
        <f>(K2-Année_référence)*(100%-Var_conso_viande_2020_2030)/Nb_années</f>
        <v>0</v>
      </c>
      <c r="L605" s="367">
        <f>(L2-Année_référence)*(100%-Var_conso_viande_2020_2030)/Nb_années</f>
        <v>0</v>
      </c>
      <c r="M605" s="367">
        <f>(M2-Année_référence)*(100%-Var_conso_viande_2020_2030)/Nb_années</f>
        <v>0</v>
      </c>
      <c r="N605" s="367">
        <f>(N2-Année_référence)*(100%-Var_conso_viande_2020_2030)/Nb_années</f>
        <v>0</v>
      </c>
      <c r="O605" s="367">
        <f>(O2-Année_référence)*(100%-Var_conso_viande_2020_2030)/Nb_années</f>
        <v>0</v>
      </c>
      <c r="P605" s="367">
        <f>(P2-Année_référence)*(100%-Var_conso_viande_2020_2030)/Nb_années</f>
        <v>0</v>
      </c>
      <c r="Q605" s="367">
        <f>(Q2-Année_référence)*(100%-Var_conso_viande_2020_2030)/Nb_années</f>
        <v>0</v>
      </c>
      <c r="R605" s="368">
        <f>(R2-Année_référence)*(100%-Var_conso_viande_2020_2030)/Nb_années</f>
        <v>0</v>
      </c>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row>
    <row r="606" ht="18.75" hidden="1" customHeight="1" outlineLevel="1">
      <c r="A606" s="17"/>
      <c r="B606" s="17"/>
      <c r="C606" s="17"/>
      <c r="D606" s="17"/>
      <c r="E606" s="17"/>
      <c r="F606" s="17"/>
      <c r="G606" s="14" t="s">
        <v>1129</v>
      </c>
      <c r="H606" s="27">
        <f t="shared" ref="H606:R606" si="99">$D$586*(1-H605)</f>
        <v>90</v>
      </c>
      <c r="I606" s="27">
        <f t="shared" si="99"/>
        <v>90</v>
      </c>
      <c r="J606" s="27">
        <f t="shared" si="99"/>
        <v>90</v>
      </c>
      <c r="K606" s="27">
        <f t="shared" si="99"/>
        <v>90</v>
      </c>
      <c r="L606" s="27">
        <f t="shared" si="99"/>
        <v>90</v>
      </c>
      <c r="M606" s="27">
        <f t="shared" si="99"/>
        <v>90</v>
      </c>
      <c r="N606" s="27">
        <f t="shared" si="99"/>
        <v>90</v>
      </c>
      <c r="O606" s="27">
        <f t="shared" si="99"/>
        <v>90</v>
      </c>
      <c r="P606" s="27">
        <f t="shared" si="99"/>
        <v>90</v>
      </c>
      <c r="Q606" s="27">
        <f t="shared" si="99"/>
        <v>90</v>
      </c>
      <c r="R606" s="363">
        <f t="shared" si="99"/>
        <v>90</v>
      </c>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row>
    <row r="607" ht="18.75" hidden="1" customHeight="1" outlineLevel="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row>
    <row r="608" ht="18.75" hidden="1" customHeight="1" outlineLevel="1">
      <c r="A608" s="17"/>
      <c r="B608" s="17"/>
      <c r="C608" s="17"/>
      <c r="D608" s="17"/>
      <c r="E608" s="17"/>
      <c r="F608" s="17"/>
      <c r="G608" s="364" t="s">
        <v>1130</v>
      </c>
      <c r="H608" s="365">
        <f t="shared" ref="H608:R608" si="100">$D$585*(1-H605)</f>
        <v>43</v>
      </c>
      <c r="I608" s="365">
        <f t="shared" si="100"/>
        <v>43</v>
      </c>
      <c r="J608" s="365">
        <f t="shared" si="100"/>
        <v>43</v>
      </c>
      <c r="K608" s="365">
        <f t="shared" si="100"/>
        <v>43</v>
      </c>
      <c r="L608" s="365">
        <f t="shared" si="100"/>
        <v>43</v>
      </c>
      <c r="M608" s="365">
        <f t="shared" si="100"/>
        <v>43</v>
      </c>
      <c r="N608" s="365">
        <f t="shared" si="100"/>
        <v>43</v>
      </c>
      <c r="O608" s="365">
        <f t="shared" si="100"/>
        <v>43</v>
      </c>
      <c r="P608" s="365">
        <f t="shared" si="100"/>
        <v>43</v>
      </c>
      <c r="Q608" s="365">
        <f t="shared" si="100"/>
        <v>43</v>
      </c>
      <c r="R608" s="366">
        <f t="shared" si="100"/>
        <v>43</v>
      </c>
      <c r="S608" s="369">
        <f>SUM(H608:R608)</f>
        <v>473</v>
      </c>
      <c r="T608" s="110" t="s">
        <v>76</v>
      </c>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row>
    <row r="609" ht="18.75" hidden="1" customHeight="1" outlineLevel="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row>
    <row r="610" ht="18.75" hidden="1" customHeight="1" outlineLevel="1">
      <c r="A610" s="17"/>
      <c r="B610" s="17"/>
      <c r="C610" s="17"/>
      <c r="D610" s="17"/>
      <c r="E610" s="17"/>
      <c r="F610" s="17"/>
      <c r="G610" s="370" t="s">
        <v>1131</v>
      </c>
      <c r="H610" s="371">
        <f t="shared" ref="H610:R610" si="101">H608+H602</f>
        <v>85.32</v>
      </c>
      <c r="I610" s="371">
        <f t="shared" si="101"/>
        <v>85.11208</v>
      </c>
      <c r="J610" s="371">
        <f t="shared" si="101"/>
        <v>84.9021104</v>
      </c>
      <c r="K610" s="371">
        <f t="shared" si="101"/>
        <v>84.69014258</v>
      </c>
      <c r="L610" s="371">
        <f t="shared" si="101"/>
        <v>84.47622711</v>
      </c>
      <c r="M610" s="371">
        <f t="shared" si="101"/>
        <v>84.26041374</v>
      </c>
      <c r="N610" s="371">
        <f t="shared" si="101"/>
        <v>84.04275141</v>
      </c>
      <c r="O610" s="371">
        <f t="shared" si="101"/>
        <v>83.82328828</v>
      </c>
      <c r="P610" s="371">
        <f t="shared" si="101"/>
        <v>83.60207174</v>
      </c>
      <c r="Q610" s="371">
        <f t="shared" si="101"/>
        <v>83.37914841</v>
      </c>
      <c r="R610" s="371">
        <f t="shared" si="101"/>
        <v>83.15456413</v>
      </c>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row>
    <row r="611" ht="18.75" hidden="1" customHeight="1" outlineLevel="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row>
    <row r="612" ht="18.75" hidden="1" customHeight="1" outlineLevel="1">
      <c r="A612" s="17"/>
      <c r="B612" s="17"/>
      <c r="C612" s="17"/>
      <c r="D612" s="17"/>
      <c r="E612" s="17"/>
      <c r="F612" s="17"/>
      <c r="G612" s="359" t="s">
        <v>1132</v>
      </c>
      <c r="H612" s="182"/>
      <c r="I612" s="182"/>
      <c r="J612" s="182"/>
      <c r="K612" s="182"/>
      <c r="L612" s="182"/>
      <c r="M612" s="182"/>
      <c r="N612" s="182"/>
      <c r="O612" s="182"/>
      <c r="P612" s="182"/>
      <c r="Q612" s="182"/>
      <c r="R612" s="183"/>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row>
    <row r="613" ht="18.75" hidden="1" customHeight="1" outlineLevel="1">
      <c r="A613" s="17"/>
      <c r="B613" s="17"/>
      <c r="C613" s="17"/>
      <c r="D613" s="17"/>
      <c r="E613" s="17"/>
      <c r="F613" s="17"/>
      <c r="G613" s="360" t="s">
        <v>1133</v>
      </c>
      <c r="H613" s="372">
        <f>(Surfaces_afforestées*H605*$D$582)</f>
        <v>0</v>
      </c>
      <c r="I613" s="372">
        <f>(Surfaces_afforestées*I605*$D$582)</f>
        <v>0</v>
      </c>
      <c r="J613" s="372">
        <f>(Surfaces_afforestées*J605*$D$582)</f>
        <v>0</v>
      </c>
      <c r="K613" s="372">
        <f>(Surfaces_afforestées*K605*$D$582)</f>
        <v>0</v>
      </c>
      <c r="L613" s="372">
        <f>(Surfaces_afforestées*L605*$D$582)</f>
        <v>0</v>
      </c>
      <c r="M613" s="372">
        <f>(Surfaces_afforestées*M605*$D$582)</f>
        <v>0</v>
      </c>
      <c r="N613" s="372">
        <f>(Surfaces_afforestées*N605*$D$582)</f>
        <v>0</v>
      </c>
      <c r="O613" s="372">
        <f>(Surfaces_afforestées*O605*$D$582)</f>
        <v>0</v>
      </c>
      <c r="P613" s="372">
        <f>(Surfaces_afforestées*P605*$D$582)</f>
        <v>0</v>
      </c>
      <c r="Q613" s="372">
        <f>(Surfaces_afforestées*Q605*$D$582)</f>
        <v>0</v>
      </c>
      <c r="R613" s="372">
        <f>(Surfaces_afforestées*R605*$D$582)</f>
        <v>0</v>
      </c>
      <c r="S613" s="126">
        <f t="shared" ref="S613:S614" si="103">SUM(H613:R613)</f>
        <v>0</v>
      </c>
      <c r="T613" s="17" t="s">
        <v>1134</v>
      </c>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c r="CI613" s="17"/>
      <c r="CJ613" s="17"/>
    </row>
    <row r="614" ht="18.75" hidden="1" customHeight="1" outlineLevel="1">
      <c r="A614" s="17"/>
      <c r="B614" s="17"/>
      <c r="C614" s="17"/>
      <c r="D614" s="17"/>
      <c r="E614" s="17"/>
      <c r="F614" s="17"/>
      <c r="G614" s="373" t="s">
        <v>1135</v>
      </c>
      <c r="H614" s="373">
        <f t="shared" ref="H614:R614" si="102">H613*$D$587*44/12</f>
        <v>0</v>
      </c>
      <c r="I614" s="373">
        <f t="shared" si="102"/>
        <v>0</v>
      </c>
      <c r="J614" s="373">
        <f t="shared" si="102"/>
        <v>0</v>
      </c>
      <c r="K614" s="373">
        <f t="shared" si="102"/>
        <v>0</v>
      </c>
      <c r="L614" s="373">
        <f t="shared" si="102"/>
        <v>0</v>
      </c>
      <c r="M614" s="373">
        <f t="shared" si="102"/>
        <v>0</v>
      </c>
      <c r="N614" s="373">
        <f t="shared" si="102"/>
        <v>0</v>
      </c>
      <c r="O614" s="373">
        <f t="shared" si="102"/>
        <v>0</v>
      </c>
      <c r="P614" s="373">
        <f t="shared" si="102"/>
        <v>0</v>
      </c>
      <c r="Q614" s="373">
        <f t="shared" si="102"/>
        <v>0</v>
      </c>
      <c r="R614" s="373">
        <f t="shared" si="102"/>
        <v>0</v>
      </c>
      <c r="S614" s="374">
        <f t="shared" si="103"/>
        <v>0</v>
      </c>
      <c r="T614" s="110" t="s">
        <v>76</v>
      </c>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row>
    <row r="615" ht="18.75" hidden="1" customHeight="1" outlineLevel="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row>
    <row r="616" ht="18.75" hidden="1" customHeight="1" outlineLevel="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row>
    <row r="617" ht="18.75" customHeight="1" collapsed="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row>
    <row r="618" ht="18.75" customHeight="1">
      <c r="A618" s="375" t="s">
        <v>1136</v>
      </c>
      <c r="B618" s="376"/>
      <c r="C618" s="377"/>
      <c r="D618" s="377"/>
      <c r="E618" s="377"/>
      <c r="F618" s="377"/>
      <c r="G618" s="377"/>
      <c r="H618" s="377"/>
      <c r="I618" s="377"/>
      <c r="J618" s="377"/>
      <c r="K618" s="377"/>
      <c r="L618" s="377"/>
      <c r="M618" s="377"/>
      <c r="N618" s="377"/>
      <c r="O618" s="377"/>
      <c r="P618" s="377"/>
      <c r="Q618" s="377"/>
      <c r="R618" s="377"/>
      <c r="S618" s="377"/>
      <c r="T618" s="377"/>
      <c r="U618" s="377"/>
      <c r="V618" s="377"/>
      <c r="W618" s="377"/>
      <c r="X618" s="377"/>
      <c r="Y618" s="377"/>
      <c r="Z618" s="37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row>
    <row r="619" ht="18.75" customHeight="1" outlineLevel="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row>
    <row r="620" ht="18.75" customHeight="1" outlineLevel="1">
      <c r="A620" s="17"/>
      <c r="B620" s="17"/>
      <c r="C620" s="34" t="s">
        <v>1137</v>
      </c>
      <c r="D620" s="358">
        <f>43.3</f>
        <v>43.3</v>
      </c>
      <c r="E620" s="15" t="s">
        <v>76</v>
      </c>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row>
    <row r="621" ht="18.75" customHeight="1" outlineLevel="1">
      <c r="A621" s="17"/>
      <c r="B621" s="17"/>
      <c r="C621" s="34" t="s">
        <v>1138</v>
      </c>
      <c r="D621" s="358">
        <v>46.5</v>
      </c>
      <c r="E621" s="15" t="s">
        <v>1139</v>
      </c>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row>
    <row r="622" ht="18.75" customHeight="1" outlineLevel="1">
      <c r="A622" s="17"/>
      <c r="B622" s="17"/>
      <c r="C622" s="34" t="s">
        <v>1140</v>
      </c>
      <c r="D622" s="358">
        <v>27.3</v>
      </c>
      <c r="E622" s="15" t="s">
        <v>1141</v>
      </c>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row>
    <row r="623" ht="18.75" customHeight="1" outlineLevel="1">
      <c r="A623" s="17"/>
      <c r="B623" s="17"/>
      <c r="C623" s="34" t="s">
        <v>1142</v>
      </c>
      <c r="D623" s="358">
        <f>119.5</f>
        <v>119.5</v>
      </c>
      <c r="E623" s="15" t="s">
        <v>1143</v>
      </c>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row>
    <row r="624" ht="18.75" customHeight="1" outlineLevel="1">
      <c r="A624" s="17"/>
      <c r="B624" s="17"/>
      <c r="C624" s="17"/>
      <c r="D624" s="17"/>
      <c r="E624" s="17"/>
      <c r="F624" s="17"/>
      <c r="G624" s="378" t="s">
        <v>1144</v>
      </c>
      <c r="H624" s="182"/>
      <c r="I624" s="182"/>
      <c r="J624" s="182"/>
      <c r="K624" s="182"/>
      <c r="L624" s="182"/>
      <c r="M624" s="182"/>
      <c r="N624" s="182"/>
      <c r="O624" s="182"/>
      <c r="P624" s="182"/>
      <c r="Q624" s="182"/>
      <c r="R624" s="183"/>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row>
    <row r="625" ht="18.75" customHeight="1" outlineLevel="1">
      <c r="A625" s="17"/>
      <c r="B625" s="17"/>
      <c r="C625" s="17"/>
      <c r="D625" s="17"/>
      <c r="E625" s="17"/>
      <c r="F625" s="17"/>
      <c r="G625" s="10" t="s">
        <v>1145</v>
      </c>
      <c r="H625" s="379">
        <f>100%*$D$620</f>
        <v>43.3</v>
      </c>
      <c r="I625" s="379">
        <f>IF(Taux_Informatique&gt;=1,$D$620*(1+(I2-Année_référence)*(Taux_Informatique-1)/Nb_années),$D$620*(1-(I2-Année_référence)*Taux_Informatique/Nb_années))</f>
        <v>43.3</v>
      </c>
      <c r="J625" s="379">
        <f>IF(Taux_Informatique&gt;=1,$D$620*(1+(J2-Année_référence)*(Taux_Informatique-1)/Nb_années),$D$620*(1-(J2-Année_référence)*Taux_Informatique/Nb_années))</f>
        <v>43.3</v>
      </c>
      <c r="K625" s="379">
        <f>IF(Taux_Informatique&gt;=1,$D$620*(1+(K2-Année_référence)*(Taux_Informatique-1)/Nb_années),$D$620*(1-(K2-Année_référence)*Taux_Informatique/Nb_années))</f>
        <v>43.3</v>
      </c>
      <c r="L625" s="379">
        <f>IF(Taux_Informatique&gt;=1,$D$620*(1+(L2-Année_référence)*(Taux_Informatique-1)/Nb_années),$D$620*(1-(L2-Année_référence)*Taux_Informatique/Nb_années))</f>
        <v>43.3</v>
      </c>
      <c r="M625" s="379">
        <f>IF(Taux_Informatique&gt;=1,$D$620*(1+(M2-Année_référence)*(Taux_Informatique-1)/Nb_années),$D$620*(1-(M2-Année_référence)*Taux_Informatique/Nb_années))</f>
        <v>43.3</v>
      </c>
      <c r="N625" s="379">
        <f>IF(Taux_Informatique&gt;=1,$D$620*(1+(N2-Année_référence)*(Taux_Informatique-1)/Nb_années),$D$620*(1-(N2-Année_référence)*Taux_Informatique/Nb_années))</f>
        <v>43.3</v>
      </c>
      <c r="O625" s="379">
        <f>IF(Taux_Informatique&gt;=1,$D$620*(1+(O2-Année_référence)*(Taux_Informatique-1)/Nb_années),$D$620*(1-(O2-Année_référence)*Taux_Informatique/Nb_années))</f>
        <v>43.3</v>
      </c>
      <c r="P625" s="379">
        <f>IF(Taux_Informatique&gt;=1,$D$620*(1+(P2-Année_référence)*(Taux_Informatique-1)/Nb_années),$D$620*(1-(P2-Année_référence)*Taux_Informatique/Nb_années))</f>
        <v>43.3</v>
      </c>
      <c r="Q625" s="379">
        <f>IF(Taux_Informatique&gt;=1,$D$620*(1+(Q2-Année_référence)*(Taux_Informatique-1)/Nb_années),$D$620*(1-(Q2-Année_référence)*Taux_Informatique/Nb_années))</f>
        <v>43.3</v>
      </c>
      <c r="R625" s="379">
        <f>IF(Taux_Informatique&gt;=1,$D$620*(1+(R2-Année_référence)*(Taux_Informatique-1)/Nb_années),$D$620*(1-(R2-Année_référence)*Taux_Informatique/Nb_années))</f>
        <v>43.3</v>
      </c>
      <c r="S625" s="380">
        <f t="shared" ref="S625:S629" si="104">SUM(H625:R625)</f>
        <v>476.3</v>
      </c>
      <c r="T625" s="381" t="s">
        <v>595</v>
      </c>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row>
    <row r="626" ht="18.75" customHeight="1" outlineLevel="1">
      <c r="A626" s="17"/>
      <c r="B626" s="17"/>
      <c r="C626" s="17"/>
      <c r="D626" s="17"/>
      <c r="E626" s="17"/>
      <c r="F626" s="17"/>
      <c r="G626" s="10" t="s">
        <v>1146</v>
      </c>
      <c r="H626" s="379">
        <f>100%*$D$621</f>
        <v>46.5</v>
      </c>
      <c r="I626" s="379">
        <f>IF(Taux_Textiles&gt;=1,$D$621*(1+(I2-Année_référence)*(Taux_Textiles-1)/Nb_années),$D$621*(1-(I2-Année_référence)*Taux_Textiles/Nb_années))</f>
        <v>46.5</v>
      </c>
      <c r="J626" s="379">
        <f>IF(Taux_Textiles&gt;=1,$D$621*(1+(J2-Année_référence)*(Taux_Textiles-1)/Nb_années),$D$621*(1-(J2-Année_référence)*Taux_Textiles/Nb_années))</f>
        <v>46.5</v>
      </c>
      <c r="K626" s="379">
        <f>IF(Taux_Textiles&gt;=1,$D$621*(1+(K2-Année_référence)*(Taux_Textiles-1)/Nb_années),$D$621*(1-(K2-Année_référence)*Taux_Textiles/Nb_années))</f>
        <v>46.5</v>
      </c>
      <c r="L626" s="379">
        <f>IF(Taux_Textiles&gt;=1,$D$621*(1+(L2-Année_référence)*(Taux_Textiles-1)/Nb_années),$D$621*(1-(L2-Année_référence)*Taux_Textiles/Nb_années))</f>
        <v>46.5</v>
      </c>
      <c r="M626" s="379">
        <f>IF(Taux_Textiles&gt;=1,$D$621*(1+(M2-Année_référence)*(Taux_Textiles-1)/Nb_années),$D$621*(1-(M2-Année_référence)*Taux_Textiles/Nb_années))</f>
        <v>46.5</v>
      </c>
      <c r="N626" s="379">
        <f>IF(Taux_Textiles&gt;=1,$D$621*(1+(N2-Année_référence)*(Taux_Textiles-1)/Nb_années),$D$621*(1-(N2-Année_référence)*Taux_Textiles/Nb_années))</f>
        <v>46.5</v>
      </c>
      <c r="O626" s="379">
        <f>IF(Taux_Textiles&gt;=1,$D$621*(1+(O2-Année_référence)*(Taux_Textiles-1)/Nb_années),$D$621*(1-(O2-Année_référence)*Taux_Textiles/Nb_années))</f>
        <v>46.5</v>
      </c>
      <c r="P626" s="379">
        <f>IF(Taux_Textiles&gt;=1,$D$621*(1+(P2-Année_référence)*(Taux_Textiles-1)/Nb_années),$D$621*(1-(P2-Année_référence)*Taux_Textiles/Nb_années))</f>
        <v>46.5</v>
      </c>
      <c r="Q626" s="379">
        <f>IF(Taux_Textiles&gt;=1,$D$621*(1+(Q2-Année_référence)*(Taux_Textiles-1)/Nb_années),$D$621*(1-(Q2-Année_référence)*Taux_Textiles/Nb_années))</f>
        <v>46.5</v>
      </c>
      <c r="R626" s="379">
        <f>IF(Taux_Textiles&gt;=1,$D$621*(1+(R2-Année_référence)*(Taux_Textiles-1)/Nb_années),$D$621*(1-(R2-Année_référence)*Taux_Textiles/Nb_années))</f>
        <v>46.5</v>
      </c>
      <c r="S626" s="380">
        <f t="shared" si="104"/>
        <v>511.5</v>
      </c>
      <c r="T626" s="381" t="s">
        <v>595</v>
      </c>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row>
    <row r="627" ht="18.75" customHeight="1" outlineLevel="1">
      <c r="A627" s="17"/>
      <c r="B627" s="17"/>
      <c r="C627" s="17"/>
      <c r="D627" s="17"/>
      <c r="E627" s="17"/>
      <c r="F627" s="17"/>
      <c r="G627" s="10" t="s">
        <v>1147</v>
      </c>
      <c r="H627" s="379">
        <f>100%*$D$622</f>
        <v>27.3</v>
      </c>
      <c r="I627" s="379">
        <f>IF(Taux_Autres_biens&gt;=1,$D$622*(1+(I2-Année_référence)*(Taux_Autres_biens-1)/Nb_années),$D$622*(1-(I2-Année_référence)*Taux_Autres_biens/Nb_années))</f>
        <v>27.3</v>
      </c>
      <c r="J627" s="379">
        <f>IF(Taux_Autres_biens&gt;=1,$D$622*(1+(J2-Année_référence)*(Taux_Autres_biens-1)/Nb_années),$D$622*(1-(J2-Année_référence)*Taux_Autres_biens/Nb_années))</f>
        <v>27.3</v>
      </c>
      <c r="K627" s="379">
        <f>IF(Taux_Autres_biens&gt;=1,$D$622*(1+(K2-Année_référence)*(Taux_Autres_biens-1)/Nb_années),$D$622*(1-(K2-Année_référence)*Taux_Autres_biens/Nb_années))</f>
        <v>27.3</v>
      </c>
      <c r="L627" s="379">
        <f>IF(Taux_Autres_biens&gt;=1,$D$622*(1+(L2-Année_référence)*(Taux_Autres_biens-1)/Nb_années),$D$622*(1-(L2-Année_référence)*Taux_Autres_biens/Nb_années))</f>
        <v>27.3</v>
      </c>
      <c r="M627" s="379">
        <f>IF(Taux_Autres_biens&gt;=1,$D$622*(1+(M2-Année_référence)*(Taux_Autres_biens-1)/Nb_années),$D$622*(1-(M2-Année_référence)*Taux_Autres_biens/Nb_années))</f>
        <v>27.3</v>
      </c>
      <c r="N627" s="379">
        <f>IF(Taux_Autres_biens&gt;=1,$D$622*(1+(N2-Année_référence)*(Taux_Autres_biens-1)/Nb_années),$D$622*(1-(N2-Année_référence)*Taux_Autres_biens/Nb_années))</f>
        <v>27.3</v>
      </c>
      <c r="O627" s="379">
        <f>IF(Taux_Autres_biens&gt;=1,$D$622*(1+(O2-Année_référence)*(Taux_Autres_biens-1)/Nb_années),$D$622*(1-(O2-Année_référence)*Taux_Autres_biens/Nb_années))</f>
        <v>27.3</v>
      </c>
      <c r="P627" s="379">
        <f>IF(Taux_Autres_biens&gt;=1,$D$622*(1+(P2-Année_référence)*(Taux_Autres_biens-1)/Nb_années),$D$622*(1-(P2-Année_référence)*Taux_Autres_biens/Nb_années))</f>
        <v>27.3</v>
      </c>
      <c r="Q627" s="379">
        <f>IF(Taux_Autres_biens&gt;=1,$D$622*(1+(Q2-Année_référence)*(Taux_Autres_biens-1)/Nb_années),$D$622*(1-(Q2-Année_référence)*Taux_Autres_biens/Nb_années))</f>
        <v>27.3</v>
      </c>
      <c r="R627" s="379">
        <f>IF(Taux_Autres_biens&gt;=1,$D$622*(1+(R2-Année_référence)*(Taux_Autres_biens-1)/Nb_années),$D$622*(1-(R2-Année_référence)*Taux_Autres_biens/Nb_années))</f>
        <v>27.3</v>
      </c>
      <c r="S627" s="380">
        <f t="shared" si="104"/>
        <v>300.3</v>
      </c>
      <c r="T627" s="381" t="s">
        <v>595</v>
      </c>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row>
    <row r="628" ht="15.0" customHeight="1" outlineLevel="1">
      <c r="A628" s="17"/>
      <c r="B628" s="17"/>
      <c r="C628" s="17"/>
      <c r="D628" s="17"/>
      <c r="E628" s="17"/>
      <c r="F628" s="17"/>
      <c r="G628" s="10" t="s">
        <v>1148</v>
      </c>
      <c r="H628" s="379">
        <f>100%*$D$623</f>
        <v>119.5</v>
      </c>
      <c r="I628" s="379">
        <f>IF(Taux_Services_publics&gt;=1,$D$623*(1+(I2-Année_référence)*(Taux_Services_publics-1)/Nb_années),$D$620*(1-(I2-Année_référence)*Taux_Services_publics/Nb_années))</f>
        <v>119.5</v>
      </c>
      <c r="J628" s="379">
        <f>IF(Taux_Services_publics&gt;=1,$D$623*(1+(J2-Année_référence)*(Taux_Services_publics-1)/Nb_années),$D$620*(1-(J2-Année_référence)*Taux_Services_publics/Nb_années))</f>
        <v>119.5</v>
      </c>
      <c r="K628" s="379">
        <f>IF(Taux_Services_publics&gt;=1,$D$623*(1+(K2-Année_référence)*(Taux_Services_publics-1)/Nb_années),$D$620*(1-(K2-Année_référence)*Taux_Services_publics/Nb_années))</f>
        <v>119.5</v>
      </c>
      <c r="L628" s="379">
        <f>IF(Taux_Services_publics&gt;=1,$D$623*(1+(L2-Année_référence)*(Taux_Services_publics-1)/Nb_années),$D$620*(1-(L2-Année_référence)*Taux_Services_publics/Nb_années))</f>
        <v>119.5</v>
      </c>
      <c r="M628" s="379">
        <f>IF(Taux_Services_publics&gt;=1,$D$623*(1+(M2-Année_référence)*(Taux_Services_publics-1)/Nb_années),$D$620*(1-(M2-Année_référence)*Taux_Services_publics/Nb_années))</f>
        <v>119.5</v>
      </c>
      <c r="N628" s="379">
        <f>IF(Taux_Services_publics&gt;=1,$D$623*(1+(N2-Année_référence)*(Taux_Services_publics-1)/Nb_années),$D$620*(1-(N2-Année_référence)*Taux_Services_publics/Nb_années))</f>
        <v>119.5</v>
      </c>
      <c r="O628" s="379">
        <f>IF(Taux_Services_publics&gt;=1,$D$623*(1+(O2-Année_référence)*(Taux_Services_publics-1)/Nb_années),$D$620*(1-(O2-Année_référence)*Taux_Services_publics/Nb_années))</f>
        <v>119.5</v>
      </c>
      <c r="P628" s="379">
        <f>IF(Taux_Services_publics&gt;=1,$D$623*(1+(P2-Année_référence)*(Taux_Services_publics-1)/Nb_années),$D$620*(1-(P2-Année_référence)*Taux_Services_publics/Nb_années))</f>
        <v>119.5</v>
      </c>
      <c r="Q628" s="379">
        <f>IF(Taux_Services_publics&gt;=1,$D$623*(1+(Q2-Année_référence)*(Taux_Services_publics-1)/Nb_années),$D$620*(1-(Q2-Année_référence)*Taux_Services_publics/Nb_années))</f>
        <v>119.5</v>
      </c>
      <c r="R628" s="379">
        <f>IF(Taux_Services_publics&gt;=1,$D$623*(1+(R2-Année_référence)*(Taux_Services_publics-1)/Nb_années),$D$620*(1-(R2-Année_référence)*Taux_Services_publics/Nb_années))</f>
        <v>119.5</v>
      </c>
      <c r="S628" s="380">
        <f t="shared" si="104"/>
        <v>1314.5</v>
      </c>
      <c r="T628" s="381" t="s">
        <v>595</v>
      </c>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row>
    <row r="629" ht="18.75" customHeight="1" outlineLevel="1">
      <c r="A629" s="15"/>
      <c r="B629" s="15"/>
      <c r="C629" s="15"/>
      <c r="D629" s="15"/>
      <c r="E629" s="15"/>
      <c r="F629" s="15"/>
      <c r="G629" s="382" t="s">
        <v>1149</v>
      </c>
      <c r="H629" s="383">
        <f t="shared" ref="H629:R629" si="105">SUM(H625:H628)</f>
        <v>236.6</v>
      </c>
      <c r="I629" s="383">
        <f t="shared" si="105"/>
        <v>236.6</v>
      </c>
      <c r="J629" s="383">
        <f t="shared" si="105"/>
        <v>236.6</v>
      </c>
      <c r="K629" s="383">
        <f t="shared" si="105"/>
        <v>236.6</v>
      </c>
      <c r="L629" s="383">
        <f t="shared" si="105"/>
        <v>236.6</v>
      </c>
      <c r="M629" s="383">
        <f t="shared" si="105"/>
        <v>236.6</v>
      </c>
      <c r="N629" s="383">
        <f t="shared" si="105"/>
        <v>236.6</v>
      </c>
      <c r="O629" s="383">
        <f t="shared" si="105"/>
        <v>236.6</v>
      </c>
      <c r="P629" s="383">
        <f t="shared" si="105"/>
        <v>236.6</v>
      </c>
      <c r="Q629" s="383">
        <f t="shared" si="105"/>
        <v>236.6</v>
      </c>
      <c r="R629" s="383">
        <f t="shared" si="105"/>
        <v>236.6</v>
      </c>
      <c r="S629" s="384">
        <f t="shared" si="104"/>
        <v>2602.6</v>
      </c>
      <c r="T629" s="381" t="s">
        <v>595</v>
      </c>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row>
    <row r="630" ht="15.0" customHeight="1" outlineLevel="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row>
    <row r="631" ht="18.75" customHeight="1" outlineLevel="1">
      <c r="A631" s="17"/>
      <c r="B631" s="17"/>
      <c r="C631" s="17"/>
      <c r="D631" s="17"/>
      <c r="E631" s="17"/>
      <c r="F631" s="17"/>
      <c r="G631" s="10" t="s">
        <v>1150</v>
      </c>
      <c r="H631" s="289">
        <f t="shared" ref="H631:H634" si="106">H625</f>
        <v>43.3</v>
      </c>
      <c r="I631" s="289">
        <f t="array" ref="I631">I625*(1-Gain_eff_Informatique)^(I$2-Année_référence)</f>
        <v>42.867</v>
      </c>
      <c r="J631" s="289">
        <f t="array" ref="J631">J625*(1-Gain_eff_Informatique)^(J$2-Année_référence)</f>
        <v>42.43833</v>
      </c>
      <c r="K631" s="289">
        <f t="array" ref="K631">K625*(1-Gain_eff_Informatique)^(K$2-Année_référence)</f>
        <v>42.0139467</v>
      </c>
      <c r="L631" s="289">
        <f t="array" ref="L631">L625*(1-Gain_eff_Informatique)^(L$2-Année_référence)</f>
        <v>41.59380723</v>
      </c>
      <c r="M631" s="289">
        <f t="array" ref="M631">M625*(1-Gain_eff_Informatique)^(M$2-Année_référence)</f>
        <v>41.17786916</v>
      </c>
      <c r="N631" s="289">
        <f t="array" ref="N631">N625*(1-Gain_eff_Informatique)^(N$2-Année_référence)</f>
        <v>40.76609047</v>
      </c>
      <c r="O631" s="289">
        <f t="array" ref="O631">O625*(1-Gain_eff_Informatique)^(O$2-Année_référence)</f>
        <v>40.35842956</v>
      </c>
      <c r="P631" s="289">
        <f t="array" ref="P631">P625*(1-Gain_eff_Informatique)^(P$2-Année_référence)</f>
        <v>39.95484527</v>
      </c>
      <c r="Q631" s="289">
        <f t="array" ref="Q631">Q625*(1-Gain_eff_Informatique)^(Q$2-Année_référence)</f>
        <v>39.55529682</v>
      </c>
      <c r="R631" s="289">
        <f t="array" ref="R631">R625*(1-Gain_eff_Informatique)^(R$2-Année_référence)</f>
        <v>39.15974385</v>
      </c>
      <c r="S631" s="32">
        <f t="shared" ref="S631:S635" si="107">SUM(H631:R631)</f>
        <v>453.1853591</v>
      </c>
      <c r="T631" s="17" t="s">
        <v>595</v>
      </c>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row>
    <row r="632" ht="18.75" customHeight="1" outlineLevel="1">
      <c r="A632" s="17"/>
      <c r="B632" s="17"/>
      <c r="C632" s="17"/>
      <c r="D632" s="17"/>
      <c r="E632" s="17"/>
      <c r="F632" s="17"/>
      <c r="G632" s="10" t="s">
        <v>1151</v>
      </c>
      <c r="H632" s="289">
        <f t="shared" si="106"/>
        <v>46.5</v>
      </c>
      <c r="I632" s="289">
        <f t="array" ref="I632">I626*(1-Gain_eff_Textiles)^(I$2-Année_référence)</f>
        <v>46.035</v>
      </c>
      <c r="J632" s="289">
        <f t="array" ref="J632">J626*(1-Gain_eff_Textiles)^(J$2-Année_référence)</f>
        <v>45.57465</v>
      </c>
      <c r="K632" s="289">
        <f t="array" ref="K632">K626*(1-Gain_eff_Textiles)^(K$2-Année_référence)</f>
        <v>45.1189035</v>
      </c>
      <c r="L632" s="289">
        <f t="array" ref="L632">L626*(1-Gain_eff_Textiles)^(L$2-Année_référence)</f>
        <v>44.66771447</v>
      </c>
      <c r="M632" s="289">
        <f t="array" ref="M632">M626*(1-Gain_eff_Textiles)^(M$2-Année_référence)</f>
        <v>44.22103732</v>
      </c>
      <c r="N632" s="289">
        <f t="array" ref="N632">N626*(1-Gain_eff_Textiles)^(N$2-Année_référence)</f>
        <v>43.77882695</v>
      </c>
      <c r="O632" s="289">
        <f t="array" ref="O632">O626*(1-Gain_eff_Textiles)^(O$2-Année_référence)</f>
        <v>43.34103868</v>
      </c>
      <c r="P632" s="289">
        <f t="array" ref="P632">P626*(1-Gain_eff_Textiles)^(P$2-Année_référence)</f>
        <v>42.90762829</v>
      </c>
      <c r="Q632" s="289">
        <f t="array" ref="Q632">Q626*(1-Gain_eff_Textiles)^(Q$2-Année_référence)</f>
        <v>42.47855201</v>
      </c>
      <c r="R632" s="289">
        <f t="array" ref="R632">R626*(1-Gain_eff_Textiles)^(R$2-Année_référence)</f>
        <v>42.05376649</v>
      </c>
      <c r="S632" s="32">
        <f t="shared" si="107"/>
        <v>486.6771177</v>
      </c>
      <c r="T632" s="17" t="s">
        <v>595</v>
      </c>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row>
    <row r="633" ht="18.75" customHeight="1" outlineLevel="1">
      <c r="A633" s="17"/>
      <c r="B633" s="17"/>
      <c r="C633" s="17"/>
      <c r="D633" s="17"/>
      <c r="E633" s="17"/>
      <c r="F633" s="17"/>
      <c r="G633" s="10" t="s">
        <v>1152</v>
      </c>
      <c r="H633" s="289">
        <f t="shared" si="106"/>
        <v>27.3</v>
      </c>
      <c r="I633" s="289">
        <f t="array" ref="I633">I627*(1-Gain_eff_Autres_biens)^(I$2-Année_référence)</f>
        <v>27.027</v>
      </c>
      <c r="J633" s="289">
        <f t="array" ref="J633">J627*(1-Gain_eff_Autres_biens)^(J$2-Année_référence)</f>
        <v>26.75673</v>
      </c>
      <c r="K633" s="289">
        <f t="array" ref="K633">K627*(1-Gain_eff_Autres_biens)^(K$2-Année_référence)</f>
        <v>26.4891627</v>
      </c>
      <c r="L633" s="289">
        <f t="array" ref="L633">L627*(1-Gain_eff_Autres_biens)^(L$2-Année_référence)</f>
        <v>26.22427107</v>
      </c>
      <c r="M633" s="289">
        <f t="array" ref="M633">M627*(1-Gain_eff_Autres_biens)^(M$2-Année_référence)</f>
        <v>25.96202836</v>
      </c>
      <c r="N633" s="289">
        <f t="array" ref="N633">N627*(1-Gain_eff_Autres_biens)^(N$2-Année_référence)</f>
        <v>25.70240808</v>
      </c>
      <c r="O633" s="289">
        <f t="array" ref="O633">O627*(1-Gain_eff_Autres_biens)^(O$2-Année_référence)</f>
        <v>25.445384</v>
      </c>
      <c r="P633" s="289">
        <f t="array" ref="P633">P627*(1-Gain_eff_Autres_biens)^(P$2-Année_référence)</f>
        <v>25.19093016</v>
      </c>
      <c r="Q633" s="289">
        <f t="array" ref="Q633">Q627*(1-Gain_eff_Autres_biens)^(Q$2-Année_référence)</f>
        <v>24.93902086</v>
      </c>
      <c r="R633" s="289">
        <f t="array" ref="R633">R627*(1-Gain_eff_Autres_biens)^(R$2-Année_référence)</f>
        <v>24.68963065</v>
      </c>
      <c r="S633" s="32">
        <f t="shared" si="107"/>
        <v>285.7265659</v>
      </c>
      <c r="T633" s="17" t="s">
        <v>595</v>
      </c>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row>
    <row r="634" ht="18.75" customHeight="1" outlineLevel="1">
      <c r="A634" s="17"/>
      <c r="B634" s="17"/>
      <c r="C634" s="17"/>
      <c r="D634" s="17"/>
      <c r="E634" s="17"/>
      <c r="F634" s="17"/>
      <c r="G634" s="10" t="s">
        <v>1153</v>
      </c>
      <c r="H634" s="289">
        <f t="shared" si="106"/>
        <v>119.5</v>
      </c>
      <c r="I634" s="289">
        <f t="array" ref="I634">I628*(1-Gain_eff_Services)^(I$2-Année_référence)</f>
        <v>118.305</v>
      </c>
      <c r="J634" s="289">
        <f t="array" ref="J634">J628*(1-Gain_eff_Services)^(J$2-Année_référence)</f>
        <v>117.12195</v>
      </c>
      <c r="K634" s="289">
        <f t="array" ref="K634">K628*(1-Gain_eff_Services)^(K$2-Année_référence)</f>
        <v>115.9507305</v>
      </c>
      <c r="L634" s="289">
        <f t="array" ref="L634">L628*(1-Gain_eff_Services)^(L$2-Année_référence)</f>
        <v>114.7912232</v>
      </c>
      <c r="M634" s="289">
        <f t="array" ref="M634">M628*(1-Gain_eff_Services)^(M$2-Année_référence)</f>
        <v>113.643311</v>
      </c>
      <c r="N634" s="289">
        <f t="array" ref="N634">N628*(1-Gain_eff_Services)^(N$2-Année_référence)</f>
        <v>112.5068779</v>
      </c>
      <c r="O634" s="289">
        <f t="array" ref="O634">O628*(1-Gain_eff_Services)^(O$2-Année_référence)</f>
        <v>111.3818091</v>
      </c>
      <c r="P634" s="289">
        <f t="array" ref="P634">P628*(1-Gain_eff_Services)^(P$2-Année_référence)</f>
        <v>110.267991</v>
      </c>
      <c r="Q634" s="289">
        <f t="array" ref="Q634">Q628*(1-Gain_eff_Services)^(Q$2-Année_référence)</f>
        <v>109.1653111</v>
      </c>
      <c r="R634" s="289">
        <f t="array" ref="R634">R628*(1-Gain_eff_Services)^(R$2-Année_référence)</f>
        <v>108.073658</v>
      </c>
      <c r="S634" s="32">
        <f t="shared" si="107"/>
        <v>1250.707862</v>
      </c>
      <c r="T634" s="17" t="s">
        <v>595</v>
      </c>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row>
    <row r="635" ht="18.75" customHeight="1" outlineLevel="1">
      <c r="A635" s="17"/>
      <c r="B635" s="17"/>
      <c r="C635" s="17"/>
      <c r="D635" s="17"/>
      <c r="E635" s="17"/>
      <c r="F635" s="17"/>
      <c r="G635" s="382" t="s">
        <v>1154</v>
      </c>
      <c r="H635" s="383">
        <f t="shared" ref="H635:R635" si="108">SUM(H631:H634)</f>
        <v>236.6</v>
      </c>
      <c r="I635" s="383">
        <f t="shared" si="108"/>
        <v>234.234</v>
      </c>
      <c r="J635" s="383">
        <f t="shared" si="108"/>
        <v>231.89166</v>
      </c>
      <c r="K635" s="383">
        <f t="shared" si="108"/>
        <v>229.5727434</v>
      </c>
      <c r="L635" s="383">
        <f t="shared" si="108"/>
        <v>227.277016</v>
      </c>
      <c r="M635" s="383">
        <f t="shared" si="108"/>
        <v>225.0042458</v>
      </c>
      <c r="N635" s="383">
        <f t="shared" si="108"/>
        <v>222.7542033</v>
      </c>
      <c r="O635" s="383">
        <f t="shared" si="108"/>
        <v>220.5266613</v>
      </c>
      <c r="P635" s="383">
        <f t="shared" si="108"/>
        <v>218.3213947</v>
      </c>
      <c r="Q635" s="383">
        <f t="shared" si="108"/>
        <v>216.1381808</v>
      </c>
      <c r="R635" s="383">
        <f t="shared" si="108"/>
        <v>213.9767989</v>
      </c>
      <c r="S635" s="384">
        <f t="shared" si="107"/>
        <v>2476.296904</v>
      </c>
      <c r="T635" s="381" t="s">
        <v>595</v>
      </c>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c r="CI635" s="17"/>
      <c r="CJ635" s="17"/>
    </row>
    <row r="636" ht="18.75" customHeight="1" outlineLevel="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row>
    <row r="637" ht="18.75" customHeight="1" outlineLevel="1">
      <c r="C637" s="385" t="s">
        <v>1155</v>
      </c>
      <c r="D637" s="386" t="s">
        <v>1156</v>
      </c>
      <c r="E637" s="386" t="s">
        <v>1157</v>
      </c>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row>
    <row r="638" ht="18.75" customHeight="1" outlineLevel="1">
      <c r="C638" s="14">
        <v>2010.0</v>
      </c>
      <c r="D638" s="14"/>
      <c r="E638" s="14"/>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row>
    <row r="639" ht="18.75" customHeight="1" outlineLevel="1">
      <c r="C639" s="20" t="s">
        <v>344</v>
      </c>
      <c r="D639" s="27">
        <v>2457.0</v>
      </c>
      <c r="E639" s="27">
        <f t="shared" ref="E639:E652" si="109">0.067*D639</f>
        <v>164.619</v>
      </c>
      <c r="F639" s="15" t="s">
        <v>1158</v>
      </c>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row>
    <row r="640" ht="18.75" customHeight="1" outlineLevel="1">
      <c r="C640" s="261" t="s">
        <v>1159</v>
      </c>
      <c r="D640" s="27">
        <f>41%*D639</f>
        <v>1007.37</v>
      </c>
      <c r="E640" s="283">
        <f t="shared" si="109"/>
        <v>67.49379</v>
      </c>
      <c r="F640" s="15" t="s">
        <v>1158</v>
      </c>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row>
    <row r="641" ht="18.75" customHeight="1" outlineLevel="1">
      <c r="C641" s="261" t="s">
        <v>1160</v>
      </c>
      <c r="D641" s="27">
        <f>34%*D639</f>
        <v>835.38</v>
      </c>
      <c r="E641" s="283">
        <f t="shared" si="109"/>
        <v>55.97046</v>
      </c>
      <c r="F641" s="15" t="s">
        <v>1158</v>
      </c>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row>
    <row r="642" ht="18.75" customHeight="1" outlineLevel="1">
      <c r="C642" s="261" t="s">
        <v>1161</v>
      </c>
      <c r="D642" s="27">
        <f>25%*D639</f>
        <v>614.25</v>
      </c>
      <c r="E642" s="283">
        <f t="shared" si="109"/>
        <v>41.15475</v>
      </c>
      <c r="F642" s="15" t="s">
        <v>1158</v>
      </c>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row>
    <row r="643" ht="18.75" customHeight="1" outlineLevel="1">
      <c r="C643" s="20" t="s">
        <v>1162</v>
      </c>
      <c r="D643" s="27">
        <v>2393.0</v>
      </c>
      <c r="E643" s="27">
        <f t="shared" si="109"/>
        <v>160.331</v>
      </c>
      <c r="F643" s="15" t="s">
        <v>1158</v>
      </c>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row>
    <row r="644" ht="18.75" customHeight="1" outlineLevel="1">
      <c r="C644" s="261" t="s">
        <v>1163</v>
      </c>
      <c r="D644" s="27">
        <f>29%*D643</f>
        <v>693.97</v>
      </c>
      <c r="E644" s="320">
        <f t="shared" si="109"/>
        <v>46.49599</v>
      </c>
      <c r="F644" s="15" t="s">
        <v>1158</v>
      </c>
      <c r="M644" s="17"/>
      <c r="N644" s="387"/>
      <c r="O644" s="387"/>
      <c r="P644" s="38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row>
    <row r="645" ht="18.75" customHeight="1" outlineLevel="1">
      <c r="C645" s="261" t="s">
        <v>1164</v>
      </c>
      <c r="D645" s="27">
        <f>27%*D643</f>
        <v>646.11</v>
      </c>
      <c r="E645" s="320">
        <f t="shared" si="109"/>
        <v>43.28937</v>
      </c>
      <c r="F645" s="15" t="s">
        <v>1158</v>
      </c>
      <c r="M645" s="17"/>
      <c r="N645" s="387"/>
      <c r="O645" s="387"/>
      <c r="P645" s="38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row>
    <row r="646" ht="18.75" customHeight="1" outlineLevel="1">
      <c r="C646" s="261" t="s">
        <v>1165</v>
      </c>
      <c r="D646" s="27">
        <f>11%*D643</f>
        <v>263.23</v>
      </c>
      <c r="E646" s="283">
        <f t="shared" si="109"/>
        <v>17.63641</v>
      </c>
      <c r="F646" s="15" t="s">
        <v>1158</v>
      </c>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c r="CI646" s="17"/>
      <c r="CJ646" s="17"/>
    </row>
    <row r="647" ht="16.5" customHeight="1" outlineLevel="1">
      <c r="C647" s="261" t="s">
        <v>1166</v>
      </c>
      <c r="D647" s="27">
        <f>16%*D643</f>
        <v>382.88</v>
      </c>
      <c r="E647" s="27">
        <f t="shared" si="109"/>
        <v>25.65296</v>
      </c>
      <c r="F647" s="15" t="s">
        <v>1158</v>
      </c>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row>
    <row r="648" ht="15.75" customHeight="1" outlineLevel="1">
      <c r="C648" s="261" t="s">
        <v>1167</v>
      </c>
      <c r="D648" s="27">
        <f>6%*D643</f>
        <v>143.58</v>
      </c>
      <c r="E648" s="27">
        <f t="shared" si="109"/>
        <v>9.61986</v>
      </c>
      <c r="F648" s="15" t="s">
        <v>1158</v>
      </c>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row>
    <row r="649" ht="18.75" customHeight="1" outlineLevel="1">
      <c r="C649" s="261" t="s">
        <v>1168</v>
      </c>
      <c r="D649" s="27">
        <f>5%*D643</f>
        <v>119.65</v>
      </c>
      <c r="E649" s="27">
        <f t="shared" si="109"/>
        <v>8.01655</v>
      </c>
      <c r="F649" s="15" t="s">
        <v>1158</v>
      </c>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row>
    <row r="650" ht="18.75" customHeight="1" outlineLevel="1">
      <c r="C650" s="261" t="s">
        <v>1169</v>
      </c>
      <c r="D650" s="27">
        <f>6%*D643</f>
        <v>143.58</v>
      </c>
      <c r="E650" s="27">
        <f t="shared" si="109"/>
        <v>9.61986</v>
      </c>
      <c r="F650" s="15" t="s">
        <v>1158</v>
      </c>
      <c r="M650" s="273"/>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row>
    <row r="651" ht="18.75" customHeight="1" outlineLevel="1">
      <c r="C651" s="20" t="s">
        <v>17</v>
      </c>
      <c r="D651" s="27">
        <v>1838.0</v>
      </c>
      <c r="E651" s="27">
        <f t="shared" si="109"/>
        <v>123.146</v>
      </c>
      <c r="F651" s="15" t="s">
        <v>1158</v>
      </c>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row>
    <row r="652" ht="18.75" customHeight="1" outlineLevel="1">
      <c r="C652" s="261" t="s">
        <v>1170</v>
      </c>
      <c r="D652" s="27">
        <f>78%*D651</f>
        <v>1433.64</v>
      </c>
      <c r="E652" s="283">
        <f t="shared" si="109"/>
        <v>96.05388</v>
      </c>
      <c r="F652" s="15" t="s">
        <v>1158</v>
      </c>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row>
    <row r="653" ht="18.75" customHeight="1" outlineLevel="1">
      <c r="C653" s="261" t="s">
        <v>1171</v>
      </c>
      <c r="D653" s="27"/>
      <c r="E653" s="67">
        <v>31.7</v>
      </c>
      <c r="F653" s="15" t="s">
        <v>1158</v>
      </c>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row>
    <row r="654" ht="18.75" customHeight="1" outlineLevel="1">
      <c r="C654" s="261" t="s">
        <v>1161</v>
      </c>
      <c r="D654" s="27">
        <f>4%*D651</f>
        <v>73.52</v>
      </c>
      <c r="E654" s="27">
        <f t="shared" ref="E654:E666" si="110">0.067*D654</f>
        <v>4.92584</v>
      </c>
      <c r="F654" s="15" t="s">
        <v>1158</v>
      </c>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row>
    <row r="655" ht="18.75" customHeight="1" outlineLevel="1">
      <c r="A655" s="17"/>
      <c r="B655" s="17"/>
      <c r="C655" s="388" t="s">
        <v>238</v>
      </c>
      <c r="D655" s="27">
        <v>1783.0</v>
      </c>
      <c r="E655" s="27">
        <f t="shared" si="110"/>
        <v>119.461</v>
      </c>
      <c r="F655" s="15" t="s">
        <v>1158</v>
      </c>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row>
    <row r="656" ht="18.75" customHeight="1" outlineLevel="1">
      <c r="A656" s="17"/>
      <c r="B656" s="17"/>
      <c r="C656" s="261" t="s">
        <v>1172</v>
      </c>
      <c r="D656" s="27">
        <f>72%*D655</f>
        <v>1283.76</v>
      </c>
      <c r="E656" s="27">
        <f t="shared" si="110"/>
        <v>86.01192</v>
      </c>
      <c r="F656" s="15" t="s">
        <v>1158</v>
      </c>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row>
    <row r="657" ht="18.75" customHeight="1" outlineLevel="1">
      <c r="A657" s="17"/>
      <c r="B657" s="17"/>
      <c r="C657" s="261" t="s">
        <v>1173</v>
      </c>
      <c r="D657" s="27">
        <f>28%*D655</f>
        <v>499.24</v>
      </c>
      <c r="E657" s="27">
        <f t="shared" si="110"/>
        <v>33.44908</v>
      </c>
      <c r="F657" s="15" t="s">
        <v>1158</v>
      </c>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c r="CI657" s="17"/>
      <c r="CJ657" s="17"/>
    </row>
    <row r="658" ht="18.75" customHeight="1" outlineLevel="1">
      <c r="A658" s="17"/>
      <c r="B658" s="17"/>
      <c r="C658" s="20" t="s">
        <v>1174</v>
      </c>
      <c r="D658" s="27">
        <v>1556.0</v>
      </c>
      <c r="E658" s="27">
        <f t="shared" si="110"/>
        <v>104.252</v>
      </c>
      <c r="F658" s="15" t="s">
        <v>1158</v>
      </c>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row>
    <row r="659" ht="18.75" customHeight="1" outlineLevel="1">
      <c r="A659" s="17"/>
      <c r="B659" s="17"/>
      <c r="C659" s="261" t="s">
        <v>1175</v>
      </c>
      <c r="D659" s="27">
        <f>42%*D658</f>
        <v>653.52</v>
      </c>
      <c r="E659" s="27">
        <f t="shared" si="110"/>
        <v>43.78584</v>
      </c>
      <c r="F659" s="15" t="s">
        <v>1158</v>
      </c>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row>
    <row r="660" ht="18.75" customHeight="1" outlineLevel="1">
      <c r="A660" s="17"/>
      <c r="B660" s="17"/>
      <c r="C660" s="261" t="s">
        <v>1176</v>
      </c>
      <c r="D660" s="27">
        <f>32%*D658</f>
        <v>497.92</v>
      </c>
      <c r="E660" s="27">
        <f t="shared" si="110"/>
        <v>33.36064</v>
      </c>
      <c r="F660" s="15" t="s">
        <v>1158</v>
      </c>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row>
    <row r="661" ht="18.75" customHeight="1" outlineLevel="1">
      <c r="A661" s="17"/>
      <c r="B661" s="17"/>
      <c r="C661" s="261" t="s">
        <v>1177</v>
      </c>
      <c r="D661" s="27">
        <f>11%*D658</f>
        <v>171.16</v>
      </c>
      <c r="E661" s="27">
        <f t="shared" si="110"/>
        <v>11.46772</v>
      </c>
      <c r="F661" s="15" t="s">
        <v>1158</v>
      </c>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row>
    <row r="662" ht="18.75" customHeight="1" outlineLevel="1">
      <c r="A662" s="17"/>
      <c r="B662" s="17"/>
      <c r="C662" s="261" t="s">
        <v>1178</v>
      </c>
      <c r="D662" s="27">
        <f>11%*D658</f>
        <v>171.16</v>
      </c>
      <c r="E662" s="27">
        <f t="shared" si="110"/>
        <v>11.46772</v>
      </c>
      <c r="F662" s="15" t="s">
        <v>1158</v>
      </c>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row>
    <row r="663" ht="18.75" customHeight="1" outlineLevel="1">
      <c r="A663" s="17"/>
      <c r="B663" s="17"/>
      <c r="C663" s="261" t="s">
        <v>1179</v>
      </c>
      <c r="D663" s="27">
        <f>4%*D658</f>
        <v>62.24</v>
      </c>
      <c r="E663" s="27">
        <f t="shared" si="110"/>
        <v>4.17008</v>
      </c>
      <c r="F663" s="15" t="s">
        <v>1158</v>
      </c>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row>
    <row r="664" ht="18.75" customHeight="1" outlineLevel="1">
      <c r="A664" s="17"/>
      <c r="B664" s="17"/>
      <c r="C664" s="20" t="s">
        <v>1180</v>
      </c>
      <c r="D664" s="27">
        <v>370.0</v>
      </c>
      <c r="E664" s="27">
        <f t="shared" si="110"/>
        <v>24.79</v>
      </c>
      <c r="F664" s="15" t="s">
        <v>1158</v>
      </c>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row>
    <row r="665" ht="18.75" customHeight="1" outlineLevel="1">
      <c r="A665" s="17"/>
      <c r="B665" s="17"/>
      <c r="C665" s="261" t="s">
        <v>1181</v>
      </c>
      <c r="D665" s="27">
        <f>80%*D664</f>
        <v>296</v>
      </c>
      <c r="E665" s="27">
        <f t="shared" si="110"/>
        <v>19.832</v>
      </c>
      <c r="F665" s="15" t="s">
        <v>1158</v>
      </c>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row>
    <row r="666" ht="18.75" customHeight="1" outlineLevel="1">
      <c r="A666" s="17"/>
      <c r="B666" s="17"/>
      <c r="C666" s="261" t="s">
        <v>1182</v>
      </c>
      <c r="D666" s="27">
        <f>20%*D664</f>
        <v>74</v>
      </c>
      <c r="E666" s="27">
        <f t="shared" si="110"/>
        <v>4.958</v>
      </c>
      <c r="F666" s="15" t="s">
        <v>1158</v>
      </c>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row>
    <row r="667" ht="18.75" customHeight="1" outlineLevel="1">
      <c r="A667" s="17"/>
      <c r="B667" s="17"/>
      <c r="C667" s="17"/>
      <c r="D667" s="32"/>
      <c r="E667" s="32"/>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row>
    <row r="668" ht="18.75" customHeight="1" outlineLevel="1">
      <c r="A668" s="17"/>
      <c r="B668" s="17"/>
      <c r="C668" s="17"/>
      <c r="D668" s="32"/>
      <c r="E668" s="32"/>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c r="CI668" s="17"/>
      <c r="CJ668" s="17"/>
    </row>
    <row r="669" ht="18.75" customHeight="1" outlineLevel="1">
      <c r="A669" s="17"/>
      <c r="B669" s="17"/>
      <c r="C669" s="17"/>
      <c r="D669" s="32"/>
      <c r="E669" s="32"/>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row>
    <row r="670" ht="18.75" customHeight="1" outlineLevel="1">
      <c r="A670" s="17"/>
      <c r="B670" s="17"/>
      <c r="C670" s="17"/>
      <c r="D670" s="32"/>
      <c r="E670" s="32"/>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row>
    <row r="671" ht="18.75" customHeight="1" outlineLevel="1">
      <c r="A671" s="17"/>
      <c r="B671" s="17"/>
      <c r="C671" s="17"/>
      <c r="D671" s="32"/>
      <c r="E671" s="32"/>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row>
    <row r="672" ht="18.75" customHeight="1" outlineLevel="1">
      <c r="A672" s="17"/>
      <c r="B672" s="17"/>
      <c r="C672" s="17"/>
      <c r="D672" s="32"/>
      <c r="E672" s="32"/>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row>
    <row r="673" ht="18.75" customHeight="1" outlineLevel="1">
      <c r="A673" s="17"/>
      <c r="B673" s="17"/>
      <c r="C673" s="17"/>
      <c r="D673" s="32"/>
      <c r="E673" s="32"/>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row>
    <row r="674" ht="18.75" customHeight="1" outlineLevel="1">
      <c r="A674" s="17"/>
      <c r="B674" s="17"/>
      <c r="C674" s="17"/>
      <c r="D674" s="32"/>
      <c r="E674" s="32"/>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row>
    <row r="675" ht="18.75" customHeight="1" outlineLevel="1">
      <c r="A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row>
    <row r="676" ht="18.75" customHeight="1" outlineLevel="1">
      <c r="A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row>
    <row r="677" ht="18.75" customHeight="1" outlineLevel="1">
      <c r="A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row>
    <row r="678" ht="18.75" customHeight="1" outlineLevel="1">
      <c r="A678" s="109"/>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row>
    <row r="679" ht="18.75" customHeight="1" outlineLevel="1">
      <c r="A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row>
    <row r="680" ht="18.75" customHeight="1">
      <c r="A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c r="CI680" s="17"/>
      <c r="CJ680" s="17"/>
    </row>
    <row r="681" ht="18.75" customHeight="1">
      <c r="A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row>
    <row r="682" ht="18.75" customHeight="1">
      <c r="A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row>
    <row r="683" ht="18.75" customHeight="1">
      <c r="A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row>
    <row r="684" ht="18.75" customHeight="1">
      <c r="A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row>
    <row r="685" ht="18.75" customHeight="1">
      <c r="A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row>
    <row r="686" ht="18.75" customHeight="1">
      <c r="A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row>
    <row r="687" ht="18.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row>
    <row r="688" ht="18.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row>
    <row r="689" ht="18.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row>
    <row r="690" ht="18.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row>
    <row r="691" ht="18.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c r="CI691" s="17"/>
      <c r="CJ691" s="17"/>
    </row>
    <row r="692" ht="18.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row>
    <row r="693" ht="18.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row>
    <row r="694" ht="18.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row>
    <row r="695" ht="18.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row>
    <row r="696" ht="18.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row>
    <row r="697" ht="18.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row>
    <row r="698" ht="18.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row>
    <row r="699" ht="18.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row>
    <row r="700" ht="18.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row>
    <row r="701" ht="18.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row>
    <row r="702" ht="18.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17"/>
    </row>
    <row r="703" ht="18.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row>
    <row r="704" ht="18.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row>
    <row r="705" ht="18.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c r="CI713" s="17"/>
      <c r="CJ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row>
    <row r="740" ht="18.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row>
    <row r="741" ht="18.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row>
    <row r="742" ht="18.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row>
    <row r="743" ht="18.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row>
    <row r="744" ht="18.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row>
    <row r="745" ht="18.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row>
    <row r="746" ht="18.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row>
    <row r="747" ht="18.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row>
    <row r="748" ht="18.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row>
    <row r="749" ht="18.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row>
    <row r="750" ht="18.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row>
    <row r="751" ht="18.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row>
    <row r="752" ht="18.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row>
    <row r="753" ht="18.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row>
    <row r="754" ht="18.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row>
    <row r="755" ht="18.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row>
    <row r="756" ht="18.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row>
    <row r="757" ht="18.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row>
    <row r="758" ht="18.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row>
    <row r="759" ht="18.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row>
    <row r="760" ht="18.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row>
    <row r="761" ht="18.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row>
    <row r="762" ht="18.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row>
    <row r="763" ht="18.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row>
    <row r="764" ht="18.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row>
    <row r="765" ht="18.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row>
    <row r="766" ht="18.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row>
    <row r="767" ht="18.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row>
    <row r="768" ht="18.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389" t="s">
        <v>1183</v>
      </c>
      <c r="AF768" s="390" t="s">
        <v>1184</v>
      </c>
      <c r="AG768" s="390" t="s">
        <v>1185</v>
      </c>
      <c r="AH768" s="391" t="s">
        <v>1186</v>
      </c>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row>
    <row r="769" ht="18.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392" t="s">
        <v>1187</v>
      </c>
      <c r="AF769" s="205" t="s">
        <v>1188</v>
      </c>
      <c r="AG769" s="205" t="s">
        <v>1189</v>
      </c>
      <c r="AH769" s="393" t="s">
        <v>1190</v>
      </c>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row>
    <row r="770" ht="18.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row>
    <row r="771" ht="18.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row>
    <row r="772" ht="18.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row>
    <row r="773" ht="18.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t="s">
        <v>1191</v>
      </c>
      <c r="AF773" s="17"/>
      <c r="AG773" s="17"/>
      <c r="AH773" s="17" t="str">
        <f>IF(#REF!&gt;=45,"Trajectoire RCP8.5 / +3,2-5,4°C en 2100", IF(AND(#REF!&lt;45,#REF!&gt;=30), "Trajectoire comprise entre RCP 4,5 et RCP6 / +1,7-3,7°C en 2100", IF(#REF!&lt;30,"Trajectoire RCP2.6 / +0,9-2,3°C en 2100",FALSE)))</f>
        <v>#REF!</v>
      </c>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row>
    <row r="774" ht="18.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row>
    <row r="775" ht="18.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row>
    <row r="776" ht="18.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row>
    <row r="777" ht="18.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t="s">
        <v>1192</v>
      </c>
      <c r="AF777" s="17"/>
      <c r="AG777" s="17"/>
      <c r="AH777" s="17" t="str">
        <f>IF(#REF!&gt;=45,"Trajectoire RCP8.5 / +3,2-5,4°C en 2100", IF(AND(#REF!&lt;45,#REF!&gt;=30), "Trajectoire comprise entre RCP 4,5 et RCP6 / +1,7-3,7°C en 2100", IF(#REF!&lt;30,"Trajectoire RCP2.6 / +0,9-2,3°C en 2100",FALSE)))</f>
        <v>#REF!</v>
      </c>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row>
    <row r="778" ht="18.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row>
    <row r="779" ht="18.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row>
    <row r="780" ht="18.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394" t="s">
        <v>1193</v>
      </c>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row>
    <row r="781" ht="18.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row>
    <row r="782" ht="18.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row>
    <row r="783" ht="18.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row>
    <row r="784" ht="18.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row>
    <row r="785" ht="18.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row>
    <row r="786" ht="18.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row>
    <row r="787" ht="18.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row>
    <row r="788" ht="18.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row>
    <row r="789" ht="18.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row>
    <row r="790" ht="18.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row>
    <row r="791" ht="18.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row>
    <row r="792" ht="18.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row>
    <row r="793" ht="18.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row>
    <row r="794" ht="18.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row>
    <row r="795" ht="18.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row>
    <row r="796" ht="18.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row>
    <row r="797" ht="18.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row>
    <row r="798" ht="18.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row>
    <row r="799" ht="18.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row>
    <row r="800" ht="18.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row>
    <row r="801" ht="18.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row>
    <row r="802" ht="18.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row>
    <row r="803" ht="18.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row>
    <row r="804" ht="18.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row>
    <row r="805" ht="18.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row>
    <row r="806" ht="18.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row>
    <row r="807" ht="18.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row>
    <row r="808" ht="18.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row>
    <row r="809" ht="18.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row>
    <row r="810" ht="18.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row>
    <row r="811" ht="18.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row>
    <row r="812" ht="18.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row>
    <row r="813" ht="18.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row>
    <row r="814" ht="18.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row>
    <row r="815" ht="18.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row>
    <row r="816" ht="18.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row>
    <row r="817" ht="18.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row>
    <row r="818" ht="18.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row>
    <row r="819" ht="18.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row>
    <row r="820" ht="18.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row>
    <row r="821" ht="18.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row>
    <row r="822" ht="18.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row>
    <row r="823" ht="18.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row>
    <row r="824" ht="18.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row>
    <row r="825" ht="18.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row>
    <row r="826" ht="18.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row>
    <row r="827" ht="18.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row>
    <row r="828" ht="18.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row>
    <row r="829" ht="18.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row>
    <row r="830" ht="18.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row>
    <row r="831" ht="18.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row>
    <row r="832" ht="18.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row>
    <row r="833" ht="18.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row>
    <row r="834" ht="18.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row>
    <row r="835" ht="18.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row>
    <row r="836" ht="18.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row>
    <row r="837" ht="18.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row>
    <row r="838" ht="18.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row>
    <row r="839" ht="18.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row>
    <row r="840" ht="18.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row>
    <row r="841" ht="18.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row>
    <row r="842" ht="18.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row>
    <row r="843" ht="18.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row>
    <row r="844" ht="18.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row>
    <row r="845" ht="18.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row>
    <row r="846" ht="18.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row>
    <row r="847" ht="18.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row>
    <row r="848" ht="18.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row>
    <row r="849" ht="18.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row>
    <row r="850" ht="18.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row>
    <row r="851" ht="18.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row>
    <row r="852" ht="18.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row>
    <row r="853" ht="18.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row>
    <row r="854" ht="18.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row>
    <row r="855" ht="18.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row>
    <row r="856" ht="18.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row>
    <row r="857" ht="18.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row>
    <row r="858" ht="18.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row>
    <row r="859" ht="18.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row>
    <row r="860" ht="18.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row>
    <row r="861" ht="18.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row>
    <row r="862" ht="18.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row>
    <row r="863" ht="18.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row>
    <row r="864" ht="18.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row>
    <row r="865" ht="18.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row>
    <row r="866" ht="18.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row>
    <row r="867" ht="18.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row>
    <row r="868" ht="18.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row>
    <row r="869" ht="18.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row>
    <row r="870" ht="18.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row>
    <row r="871" ht="18.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row>
    <row r="872" ht="18.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row>
    <row r="873" ht="18.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row>
    <row r="874" ht="18.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row>
    <row r="875" ht="18.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row>
    <row r="876" ht="18.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row>
    <row r="877" ht="18.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row>
    <row r="878" ht="18.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row>
    <row r="879" ht="18.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row>
    <row r="880" ht="18.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row>
    <row r="881" ht="18.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row>
    <row r="882" ht="18.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row>
    <row r="883" ht="18.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row>
    <row r="884" ht="18.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row>
    <row r="885" ht="18.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row>
    <row r="886" ht="18.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row>
    <row r="887" ht="18.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row>
    <row r="888" ht="18.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row>
    <row r="889" ht="18.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row>
    <row r="890" ht="18.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row>
    <row r="891" ht="18.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row>
    <row r="892" ht="18.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row>
    <row r="893" ht="18.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row>
    <row r="894" ht="18.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row>
    <row r="895" ht="18.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row>
    <row r="896" ht="18.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row>
    <row r="897" ht="18.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row>
    <row r="898" ht="18.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row>
    <row r="899" ht="18.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row>
    <row r="900" ht="18.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row>
    <row r="901" ht="18.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row>
    <row r="902" ht="18.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row>
    <row r="903" ht="18.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row>
    <row r="904" ht="18.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row>
    <row r="905" ht="18.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row>
    <row r="906" ht="18.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row>
    <row r="907" ht="18.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row>
    <row r="908" ht="18.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row>
    <row r="909" ht="18.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row>
    <row r="910" ht="18.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row>
    <row r="911" ht="18.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row>
    <row r="912" ht="18.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row>
    <row r="913" ht="18.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row>
    <row r="914" ht="18.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row>
    <row r="915" ht="18.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row>
    <row r="916" ht="18.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row>
    <row r="917" ht="18.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row>
    <row r="918" ht="18.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row>
    <row r="919" ht="18.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row>
    <row r="920" ht="18.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row>
    <row r="921" ht="18.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row>
    <row r="922" ht="18.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row>
    <row r="923" ht="18.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row>
    <row r="924" ht="18.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row>
    <row r="925" ht="18.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row>
    <row r="926" ht="18.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row>
    <row r="927" ht="18.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row>
    <row r="928" ht="18.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row>
    <row r="929" ht="18.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row>
    <row r="930" ht="18.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row>
    <row r="931" ht="18.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row>
    <row r="932" ht="18.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row>
    <row r="933" ht="18.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row>
    <row r="934" ht="18.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row>
    <row r="935" ht="18.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row>
    <row r="936" ht="18.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row>
    <row r="937" ht="18.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row>
    <row r="938" ht="18.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row>
    <row r="939" ht="18.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row>
    <row r="940" ht="18.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row>
    <row r="941" ht="18.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row>
    <row r="942" ht="18.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row>
    <row r="943" ht="18.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row>
    <row r="944" ht="18.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row>
    <row r="945" ht="18.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row>
    <row r="946" ht="18.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row>
    <row r="947" ht="18.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row>
    <row r="948" ht="18.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row>
    <row r="949" ht="18.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row>
    <row r="950" ht="18.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row>
    <row r="951" ht="18.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row>
    <row r="952" ht="18.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row>
    <row r="953" ht="18.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row>
    <row r="954" ht="18.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row>
    <row r="955" ht="18.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row>
    <row r="956" ht="18.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row>
    <row r="957" ht="18.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row>
    <row r="958" ht="18.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row>
    <row r="959" ht="18.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row>
    <row r="960" ht="18.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row>
    <row r="961" ht="18.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row>
    <row r="962" ht="18.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row>
    <row r="963" ht="18.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row>
    <row r="964" ht="18.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row>
    <row r="965" ht="18.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row>
    <row r="966" ht="18.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row>
    <row r="967" ht="18.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row>
    <row r="968" ht="18.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row>
    <row r="969" ht="18.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row>
    <row r="970" ht="18.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row>
    <row r="971" ht="18.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row>
    <row r="972" ht="18.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row>
    <row r="973" ht="18.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row>
    <row r="974" ht="18.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row>
    <row r="975" ht="18.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row>
    <row r="976" ht="18.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c r="CI976" s="17"/>
      <c r="CJ976" s="17"/>
    </row>
    <row r="977" ht="18.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c r="CI977" s="17"/>
      <c r="CJ977" s="17"/>
    </row>
    <row r="978" ht="18.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c r="CI978" s="17"/>
      <c r="CJ978" s="17"/>
    </row>
    <row r="979" ht="18.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row>
    <row r="980" ht="18.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c r="CI980" s="17"/>
      <c r="CJ980" s="17"/>
    </row>
  </sheetData>
  <mergeCells count="78">
    <mergeCell ref="C291:E291"/>
    <mergeCell ref="C296:E296"/>
    <mergeCell ref="C302:E302"/>
    <mergeCell ref="G307:S307"/>
    <mergeCell ref="G312:R312"/>
    <mergeCell ref="G318:R318"/>
    <mergeCell ref="G326:R326"/>
    <mergeCell ref="G335:R335"/>
    <mergeCell ref="G346:R346"/>
    <mergeCell ref="G352:R352"/>
    <mergeCell ref="G360:R360"/>
    <mergeCell ref="C366:D366"/>
    <mergeCell ref="C375:D375"/>
    <mergeCell ref="C379:D379"/>
    <mergeCell ref="C384:D384"/>
    <mergeCell ref="G392:R392"/>
    <mergeCell ref="G400:R400"/>
    <mergeCell ref="G404:R404"/>
    <mergeCell ref="G416:R416"/>
    <mergeCell ref="G421:R421"/>
    <mergeCell ref="C433:D433"/>
    <mergeCell ref="G555:R555"/>
    <mergeCell ref="G562:R562"/>
    <mergeCell ref="G589:R589"/>
    <mergeCell ref="G604:R604"/>
    <mergeCell ref="G612:R612"/>
    <mergeCell ref="G624:R624"/>
    <mergeCell ref="C441:D441"/>
    <mergeCell ref="C460:D460"/>
    <mergeCell ref="G485:R485"/>
    <mergeCell ref="C499:D499"/>
    <mergeCell ref="G526:R526"/>
    <mergeCell ref="G533:R533"/>
    <mergeCell ref="G543:R543"/>
    <mergeCell ref="F2:G2"/>
    <mergeCell ref="A4:H4"/>
    <mergeCell ref="A45:B45"/>
    <mergeCell ref="F46:F48"/>
    <mergeCell ref="B56:C56"/>
    <mergeCell ref="B62:C62"/>
    <mergeCell ref="B68:C68"/>
    <mergeCell ref="A74:B74"/>
    <mergeCell ref="F75:F77"/>
    <mergeCell ref="B85:C85"/>
    <mergeCell ref="B91:C91"/>
    <mergeCell ref="B97:C97"/>
    <mergeCell ref="A103:H103"/>
    <mergeCell ref="G113:R113"/>
    <mergeCell ref="F108:F109"/>
    <mergeCell ref="F115:F117"/>
    <mergeCell ref="F119:F121"/>
    <mergeCell ref="F122:F125"/>
    <mergeCell ref="F126:F129"/>
    <mergeCell ref="C134:D134"/>
    <mergeCell ref="G147:R147"/>
    <mergeCell ref="C183:D183"/>
    <mergeCell ref="G197:CJ197"/>
    <mergeCell ref="F149:F151"/>
    <mergeCell ref="F153:F155"/>
    <mergeCell ref="F156:F159"/>
    <mergeCell ref="F160:F163"/>
    <mergeCell ref="G175:R175"/>
    <mergeCell ref="G177:J177"/>
    <mergeCell ref="G181:J181"/>
    <mergeCell ref="G204:J204"/>
    <mergeCell ref="L206:M206"/>
    <mergeCell ref="L207:M207"/>
    <mergeCell ref="L208:M208"/>
    <mergeCell ref="L209:M209"/>
    <mergeCell ref="L210:M210"/>
    <mergeCell ref="G212:H212"/>
    <mergeCell ref="G217:H217"/>
    <mergeCell ref="H230:L230"/>
    <mergeCell ref="C249:E249"/>
    <mergeCell ref="C263:E263"/>
    <mergeCell ref="C270:E270"/>
    <mergeCell ref="C272:E272"/>
    <mergeCell ref="C277:E277"/>
  </mergeCells>
  <hyperlinks>
    <hyperlink display="Scénario" location="Calculs!A4" ref="A1"/>
    <hyperlink display="Résultats" location="Calculs!A103" ref="B1"/>
    <hyperlink display="Bâtiments" location="Calculs!A214" ref="C1"/>
    <hyperlink display="Transports" location="Calculs!C442" ref="D1"/>
    <hyperlink display="Energie)" location="null!A372" ref="E1"/>
    <hyperlink display="Agriculture" location="Calculs!B550" ref="F1"/>
    <hyperlink display="Biens et consommation" location="Calculs!C585" ref="G1"/>
    <hyperlink r:id="rId1" ref="I238"/>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6.13"/>
    <col customWidth="1" min="3" max="3" width="20.5"/>
    <col customWidth="1" min="4" max="4" width="19.63"/>
    <col customWidth="1" min="5" max="7" width="5.13"/>
    <col customWidth="1" min="8" max="9" width="19.25"/>
    <col customWidth="1" min="10" max="24" width="41.0"/>
  </cols>
  <sheetData>
    <row r="1" ht="13.5" customHeight="1">
      <c r="A1" s="1" t="s">
        <v>0</v>
      </c>
      <c r="B1" s="2" t="s">
        <v>1</v>
      </c>
      <c r="C1" s="2" t="s">
        <v>2</v>
      </c>
      <c r="D1" s="2" t="s">
        <v>3</v>
      </c>
      <c r="E1" s="3" t="s">
        <v>4</v>
      </c>
      <c r="F1" s="3" t="s">
        <v>5</v>
      </c>
      <c r="G1" s="3" t="s">
        <v>6</v>
      </c>
      <c r="H1" s="4" t="s">
        <v>7</v>
      </c>
      <c r="I1" s="4" t="s">
        <v>8</v>
      </c>
    </row>
    <row r="2" ht="13.5" customHeight="1">
      <c r="A2" s="5"/>
      <c r="B2" s="6"/>
      <c r="C2" s="6" t="s">
        <v>9</v>
      </c>
      <c r="D2" s="6" t="s">
        <v>10</v>
      </c>
      <c r="E2" s="6"/>
      <c r="F2" s="6"/>
      <c r="G2" s="6"/>
      <c r="H2" s="7" t="s">
        <v>11</v>
      </c>
      <c r="I2" s="7" t="s">
        <v>12</v>
      </c>
    </row>
    <row r="3" ht="13.5" customHeight="1">
      <c r="A3" s="8">
        <v>0.0</v>
      </c>
      <c r="B3" s="9" t="s">
        <v>13</v>
      </c>
      <c r="C3" s="10" t="s">
        <v>14</v>
      </c>
      <c r="D3" s="11" t="str">
        <f t="shared" ref="D3:D9" si="1">$C3 &amp; " " &amp;  D$1 &amp;   " Lorem ipsum dolor sit amet"</f>
        <v>Bâtiments description Lorem ipsum dolor sit amet</v>
      </c>
      <c r="E3" s="12"/>
      <c r="F3" s="12"/>
      <c r="G3" s="12"/>
      <c r="H3" s="13" t="s">
        <v>15</v>
      </c>
      <c r="I3" s="13" t="s">
        <v>16</v>
      </c>
    </row>
    <row r="4" ht="13.5" customHeight="1">
      <c r="A4" s="8">
        <v>1.0</v>
      </c>
      <c r="B4" s="9" t="s">
        <v>13</v>
      </c>
      <c r="C4" s="10" t="s">
        <v>17</v>
      </c>
      <c r="D4" s="11" t="str">
        <f t="shared" si="1"/>
        <v>Transports description Lorem ipsum dolor sit amet</v>
      </c>
      <c r="E4" s="12"/>
      <c r="F4" s="12"/>
      <c r="G4" s="12"/>
      <c r="H4" s="13" t="s">
        <v>18</v>
      </c>
      <c r="I4" s="13" t="s">
        <v>19</v>
      </c>
    </row>
    <row r="5" ht="13.5" customHeight="1">
      <c r="A5" s="8">
        <v>2.0</v>
      </c>
      <c r="B5" s="9" t="s">
        <v>13</v>
      </c>
      <c r="C5" s="10" t="s">
        <v>20</v>
      </c>
      <c r="D5" s="11" t="str">
        <f t="shared" si="1"/>
        <v>Agriculture et alimentation description Lorem ipsum dolor sit amet</v>
      </c>
      <c r="E5" s="12"/>
      <c r="F5" s="12"/>
      <c r="G5" s="12"/>
      <c r="H5" s="13" t="s">
        <v>21</v>
      </c>
      <c r="I5" s="13" t="s">
        <v>22</v>
      </c>
    </row>
    <row r="6" ht="13.5" customHeight="1">
      <c r="A6" s="8">
        <v>3.0</v>
      </c>
      <c r="B6" s="9" t="s">
        <v>13</v>
      </c>
      <c r="C6" s="14" t="s">
        <v>23</v>
      </c>
      <c r="D6" s="11" t="str">
        <f t="shared" si="1"/>
        <v>Biens et services description Lorem ipsum dolor sit amet</v>
      </c>
      <c r="E6" s="12"/>
      <c r="F6" s="12"/>
      <c r="G6" s="12"/>
      <c r="H6" s="13" t="s">
        <v>24</v>
      </c>
      <c r="I6" s="13" t="s">
        <v>25</v>
      </c>
    </row>
    <row r="7" ht="13.5" customHeight="1">
      <c r="A7" s="8">
        <v>4.0</v>
      </c>
      <c r="B7" s="9" t="s">
        <v>13</v>
      </c>
      <c r="C7" s="14" t="s">
        <v>26</v>
      </c>
      <c r="D7" s="11" t="str">
        <f t="shared" si="1"/>
        <v>Énergie description Lorem ipsum dolor sit amet</v>
      </c>
      <c r="E7" s="12"/>
      <c r="F7" s="12"/>
      <c r="G7" s="12"/>
      <c r="H7" s="13" t="s">
        <v>27</v>
      </c>
      <c r="I7" s="13" t="s">
        <v>28</v>
      </c>
      <c r="J7" s="15"/>
      <c r="K7" s="15"/>
      <c r="L7" s="15"/>
      <c r="M7" s="15"/>
      <c r="N7" s="15"/>
      <c r="O7" s="15"/>
      <c r="P7" s="15"/>
      <c r="Q7" s="15"/>
      <c r="R7" s="15"/>
      <c r="S7" s="15"/>
      <c r="T7" s="15"/>
      <c r="U7" s="15"/>
      <c r="V7" s="15"/>
      <c r="W7" s="15"/>
      <c r="X7" s="15"/>
    </row>
    <row r="8" ht="13.5" customHeight="1">
      <c r="A8" s="8">
        <v>5.0</v>
      </c>
      <c r="B8" s="9" t="s">
        <v>13</v>
      </c>
      <c r="C8" s="10" t="s">
        <v>29</v>
      </c>
      <c r="D8" s="11" t="str">
        <f t="shared" si="1"/>
        <v>Trajectoire description Lorem ipsum dolor sit amet</v>
      </c>
      <c r="E8" s="12"/>
      <c r="F8" s="12"/>
      <c r="G8" s="12"/>
      <c r="H8" s="16" t="s">
        <v>30</v>
      </c>
      <c r="I8" s="16" t="s">
        <v>30</v>
      </c>
    </row>
    <row r="9" ht="13.5" customHeight="1">
      <c r="A9" s="8">
        <v>6.0</v>
      </c>
      <c r="B9" s="9" t="s">
        <v>31</v>
      </c>
      <c r="C9" s="10" t="s">
        <v>32</v>
      </c>
      <c r="D9" s="11" t="str">
        <f t="shared" si="1"/>
        <v>Paramètres description Lorem ipsum dolor sit amet</v>
      </c>
      <c r="E9" s="12"/>
      <c r="F9" s="12"/>
      <c r="G9" s="12"/>
      <c r="H9" s="16" t="s">
        <v>30</v>
      </c>
      <c r="I9" s="16" t="s">
        <v>30</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outlineLevelCol="1"/>
  <cols>
    <col customWidth="1" min="1" max="6" width="10.88"/>
    <col customWidth="1" min="7" max="7" width="29.75"/>
    <col customWidth="1" min="8" max="9" width="10.88"/>
    <col customWidth="1" min="10" max="10" width="22.75"/>
    <col customWidth="1" min="11" max="15" width="10.88"/>
    <col customWidth="1" min="16" max="19" width="71.88" outlineLevel="1"/>
    <col customWidth="1" min="20" max="20" width="48.25" outlineLevel="1"/>
    <col customWidth="1" min="21" max="32" width="10.88" outlineLevel="1"/>
    <col customWidth="1" min="33" max="45" width="10.88"/>
  </cols>
  <sheetData>
    <row r="1" ht="13.5" customHeight="1">
      <c r="A1" s="1" t="s">
        <v>34</v>
      </c>
      <c r="B1" s="18" t="s">
        <v>35</v>
      </c>
      <c r="C1" s="1" t="s">
        <v>1</v>
      </c>
      <c r="D1" s="1" t="s">
        <v>37</v>
      </c>
      <c r="E1" s="1" t="s">
        <v>39</v>
      </c>
      <c r="F1" s="1" t="s">
        <v>40</v>
      </c>
      <c r="G1" s="1" t="s">
        <v>3</v>
      </c>
      <c r="H1" s="21" t="s">
        <v>41</v>
      </c>
      <c r="I1" s="21" t="s">
        <v>44</v>
      </c>
      <c r="J1" s="21" t="s">
        <v>45</v>
      </c>
      <c r="K1" s="21" t="s">
        <v>46</v>
      </c>
      <c r="L1" s="21" t="s">
        <v>47</v>
      </c>
      <c r="M1" s="21" t="s">
        <v>48</v>
      </c>
      <c r="N1" s="21" t="s">
        <v>49</v>
      </c>
      <c r="O1" s="21" t="s">
        <v>50</v>
      </c>
      <c r="P1" s="23" t="s">
        <v>51</v>
      </c>
      <c r="Q1" s="23" t="s">
        <v>56</v>
      </c>
      <c r="R1" s="24" t="s">
        <v>57</v>
      </c>
      <c r="S1" s="24" t="s">
        <v>59</v>
      </c>
      <c r="T1" s="23" t="s">
        <v>56</v>
      </c>
      <c r="U1" s="23" t="s">
        <v>60</v>
      </c>
      <c r="V1" s="23"/>
    </row>
    <row r="2" ht="13.5" customHeight="1">
      <c r="A2" s="26"/>
      <c r="B2" s="28"/>
      <c r="C2" s="29"/>
      <c r="D2" s="28"/>
      <c r="E2" s="28" t="s">
        <v>61</v>
      </c>
      <c r="F2" s="28"/>
      <c r="G2" s="28" t="s">
        <v>62</v>
      </c>
      <c r="H2" s="28" t="s">
        <v>63</v>
      </c>
      <c r="I2" s="28" t="s">
        <v>64</v>
      </c>
      <c r="J2" s="30" t="s">
        <v>65</v>
      </c>
      <c r="K2" s="31" t="s">
        <v>66</v>
      </c>
      <c r="L2" s="28" t="s">
        <v>67</v>
      </c>
      <c r="M2" s="28" t="s">
        <v>68</v>
      </c>
      <c r="N2" s="28" t="s">
        <v>69</v>
      </c>
      <c r="O2" s="28" t="s">
        <v>70</v>
      </c>
      <c r="P2" s="28" t="s">
        <v>71</v>
      </c>
      <c r="Q2" s="28" t="s">
        <v>72</v>
      </c>
      <c r="R2" s="28" t="s">
        <v>73</v>
      </c>
      <c r="S2" s="28" t="s">
        <v>74</v>
      </c>
      <c r="T2" s="28" t="s">
        <v>77</v>
      </c>
      <c r="U2" s="28" t="s">
        <v>78</v>
      </c>
      <c r="V2" s="28"/>
    </row>
    <row r="3" ht="13.5" customHeight="1">
      <c r="A3" s="33">
        <v>0.0</v>
      </c>
      <c r="B3" s="34" t="s">
        <v>80</v>
      </c>
      <c r="C3" s="35" t="s">
        <v>13</v>
      </c>
      <c r="D3" s="10" t="s">
        <v>14</v>
      </c>
      <c r="E3" s="10" t="s">
        <v>81</v>
      </c>
      <c r="F3" s="36" t="s">
        <v>82</v>
      </c>
      <c r="G3" s="10" t="s">
        <v>83</v>
      </c>
      <c r="H3" s="36" t="s">
        <v>84</v>
      </c>
      <c r="I3" s="37">
        <v>0.0</v>
      </c>
      <c r="J3" s="38" t="s">
        <v>85</v>
      </c>
      <c r="K3" s="39"/>
      <c r="L3" s="25">
        <v>0.0</v>
      </c>
      <c r="M3" s="25">
        <v>1.0</v>
      </c>
      <c r="N3" s="40">
        <v>0.5</v>
      </c>
      <c r="O3" s="25">
        <v>0.0</v>
      </c>
      <c r="P3" s="36" t="s">
        <v>86</v>
      </c>
      <c r="Q3" s="10" t="s">
        <v>87</v>
      </c>
      <c r="R3" s="10" t="s">
        <v>88</v>
      </c>
      <c r="S3" s="10" t="s">
        <v>89</v>
      </c>
      <c r="U3" s="36"/>
      <c r="V3" s="36"/>
    </row>
    <row r="4" ht="13.5" customHeight="1">
      <c r="A4" s="33">
        <v>1.0</v>
      </c>
      <c r="B4" s="34" t="s">
        <v>90</v>
      </c>
      <c r="C4" s="35" t="s">
        <v>13</v>
      </c>
      <c r="D4" s="10" t="s">
        <v>14</v>
      </c>
      <c r="E4" s="10" t="s">
        <v>91</v>
      </c>
      <c r="F4" s="36" t="s">
        <v>82</v>
      </c>
      <c r="G4" s="36" t="s">
        <v>92</v>
      </c>
      <c r="H4" s="36" t="s">
        <v>84</v>
      </c>
      <c r="I4" s="37">
        <v>0.0</v>
      </c>
      <c r="J4" s="38" t="s">
        <v>85</v>
      </c>
      <c r="K4" s="39"/>
      <c r="L4" s="14">
        <v>0.0</v>
      </c>
      <c r="M4" s="14">
        <v>1.0</v>
      </c>
      <c r="N4" s="40">
        <v>0.5</v>
      </c>
      <c r="O4" s="25">
        <v>0.0</v>
      </c>
      <c r="P4" s="36" t="s">
        <v>93</v>
      </c>
      <c r="Q4" s="36" t="s">
        <v>94</v>
      </c>
      <c r="R4" s="36" t="s">
        <v>95</v>
      </c>
      <c r="S4" s="36" t="s">
        <v>96</v>
      </c>
      <c r="U4" s="36"/>
      <c r="V4" s="36"/>
    </row>
    <row r="5" ht="13.5" customHeight="1">
      <c r="A5" s="33">
        <v>2.0</v>
      </c>
      <c r="B5" s="34" t="s">
        <v>97</v>
      </c>
      <c r="C5" s="35" t="s">
        <v>13</v>
      </c>
      <c r="D5" s="10" t="s">
        <v>14</v>
      </c>
      <c r="E5" s="10" t="s">
        <v>99</v>
      </c>
      <c r="F5" s="36" t="s">
        <v>82</v>
      </c>
      <c r="G5" s="36" t="s">
        <v>100</v>
      </c>
      <c r="H5" s="36" t="s">
        <v>84</v>
      </c>
      <c r="I5" s="37">
        <v>0.0</v>
      </c>
      <c r="J5" s="38" t="s">
        <v>85</v>
      </c>
      <c r="K5" s="39"/>
      <c r="L5" s="14">
        <v>0.0</v>
      </c>
      <c r="M5" s="14">
        <v>1.0</v>
      </c>
      <c r="N5" s="41">
        <v>1.0</v>
      </c>
      <c r="O5" s="25">
        <v>0.0</v>
      </c>
      <c r="P5" s="36" t="s">
        <v>101</v>
      </c>
      <c r="Q5" s="36" t="s">
        <v>102</v>
      </c>
      <c r="R5" s="36" t="s">
        <v>95</v>
      </c>
      <c r="S5" s="36" t="s">
        <v>96</v>
      </c>
      <c r="U5" s="36"/>
      <c r="V5" s="36"/>
    </row>
    <row r="6" ht="13.5" customHeight="1">
      <c r="A6" s="33">
        <v>3.0</v>
      </c>
      <c r="B6" s="34" t="s">
        <v>103</v>
      </c>
      <c r="C6" s="35" t="s">
        <v>13</v>
      </c>
      <c r="D6" s="10" t="s">
        <v>14</v>
      </c>
      <c r="E6" s="36" t="s">
        <v>104</v>
      </c>
      <c r="F6" s="36" t="s">
        <v>105</v>
      </c>
      <c r="G6" s="10" t="s">
        <v>106</v>
      </c>
      <c r="H6" s="36" t="s">
        <v>84</v>
      </c>
      <c r="I6" s="37">
        <v>0.0</v>
      </c>
      <c r="J6" s="38" t="s">
        <v>107</v>
      </c>
      <c r="K6" s="14"/>
      <c r="L6" s="25">
        <v>15.0</v>
      </c>
      <c r="M6" s="13">
        <v>60.0</v>
      </c>
      <c r="N6" s="37">
        <v>15.0</v>
      </c>
      <c r="O6" s="25">
        <v>40.0</v>
      </c>
      <c r="P6" s="36" t="s">
        <v>108</v>
      </c>
      <c r="Q6" s="36" t="s">
        <v>109</v>
      </c>
      <c r="R6" s="36" t="s">
        <v>110</v>
      </c>
      <c r="S6" s="36" t="s">
        <v>111</v>
      </c>
      <c r="U6" s="36"/>
      <c r="V6" s="36"/>
    </row>
    <row r="7" ht="13.5" customHeight="1">
      <c r="A7" s="33">
        <v>4.0</v>
      </c>
      <c r="B7" s="34" t="s">
        <v>113</v>
      </c>
      <c r="C7" s="35" t="s">
        <v>13</v>
      </c>
      <c r="D7" s="10" t="s">
        <v>14</v>
      </c>
      <c r="E7" s="36" t="s">
        <v>114</v>
      </c>
      <c r="F7" s="36" t="s">
        <v>115</v>
      </c>
      <c r="G7" s="10" t="s">
        <v>116</v>
      </c>
      <c r="H7" s="36" t="s">
        <v>84</v>
      </c>
      <c r="I7" s="37">
        <v>0.0</v>
      </c>
      <c r="J7" s="38" t="s">
        <v>117</v>
      </c>
      <c r="K7" s="14"/>
      <c r="L7" s="25">
        <v>15.0</v>
      </c>
      <c r="M7" s="25">
        <v>24.0</v>
      </c>
      <c r="N7" s="40">
        <v>17.0</v>
      </c>
      <c r="O7" s="13">
        <v>21.0</v>
      </c>
      <c r="P7" s="36" t="s">
        <v>118</v>
      </c>
      <c r="Q7" s="36" t="s">
        <v>119</v>
      </c>
      <c r="R7" s="36" t="s">
        <v>120</v>
      </c>
      <c r="S7" s="36" t="s">
        <v>121</v>
      </c>
      <c r="U7" s="36"/>
      <c r="V7" s="36"/>
    </row>
    <row r="8" ht="13.5" customHeight="1">
      <c r="A8" s="33">
        <v>5.0</v>
      </c>
      <c r="B8" s="34" t="s">
        <v>122</v>
      </c>
      <c r="C8" s="35" t="s">
        <v>13</v>
      </c>
      <c r="D8" s="10" t="s">
        <v>14</v>
      </c>
      <c r="E8" s="36" t="s">
        <v>123</v>
      </c>
      <c r="F8" s="36" t="s">
        <v>82</v>
      </c>
      <c r="G8" s="36" t="s">
        <v>124</v>
      </c>
      <c r="H8" s="36" t="s">
        <v>84</v>
      </c>
      <c r="I8" s="37">
        <v>0.0</v>
      </c>
      <c r="J8" s="38" t="s">
        <v>125</v>
      </c>
      <c r="K8" s="39"/>
      <c r="L8" s="14">
        <v>0.0</v>
      </c>
      <c r="M8" s="14">
        <v>2.0</v>
      </c>
      <c r="N8" s="40">
        <v>0.5</v>
      </c>
      <c r="O8" s="13">
        <v>1.0</v>
      </c>
      <c r="P8" s="36" t="s">
        <v>126</v>
      </c>
      <c r="Q8" s="36" t="s">
        <v>127</v>
      </c>
      <c r="R8" s="36" t="s">
        <v>128</v>
      </c>
      <c r="S8" s="36" t="s">
        <v>129</v>
      </c>
      <c r="U8" s="36"/>
      <c r="V8" s="36"/>
    </row>
    <row r="9" ht="13.5" customHeight="1">
      <c r="A9" s="33">
        <v>6.0</v>
      </c>
      <c r="B9" s="34" t="s">
        <v>130</v>
      </c>
      <c r="C9" s="35" t="s">
        <v>13</v>
      </c>
      <c r="D9" s="36" t="s">
        <v>14</v>
      </c>
      <c r="E9" s="36" t="s">
        <v>132</v>
      </c>
      <c r="F9" s="36" t="s">
        <v>82</v>
      </c>
      <c r="G9" s="36" t="s">
        <v>133</v>
      </c>
      <c r="H9" s="36" t="s">
        <v>84</v>
      </c>
      <c r="I9" s="41">
        <v>1.0</v>
      </c>
      <c r="J9" s="38" t="s">
        <v>85</v>
      </c>
      <c r="K9" s="39"/>
      <c r="L9" s="14">
        <v>0.0</v>
      </c>
      <c r="M9" s="14">
        <v>1.0</v>
      </c>
      <c r="N9" s="42">
        <v>0.0</v>
      </c>
      <c r="O9" s="14">
        <v>0.0</v>
      </c>
      <c r="P9" s="36" t="s">
        <v>134</v>
      </c>
      <c r="Q9" s="36" t="s">
        <v>135</v>
      </c>
      <c r="R9" s="36" t="s">
        <v>136</v>
      </c>
      <c r="S9" s="36" t="s">
        <v>137</v>
      </c>
      <c r="U9" s="36"/>
      <c r="V9" s="36"/>
      <c r="W9" s="36"/>
      <c r="X9" s="36"/>
      <c r="Y9" s="15"/>
      <c r="Z9" s="15"/>
      <c r="AA9" s="15"/>
      <c r="AB9" s="15"/>
      <c r="AC9" s="15"/>
      <c r="AD9" s="15"/>
      <c r="AE9" s="15"/>
      <c r="AF9" s="15"/>
      <c r="AG9" s="15"/>
      <c r="AH9" s="15"/>
      <c r="AI9" s="15"/>
      <c r="AJ9" s="15"/>
      <c r="AK9" s="15"/>
      <c r="AL9" s="15"/>
      <c r="AM9" s="15"/>
      <c r="AN9" s="15"/>
      <c r="AO9" s="15"/>
      <c r="AP9" s="15"/>
      <c r="AQ9" s="15"/>
      <c r="AR9" s="15"/>
      <c r="AS9" s="15"/>
    </row>
    <row r="10" ht="13.5" customHeight="1">
      <c r="A10" s="33">
        <v>7.0</v>
      </c>
      <c r="B10" s="34" t="s">
        <v>138</v>
      </c>
      <c r="C10" s="35" t="s">
        <v>13</v>
      </c>
      <c r="D10" s="10" t="s">
        <v>17</v>
      </c>
      <c r="E10" s="36" t="s">
        <v>139</v>
      </c>
      <c r="F10" s="36" t="s">
        <v>82</v>
      </c>
      <c r="G10" s="36" t="s">
        <v>140</v>
      </c>
      <c r="H10" s="36" t="s">
        <v>84</v>
      </c>
      <c r="I10" s="37">
        <v>0.0</v>
      </c>
      <c r="J10" s="38" t="s">
        <v>125</v>
      </c>
      <c r="K10" s="39"/>
      <c r="L10" s="14">
        <v>0.0</v>
      </c>
      <c r="M10" s="14">
        <v>2.0</v>
      </c>
      <c r="N10" s="40">
        <v>0.5</v>
      </c>
      <c r="O10" s="13">
        <v>1.0</v>
      </c>
      <c r="P10" s="36" t="s">
        <v>142</v>
      </c>
      <c r="Q10" s="36" t="s">
        <v>143</v>
      </c>
      <c r="R10" s="36" t="s">
        <v>144</v>
      </c>
      <c r="S10" s="36" t="s">
        <v>145</v>
      </c>
      <c r="U10" s="36"/>
      <c r="V10" s="36"/>
      <c r="W10" s="36"/>
      <c r="X10" s="36"/>
    </row>
    <row r="11" ht="13.5" customHeight="1">
      <c r="A11" s="33">
        <v>8.0</v>
      </c>
      <c r="B11" s="34" t="s">
        <v>146</v>
      </c>
      <c r="C11" s="35" t="s">
        <v>13</v>
      </c>
      <c r="D11" s="10" t="s">
        <v>17</v>
      </c>
      <c r="E11" s="36" t="s">
        <v>147</v>
      </c>
      <c r="F11" s="36"/>
      <c r="G11" s="36" t="s">
        <v>148</v>
      </c>
      <c r="H11" s="36" t="s">
        <v>84</v>
      </c>
      <c r="I11" s="37">
        <v>0.0</v>
      </c>
      <c r="J11" s="38" t="s">
        <v>149</v>
      </c>
      <c r="K11" s="14"/>
      <c r="L11" s="25">
        <v>1.0</v>
      </c>
      <c r="M11" s="13">
        <v>3.0</v>
      </c>
      <c r="N11" s="40">
        <v>3.0</v>
      </c>
      <c r="O11" s="13">
        <v>1.2</v>
      </c>
      <c r="P11" s="36" t="s">
        <v>150</v>
      </c>
      <c r="Q11" s="36" t="s">
        <v>151</v>
      </c>
      <c r="R11" s="36" t="s">
        <v>152</v>
      </c>
      <c r="S11" s="9" t="s">
        <v>153</v>
      </c>
      <c r="U11" s="36"/>
      <c r="V11" s="36"/>
      <c r="W11" s="36"/>
      <c r="X11" s="36"/>
    </row>
    <row r="12" ht="13.5" customHeight="1">
      <c r="A12" s="33">
        <v>9.0</v>
      </c>
      <c r="B12" s="34" t="s">
        <v>154</v>
      </c>
      <c r="C12" s="35" t="s">
        <v>13</v>
      </c>
      <c r="D12" s="10" t="s">
        <v>17</v>
      </c>
      <c r="E12" s="36" t="s">
        <v>155</v>
      </c>
      <c r="F12" s="36" t="s">
        <v>82</v>
      </c>
      <c r="G12" s="36" t="s">
        <v>156</v>
      </c>
      <c r="H12" s="36" t="s">
        <v>84</v>
      </c>
      <c r="I12" s="37">
        <v>0.0</v>
      </c>
      <c r="J12" s="43">
        <v>0.0</v>
      </c>
      <c r="K12" s="39"/>
      <c r="L12" s="14">
        <v>0.0</v>
      </c>
      <c r="M12" s="14">
        <v>1.0</v>
      </c>
      <c r="N12" s="37">
        <v>1.0</v>
      </c>
      <c r="O12" s="25">
        <v>0.0</v>
      </c>
      <c r="P12" s="36" t="s">
        <v>158</v>
      </c>
      <c r="Q12" s="36" t="s">
        <v>159</v>
      </c>
      <c r="R12" s="36" t="s">
        <v>160</v>
      </c>
      <c r="S12" s="9" t="s">
        <v>161</v>
      </c>
      <c r="U12" s="36"/>
      <c r="V12" s="36"/>
      <c r="W12" s="36"/>
      <c r="X12" s="36"/>
    </row>
    <row r="13" ht="13.5" customHeight="1">
      <c r="A13" s="33">
        <v>10.0</v>
      </c>
      <c r="B13" s="34" t="s">
        <v>162</v>
      </c>
      <c r="C13" s="35" t="s">
        <v>13</v>
      </c>
      <c r="D13" s="10" t="s">
        <v>17</v>
      </c>
      <c r="E13" s="36" t="s">
        <v>163</v>
      </c>
      <c r="F13" s="36" t="s">
        <v>82</v>
      </c>
      <c r="G13" s="36" t="s">
        <v>164</v>
      </c>
      <c r="H13" s="36" t="s">
        <v>84</v>
      </c>
      <c r="I13" s="37">
        <v>0.0</v>
      </c>
      <c r="J13" s="43">
        <v>0.0</v>
      </c>
      <c r="K13" s="39"/>
      <c r="L13" s="14">
        <v>0.0</v>
      </c>
      <c r="M13" s="14">
        <v>1.0</v>
      </c>
      <c r="N13" s="37">
        <v>1.0</v>
      </c>
      <c r="O13" s="25">
        <v>0.0</v>
      </c>
      <c r="P13" s="36" t="s">
        <v>165</v>
      </c>
      <c r="Q13" s="36" t="s">
        <v>166</v>
      </c>
      <c r="R13" s="36" t="s">
        <v>166</v>
      </c>
      <c r="S13" s="36" t="s">
        <v>167</v>
      </c>
      <c r="U13" s="36"/>
      <c r="V13" s="36"/>
      <c r="W13" s="36"/>
      <c r="X13" s="36"/>
    </row>
    <row r="14" ht="13.5" customHeight="1">
      <c r="A14" s="33">
        <v>11.0</v>
      </c>
      <c r="B14" s="34" t="s">
        <v>168</v>
      </c>
      <c r="C14" s="35" t="s">
        <v>13</v>
      </c>
      <c r="D14" s="10" t="s">
        <v>17</v>
      </c>
      <c r="E14" s="10" t="s">
        <v>169</v>
      </c>
      <c r="F14" s="36"/>
      <c r="G14" s="10" t="s">
        <v>171</v>
      </c>
      <c r="H14" s="36" t="s">
        <v>84</v>
      </c>
      <c r="I14" s="37">
        <v>0.0</v>
      </c>
      <c r="J14" s="43">
        <v>77.0</v>
      </c>
      <c r="K14" s="14"/>
      <c r="L14" s="14">
        <v>0.0</v>
      </c>
      <c r="M14" s="44">
        <v>300.0</v>
      </c>
      <c r="N14" s="40">
        <v>20.0</v>
      </c>
      <c r="O14" s="13">
        <v>77.0</v>
      </c>
      <c r="P14" s="45" t="s">
        <v>172</v>
      </c>
      <c r="Q14" s="10" t="s">
        <v>173</v>
      </c>
      <c r="R14" s="10" t="s">
        <v>174</v>
      </c>
      <c r="S14" s="10" t="s">
        <v>175</v>
      </c>
      <c r="U14" s="36"/>
      <c r="V14" s="36"/>
      <c r="W14" s="36"/>
      <c r="X14" s="36"/>
    </row>
    <row r="15" ht="13.5" customHeight="1">
      <c r="A15" s="33">
        <v>12.0</v>
      </c>
      <c r="B15" s="34" t="s">
        <v>168</v>
      </c>
      <c r="C15" s="35" t="s">
        <v>13</v>
      </c>
      <c r="D15" s="10" t="s">
        <v>17</v>
      </c>
      <c r="E15" s="10" t="s">
        <v>169</v>
      </c>
      <c r="F15" s="36"/>
      <c r="G15" s="10" t="s">
        <v>176</v>
      </c>
      <c r="H15" s="36" t="s">
        <v>84</v>
      </c>
      <c r="I15" s="37">
        <v>1.0</v>
      </c>
      <c r="J15" s="38" t="s">
        <v>177</v>
      </c>
      <c r="K15" s="14"/>
      <c r="L15" s="14">
        <v>0.0</v>
      </c>
      <c r="M15" s="46">
        <v>0.02</v>
      </c>
      <c r="N15" s="40">
        <v>0.02</v>
      </c>
      <c r="O15" s="13">
        <v>0.01</v>
      </c>
      <c r="P15" s="45" t="s">
        <v>178</v>
      </c>
      <c r="Q15" s="10" t="s">
        <v>179</v>
      </c>
      <c r="R15" s="10" t="s">
        <v>180</v>
      </c>
      <c r="S15" s="10" t="s">
        <v>181</v>
      </c>
      <c r="U15" s="36"/>
      <c r="V15" s="36"/>
      <c r="W15" s="36"/>
      <c r="X15" s="36"/>
      <c r="Y15" s="15"/>
      <c r="Z15" s="15"/>
      <c r="AA15" s="15"/>
      <c r="AB15" s="15"/>
      <c r="AC15" s="15"/>
      <c r="AD15" s="15"/>
      <c r="AE15" s="15"/>
      <c r="AF15" s="15"/>
      <c r="AG15" s="15"/>
      <c r="AH15" s="15"/>
      <c r="AI15" s="15"/>
      <c r="AJ15" s="15"/>
      <c r="AK15" s="15"/>
      <c r="AL15" s="15"/>
      <c r="AM15" s="15"/>
      <c r="AN15" s="15"/>
      <c r="AO15" s="15"/>
      <c r="AP15" s="15"/>
      <c r="AQ15" s="15"/>
      <c r="AR15" s="15"/>
      <c r="AS15" s="15"/>
    </row>
    <row r="16" ht="13.5" customHeight="1">
      <c r="A16" s="33">
        <v>13.0</v>
      </c>
      <c r="B16" s="34" t="s">
        <v>182</v>
      </c>
      <c r="C16" s="35" t="s">
        <v>13</v>
      </c>
      <c r="D16" s="10" t="s">
        <v>17</v>
      </c>
      <c r="E16" s="36" t="s">
        <v>183</v>
      </c>
      <c r="F16" s="36" t="s">
        <v>82</v>
      </c>
      <c r="G16" s="36" t="s">
        <v>184</v>
      </c>
      <c r="H16" s="36" t="s">
        <v>84</v>
      </c>
      <c r="I16" s="37">
        <v>1.0</v>
      </c>
      <c r="J16" s="38" t="s">
        <v>85</v>
      </c>
      <c r="K16" s="39"/>
      <c r="L16" s="14">
        <v>0.0</v>
      </c>
      <c r="M16" s="14">
        <v>1.0</v>
      </c>
      <c r="N16" s="40">
        <v>0.5</v>
      </c>
      <c r="O16" s="13">
        <v>0.0</v>
      </c>
      <c r="P16" s="36" t="s">
        <v>185</v>
      </c>
      <c r="Q16" s="36" t="s">
        <v>186</v>
      </c>
      <c r="R16" s="36" t="s">
        <v>187</v>
      </c>
      <c r="S16" s="36" t="s">
        <v>161</v>
      </c>
      <c r="U16" s="36"/>
      <c r="V16" s="36"/>
      <c r="W16" s="36"/>
      <c r="X16" s="36"/>
    </row>
    <row r="17" ht="13.5" customHeight="1">
      <c r="A17" s="33">
        <v>14.0</v>
      </c>
      <c r="B17" s="34" t="s">
        <v>189</v>
      </c>
      <c r="C17" s="35" t="s">
        <v>13</v>
      </c>
      <c r="D17" s="10" t="s">
        <v>17</v>
      </c>
      <c r="E17" s="36" t="s">
        <v>190</v>
      </c>
      <c r="F17" s="36" t="s">
        <v>82</v>
      </c>
      <c r="G17" s="36" t="s">
        <v>191</v>
      </c>
      <c r="H17" s="36" t="s">
        <v>84</v>
      </c>
      <c r="I17" s="37">
        <v>0.0</v>
      </c>
      <c r="J17" s="43">
        <v>1.0</v>
      </c>
      <c r="K17" s="39"/>
      <c r="L17" s="14">
        <v>0.0</v>
      </c>
      <c r="M17" s="14">
        <v>2.0</v>
      </c>
      <c r="N17" s="40">
        <v>0.3</v>
      </c>
      <c r="O17" s="13">
        <v>1.0</v>
      </c>
      <c r="P17" s="36" t="s">
        <v>192</v>
      </c>
      <c r="Q17" s="36" t="s">
        <v>193</v>
      </c>
      <c r="R17" s="36" t="s">
        <v>194</v>
      </c>
      <c r="S17" s="36" t="s">
        <v>195</v>
      </c>
      <c r="U17" s="36"/>
      <c r="V17" s="36"/>
      <c r="W17" s="36"/>
      <c r="X17" s="36"/>
    </row>
    <row r="18" ht="13.5" customHeight="1">
      <c r="A18" s="33">
        <v>15.0</v>
      </c>
      <c r="B18" s="34" t="s">
        <v>196</v>
      </c>
      <c r="C18" s="35" t="s">
        <v>13</v>
      </c>
      <c r="D18" s="10" t="s">
        <v>17</v>
      </c>
      <c r="E18" s="10" t="s">
        <v>197</v>
      </c>
      <c r="F18" s="36" t="s">
        <v>82</v>
      </c>
      <c r="G18" s="10" t="s">
        <v>198</v>
      </c>
      <c r="H18" s="36" t="s">
        <v>84</v>
      </c>
      <c r="I18" s="37">
        <v>1.0</v>
      </c>
      <c r="J18" s="38" t="s">
        <v>199</v>
      </c>
      <c r="K18" s="39"/>
      <c r="L18" s="25">
        <v>0.05</v>
      </c>
      <c r="M18" s="25">
        <v>0.3</v>
      </c>
      <c r="N18" s="25">
        <v>0.3</v>
      </c>
      <c r="O18" s="13">
        <v>0.2</v>
      </c>
      <c r="P18" s="36" t="s">
        <v>165</v>
      </c>
      <c r="Q18" s="36" t="s">
        <v>200</v>
      </c>
      <c r="R18" s="36" t="s">
        <v>201</v>
      </c>
      <c r="S18" s="36" t="s">
        <v>201</v>
      </c>
      <c r="U18" s="36"/>
      <c r="V18" s="36"/>
      <c r="W18" s="36"/>
      <c r="X18" s="36"/>
    </row>
    <row r="19" ht="13.5" customHeight="1">
      <c r="A19" s="33">
        <v>16.0</v>
      </c>
      <c r="B19" s="34" t="s">
        <v>203</v>
      </c>
      <c r="C19" s="35" t="s">
        <v>13</v>
      </c>
      <c r="D19" s="10" t="s">
        <v>17</v>
      </c>
      <c r="E19" s="25" t="s">
        <v>204</v>
      </c>
      <c r="F19" s="36" t="s">
        <v>82</v>
      </c>
      <c r="G19" s="10" t="s">
        <v>205</v>
      </c>
      <c r="H19" s="36" t="s">
        <v>84</v>
      </c>
      <c r="I19" s="37">
        <v>1.0</v>
      </c>
      <c r="J19" s="43">
        <v>1.0</v>
      </c>
      <c r="K19" s="39"/>
      <c r="L19" s="27">
        <v>0.0</v>
      </c>
      <c r="M19" s="25">
        <v>2.0</v>
      </c>
      <c r="N19" s="40">
        <v>0.5</v>
      </c>
      <c r="O19" s="13">
        <v>1.0</v>
      </c>
      <c r="P19" s="36" t="s">
        <v>206</v>
      </c>
      <c r="Q19" s="36" t="s">
        <v>207</v>
      </c>
      <c r="R19" s="36" t="s">
        <v>208</v>
      </c>
      <c r="S19" s="36" t="s">
        <v>209</v>
      </c>
      <c r="U19" s="36"/>
      <c r="V19" s="36"/>
      <c r="W19" s="36"/>
      <c r="X19" s="36"/>
      <c r="Y19" s="15"/>
      <c r="Z19" s="15"/>
      <c r="AA19" s="15"/>
      <c r="AB19" s="15"/>
      <c r="AC19" s="15"/>
      <c r="AD19" s="15"/>
      <c r="AE19" s="15"/>
      <c r="AF19" s="15"/>
      <c r="AG19" s="15"/>
      <c r="AH19" s="15"/>
      <c r="AI19" s="15"/>
      <c r="AJ19" s="15"/>
      <c r="AK19" s="15"/>
      <c r="AL19" s="15"/>
      <c r="AM19" s="15"/>
      <c r="AN19" s="15"/>
      <c r="AO19" s="15"/>
      <c r="AP19" s="15"/>
      <c r="AQ19" s="15"/>
      <c r="AR19" s="15"/>
      <c r="AS19" s="15"/>
    </row>
    <row r="20" ht="13.5" customHeight="1">
      <c r="A20" s="33">
        <v>17.0</v>
      </c>
      <c r="B20" s="34" t="s">
        <v>210</v>
      </c>
      <c r="C20" s="35" t="s">
        <v>13</v>
      </c>
      <c r="D20" s="10" t="s">
        <v>20</v>
      </c>
      <c r="E20" s="36" t="s">
        <v>211</v>
      </c>
      <c r="F20" s="36" t="s">
        <v>82</v>
      </c>
      <c r="G20" s="36" t="s">
        <v>212</v>
      </c>
      <c r="H20" s="36" t="s">
        <v>84</v>
      </c>
      <c r="I20" s="37">
        <v>0.0</v>
      </c>
      <c r="J20" s="52" t="s">
        <v>125</v>
      </c>
      <c r="K20" s="39"/>
      <c r="L20" s="27">
        <v>0.0</v>
      </c>
      <c r="M20" s="14">
        <v>2.0</v>
      </c>
      <c r="N20" s="40">
        <v>0.3</v>
      </c>
      <c r="O20" s="13">
        <v>1.0</v>
      </c>
      <c r="P20" s="36" t="s">
        <v>214</v>
      </c>
      <c r="Q20" s="36" t="s">
        <v>215</v>
      </c>
      <c r="R20" s="36" t="s">
        <v>216</v>
      </c>
      <c r="S20" s="36" t="s">
        <v>217</v>
      </c>
      <c r="U20" s="36"/>
      <c r="V20" s="36"/>
      <c r="W20" s="36"/>
      <c r="X20" s="36"/>
    </row>
    <row r="21" ht="13.5" customHeight="1">
      <c r="A21" s="33">
        <v>18.0</v>
      </c>
      <c r="B21" s="34" t="s">
        <v>218</v>
      </c>
      <c r="C21" s="35" t="s">
        <v>13</v>
      </c>
      <c r="D21" s="10" t="s">
        <v>20</v>
      </c>
      <c r="E21" s="36" t="s">
        <v>219</v>
      </c>
      <c r="F21" s="36" t="s">
        <v>82</v>
      </c>
      <c r="G21" s="36" t="s">
        <v>220</v>
      </c>
      <c r="H21" s="36" t="s">
        <v>84</v>
      </c>
      <c r="I21" s="53">
        <v>0.0</v>
      </c>
      <c r="J21" s="38" t="s">
        <v>85</v>
      </c>
      <c r="K21" s="39"/>
      <c r="L21" s="27">
        <v>0.0</v>
      </c>
      <c r="M21" s="14">
        <v>1.0</v>
      </c>
      <c r="N21" s="53">
        <v>1.0</v>
      </c>
      <c r="O21" s="25">
        <v>0.0</v>
      </c>
      <c r="P21" s="36" t="s">
        <v>221</v>
      </c>
      <c r="Q21" s="36" t="s">
        <v>222</v>
      </c>
      <c r="R21" s="36" t="s">
        <v>223</v>
      </c>
      <c r="S21" s="36" t="s">
        <v>224</v>
      </c>
      <c r="U21" s="36"/>
      <c r="V21" s="36"/>
      <c r="W21" s="36"/>
      <c r="X21" s="36"/>
    </row>
    <row r="22" ht="13.5" customHeight="1">
      <c r="A22" s="33">
        <v>19.0</v>
      </c>
      <c r="B22" s="34" t="s">
        <v>225</v>
      </c>
      <c r="C22" s="35" t="s">
        <v>13</v>
      </c>
      <c r="D22" s="10" t="s">
        <v>20</v>
      </c>
      <c r="E22" s="10" t="s">
        <v>226</v>
      </c>
      <c r="F22" s="36" t="s">
        <v>82</v>
      </c>
      <c r="G22" s="10" t="s">
        <v>227</v>
      </c>
      <c r="H22" s="36" t="s">
        <v>84</v>
      </c>
      <c r="I22" s="37">
        <v>1.0</v>
      </c>
      <c r="J22" s="38" t="s">
        <v>177</v>
      </c>
      <c r="K22" s="39"/>
      <c r="L22" s="27">
        <v>0.0</v>
      </c>
      <c r="M22" s="13">
        <v>0.05</v>
      </c>
      <c r="N22" s="13">
        <v>0.02</v>
      </c>
      <c r="O22" s="40">
        <v>0.01</v>
      </c>
      <c r="P22" s="36" t="s">
        <v>229</v>
      </c>
      <c r="Q22" s="36" t="s">
        <v>222</v>
      </c>
      <c r="R22" s="36" t="s">
        <v>201</v>
      </c>
      <c r="S22" s="36" t="s">
        <v>201</v>
      </c>
      <c r="U22" s="36"/>
      <c r="V22" s="36"/>
      <c r="W22" s="36"/>
      <c r="X22" s="36"/>
    </row>
    <row r="23" ht="13.5" customHeight="1">
      <c r="A23" s="33">
        <v>20.0</v>
      </c>
      <c r="B23" s="34" t="s">
        <v>230</v>
      </c>
      <c r="C23" s="35" t="s">
        <v>13</v>
      </c>
      <c r="D23" s="10" t="s">
        <v>20</v>
      </c>
      <c r="E23" s="36" t="s">
        <v>231</v>
      </c>
      <c r="F23" s="36" t="s">
        <v>82</v>
      </c>
      <c r="G23" s="36" t="s">
        <v>232</v>
      </c>
      <c r="H23" s="36" t="s">
        <v>84</v>
      </c>
      <c r="I23" s="54">
        <v>0.0</v>
      </c>
      <c r="J23" s="38" t="s">
        <v>85</v>
      </c>
      <c r="K23" s="39"/>
      <c r="L23" s="27">
        <v>0.0</v>
      </c>
      <c r="M23" s="14">
        <v>1.0</v>
      </c>
      <c r="N23" s="55">
        <v>1.0</v>
      </c>
      <c r="O23" s="25">
        <v>0.0</v>
      </c>
      <c r="P23" s="36" t="s">
        <v>233</v>
      </c>
      <c r="Q23" s="36" t="s">
        <v>234</v>
      </c>
      <c r="R23" s="36" t="s">
        <v>201</v>
      </c>
      <c r="S23" s="36" t="s">
        <v>235</v>
      </c>
      <c r="U23" s="36"/>
      <c r="V23" s="36"/>
      <c r="W23" s="36"/>
      <c r="X23" s="36"/>
    </row>
    <row r="24" ht="13.5" customHeight="1">
      <c r="A24" s="33">
        <v>21.0</v>
      </c>
      <c r="B24" s="34" t="s">
        <v>237</v>
      </c>
      <c r="C24" s="35" t="s">
        <v>13</v>
      </c>
      <c r="D24" s="14" t="s">
        <v>23</v>
      </c>
      <c r="E24" s="36" t="s">
        <v>238</v>
      </c>
      <c r="F24" s="36" t="s">
        <v>82</v>
      </c>
      <c r="G24" s="10" t="s">
        <v>239</v>
      </c>
      <c r="H24" s="36" t="s">
        <v>84</v>
      </c>
      <c r="I24" s="37">
        <v>0.0</v>
      </c>
      <c r="J24" s="38" t="s">
        <v>125</v>
      </c>
      <c r="K24" s="39"/>
      <c r="L24" s="27">
        <v>0.0</v>
      </c>
      <c r="M24" s="14">
        <v>2.0</v>
      </c>
      <c r="N24" s="37">
        <v>1.0</v>
      </c>
      <c r="O24" s="13">
        <v>1.0</v>
      </c>
      <c r="P24" s="36" t="s">
        <v>240</v>
      </c>
      <c r="Q24" s="36" t="s">
        <v>222</v>
      </c>
      <c r="R24" s="36" t="s">
        <v>241</v>
      </c>
      <c r="S24" s="36" t="s">
        <v>201</v>
      </c>
      <c r="U24" s="36"/>
      <c r="V24" s="36"/>
      <c r="W24" s="36"/>
      <c r="X24" s="36"/>
    </row>
    <row r="25" ht="13.5" customHeight="1">
      <c r="A25" s="33">
        <v>22.0</v>
      </c>
      <c r="B25" s="34" t="s">
        <v>242</v>
      </c>
      <c r="C25" s="35" t="s">
        <v>13</v>
      </c>
      <c r="D25" s="14" t="s">
        <v>23</v>
      </c>
      <c r="E25" s="36" t="s">
        <v>238</v>
      </c>
      <c r="F25" s="36" t="s">
        <v>82</v>
      </c>
      <c r="G25" s="10" t="s">
        <v>243</v>
      </c>
      <c r="H25" s="36" t="s">
        <v>84</v>
      </c>
      <c r="I25" s="37">
        <v>1.0</v>
      </c>
      <c r="J25" s="38" t="s">
        <v>177</v>
      </c>
      <c r="K25" s="39"/>
      <c r="L25" s="27">
        <v>0.0</v>
      </c>
      <c r="M25" s="13">
        <v>0.05</v>
      </c>
      <c r="N25" s="13">
        <v>0.02</v>
      </c>
      <c r="O25" s="13">
        <v>0.01</v>
      </c>
      <c r="P25" s="36" t="s">
        <v>244</v>
      </c>
      <c r="Q25" s="36" t="s">
        <v>245</v>
      </c>
      <c r="R25" s="36" t="s">
        <v>201</v>
      </c>
      <c r="S25" s="36" t="s">
        <v>201</v>
      </c>
      <c r="U25" s="36"/>
      <c r="V25" s="36"/>
      <c r="W25" s="36"/>
      <c r="X25" s="36"/>
      <c r="Y25" s="15"/>
      <c r="Z25" s="15"/>
      <c r="AA25" s="15"/>
      <c r="AB25" s="15"/>
      <c r="AC25" s="15"/>
      <c r="AD25" s="15"/>
      <c r="AE25" s="15"/>
      <c r="AF25" s="15"/>
      <c r="AG25" s="15"/>
      <c r="AH25" s="15"/>
      <c r="AI25" s="15"/>
      <c r="AJ25" s="15"/>
      <c r="AK25" s="15"/>
      <c r="AL25" s="15"/>
      <c r="AM25" s="15"/>
      <c r="AN25" s="15"/>
      <c r="AO25" s="15"/>
      <c r="AP25" s="15"/>
      <c r="AQ25" s="15"/>
      <c r="AR25" s="15"/>
      <c r="AS25" s="15"/>
    </row>
    <row r="26" ht="13.5" customHeight="1">
      <c r="A26" s="33">
        <v>23.0</v>
      </c>
      <c r="B26" s="34" t="s">
        <v>246</v>
      </c>
      <c r="C26" s="35" t="s">
        <v>13</v>
      </c>
      <c r="D26" s="14" t="s">
        <v>23</v>
      </c>
      <c r="E26" s="36" t="s">
        <v>247</v>
      </c>
      <c r="F26" s="36" t="s">
        <v>82</v>
      </c>
      <c r="G26" s="10" t="s">
        <v>248</v>
      </c>
      <c r="H26" s="36" t="s">
        <v>84</v>
      </c>
      <c r="I26" s="37">
        <v>0.0</v>
      </c>
      <c r="J26" s="38" t="s">
        <v>125</v>
      </c>
      <c r="K26" s="39"/>
      <c r="L26" s="27">
        <v>0.0</v>
      </c>
      <c r="M26" s="14">
        <v>2.0</v>
      </c>
      <c r="N26" s="37">
        <v>1.0</v>
      </c>
      <c r="O26" s="13">
        <v>1.0</v>
      </c>
      <c r="P26" s="36" t="s">
        <v>249</v>
      </c>
      <c r="Q26" s="36" t="s">
        <v>250</v>
      </c>
      <c r="R26" s="36" t="s">
        <v>251</v>
      </c>
      <c r="S26" s="36" t="s">
        <v>252</v>
      </c>
      <c r="U26" s="36"/>
      <c r="V26" s="36"/>
      <c r="W26" s="36"/>
      <c r="X26" s="36"/>
    </row>
    <row r="27" ht="13.5" customHeight="1">
      <c r="A27" s="33">
        <v>24.0</v>
      </c>
      <c r="B27" s="34" t="s">
        <v>253</v>
      </c>
      <c r="C27" s="35" t="s">
        <v>13</v>
      </c>
      <c r="D27" s="14" t="s">
        <v>23</v>
      </c>
      <c r="E27" s="36" t="s">
        <v>247</v>
      </c>
      <c r="F27" s="36" t="s">
        <v>82</v>
      </c>
      <c r="G27" s="10" t="s">
        <v>254</v>
      </c>
      <c r="H27" s="36" t="s">
        <v>84</v>
      </c>
      <c r="I27" s="37">
        <v>1.0</v>
      </c>
      <c r="J27" s="38" t="s">
        <v>177</v>
      </c>
      <c r="K27" s="39"/>
      <c r="L27" s="27">
        <v>0.0</v>
      </c>
      <c r="M27" s="13">
        <v>0.05</v>
      </c>
      <c r="N27" s="13">
        <v>0.02</v>
      </c>
      <c r="O27" s="13">
        <v>0.01</v>
      </c>
      <c r="P27" s="36" t="s">
        <v>244</v>
      </c>
      <c r="Q27" s="36" t="s">
        <v>222</v>
      </c>
      <c r="R27" s="36" t="s">
        <v>201</v>
      </c>
      <c r="S27" s="36" t="s">
        <v>201</v>
      </c>
      <c r="U27" s="36"/>
      <c r="V27" s="36"/>
      <c r="W27" s="36"/>
      <c r="X27" s="36"/>
      <c r="Y27" s="15"/>
      <c r="Z27" s="15"/>
      <c r="AA27" s="15"/>
      <c r="AB27" s="15"/>
      <c r="AC27" s="15"/>
      <c r="AD27" s="15"/>
      <c r="AE27" s="15"/>
      <c r="AF27" s="15"/>
      <c r="AG27" s="15"/>
      <c r="AH27" s="15"/>
      <c r="AI27" s="15"/>
      <c r="AJ27" s="15"/>
      <c r="AK27" s="15"/>
      <c r="AL27" s="15"/>
      <c r="AM27" s="15"/>
      <c r="AN27" s="15"/>
      <c r="AO27" s="15"/>
      <c r="AP27" s="15"/>
      <c r="AQ27" s="15"/>
      <c r="AR27" s="15"/>
      <c r="AS27" s="15"/>
    </row>
    <row r="28" ht="13.5" customHeight="1">
      <c r="A28" s="33">
        <v>25.0</v>
      </c>
      <c r="B28" s="34" t="s">
        <v>256</v>
      </c>
      <c r="C28" s="35" t="s">
        <v>13</v>
      </c>
      <c r="D28" s="14" t="s">
        <v>23</v>
      </c>
      <c r="E28" s="56" t="s">
        <v>257</v>
      </c>
      <c r="F28" s="56" t="s">
        <v>82</v>
      </c>
      <c r="G28" s="58" t="s">
        <v>258</v>
      </c>
      <c r="H28" s="56" t="s">
        <v>84</v>
      </c>
      <c r="I28" s="59">
        <v>0.0</v>
      </c>
      <c r="J28" s="60" t="s">
        <v>125</v>
      </c>
      <c r="K28" s="61"/>
      <c r="L28" s="62">
        <v>0.0</v>
      </c>
      <c r="M28" s="63">
        <v>2.0</v>
      </c>
      <c r="N28" s="59">
        <v>1.0</v>
      </c>
      <c r="O28" s="64">
        <v>1.0</v>
      </c>
      <c r="P28" s="10" t="s">
        <v>259</v>
      </c>
      <c r="Q28" s="10" t="s">
        <v>260</v>
      </c>
      <c r="R28" s="65" t="s">
        <v>261</v>
      </c>
      <c r="S28" s="65" t="s">
        <v>262</v>
      </c>
      <c r="U28" s="36"/>
      <c r="V28" s="36"/>
      <c r="W28" s="36"/>
      <c r="X28" s="36"/>
    </row>
    <row r="29" ht="13.5" customHeight="1">
      <c r="A29" s="33">
        <v>26.0</v>
      </c>
      <c r="B29" s="34" t="s">
        <v>263</v>
      </c>
      <c r="C29" s="35" t="s">
        <v>13</v>
      </c>
      <c r="D29" s="14" t="s">
        <v>23</v>
      </c>
      <c r="E29" s="36" t="s">
        <v>257</v>
      </c>
      <c r="F29" s="36" t="s">
        <v>82</v>
      </c>
      <c r="G29" s="10" t="s">
        <v>264</v>
      </c>
      <c r="H29" s="36" t="s">
        <v>84</v>
      </c>
      <c r="I29" s="37">
        <v>1.0</v>
      </c>
      <c r="J29" s="38" t="s">
        <v>177</v>
      </c>
      <c r="K29" s="39"/>
      <c r="L29" s="27">
        <v>0.0</v>
      </c>
      <c r="M29" s="13">
        <v>0.05</v>
      </c>
      <c r="N29" s="13">
        <v>0.02</v>
      </c>
      <c r="O29" s="13">
        <v>0.01</v>
      </c>
      <c r="P29" s="36" t="s">
        <v>244</v>
      </c>
      <c r="Q29" s="36" t="s">
        <v>265</v>
      </c>
      <c r="R29" s="36" t="s">
        <v>266</v>
      </c>
      <c r="S29" s="36" t="s">
        <v>201</v>
      </c>
      <c r="U29" s="36"/>
      <c r="V29" s="36"/>
      <c r="W29" s="36"/>
      <c r="X29" s="36"/>
      <c r="Y29" s="15"/>
      <c r="Z29" s="15"/>
      <c r="AA29" s="15"/>
      <c r="AB29" s="15"/>
      <c r="AC29" s="15"/>
      <c r="AD29" s="15"/>
      <c r="AE29" s="15"/>
      <c r="AF29" s="15"/>
      <c r="AG29" s="15"/>
      <c r="AH29" s="15"/>
      <c r="AI29" s="15"/>
      <c r="AJ29" s="15"/>
      <c r="AK29" s="15"/>
      <c r="AL29" s="15"/>
      <c r="AM29" s="15"/>
      <c r="AN29" s="15"/>
      <c r="AO29" s="15"/>
      <c r="AP29" s="15"/>
      <c r="AQ29" s="15"/>
      <c r="AR29" s="15"/>
      <c r="AS29" s="15"/>
    </row>
    <row r="30" ht="13.5" customHeight="1">
      <c r="A30" s="33">
        <v>27.0</v>
      </c>
      <c r="B30" s="34" t="s">
        <v>267</v>
      </c>
      <c r="C30" s="35" t="s">
        <v>13</v>
      </c>
      <c r="D30" s="66" t="s">
        <v>23</v>
      </c>
      <c r="E30" s="10" t="s">
        <v>269</v>
      </c>
      <c r="F30" s="10" t="s">
        <v>82</v>
      </c>
      <c r="G30" s="14" t="s">
        <v>270</v>
      </c>
      <c r="H30" s="10" t="s">
        <v>84</v>
      </c>
      <c r="I30" s="37">
        <v>0.0</v>
      </c>
      <c r="J30" s="38" t="s">
        <v>125</v>
      </c>
      <c r="K30" s="39"/>
      <c r="L30" s="67">
        <v>0.0</v>
      </c>
      <c r="M30" s="25">
        <v>2.0</v>
      </c>
      <c r="N30" s="37">
        <v>1.0</v>
      </c>
      <c r="O30" s="13">
        <v>1.0</v>
      </c>
      <c r="P30" s="68" t="s">
        <v>271</v>
      </c>
      <c r="Q30" s="36" t="s">
        <v>222</v>
      </c>
      <c r="R30" s="36" t="s">
        <v>201</v>
      </c>
      <c r="S30" s="36" t="s">
        <v>272</v>
      </c>
      <c r="U30" s="36"/>
      <c r="V30" s="36"/>
      <c r="W30" s="36"/>
      <c r="X30" s="36"/>
    </row>
    <row r="31" ht="13.5" customHeight="1">
      <c r="A31" s="33">
        <v>28.0</v>
      </c>
      <c r="B31" s="34" t="s">
        <v>274</v>
      </c>
      <c r="C31" s="35" t="s">
        <v>13</v>
      </c>
      <c r="D31" s="14" t="s">
        <v>23</v>
      </c>
      <c r="E31" s="10" t="s">
        <v>269</v>
      </c>
      <c r="F31" s="36" t="s">
        <v>82</v>
      </c>
      <c r="G31" s="10" t="s">
        <v>275</v>
      </c>
      <c r="H31" s="36" t="s">
        <v>84</v>
      </c>
      <c r="I31" s="37">
        <v>1.0</v>
      </c>
      <c r="J31" s="38" t="s">
        <v>177</v>
      </c>
      <c r="K31" s="39"/>
      <c r="L31" s="27">
        <v>0.0</v>
      </c>
      <c r="M31" s="13">
        <v>0.05</v>
      </c>
      <c r="N31" s="13">
        <v>0.02</v>
      </c>
      <c r="O31" s="13">
        <v>0.01</v>
      </c>
      <c r="P31" s="36" t="s">
        <v>244</v>
      </c>
      <c r="Q31" s="36" t="s">
        <v>222</v>
      </c>
      <c r="R31" s="36" t="s">
        <v>201</v>
      </c>
      <c r="S31" s="36" t="s">
        <v>201</v>
      </c>
      <c r="U31" s="36"/>
      <c r="V31" s="36"/>
      <c r="W31" s="36"/>
      <c r="X31" s="36"/>
      <c r="Y31" s="15"/>
      <c r="Z31" s="15"/>
      <c r="AA31" s="15"/>
      <c r="AB31" s="15"/>
      <c r="AC31" s="15"/>
      <c r="AD31" s="15"/>
      <c r="AE31" s="15"/>
      <c r="AF31" s="15"/>
      <c r="AG31" s="15"/>
      <c r="AH31" s="15"/>
      <c r="AI31" s="15"/>
      <c r="AJ31" s="15"/>
      <c r="AK31" s="15"/>
      <c r="AL31" s="15"/>
      <c r="AM31" s="15"/>
      <c r="AN31" s="15"/>
      <c r="AO31" s="15"/>
      <c r="AP31" s="15"/>
      <c r="AQ31" s="15"/>
      <c r="AR31" s="15"/>
      <c r="AS31" s="15"/>
    </row>
    <row r="32" ht="13.5" customHeight="1">
      <c r="A32" s="33">
        <v>29.0</v>
      </c>
      <c r="B32" s="72"/>
      <c r="C32" s="35" t="s">
        <v>13</v>
      </c>
      <c r="D32" s="73" t="s">
        <v>26</v>
      </c>
      <c r="E32" s="10" t="s">
        <v>279</v>
      </c>
      <c r="F32" s="10" t="s">
        <v>280</v>
      </c>
      <c r="G32" s="25" t="s">
        <v>281</v>
      </c>
      <c r="H32" s="10" t="s">
        <v>84</v>
      </c>
      <c r="I32" s="37">
        <v>0.0</v>
      </c>
      <c r="J32" s="74" t="s">
        <v>283</v>
      </c>
      <c r="K32" s="75"/>
      <c r="L32" s="76">
        <v>0.02</v>
      </c>
      <c r="M32" s="25">
        <v>0.9</v>
      </c>
      <c r="N32" s="40">
        <v>0.08</v>
      </c>
      <c r="O32" s="40">
        <v>0.08</v>
      </c>
      <c r="P32" s="77" t="s">
        <v>287</v>
      </c>
      <c r="Q32" s="10" t="s">
        <v>288</v>
      </c>
      <c r="R32" s="10" t="s">
        <v>201</v>
      </c>
      <c r="S32" s="10" t="s">
        <v>201</v>
      </c>
      <c r="T32" s="79"/>
      <c r="U32" s="10"/>
      <c r="V32" s="10"/>
      <c r="W32" s="10"/>
      <c r="X32" s="10"/>
      <c r="Y32" s="80"/>
      <c r="Z32" s="80"/>
      <c r="AA32" s="80"/>
      <c r="AB32" s="80"/>
      <c r="AC32" s="80"/>
      <c r="AD32" s="80"/>
      <c r="AE32" s="80"/>
      <c r="AF32" s="80"/>
      <c r="AG32" s="80"/>
      <c r="AH32" s="80"/>
      <c r="AI32" s="80"/>
      <c r="AJ32" s="80"/>
      <c r="AK32" s="80"/>
      <c r="AL32" s="80"/>
      <c r="AM32" s="80"/>
      <c r="AN32" s="80"/>
      <c r="AO32" s="80"/>
      <c r="AP32" s="80"/>
      <c r="AQ32" s="80"/>
      <c r="AR32" s="80"/>
      <c r="AS32" s="80"/>
    </row>
    <row r="33" ht="13.5" customHeight="1">
      <c r="A33" s="33">
        <v>30.0</v>
      </c>
      <c r="B33" s="72"/>
      <c r="C33" s="35" t="s">
        <v>13</v>
      </c>
      <c r="D33" s="73" t="s">
        <v>26</v>
      </c>
      <c r="E33" s="10" t="s">
        <v>293</v>
      </c>
      <c r="F33" s="10" t="s">
        <v>280</v>
      </c>
      <c r="G33" s="25" t="s">
        <v>294</v>
      </c>
      <c r="H33" s="10" t="s">
        <v>84</v>
      </c>
      <c r="I33" s="37">
        <v>0.0</v>
      </c>
      <c r="J33" s="74" t="s">
        <v>295</v>
      </c>
      <c r="K33" s="75"/>
      <c r="L33" s="81">
        <v>0.02</v>
      </c>
      <c r="M33" s="25">
        <v>0.4</v>
      </c>
      <c r="N33" s="40">
        <v>0.02</v>
      </c>
      <c r="O33" s="13">
        <v>0.24</v>
      </c>
      <c r="P33" s="77" t="s">
        <v>298</v>
      </c>
      <c r="Q33" s="10" t="s">
        <v>299</v>
      </c>
      <c r="R33" s="10" t="s">
        <v>300</v>
      </c>
      <c r="S33" s="10" t="s">
        <v>302</v>
      </c>
      <c r="T33" s="79"/>
      <c r="U33" s="10"/>
      <c r="V33" s="10"/>
      <c r="W33" s="10"/>
      <c r="X33" s="10"/>
      <c r="Y33" s="80"/>
      <c r="Z33" s="80"/>
      <c r="AA33" s="80"/>
      <c r="AB33" s="80"/>
      <c r="AC33" s="80"/>
      <c r="AD33" s="80"/>
      <c r="AE33" s="80"/>
      <c r="AF33" s="80"/>
      <c r="AG33" s="80"/>
      <c r="AH33" s="80"/>
      <c r="AI33" s="80"/>
      <c r="AJ33" s="80"/>
      <c r="AK33" s="80"/>
      <c r="AL33" s="80"/>
      <c r="AM33" s="80"/>
      <c r="AN33" s="80"/>
      <c r="AO33" s="80"/>
      <c r="AP33" s="80"/>
      <c r="AQ33" s="80"/>
      <c r="AR33" s="80"/>
      <c r="AS33" s="80"/>
    </row>
    <row r="34" ht="13.5" customHeight="1">
      <c r="A34" s="83">
        <v>31.0</v>
      </c>
      <c r="B34" s="85" t="s">
        <v>306</v>
      </c>
      <c r="C34" s="35" t="s">
        <v>13</v>
      </c>
      <c r="D34" s="86" t="s">
        <v>29</v>
      </c>
      <c r="E34" s="9" t="s">
        <v>309</v>
      </c>
      <c r="F34" s="10"/>
      <c r="G34" s="9" t="s">
        <v>309</v>
      </c>
      <c r="H34" s="36" t="s">
        <v>310</v>
      </c>
      <c r="I34" s="54">
        <v>0.0</v>
      </c>
      <c r="J34" s="87" t="s">
        <v>311</v>
      </c>
      <c r="K34" s="9" t="s">
        <v>312</v>
      </c>
      <c r="L34" s="9" t="s">
        <v>313</v>
      </c>
      <c r="M34" s="9" t="s">
        <v>311</v>
      </c>
      <c r="N34" s="9" t="s">
        <v>313</v>
      </c>
      <c r="O34" s="9" t="s">
        <v>311</v>
      </c>
      <c r="P34" s="68" t="s">
        <v>314</v>
      </c>
      <c r="Q34" s="36" t="s">
        <v>314</v>
      </c>
      <c r="R34" s="36" t="s">
        <v>314</v>
      </c>
      <c r="S34" s="36" t="s">
        <v>314</v>
      </c>
      <c r="U34" s="36"/>
      <c r="V34" s="36"/>
      <c r="W34" s="36"/>
      <c r="X34" s="36"/>
    </row>
    <row r="35" ht="13.5" customHeight="1">
      <c r="A35" s="83">
        <v>32.0</v>
      </c>
      <c r="B35" s="85" t="s">
        <v>315</v>
      </c>
      <c r="C35" s="35" t="s">
        <v>13</v>
      </c>
      <c r="D35" s="86" t="s">
        <v>29</v>
      </c>
      <c r="E35" s="9" t="s">
        <v>316</v>
      </c>
      <c r="F35" s="10"/>
      <c r="G35" s="9" t="s">
        <v>316</v>
      </c>
      <c r="H35" s="10" t="s">
        <v>84</v>
      </c>
      <c r="I35" s="54">
        <v>0.0</v>
      </c>
      <c r="J35" s="87">
        <v>2024.0</v>
      </c>
      <c r="K35" s="13"/>
      <c r="L35" s="9">
        <v>2022.0</v>
      </c>
      <c r="M35" s="9">
        <v>2028.0</v>
      </c>
      <c r="N35" s="9">
        <v>2022.0</v>
      </c>
      <c r="O35" s="9">
        <v>2028.0</v>
      </c>
      <c r="P35" s="68" t="s">
        <v>314</v>
      </c>
      <c r="Q35" s="36" t="s">
        <v>314</v>
      </c>
      <c r="R35" s="36" t="s">
        <v>314</v>
      </c>
      <c r="S35" s="36" t="s">
        <v>314</v>
      </c>
      <c r="U35" s="36"/>
      <c r="V35" s="36"/>
      <c r="W35" s="36"/>
      <c r="X35" s="36"/>
    </row>
    <row r="36" ht="13.5" customHeight="1">
      <c r="A36" s="83">
        <v>33.0</v>
      </c>
      <c r="B36" s="34" t="s">
        <v>318</v>
      </c>
      <c r="C36" s="9" t="s">
        <v>31</v>
      </c>
      <c r="D36" s="86" t="s">
        <v>32</v>
      </c>
      <c r="E36" s="36" t="s">
        <v>319</v>
      </c>
      <c r="F36" s="10"/>
      <c r="G36" s="10" t="s">
        <v>320</v>
      </c>
      <c r="H36" s="36" t="s">
        <v>310</v>
      </c>
      <c r="I36" s="54">
        <v>0.0</v>
      </c>
      <c r="J36" s="87" t="s">
        <v>321</v>
      </c>
      <c r="K36" s="9" t="s">
        <v>322</v>
      </c>
      <c r="L36" s="93" t="s">
        <v>321</v>
      </c>
      <c r="M36" s="9" t="s">
        <v>323</v>
      </c>
      <c r="N36" s="93" t="s">
        <v>321</v>
      </c>
      <c r="O36" s="9" t="s">
        <v>323</v>
      </c>
      <c r="P36" s="68" t="s">
        <v>324</v>
      </c>
      <c r="Q36" s="36" t="s">
        <v>325</v>
      </c>
      <c r="R36" s="36" t="s">
        <v>326</v>
      </c>
      <c r="S36" s="36" t="s">
        <v>201</v>
      </c>
      <c r="U36" s="36"/>
      <c r="V36" s="36"/>
      <c r="W36" s="36"/>
      <c r="X36" s="36"/>
    </row>
    <row r="37" ht="13.5" customHeight="1">
      <c r="A37" s="83">
        <v>34.0</v>
      </c>
      <c r="B37" s="34" t="s">
        <v>327</v>
      </c>
      <c r="C37" s="9" t="s">
        <v>31</v>
      </c>
      <c r="D37" s="86" t="s">
        <v>32</v>
      </c>
      <c r="E37" s="36" t="s">
        <v>328</v>
      </c>
      <c r="F37" s="36"/>
      <c r="G37" s="36" t="s">
        <v>328</v>
      </c>
      <c r="H37" s="36" t="s">
        <v>310</v>
      </c>
      <c r="I37" s="54">
        <v>0.0</v>
      </c>
      <c r="J37" s="87" t="s">
        <v>329</v>
      </c>
      <c r="K37" s="9" t="s">
        <v>330</v>
      </c>
      <c r="L37" s="95" t="s">
        <v>329</v>
      </c>
      <c r="M37" s="95" t="s">
        <v>329</v>
      </c>
      <c r="N37" s="95" t="s">
        <v>329</v>
      </c>
      <c r="O37" s="97" t="s">
        <v>329</v>
      </c>
      <c r="P37" s="68" t="s">
        <v>335</v>
      </c>
      <c r="Q37" s="36" t="s">
        <v>336</v>
      </c>
      <c r="R37" s="36" t="s">
        <v>201</v>
      </c>
      <c r="S37" s="36" t="s">
        <v>201</v>
      </c>
      <c r="U37" s="36"/>
    </row>
    <row r="38" ht="13.5" customHeight="1">
      <c r="A38" s="99"/>
    </row>
    <row r="39" ht="13.5" customHeight="1"/>
    <row r="40" ht="13.5" customHeight="1"/>
    <row r="41" ht="13.5" customHeight="1">
      <c r="J41" s="17"/>
    </row>
    <row r="42" ht="13.5" customHeight="1">
      <c r="J42" s="17"/>
    </row>
    <row r="43" ht="13.5" customHeight="1">
      <c r="J43" s="17"/>
    </row>
    <row r="44" ht="13.5" customHeight="1">
      <c r="J44" s="17"/>
    </row>
    <row r="45" ht="13.5" customHeight="1">
      <c r="J45" s="17"/>
    </row>
    <row r="46" ht="13.5" customHeight="1">
      <c r="J46" s="17"/>
    </row>
    <row r="47" ht="13.5" customHeight="1">
      <c r="J47" s="17"/>
    </row>
    <row r="48" ht="13.5" customHeight="1">
      <c r="J48" s="17"/>
    </row>
    <row r="49" ht="13.5" customHeight="1">
      <c r="J49" s="17"/>
    </row>
    <row r="50" ht="13.5" customHeight="1">
      <c r="J50" s="17"/>
    </row>
    <row r="51" ht="13.5" customHeight="1">
      <c r="J51" s="17"/>
    </row>
    <row r="52" ht="13.5" customHeight="1">
      <c r="J52" s="17"/>
    </row>
    <row r="53" ht="13.5" customHeight="1">
      <c r="J53" s="17"/>
    </row>
    <row r="54" ht="13.5" customHeight="1">
      <c r="J54" s="17"/>
    </row>
    <row r="55" ht="13.5" customHeight="1">
      <c r="C55" s="17"/>
      <c r="J55" s="17"/>
    </row>
    <row r="56" ht="13.5" customHeight="1">
      <c r="J56" s="17"/>
    </row>
    <row r="57" ht="13.5" customHeight="1">
      <c r="J57" s="17"/>
    </row>
    <row r="58" ht="13.5" customHeight="1">
      <c r="J58" s="17"/>
    </row>
    <row r="59" ht="13.5" customHeight="1">
      <c r="J59" s="17"/>
    </row>
    <row r="60" ht="13.5" customHeight="1">
      <c r="J60" s="17"/>
    </row>
    <row r="61" ht="13.5" customHeight="1">
      <c r="J61" s="17"/>
    </row>
    <row r="62" ht="13.5" customHeight="1">
      <c r="J62" s="17"/>
    </row>
    <row r="63" ht="13.5" customHeight="1">
      <c r="J63" s="17"/>
    </row>
    <row r="64" ht="13.5" customHeight="1">
      <c r="J64" s="17"/>
    </row>
    <row r="65" ht="13.5" customHeight="1">
      <c r="J65" s="17"/>
    </row>
    <row r="66" ht="13.5" customHeight="1">
      <c r="J66" s="17"/>
    </row>
    <row r="67" ht="13.5" customHeight="1">
      <c r="J67" s="17"/>
    </row>
    <row r="68" ht="13.5" customHeight="1">
      <c r="J68" s="17"/>
    </row>
    <row r="69" ht="13.5" customHeight="1">
      <c r="J69" s="17"/>
    </row>
    <row r="70" ht="13.5" customHeight="1">
      <c r="J70" s="17"/>
    </row>
    <row r="71" ht="13.5" customHeight="1">
      <c r="J71" s="17"/>
    </row>
    <row r="72" ht="13.5" customHeight="1">
      <c r="J72" s="17"/>
    </row>
    <row r="73" ht="13.5" customHeight="1">
      <c r="J73" s="17"/>
      <c r="AD73" s="102" t="s">
        <v>17</v>
      </c>
      <c r="AE73" s="104"/>
      <c r="AF73" s="105"/>
    </row>
    <row r="74" ht="13.5" customHeight="1">
      <c r="J74" s="17"/>
    </row>
    <row r="75" ht="13.5" customHeight="1">
      <c r="J75" s="17"/>
    </row>
    <row r="76" ht="13.5" customHeight="1">
      <c r="J76" s="17"/>
    </row>
    <row r="77" ht="13.5" customHeight="1">
      <c r="J77" s="17"/>
    </row>
    <row r="78" ht="13.5" customHeight="1">
      <c r="J78" s="17"/>
    </row>
    <row r="79" ht="13.5" customHeight="1">
      <c r="J79" s="17"/>
    </row>
    <row r="80" ht="13.5" customHeight="1">
      <c r="J80" s="17"/>
    </row>
    <row r="81" ht="13.5" customHeight="1">
      <c r="J81" s="17"/>
    </row>
    <row r="82" ht="13.5" customHeight="1">
      <c r="J82" s="17"/>
    </row>
    <row r="83" ht="13.5" customHeight="1">
      <c r="J83" s="17"/>
    </row>
    <row r="84" ht="13.5" customHeight="1">
      <c r="J84" s="17"/>
    </row>
    <row r="85" ht="13.5" customHeight="1">
      <c r="J85" s="17"/>
    </row>
    <row r="86" ht="13.5" customHeight="1">
      <c r="J86" s="17"/>
    </row>
    <row r="87" ht="13.5" customHeight="1">
      <c r="J87" s="17"/>
    </row>
    <row r="88" ht="13.5" customHeight="1">
      <c r="J88" s="17"/>
    </row>
    <row r="89" ht="13.5" customHeight="1">
      <c r="J89" s="17"/>
    </row>
    <row r="90" ht="13.5" customHeight="1">
      <c r="J90" s="17"/>
    </row>
    <row r="91" ht="13.5" customHeight="1">
      <c r="J91" s="17"/>
    </row>
    <row r="92" ht="13.5" customHeight="1">
      <c r="J92" s="17"/>
    </row>
    <row r="93" ht="13.5" customHeight="1">
      <c r="J93" s="17"/>
    </row>
    <row r="94" ht="13.5" customHeight="1">
      <c r="J94" s="17"/>
    </row>
    <row r="95" ht="13.5" customHeight="1">
      <c r="J95" s="17"/>
    </row>
    <row r="96" ht="13.5" customHeight="1">
      <c r="J96" s="17"/>
    </row>
    <row r="97" ht="13.5" customHeight="1">
      <c r="J97" s="17"/>
    </row>
    <row r="98" ht="13.5" customHeight="1">
      <c r="J98" s="17"/>
    </row>
    <row r="99" ht="13.5" customHeight="1">
      <c r="J99" s="17"/>
    </row>
    <row r="100" ht="13.5" customHeight="1">
      <c r="J100" s="17"/>
      <c r="AD100" s="107" t="s">
        <v>344</v>
      </c>
      <c r="AE100" s="104"/>
      <c r="AF100" s="105"/>
    </row>
    <row r="101" ht="13.5" customHeight="1">
      <c r="J101" s="17"/>
    </row>
    <row r="102" ht="13.5" customHeight="1">
      <c r="J102" s="17"/>
    </row>
    <row r="103" ht="13.5" customHeight="1">
      <c r="J103" s="17"/>
    </row>
    <row r="104" ht="13.5" customHeight="1">
      <c r="J104" s="17"/>
    </row>
    <row r="105" ht="13.5" customHeight="1">
      <c r="J105" s="17"/>
    </row>
    <row r="106" ht="13.5" customHeight="1">
      <c r="J106" s="17"/>
    </row>
    <row r="107" ht="13.5" customHeight="1">
      <c r="J107" s="17"/>
    </row>
    <row r="108" ht="13.5" customHeight="1">
      <c r="J108" s="17"/>
    </row>
    <row r="109" ht="13.5" customHeight="1">
      <c r="J109" s="17"/>
    </row>
    <row r="110" ht="13.5" customHeight="1">
      <c r="J110" s="17"/>
    </row>
    <row r="111" ht="13.5" customHeight="1">
      <c r="J111" s="17"/>
    </row>
    <row r="112" ht="13.5" customHeight="1">
      <c r="J112" s="17"/>
    </row>
    <row r="113" ht="13.5" customHeight="1">
      <c r="J113" s="17"/>
    </row>
    <row r="114" ht="13.5" customHeight="1">
      <c r="J114" s="17"/>
    </row>
    <row r="115" ht="13.5" customHeight="1">
      <c r="J115" s="17"/>
    </row>
    <row r="116" ht="13.5" customHeight="1">
      <c r="J116" s="17"/>
    </row>
    <row r="117" ht="13.5" customHeight="1">
      <c r="J117" s="17"/>
    </row>
    <row r="118" ht="13.5" customHeight="1">
      <c r="J118" s="17"/>
    </row>
    <row r="119" ht="13.5" customHeight="1">
      <c r="J119" s="17"/>
    </row>
    <row r="120" ht="13.5" customHeight="1">
      <c r="J120" s="17"/>
    </row>
    <row r="121" ht="13.5" customHeight="1">
      <c r="J121" s="17"/>
    </row>
    <row r="122" ht="13.5" customHeight="1">
      <c r="J122" s="17"/>
    </row>
    <row r="123" ht="13.5" customHeight="1">
      <c r="J123" s="17"/>
    </row>
    <row r="124" ht="13.5" customHeight="1">
      <c r="J124" s="17"/>
    </row>
    <row r="125" ht="13.5" customHeight="1">
      <c r="J125" s="17"/>
    </row>
    <row r="126" ht="13.5" customHeight="1">
      <c r="J126" s="17"/>
    </row>
    <row r="127" ht="13.5" customHeight="1">
      <c r="J127" s="17"/>
    </row>
    <row r="128" ht="13.5" customHeight="1">
      <c r="J128" s="17"/>
    </row>
    <row r="129" ht="13.5" customHeight="1">
      <c r="J129" s="17"/>
    </row>
    <row r="130" ht="13.5" customHeight="1">
      <c r="J130" s="17"/>
    </row>
    <row r="131" ht="13.5" customHeight="1">
      <c r="J131" s="17"/>
    </row>
    <row r="132" ht="13.5" customHeight="1">
      <c r="J132" s="17"/>
    </row>
    <row r="133" ht="13.5" customHeight="1">
      <c r="J133" s="17"/>
    </row>
    <row r="134" ht="13.5" customHeight="1">
      <c r="J134" s="17"/>
    </row>
    <row r="135" ht="13.5" customHeight="1">
      <c r="J135" s="17"/>
    </row>
    <row r="136" ht="13.5" customHeight="1">
      <c r="J136" s="17"/>
    </row>
    <row r="137" ht="13.5" customHeight="1">
      <c r="J137" s="17"/>
    </row>
    <row r="138" ht="13.5" customHeight="1">
      <c r="J138" s="17"/>
    </row>
    <row r="139" ht="13.5" customHeight="1">
      <c r="J139" s="17"/>
    </row>
    <row r="140" ht="13.5" customHeight="1">
      <c r="J140" s="17"/>
    </row>
    <row r="141" ht="13.5" customHeight="1">
      <c r="J141" s="17"/>
    </row>
    <row r="142" ht="13.5" customHeight="1">
      <c r="J142" s="17"/>
    </row>
    <row r="143" ht="13.5" customHeight="1">
      <c r="J143" s="17"/>
    </row>
    <row r="144" ht="13.5" customHeight="1">
      <c r="J144" s="17"/>
    </row>
    <row r="145" ht="13.5" customHeight="1">
      <c r="J145" s="17"/>
    </row>
    <row r="146" ht="13.5" customHeight="1">
      <c r="J146" s="17"/>
    </row>
    <row r="147" ht="13.5" customHeight="1">
      <c r="J147" s="17"/>
    </row>
    <row r="148" ht="13.5" customHeight="1">
      <c r="J148" s="17"/>
    </row>
    <row r="149" ht="13.5" customHeight="1">
      <c r="J149" s="17"/>
    </row>
    <row r="150" ht="13.5" customHeight="1">
      <c r="J150" s="17"/>
    </row>
    <row r="151" ht="13.5" customHeight="1">
      <c r="J151" s="17"/>
    </row>
    <row r="152" ht="13.5" customHeight="1">
      <c r="J152" s="17"/>
    </row>
    <row r="153" ht="13.5" customHeight="1">
      <c r="J153" s="17"/>
    </row>
    <row r="154" ht="13.5" customHeight="1">
      <c r="J154" s="17"/>
    </row>
    <row r="155" ht="13.5" customHeight="1">
      <c r="J155" s="17"/>
    </row>
    <row r="156" ht="13.5" customHeight="1">
      <c r="J156" s="17"/>
    </row>
    <row r="157" ht="13.5" customHeight="1">
      <c r="J157" s="17"/>
    </row>
    <row r="158" ht="13.5" customHeight="1">
      <c r="J158" s="17"/>
    </row>
    <row r="159" ht="13.5" customHeight="1">
      <c r="J159" s="17"/>
    </row>
    <row r="160" ht="13.5" customHeight="1">
      <c r="J160" s="17"/>
    </row>
    <row r="161" ht="13.5" customHeight="1">
      <c r="J161" s="17"/>
    </row>
    <row r="162" ht="13.5" customHeight="1">
      <c r="J162" s="17"/>
    </row>
    <row r="163" ht="13.5" customHeight="1">
      <c r="J163" s="17"/>
    </row>
    <row r="164" ht="13.5" customHeight="1">
      <c r="J164" s="17"/>
    </row>
    <row r="165" ht="13.5" customHeight="1">
      <c r="J165" s="17"/>
    </row>
    <row r="166" ht="13.5" customHeight="1">
      <c r="J166" s="17"/>
    </row>
    <row r="167" ht="13.5" customHeight="1">
      <c r="J167" s="17"/>
    </row>
    <row r="168" ht="13.5" customHeight="1">
      <c r="J168" s="17"/>
    </row>
    <row r="169" ht="13.5" customHeight="1">
      <c r="J169" s="17"/>
    </row>
    <row r="170" ht="13.5" customHeight="1">
      <c r="J170" s="17"/>
    </row>
    <row r="171" ht="13.5" customHeight="1">
      <c r="J171" s="17"/>
    </row>
    <row r="172" ht="13.5" customHeight="1">
      <c r="J172" s="17"/>
    </row>
    <row r="173" ht="13.5" customHeight="1">
      <c r="J173" s="17"/>
    </row>
    <row r="174" ht="13.5" customHeight="1">
      <c r="J174" s="17"/>
    </row>
    <row r="175" ht="13.5" customHeight="1">
      <c r="J175" s="17"/>
    </row>
    <row r="176" ht="13.5" customHeight="1">
      <c r="J176" s="17"/>
    </row>
    <row r="177" ht="13.5" customHeight="1">
      <c r="J177" s="17"/>
    </row>
    <row r="178" ht="13.5" customHeight="1">
      <c r="J178" s="17"/>
    </row>
    <row r="179" ht="13.5" customHeight="1">
      <c r="J179" s="17"/>
    </row>
    <row r="180" ht="13.5" customHeight="1">
      <c r="J180" s="17"/>
    </row>
    <row r="181" ht="13.5" customHeight="1">
      <c r="J181" s="17"/>
    </row>
    <row r="182" ht="13.5" customHeight="1">
      <c r="J182" s="17"/>
    </row>
    <row r="183" ht="13.5" customHeight="1">
      <c r="J183" s="17"/>
    </row>
    <row r="184" ht="13.5" customHeight="1">
      <c r="J184" s="17"/>
    </row>
    <row r="185" ht="13.5" customHeight="1">
      <c r="J185" s="17"/>
    </row>
    <row r="186" ht="13.5" customHeight="1">
      <c r="J186" s="17"/>
    </row>
    <row r="187" ht="13.5" customHeight="1">
      <c r="J187" s="17"/>
    </row>
    <row r="188" ht="13.5" customHeight="1">
      <c r="J188" s="17"/>
    </row>
    <row r="189" ht="13.5" customHeight="1">
      <c r="J189" s="17"/>
    </row>
    <row r="190" ht="13.5" customHeight="1">
      <c r="J190" s="17"/>
    </row>
    <row r="191" ht="13.5" customHeight="1">
      <c r="J191" s="17"/>
    </row>
    <row r="192" ht="13.5" customHeight="1">
      <c r="J192" s="17"/>
    </row>
    <row r="193" ht="13.5" customHeight="1">
      <c r="J193" s="17"/>
    </row>
    <row r="194" ht="13.5" customHeight="1">
      <c r="J194" s="17"/>
    </row>
    <row r="195" ht="13.5" customHeight="1">
      <c r="J195" s="17"/>
    </row>
    <row r="196" ht="13.5" customHeight="1">
      <c r="J196" s="17"/>
    </row>
    <row r="197" ht="13.5" customHeight="1">
      <c r="J197" s="17"/>
    </row>
    <row r="198" ht="13.5" customHeight="1">
      <c r="J198" s="17"/>
    </row>
    <row r="199" ht="13.5" customHeight="1">
      <c r="J199" s="17"/>
    </row>
    <row r="200" ht="13.5" customHeight="1">
      <c r="J200" s="17"/>
    </row>
    <row r="201" ht="13.5" customHeight="1">
      <c r="J201" s="17"/>
    </row>
    <row r="202" ht="13.5" customHeight="1">
      <c r="J202" s="17"/>
    </row>
    <row r="203" ht="13.5" customHeight="1">
      <c r="J203" s="17"/>
    </row>
    <row r="204" ht="13.5" customHeight="1">
      <c r="J204" s="17"/>
    </row>
    <row r="205" ht="13.5" customHeight="1">
      <c r="J205" s="17"/>
    </row>
    <row r="206" ht="13.5" customHeight="1">
      <c r="J206" s="17"/>
    </row>
    <row r="207" ht="13.5" customHeight="1">
      <c r="J207" s="17"/>
    </row>
    <row r="208" ht="13.5" customHeight="1">
      <c r="J208" s="17"/>
    </row>
    <row r="209" ht="13.5" customHeight="1">
      <c r="J209" s="17"/>
    </row>
    <row r="210" ht="13.5" customHeight="1">
      <c r="J210" s="17"/>
    </row>
    <row r="211" ht="13.5" customHeight="1">
      <c r="J211" s="17"/>
    </row>
    <row r="212" ht="13.5" customHeight="1">
      <c r="J212" s="17"/>
    </row>
    <row r="213" ht="13.5" customHeight="1">
      <c r="J213" s="17"/>
    </row>
    <row r="214" ht="13.5" customHeight="1">
      <c r="J214" s="17"/>
    </row>
    <row r="215" ht="13.5" customHeight="1">
      <c r="J215" s="17"/>
    </row>
    <row r="216" ht="13.5" customHeight="1">
      <c r="J216" s="17"/>
    </row>
    <row r="217" ht="13.5" customHeight="1">
      <c r="J217" s="17"/>
    </row>
    <row r="218" ht="13.5" customHeight="1">
      <c r="J218" s="17"/>
    </row>
    <row r="219" ht="13.5" customHeight="1">
      <c r="J219" s="17"/>
    </row>
    <row r="220" ht="13.5" customHeight="1">
      <c r="J220" s="17"/>
    </row>
    <row r="221" ht="13.5" customHeight="1">
      <c r="J221" s="17"/>
    </row>
    <row r="222" ht="13.5" customHeight="1">
      <c r="J222" s="17"/>
    </row>
    <row r="223" ht="13.5" customHeight="1">
      <c r="J223" s="17"/>
    </row>
    <row r="224" ht="13.5" customHeight="1">
      <c r="J224" s="17"/>
    </row>
    <row r="225" ht="13.5" customHeight="1">
      <c r="J225" s="17"/>
    </row>
    <row r="226" ht="13.5" customHeight="1">
      <c r="J226" s="17"/>
    </row>
    <row r="227" ht="13.5" customHeight="1">
      <c r="J227" s="17"/>
    </row>
    <row r="228" ht="13.5" customHeight="1">
      <c r="J228" s="17"/>
    </row>
    <row r="229" ht="13.5" customHeight="1">
      <c r="J229" s="17"/>
    </row>
    <row r="230" ht="13.5" customHeight="1">
      <c r="J230" s="17"/>
    </row>
    <row r="231" ht="13.5" customHeight="1">
      <c r="J231" s="17"/>
    </row>
    <row r="232" ht="13.5" customHeight="1">
      <c r="J232" s="17"/>
    </row>
    <row r="233" ht="13.5" customHeight="1">
      <c r="J233" s="17"/>
    </row>
    <row r="234" ht="13.5" customHeight="1">
      <c r="J234" s="17"/>
    </row>
    <row r="235" ht="13.5" customHeight="1">
      <c r="J235" s="17"/>
    </row>
    <row r="236" ht="13.5" customHeight="1">
      <c r="J236" s="17"/>
    </row>
    <row r="237" ht="13.5" customHeight="1">
      <c r="J237" s="17"/>
    </row>
    <row r="238" ht="13.5" customHeight="1">
      <c r="J238" s="17"/>
    </row>
    <row r="239" ht="13.5" customHeight="1">
      <c r="J239" s="17"/>
    </row>
    <row r="240" ht="13.5" customHeight="1">
      <c r="J240" s="17"/>
    </row>
    <row r="241" ht="13.5" customHeight="1">
      <c r="J241" s="17"/>
    </row>
    <row r="242" ht="13.5" customHeight="1">
      <c r="J242" s="17"/>
    </row>
    <row r="243" ht="13.5" customHeight="1">
      <c r="J243" s="17"/>
    </row>
    <row r="244" ht="13.5" customHeight="1">
      <c r="J244" s="17"/>
    </row>
    <row r="245" ht="13.5" customHeight="1">
      <c r="J245" s="17"/>
    </row>
    <row r="246" ht="13.5" customHeight="1">
      <c r="J246" s="17"/>
    </row>
    <row r="247" ht="13.5" customHeight="1">
      <c r="J247" s="17"/>
    </row>
    <row r="248" ht="13.5" customHeight="1">
      <c r="J248" s="17"/>
    </row>
    <row r="249" ht="13.5" customHeight="1">
      <c r="J249" s="17"/>
    </row>
    <row r="250" ht="13.5" customHeight="1">
      <c r="J250" s="17"/>
    </row>
    <row r="251" ht="13.5" customHeight="1">
      <c r="J251" s="17"/>
    </row>
    <row r="252" ht="13.5" customHeight="1">
      <c r="J252" s="17"/>
    </row>
    <row r="253" ht="13.5" customHeight="1">
      <c r="J253" s="17"/>
    </row>
    <row r="254" ht="13.5" customHeight="1">
      <c r="J254" s="17"/>
    </row>
    <row r="255" ht="13.5" customHeight="1">
      <c r="J255" s="17"/>
    </row>
    <row r="256" ht="13.5" customHeight="1">
      <c r="J256" s="17"/>
    </row>
    <row r="257" ht="13.5" customHeight="1">
      <c r="J257" s="17"/>
    </row>
    <row r="258" ht="13.5" customHeight="1">
      <c r="J258" s="17"/>
    </row>
    <row r="259" ht="13.5" customHeight="1">
      <c r="J259" s="17"/>
    </row>
    <row r="260" ht="13.5" customHeight="1">
      <c r="J260" s="17"/>
    </row>
    <row r="261" ht="13.5" customHeight="1">
      <c r="J261" s="17"/>
    </row>
    <row r="262" ht="13.5" customHeight="1">
      <c r="J262" s="17"/>
    </row>
    <row r="263" ht="13.5" customHeight="1">
      <c r="J263" s="17"/>
    </row>
    <row r="264" ht="13.5" customHeight="1">
      <c r="J264" s="17"/>
    </row>
    <row r="265" ht="13.5" customHeight="1">
      <c r="J265" s="17"/>
    </row>
    <row r="266" ht="13.5" customHeight="1">
      <c r="J266" s="17"/>
    </row>
    <row r="267" ht="13.5" customHeight="1">
      <c r="J267" s="17"/>
    </row>
    <row r="268" ht="13.5" customHeight="1">
      <c r="J268" s="17"/>
    </row>
    <row r="269" ht="13.5" customHeight="1">
      <c r="J269" s="17"/>
    </row>
    <row r="270" ht="13.5" customHeight="1">
      <c r="J270" s="17"/>
    </row>
    <row r="271" ht="13.5" customHeight="1">
      <c r="J271" s="17"/>
    </row>
    <row r="272" ht="13.5" customHeight="1">
      <c r="J272" s="17"/>
    </row>
    <row r="273" ht="13.5" customHeight="1">
      <c r="J273" s="17"/>
    </row>
    <row r="274" ht="13.5" customHeight="1">
      <c r="J274" s="17"/>
    </row>
    <row r="275" ht="13.5" customHeight="1">
      <c r="J275" s="17"/>
    </row>
    <row r="276" ht="13.5" customHeight="1">
      <c r="J276" s="17"/>
    </row>
    <row r="277" ht="13.5" customHeight="1">
      <c r="J277" s="17"/>
    </row>
    <row r="278" ht="13.5" customHeight="1">
      <c r="J278" s="17"/>
    </row>
    <row r="279" ht="13.5" customHeight="1">
      <c r="J279" s="17"/>
    </row>
    <row r="280" ht="13.5" customHeight="1">
      <c r="J280" s="17"/>
    </row>
    <row r="281" ht="13.5" customHeight="1">
      <c r="J281" s="17"/>
    </row>
    <row r="282" ht="13.5" customHeight="1">
      <c r="J282" s="17"/>
    </row>
    <row r="283" ht="13.5" customHeight="1">
      <c r="J283" s="17"/>
    </row>
    <row r="284" ht="13.5" customHeight="1">
      <c r="J284" s="17"/>
    </row>
    <row r="285" ht="13.5" customHeight="1">
      <c r="J285" s="17"/>
    </row>
    <row r="286" ht="13.5" customHeight="1">
      <c r="J286" s="17"/>
    </row>
    <row r="287" ht="13.5" customHeight="1">
      <c r="J287" s="17"/>
    </row>
    <row r="288" ht="13.5" customHeight="1">
      <c r="J288" s="17"/>
    </row>
    <row r="289" ht="13.5" customHeight="1">
      <c r="J289" s="17"/>
    </row>
    <row r="290" ht="13.5" customHeight="1">
      <c r="J290" s="17"/>
    </row>
    <row r="291" ht="13.5" customHeight="1">
      <c r="J291" s="17"/>
    </row>
    <row r="292" ht="13.5" customHeight="1">
      <c r="J292" s="17"/>
    </row>
    <row r="293" ht="13.5" customHeight="1">
      <c r="J293" s="17"/>
    </row>
    <row r="294" ht="13.5" customHeight="1">
      <c r="J294" s="17"/>
    </row>
    <row r="295" ht="13.5" customHeight="1">
      <c r="J295" s="17"/>
    </row>
    <row r="296" ht="13.5" customHeight="1">
      <c r="J296" s="17"/>
    </row>
    <row r="297" ht="13.5" customHeight="1">
      <c r="J297" s="17"/>
    </row>
    <row r="298" ht="13.5" customHeight="1">
      <c r="J298" s="17"/>
    </row>
    <row r="299" ht="13.5" customHeight="1">
      <c r="J299" s="17"/>
    </row>
    <row r="300" ht="13.5" customHeight="1">
      <c r="J300" s="17"/>
    </row>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mergeCells count="2">
    <mergeCell ref="AD73:AF73"/>
    <mergeCell ref="AD100:AF100"/>
  </mergeCells>
  <dataValidations>
    <dataValidation type="list" allowBlank="1" sqref="J34">
      <formula1>"Rupture forte,Rupture moyenne,Rupture faible,Sans rupture,"</formula1>
    </dataValidation>
    <dataValidation type="list" allowBlank="1" showErrorMessage="1" sqref="J36">
      <formula1>"Hypothèse haute (9 milliards d'habitants en 2030),Hypothèse basse (8 milliards d'habitants en 2030)"</formula1>
    </dataValidation>
    <dataValidation type="list" allowBlank="1" showErrorMessage="1" sqref="J37">
      <formula1>"Maintien des inégalités : tous les pays suivent la même trajectoire,Egalité stricte : tous les habitants ont la même empreinte carbone"</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35.25"/>
    <col customWidth="1" min="3" max="3" width="23.75"/>
    <col customWidth="1" min="4" max="4" width="17.25"/>
    <col customWidth="1" min="5" max="5" width="20.25"/>
    <col customWidth="1" min="6" max="6" width="13.88"/>
    <col customWidth="1" min="7" max="17" width="14.13"/>
    <col customWidth="1" min="18" max="43" width="9.38"/>
  </cols>
  <sheetData>
    <row r="1">
      <c r="A1" s="17" t="s">
        <v>33</v>
      </c>
      <c r="B1" s="19" t="s">
        <v>36</v>
      </c>
      <c r="C1" s="20" t="s">
        <v>38</v>
      </c>
      <c r="D1" s="20" t="s">
        <v>42</v>
      </c>
      <c r="E1" s="22" t="s">
        <v>43</v>
      </c>
      <c r="F1" s="20">
        <v>2020.0</v>
      </c>
      <c r="G1" s="20">
        <v>2021.0</v>
      </c>
      <c r="H1" s="20">
        <v>2022.0</v>
      </c>
      <c r="I1" s="20">
        <v>2023.0</v>
      </c>
      <c r="J1" s="20">
        <v>2024.0</v>
      </c>
      <c r="K1" s="20">
        <v>2025.0</v>
      </c>
      <c r="L1" s="20">
        <v>2026.0</v>
      </c>
      <c r="M1" s="20">
        <v>2027.0</v>
      </c>
      <c r="N1" s="20">
        <v>2028.0</v>
      </c>
      <c r="O1" s="20">
        <v>2029.0</v>
      </c>
      <c r="P1" s="20">
        <v>2030.0</v>
      </c>
      <c r="R1" s="17" t="s">
        <v>52</v>
      </c>
      <c r="S1" s="17" t="s">
        <v>53</v>
      </c>
    </row>
    <row r="2">
      <c r="A2" s="17" t="s">
        <v>54</v>
      </c>
      <c r="B2" s="17" t="s">
        <v>55</v>
      </c>
      <c r="C2" s="14" t="s">
        <v>14</v>
      </c>
      <c r="D2" s="14" t="str">
        <f>Calculs!G115</f>
        <v>Construction et rénovation</v>
      </c>
      <c r="E2" s="25" t="s">
        <v>58</v>
      </c>
      <c r="F2" s="27">
        <f>Calculs!H149</f>
        <v>16.96</v>
      </c>
      <c r="G2" s="27">
        <f>Calculs!I149</f>
        <v>16.8</v>
      </c>
      <c r="H2" s="27">
        <f>Calculs!J149</f>
        <v>16.8</v>
      </c>
      <c r="I2" s="27">
        <f>Calculs!K149</f>
        <v>16.8</v>
      </c>
      <c r="J2" s="27">
        <f>Calculs!L149</f>
        <v>16.8</v>
      </c>
      <c r="K2" s="27">
        <f>Calculs!M149</f>
        <v>16.8</v>
      </c>
      <c r="L2" s="27">
        <f>Calculs!N149</f>
        <v>16.8</v>
      </c>
      <c r="M2" s="27">
        <f>Calculs!O149</f>
        <v>16.8</v>
      </c>
      <c r="N2" s="27">
        <f>Calculs!P149</f>
        <v>16.8</v>
      </c>
      <c r="O2" s="27">
        <f>Calculs!Q149</f>
        <v>16.8</v>
      </c>
      <c r="P2" s="27">
        <f>Calculs!R149</f>
        <v>16.8</v>
      </c>
      <c r="R2" s="32">
        <f>Calculs!S115</f>
        <v>184.96</v>
      </c>
    </row>
    <row r="3">
      <c r="A3" s="17" t="s">
        <v>75</v>
      </c>
      <c r="B3" s="17" t="s">
        <v>76</v>
      </c>
      <c r="C3" s="14" t="s">
        <v>14</v>
      </c>
      <c r="D3" s="14" t="str">
        <f>Calculs!G116</f>
        <v>Chauffage résidentiel (hors électricité et chauffage urbain)</v>
      </c>
      <c r="E3" s="25" t="s">
        <v>79</v>
      </c>
      <c r="F3" s="27">
        <f>Calculs!H150</f>
        <v>51.89917488</v>
      </c>
      <c r="G3" s="27">
        <f>Calculs!I150</f>
        <v>56.05334208</v>
      </c>
      <c r="H3" s="27">
        <f>Calculs!J150</f>
        <v>56.27719728</v>
      </c>
      <c r="I3" s="27">
        <f>Calculs!K150</f>
        <v>56.50105248</v>
      </c>
      <c r="J3" s="27">
        <f>Calculs!L150</f>
        <v>56.72490768</v>
      </c>
      <c r="K3" s="27">
        <f>Calculs!M150</f>
        <v>56.94876288</v>
      </c>
      <c r="L3" s="27">
        <f>Calculs!N150</f>
        <v>57.17261808</v>
      </c>
      <c r="M3" s="27">
        <f>Calculs!O150</f>
        <v>57.39647328</v>
      </c>
      <c r="N3" s="27">
        <f>Calculs!P150</f>
        <v>57.62032848</v>
      </c>
      <c r="O3" s="27">
        <f>Calculs!Q150</f>
        <v>57.84418368</v>
      </c>
      <c r="P3" s="27">
        <f>Calculs!R150</f>
        <v>58.06803888</v>
      </c>
      <c r="R3" s="32">
        <f>Calculs!S116</f>
        <v>622.5060797</v>
      </c>
    </row>
    <row r="4">
      <c r="C4" s="14" t="s">
        <v>14</v>
      </c>
      <c r="D4" s="14" t="str">
        <f>Calculs!G117</f>
        <v>Tertiaire</v>
      </c>
      <c r="E4" s="25" t="s">
        <v>28</v>
      </c>
      <c r="F4" s="27">
        <f>Calculs!H151</f>
        <v>25</v>
      </c>
      <c r="G4" s="27">
        <f>Calculs!I151</f>
        <v>25</v>
      </c>
      <c r="H4" s="27">
        <f>Calculs!J151</f>
        <v>25.29715617</v>
      </c>
      <c r="I4" s="27">
        <f>Calculs!K151</f>
        <v>25.59431234</v>
      </c>
      <c r="J4" s="27">
        <f>Calculs!L151</f>
        <v>25.89146851</v>
      </c>
      <c r="K4" s="27">
        <f>Calculs!M151</f>
        <v>26.18862468</v>
      </c>
      <c r="L4" s="27">
        <f>Calculs!N151</f>
        <v>26.48578085</v>
      </c>
      <c r="M4" s="27">
        <f>Calculs!O151</f>
        <v>26.78293702</v>
      </c>
      <c r="N4" s="27">
        <f>Calculs!P151</f>
        <v>27.08009319</v>
      </c>
      <c r="O4" s="27">
        <f>Calculs!Q151</f>
        <v>27.37724935</v>
      </c>
      <c r="P4" s="27">
        <f>Calculs!R151</f>
        <v>27.67440552</v>
      </c>
      <c r="R4" s="32">
        <f>Calculs!S117</f>
        <v>288.3720276</v>
      </c>
    </row>
    <row r="5">
      <c r="C5" s="14" t="s">
        <v>17</v>
      </c>
      <c r="D5" s="14" t="str">
        <f>Calculs!G122</f>
        <v>Construction de véhicules</v>
      </c>
      <c r="E5" s="25" t="s">
        <v>98</v>
      </c>
      <c r="F5" s="27">
        <f>Calculs!H156</f>
        <v>18</v>
      </c>
      <c r="G5" s="27">
        <f>Calculs!I156</f>
        <v>18</v>
      </c>
      <c r="H5" s="27">
        <f>Calculs!J156</f>
        <v>18</v>
      </c>
      <c r="I5" s="27">
        <f>Calculs!K156</f>
        <v>18</v>
      </c>
      <c r="J5" s="27">
        <f>Calculs!L156</f>
        <v>18</v>
      </c>
      <c r="K5" s="27">
        <f>Calculs!M156</f>
        <v>18</v>
      </c>
      <c r="L5" s="27">
        <f>Calculs!N156</f>
        <v>18</v>
      </c>
      <c r="M5" s="27">
        <f>Calculs!O156</f>
        <v>18</v>
      </c>
      <c r="N5" s="27">
        <f>Calculs!P156</f>
        <v>18</v>
      </c>
      <c r="O5" s="27">
        <f>Calculs!Q156</f>
        <v>18</v>
      </c>
      <c r="P5" s="27">
        <f>Calculs!R156</f>
        <v>18</v>
      </c>
      <c r="R5" s="32">
        <f>Calculs!S122</f>
        <v>198</v>
      </c>
    </row>
    <row r="6">
      <c r="C6" s="14" t="s">
        <v>17</v>
      </c>
      <c r="D6" s="14" t="str">
        <f>Calculs!G123</f>
        <v>Transport de personnes</v>
      </c>
      <c r="E6" s="14" t="s">
        <v>112</v>
      </c>
      <c r="F6" s="27">
        <f>Calculs!H157</f>
        <v>108.5538083</v>
      </c>
      <c r="G6" s="27">
        <f>Calculs!I157</f>
        <v>108.3717083</v>
      </c>
      <c r="H6" s="27">
        <f>Calculs!J157</f>
        <v>108.1896083</v>
      </c>
      <c r="I6" s="27">
        <f>Calculs!K157</f>
        <v>108.0075083</v>
      </c>
      <c r="J6" s="27">
        <f>Calculs!L157</f>
        <v>107.7647083</v>
      </c>
      <c r="K6" s="27">
        <f>Calculs!M157</f>
        <v>107.4612083</v>
      </c>
      <c r="L6" s="27">
        <f>Calculs!N157</f>
        <v>107.1577083</v>
      </c>
      <c r="M6" s="27">
        <f>Calculs!O157</f>
        <v>106.8542083</v>
      </c>
      <c r="N6" s="27">
        <f>Calculs!P157</f>
        <v>106.5507083</v>
      </c>
      <c r="O6" s="27">
        <f>Calculs!Q157</f>
        <v>106.2472083</v>
      </c>
      <c r="P6" s="27">
        <f>Calculs!R157</f>
        <v>105.9437083</v>
      </c>
      <c r="R6" s="32">
        <f>Calculs!S123</f>
        <v>1181.102092</v>
      </c>
    </row>
    <row r="7">
      <c r="C7" s="14" t="s">
        <v>17</v>
      </c>
      <c r="D7" s="14" t="str">
        <f>Calculs!G124</f>
        <v>Transport de marchandises</v>
      </c>
      <c r="E7" s="14" t="s">
        <v>131</v>
      </c>
      <c r="F7" s="27">
        <f>Calculs!H158</f>
        <v>51.93996991</v>
      </c>
      <c r="G7" s="27">
        <f>Calculs!I158</f>
        <v>51.96996991</v>
      </c>
      <c r="H7" s="27">
        <f>Calculs!J158</f>
        <v>51.96996991</v>
      </c>
      <c r="I7" s="27">
        <f>Calculs!K158</f>
        <v>51.96996991</v>
      </c>
      <c r="J7" s="27">
        <f>Calculs!L158</f>
        <v>51.96996991</v>
      </c>
      <c r="K7" s="27">
        <f>Calculs!M158</f>
        <v>51.96996991</v>
      </c>
      <c r="L7" s="27">
        <f>Calculs!N158</f>
        <v>51.96996991</v>
      </c>
      <c r="M7" s="27">
        <f>Calculs!O158</f>
        <v>51.96996991</v>
      </c>
      <c r="N7" s="27">
        <f>Calculs!P158</f>
        <v>51.96996991</v>
      </c>
      <c r="O7" s="27">
        <f>Calculs!Q158</f>
        <v>51.96996991</v>
      </c>
      <c r="P7" s="27">
        <f>Calculs!R158</f>
        <v>51.96996991</v>
      </c>
      <c r="R7" s="32">
        <f>Calculs!S124</f>
        <v>571.639669</v>
      </c>
    </row>
    <row r="8">
      <c r="C8" s="14" t="s">
        <v>17</v>
      </c>
      <c r="D8" s="14" t="str">
        <f>Calculs!G125</f>
        <v>Transport Aérien</v>
      </c>
      <c r="E8" s="14" t="s">
        <v>141</v>
      </c>
      <c r="F8" s="27">
        <f>Calculs!H159</f>
        <v>32.912</v>
      </c>
      <c r="G8" s="27">
        <f>Calculs!I159</f>
        <v>32.58288</v>
      </c>
      <c r="H8" s="27">
        <f>Calculs!J159</f>
        <v>32.2570512</v>
      </c>
      <c r="I8" s="27">
        <f>Calculs!K159</f>
        <v>31.93448069</v>
      </c>
      <c r="J8" s="27">
        <f>Calculs!L159</f>
        <v>31.61513588</v>
      </c>
      <c r="K8" s="27">
        <f>Calculs!M159</f>
        <v>31.29898452</v>
      </c>
      <c r="L8" s="27">
        <f>Calculs!N159</f>
        <v>30.98599468</v>
      </c>
      <c r="M8" s="27">
        <f>Calculs!O159</f>
        <v>30.67613473</v>
      </c>
      <c r="N8" s="27">
        <f>Calculs!P159</f>
        <v>30.36937338</v>
      </c>
      <c r="O8" s="27">
        <f>Calculs!Q159</f>
        <v>30.06567965</v>
      </c>
      <c r="P8" s="27">
        <f>Calculs!R159</f>
        <v>29.76502285</v>
      </c>
      <c r="R8" s="32">
        <f>Calculs!S125</f>
        <v>344.4627376</v>
      </c>
    </row>
    <row r="9">
      <c r="C9" s="10" t="s">
        <v>20</v>
      </c>
      <c r="D9" s="14" t="str">
        <f>Calculs!G119</f>
        <v>Utilisation des terres</v>
      </c>
      <c r="E9" s="14" t="s">
        <v>157</v>
      </c>
      <c r="F9" s="27">
        <f>Calculs!H153</f>
        <v>42.32</v>
      </c>
      <c r="G9" s="27">
        <f>Calculs!I153</f>
        <v>42.11208</v>
      </c>
      <c r="H9" s="27">
        <f>Calculs!J153</f>
        <v>41.9021104</v>
      </c>
      <c r="I9" s="27">
        <f>Calculs!K153</f>
        <v>41.69014258</v>
      </c>
      <c r="J9" s="27">
        <f>Calculs!L153</f>
        <v>41.47622711</v>
      </c>
      <c r="K9" s="27">
        <f>Calculs!M153</f>
        <v>41.26041374</v>
      </c>
      <c r="L9" s="27">
        <f>Calculs!N153</f>
        <v>41.04275141</v>
      </c>
      <c r="M9" s="27">
        <f>Calculs!O153</f>
        <v>40.82328828</v>
      </c>
      <c r="N9" s="27">
        <f>Calculs!P153</f>
        <v>40.60207174</v>
      </c>
      <c r="O9" s="27">
        <f>Calculs!Q153</f>
        <v>40.37914841</v>
      </c>
      <c r="P9" s="27">
        <f>Calculs!R153</f>
        <v>40.15456413</v>
      </c>
      <c r="R9" s="32">
        <f>Calculs!S119</f>
        <v>453.7627978</v>
      </c>
    </row>
    <row r="10">
      <c r="C10" s="10" t="s">
        <v>20</v>
      </c>
      <c r="D10" s="14" t="str">
        <f>Calculs!G120</f>
        <v>Consommation de viande et élevage</v>
      </c>
      <c r="E10" s="25" t="s">
        <v>170</v>
      </c>
      <c r="F10" s="27">
        <f>Calculs!H154</f>
        <v>43</v>
      </c>
      <c r="G10" s="27">
        <f>Calculs!I154</f>
        <v>43</v>
      </c>
      <c r="H10" s="27">
        <f>Calculs!J154</f>
        <v>43</v>
      </c>
      <c r="I10" s="27">
        <f>Calculs!K154</f>
        <v>43</v>
      </c>
      <c r="J10" s="27">
        <f>Calculs!L154</f>
        <v>43</v>
      </c>
      <c r="K10" s="27">
        <f>Calculs!M154</f>
        <v>43</v>
      </c>
      <c r="L10" s="27">
        <f>Calculs!N154</f>
        <v>43</v>
      </c>
      <c r="M10" s="27">
        <f>Calculs!O154</f>
        <v>43</v>
      </c>
      <c r="N10" s="27">
        <f>Calculs!P154</f>
        <v>43</v>
      </c>
      <c r="O10" s="27">
        <f>Calculs!Q154</f>
        <v>43</v>
      </c>
      <c r="P10" s="27">
        <f>Calculs!R154</f>
        <v>43</v>
      </c>
      <c r="R10" s="32">
        <f>Calculs!S120</f>
        <v>473</v>
      </c>
    </row>
    <row r="11">
      <c r="C11" s="10" t="s">
        <v>20</v>
      </c>
      <c r="D11" s="14" t="str">
        <f>Calculs!G121</f>
        <v>Importations agricoles</v>
      </c>
      <c r="E11" s="25" t="s">
        <v>22</v>
      </c>
      <c r="F11" s="27">
        <f>Calculs!H155</f>
        <v>43</v>
      </c>
      <c r="G11" s="27">
        <f>Calculs!I155</f>
        <v>43</v>
      </c>
      <c r="H11" s="27">
        <f>Calculs!J155</f>
        <v>43</v>
      </c>
      <c r="I11" s="27">
        <f>Calculs!K155</f>
        <v>43</v>
      </c>
      <c r="J11" s="27">
        <f>Calculs!L155</f>
        <v>43</v>
      </c>
      <c r="K11" s="27">
        <f>Calculs!M155</f>
        <v>43</v>
      </c>
      <c r="L11" s="27">
        <f>Calculs!N155</f>
        <v>43</v>
      </c>
      <c r="M11" s="27">
        <f>Calculs!O155</f>
        <v>43</v>
      </c>
      <c r="N11" s="27">
        <f>Calculs!P155</f>
        <v>43</v>
      </c>
      <c r="O11" s="27">
        <f>Calculs!Q155</f>
        <v>43</v>
      </c>
      <c r="P11" s="27">
        <f>Calculs!R155</f>
        <v>43</v>
      </c>
      <c r="R11" s="32">
        <f>Calculs!S121</f>
        <v>473</v>
      </c>
    </row>
    <row r="12">
      <c r="A12" s="47"/>
      <c r="B12" s="47"/>
      <c r="C12" s="48" t="s">
        <v>188</v>
      </c>
      <c r="D12" s="48" t="str">
        <f>Calculs!G170</f>
        <v>Afforestation</v>
      </c>
      <c r="E12" s="48" t="s">
        <v>22</v>
      </c>
      <c r="F12" s="49">
        <v>0.1</v>
      </c>
      <c r="G12" s="50">
        <v>0.1</v>
      </c>
      <c r="H12" s="50">
        <v>0.1</v>
      </c>
      <c r="I12" s="50">
        <v>0.1</v>
      </c>
      <c r="J12" s="50">
        <v>0.1</v>
      </c>
      <c r="K12" s="50">
        <v>0.1</v>
      </c>
      <c r="L12" s="50">
        <v>0.1</v>
      </c>
      <c r="M12" s="50">
        <v>0.1</v>
      </c>
      <c r="N12" s="50">
        <v>0.1</v>
      </c>
      <c r="O12" s="50">
        <v>0.1</v>
      </c>
      <c r="P12" s="50">
        <v>0.1</v>
      </c>
      <c r="Q12" s="47"/>
      <c r="R12" s="51">
        <f>Calculs!S170</f>
        <v>0</v>
      </c>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row>
    <row r="13">
      <c r="C13" s="14" t="s">
        <v>23</v>
      </c>
      <c r="D13" s="14" t="str">
        <f>Calculs!G126</f>
        <v>Biens informatiques</v>
      </c>
      <c r="E13" s="14" t="s">
        <v>202</v>
      </c>
      <c r="F13" s="27">
        <f>Calculs!H160</f>
        <v>43.3</v>
      </c>
      <c r="G13" s="27">
        <f>Calculs!I160</f>
        <v>42.867</v>
      </c>
      <c r="H13" s="27">
        <f>Calculs!J160</f>
        <v>42.43833</v>
      </c>
      <c r="I13" s="27">
        <f>Calculs!K160</f>
        <v>42.0139467</v>
      </c>
      <c r="J13" s="27">
        <f>Calculs!L160</f>
        <v>41.59380723</v>
      </c>
      <c r="K13" s="27">
        <f>Calculs!M160</f>
        <v>41.17786916</v>
      </c>
      <c r="L13" s="27">
        <f>Calculs!N160</f>
        <v>40.76609047</v>
      </c>
      <c r="M13" s="27">
        <f>Calculs!O160</f>
        <v>40.35842956</v>
      </c>
      <c r="N13" s="27">
        <f>Calculs!P160</f>
        <v>39.95484527</v>
      </c>
      <c r="O13" s="27">
        <f>Calculs!Q160</f>
        <v>39.55529682</v>
      </c>
      <c r="P13" s="27">
        <f>Calculs!R160</f>
        <v>39.15974385</v>
      </c>
      <c r="R13" s="32">
        <f>Calculs!S126</f>
        <v>453.1853591</v>
      </c>
    </row>
    <row r="14">
      <c r="C14" s="14" t="s">
        <v>23</v>
      </c>
      <c r="D14" s="14" t="str">
        <f>Calculs!G127</f>
        <v>Biens textiles</v>
      </c>
      <c r="E14" s="14" t="s">
        <v>213</v>
      </c>
      <c r="F14" s="27">
        <f>Calculs!H161</f>
        <v>46.5</v>
      </c>
      <c r="G14" s="27">
        <f>Calculs!I161</f>
        <v>46.035</v>
      </c>
      <c r="H14" s="27">
        <f>Calculs!J161</f>
        <v>45.57465</v>
      </c>
      <c r="I14" s="27">
        <f>Calculs!K161</f>
        <v>45.1189035</v>
      </c>
      <c r="J14" s="27">
        <f>Calculs!L161</f>
        <v>44.66771447</v>
      </c>
      <c r="K14" s="27">
        <f>Calculs!M161</f>
        <v>44.22103732</v>
      </c>
      <c r="L14" s="27">
        <f>Calculs!N161</f>
        <v>43.77882695</v>
      </c>
      <c r="M14" s="27">
        <f>Calculs!O161</f>
        <v>43.34103868</v>
      </c>
      <c r="N14" s="27">
        <f>Calculs!P161</f>
        <v>42.90762829</v>
      </c>
      <c r="O14" s="27">
        <f>Calculs!Q161</f>
        <v>42.47855201</v>
      </c>
      <c r="P14" s="27">
        <f>Calculs!R161</f>
        <v>42.05376649</v>
      </c>
      <c r="R14" s="32">
        <f>Calculs!S127</f>
        <v>486.6771177</v>
      </c>
    </row>
    <row r="15">
      <c r="C15" s="14" t="s">
        <v>23</v>
      </c>
      <c r="D15" s="14" t="str">
        <f>Calculs!G128</f>
        <v>Autres biens et services (distribution, mobilier...)</v>
      </c>
      <c r="E15" s="14" t="s">
        <v>228</v>
      </c>
      <c r="F15" s="27">
        <f>Calculs!H162</f>
        <v>27.3</v>
      </c>
      <c r="G15" s="27">
        <f>Calculs!I162</f>
        <v>27.027</v>
      </c>
      <c r="H15" s="27">
        <f>Calculs!J162</f>
        <v>26.75673</v>
      </c>
      <c r="I15" s="27">
        <f>Calculs!K162</f>
        <v>26.4891627</v>
      </c>
      <c r="J15" s="27">
        <f>Calculs!L162</f>
        <v>26.22427107</v>
      </c>
      <c r="K15" s="27">
        <f>Calculs!M162</f>
        <v>25.96202836</v>
      </c>
      <c r="L15" s="27">
        <f>Calculs!N162</f>
        <v>25.70240808</v>
      </c>
      <c r="M15" s="27">
        <f>Calculs!O162</f>
        <v>25.445384</v>
      </c>
      <c r="N15" s="27">
        <f>Calculs!P162</f>
        <v>25.19093016</v>
      </c>
      <c r="O15" s="27">
        <f>Calculs!Q162</f>
        <v>24.93902086</v>
      </c>
      <c r="P15" s="27">
        <f>Calculs!R162</f>
        <v>24.68963065</v>
      </c>
      <c r="R15" s="32">
        <f>Calculs!S128</f>
        <v>285.7265659</v>
      </c>
    </row>
    <row r="16">
      <c r="C16" s="14" t="s">
        <v>23</v>
      </c>
      <c r="D16" s="14" t="str">
        <f>Calculs!G129</f>
        <v>Services (dont services publics)</v>
      </c>
      <c r="E16" s="14" t="s">
        <v>236</v>
      </c>
      <c r="F16" s="27">
        <f>Calculs!H163</f>
        <v>119.5</v>
      </c>
      <c r="G16" s="27">
        <f>Calculs!I163</f>
        <v>118.305</v>
      </c>
      <c r="H16" s="27">
        <f>Calculs!J163</f>
        <v>117.12195</v>
      </c>
      <c r="I16" s="27">
        <f>Calculs!K163</f>
        <v>115.9507305</v>
      </c>
      <c r="J16" s="27">
        <f>Calculs!L163</f>
        <v>114.7912232</v>
      </c>
      <c r="K16" s="27">
        <f>Calculs!M163</f>
        <v>113.643311</v>
      </c>
      <c r="L16" s="27">
        <f>Calculs!N163</f>
        <v>112.5068779</v>
      </c>
      <c r="M16" s="27">
        <f>Calculs!O163</f>
        <v>111.3818091</v>
      </c>
      <c r="N16" s="27">
        <f>Calculs!P163</f>
        <v>110.267991</v>
      </c>
      <c r="O16" s="27">
        <f>Calculs!Q163</f>
        <v>109.1653111</v>
      </c>
      <c r="P16" s="27">
        <f>Calculs!R163</f>
        <v>108.073658</v>
      </c>
      <c r="R16" s="32">
        <f>Calculs!S129</f>
        <v>1250.707862</v>
      </c>
    </row>
    <row r="17">
      <c r="C17" s="14" t="s">
        <v>26</v>
      </c>
      <c r="D17" s="14" t="str">
        <f>Calculs!G118</f>
        <v>Industrie de l'énergie (hors tertiaire et industrie)</v>
      </c>
      <c r="E17" s="25" t="s">
        <v>16</v>
      </c>
      <c r="F17" s="27">
        <f>Calculs!H152</f>
        <v>80.88353248</v>
      </c>
      <c r="G17" s="27">
        <f>Calculs!I152</f>
        <v>82.47166633</v>
      </c>
      <c r="H17" s="27">
        <f>Calculs!J152</f>
        <v>82.56824781</v>
      </c>
      <c r="I17" s="27">
        <f>Calculs!K152</f>
        <v>82.66482929</v>
      </c>
      <c r="J17" s="27">
        <f>Calculs!L152</f>
        <v>82.76141078</v>
      </c>
      <c r="K17" s="27">
        <f>Calculs!M152</f>
        <v>82.85799226</v>
      </c>
      <c r="L17" s="27">
        <f>Calculs!N152</f>
        <v>82.95457375</v>
      </c>
      <c r="M17" s="27">
        <f>Calculs!O152</f>
        <v>83.05115523</v>
      </c>
      <c r="N17" s="27">
        <f>Calculs!P152</f>
        <v>83.14773671</v>
      </c>
      <c r="O17" s="27">
        <f>Calculs!Q152</f>
        <v>83.2443182</v>
      </c>
      <c r="P17" s="27">
        <f>Calculs!R152</f>
        <v>83.34089968</v>
      </c>
      <c r="R17" s="32">
        <f>Calculs!S118</f>
        <v>909.9463625</v>
      </c>
    </row>
    <row r="18">
      <c r="Q18" s="32"/>
    </row>
    <row r="19">
      <c r="A19" s="17" t="s">
        <v>33</v>
      </c>
      <c r="B19" s="19" t="s">
        <v>36</v>
      </c>
      <c r="D19" s="20" t="s">
        <v>38</v>
      </c>
      <c r="E19" s="20" t="s">
        <v>255</v>
      </c>
      <c r="F19" s="20">
        <v>2020.0</v>
      </c>
      <c r="G19" s="20">
        <v>2021.0</v>
      </c>
      <c r="H19" s="20">
        <v>2022.0</v>
      </c>
      <c r="I19" s="20">
        <v>2023.0</v>
      </c>
      <c r="J19" s="20">
        <v>2024.0</v>
      </c>
      <c r="K19" s="20">
        <v>2025.0</v>
      </c>
      <c r="L19" s="20">
        <v>2026.0</v>
      </c>
      <c r="M19" s="20">
        <v>2027.0</v>
      </c>
      <c r="N19" s="20">
        <v>2028.0</v>
      </c>
      <c r="O19" s="20">
        <v>2029.0</v>
      </c>
      <c r="P19" s="20">
        <v>2030.0</v>
      </c>
      <c r="Q19" s="32"/>
    </row>
    <row r="20">
      <c r="A20" s="17" t="s">
        <v>54</v>
      </c>
      <c r="B20" s="17" t="s">
        <v>55</v>
      </c>
      <c r="D20" s="14" t="s">
        <v>14</v>
      </c>
      <c r="E20" s="13" t="s">
        <v>16</v>
      </c>
      <c r="F20" s="57">
        <f t="shared" ref="F20:P20" si="1">sum(F2:F4)</f>
        <v>93.85917488</v>
      </c>
      <c r="G20" s="57">
        <f t="shared" si="1"/>
        <v>97.85334208</v>
      </c>
      <c r="H20" s="57">
        <f t="shared" si="1"/>
        <v>98.37435345</v>
      </c>
      <c r="I20" s="57">
        <f t="shared" si="1"/>
        <v>98.89536482</v>
      </c>
      <c r="J20" s="57">
        <f t="shared" si="1"/>
        <v>99.41637619</v>
      </c>
      <c r="K20" s="57">
        <f t="shared" si="1"/>
        <v>99.93738756</v>
      </c>
      <c r="L20" s="57">
        <f t="shared" si="1"/>
        <v>100.4583989</v>
      </c>
      <c r="M20" s="57">
        <f t="shared" si="1"/>
        <v>100.9794103</v>
      </c>
      <c r="N20" s="57">
        <f t="shared" si="1"/>
        <v>101.5004217</v>
      </c>
      <c r="O20" s="57">
        <f t="shared" si="1"/>
        <v>102.021433</v>
      </c>
      <c r="P20" s="57">
        <f t="shared" si="1"/>
        <v>102.5424444</v>
      </c>
      <c r="Q20" s="32"/>
    </row>
    <row r="21">
      <c r="A21" s="17" t="s">
        <v>75</v>
      </c>
      <c r="B21" s="17" t="s">
        <v>76</v>
      </c>
      <c r="D21" s="14" t="s">
        <v>17</v>
      </c>
      <c r="E21" s="13" t="s">
        <v>228</v>
      </c>
      <c r="F21" s="57">
        <f t="shared" ref="F21:P21" si="2">sum(F5:F8)</f>
        <v>211.4057782</v>
      </c>
      <c r="G21" s="57">
        <f t="shared" si="2"/>
        <v>210.9245582</v>
      </c>
      <c r="H21" s="57">
        <f t="shared" si="2"/>
        <v>210.4166294</v>
      </c>
      <c r="I21" s="57">
        <f t="shared" si="2"/>
        <v>209.9119589</v>
      </c>
      <c r="J21" s="57">
        <f t="shared" si="2"/>
        <v>209.3498141</v>
      </c>
      <c r="K21" s="57">
        <f t="shared" si="2"/>
        <v>208.7301628</v>
      </c>
      <c r="L21" s="57">
        <f t="shared" si="2"/>
        <v>208.1136729</v>
      </c>
      <c r="M21" s="57">
        <f t="shared" si="2"/>
        <v>207.500313</v>
      </c>
      <c r="N21" s="57">
        <f t="shared" si="2"/>
        <v>206.8900516</v>
      </c>
      <c r="O21" s="57">
        <f t="shared" si="2"/>
        <v>206.2828579</v>
      </c>
      <c r="P21" s="57">
        <f t="shared" si="2"/>
        <v>205.6787011</v>
      </c>
      <c r="Q21" s="32"/>
    </row>
    <row r="22">
      <c r="D22" s="10" t="s">
        <v>20</v>
      </c>
      <c r="E22" s="13" t="s">
        <v>22</v>
      </c>
      <c r="F22" s="57">
        <f t="shared" ref="F22:P22" si="3">sum(F9:F12)</f>
        <v>128.42</v>
      </c>
      <c r="G22" s="57">
        <f t="shared" si="3"/>
        <v>128.21208</v>
      </c>
      <c r="H22" s="57">
        <f t="shared" si="3"/>
        <v>128.0021104</v>
      </c>
      <c r="I22" s="57">
        <f t="shared" si="3"/>
        <v>127.7901426</v>
      </c>
      <c r="J22" s="57">
        <f t="shared" si="3"/>
        <v>127.5762271</v>
      </c>
      <c r="K22" s="57">
        <f t="shared" si="3"/>
        <v>127.3604137</v>
      </c>
      <c r="L22" s="57">
        <f t="shared" si="3"/>
        <v>127.1427514</v>
      </c>
      <c r="M22" s="57">
        <f t="shared" si="3"/>
        <v>126.9232883</v>
      </c>
      <c r="N22" s="57">
        <f t="shared" si="3"/>
        <v>126.7020717</v>
      </c>
      <c r="O22" s="57">
        <f t="shared" si="3"/>
        <v>126.4791484</v>
      </c>
      <c r="P22" s="57">
        <f t="shared" si="3"/>
        <v>126.2545641</v>
      </c>
      <c r="Q22" s="32"/>
    </row>
    <row r="23">
      <c r="D23" s="14" t="s">
        <v>23</v>
      </c>
      <c r="E23" s="13" t="s">
        <v>131</v>
      </c>
      <c r="F23" s="57">
        <f t="shared" ref="F23:P23" si="4">sum(F13:F16)</f>
        <v>236.6</v>
      </c>
      <c r="G23" s="57">
        <f t="shared" si="4"/>
        <v>234.234</v>
      </c>
      <c r="H23" s="57">
        <f t="shared" si="4"/>
        <v>231.89166</v>
      </c>
      <c r="I23" s="57">
        <f t="shared" si="4"/>
        <v>229.5727434</v>
      </c>
      <c r="J23" s="57">
        <f t="shared" si="4"/>
        <v>227.277016</v>
      </c>
      <c r="K23" s="57">
        <f t="shared" si="4"/>
        <v>225.0042458</v>
      </c>
      <c r="L23" s="57">
        <f t="shared" si="4"/>
        <v>222.7542033</v>
      </c>
      <c r="M23" s="57">
        <f t="shared" si="4"/>
        <v>220.5266613</v>
      </c>
      <c r="N23" s="57">
        <f t="shared" si="4"/>
        <v>218.3213947</v>
      </c>
      <c r="O23" s="57">
        <f t="shared" si="4"/>
        <v>216.1381808</v>
      </c>
      <c r="P23" s="57">
        <f t="shared" si="4"/>
        <v>213.9767989</v>
      </c>
      <c r="Q23" s="32"/>
    </row>
    <row r="24">
      <c r="D24" s="14" t="s">
        <v>26</v>
      </c>
      <c r="E24" s="13" t="s">
        <v>268</v>
      </c>
      <c r="F24" s="57">
        <f t="shared" ref="F24:P24" si="5">sum(F17)</f>
        <v>80.88353248</v>
      </c>
      <c r="G24" s="57">
        <f t="shared" si="5"/>
        <v>82.47166633</v>
      </c>
      <c r="H24" s="57">
        <f t="shared" si="5"/>
        <v>82.56824781</v>
      </c>
      <c r="I24" s="57">
        <f t="shared" si="5"/>
        <v>82.66482929</v>
      </c>
      <c r="J24" s="57">
        <f t="shared" si="5"/>
        <v>82.76141078</v>
      </c>
      <c r="K24" s="57">
        <f t="shared" si="5"/>
        <v>82.85799226</v>
      </c>
      <c r="L24" s="57">
        <f t="shared" si="5"/>
        <v>82.95457375</v>
      </c>
      <c r="M24" s="57">
        <f t="shared" si="5"/>
        <v>83.05115523</v>
      </c>
      <c r="N24" s="57">
        <f t="shared" si="5"/>
        <v>83.14773671</v>
      </c>
      <c r="O24" s="57">
        <f t="shared" si="5"/>
        <v>83.2443182</v>
      </c>
      <c r="P24" s="57">
        <f t="shared" si="5"/>
        <v>83.34089968</v>
      </c>
      <c r="Q24" s="32"/>
    </row>
    <row r="25">
      <c r="Q25" s="32"/>
    </row>
    <row r="26">
      <c r="A26" s="17" t="s">
        <v>33</v>
      </c>
      <c r="B26" s="69" t="s">
        <v>36</v>
      </c>
      <c r="C26" s="20" t="s">
        <v>38</v>
      </c>
      <c r="D26" s="20" t="s">
        <v>273</v>
      </c>
      <c r="E26" s="22" t="s">
        <v>43</v>
      </c>
      <c r="F26" s="70">
        <v>2030.0</v>
      </c>
      <c r="G26" s="22" t="s">
        <v>53</v>
      </c>
      <c r="Q26" s="32"/>
    </row>
    <row r="27" ht="15.75" customHeight="1">
      <c r="A27" s="17" t="s">
        <v>75</v>
      </c>
      <c r="B27" s="69" t="s">
        <v>76</v>
      </c>
      <c r="C27" s="10" t="s">
        <v>14</v>
      </c>
      <c r="D27" s="25" t="s">
        <v>276</v>
      </c>
      <c r="E27" s="13" t="s">
        <v>79</v>
      </c>
      <c r="F27" s="71">
        <f t="shared" ref="F27:F36" si="6">P2</f>
        <v>16.8</v>
      </c>
      <c r="G27" s="13" t="s">
        <v>16</v>
      </c>
      <c r="Q27" s="32"/>
    </row>
    <row r="28" ht="15.75" customHeight="1">
      <c r="A28" s="17"/>
      <c r="B28" s="69"/>
      <c r="C28" s="10" t="s">
        <v>14</v>
      </c>
      <c r="D28" s="14" t="s">
        <v>277</v>
      </c>
      <c r="E28" s="13" t="s">
        <v>58</v>
      </c>
      <c r="F28" s="71">
        <f t="shared" si="6"/>
        <v>58.06803888</v>
      </c>
      <c r="G28" s="13" t="s">
        <v>16</v>
      </c>
      <c r="Q28" s="32"/>
    </row>
    <row r="29" ht="15.75" customHeight="1">
      <c r="A29" s="17"/>
      <c r="B29" s="69"/>
      <c r="C29" s="10" t="s">
        <v>14</v>
      </c>
      <c r="D29" s="14" t="s">
        <v>278</v>
      </c>
      <c r="E29" s="13" t="s">
        <v>16</v>
      </c>
      <c r="F29" s="71">
        <f t="shared" si="6"/>
        <v>27.67440552</v>
      </c>
      <c r="G29" s="13" t="s">
        <v>16</v>
      </c>
      <c r="Q29" s="32"/>
    </row>
    <row r="30" ht="15.75" customHeight="1">
      <c r="A30" s="17"/>
      <c r="B30" s="69"/>
      <c r="C30" s="10" t="s">
        <v>17</v>
      </c>
      <c r="D30" s="14" t="s">
        <v>282</v>
      </c>
      <c r="E30" s="13" t="s">
        <v>19</v>
      </c>
      <c r="F30" s="71">
        <f t="shared" si="6"/>
        <v>18</v>
      </c>
      <c r="G30" s="13" t="s">
        <v>228</v>
      </c>
      <c r="Q30" s="32"/>
    </row>
    <row r="31" ht="15.75" customHeight="1">
      <c r="A31" s="17"/>
      <c r="B31" s="69"/>
      <c r="C31" s="10" t="s">
        <v>17</v>
      </c>
      <c r="D31" s="14" t="s">
        <v>284</v>
      </c>
      <c r="E31" s="13" t="s">
        <v>228</v>
      </c>
      <c r="F31" s="71">
        <f t="shared" si="6"/>
        <v>105.9437083</v>
      </c>
      <c r="G31" s="13" t="s">
        <v>228</v>
      </c>
      <c r="Q31" s="32"/>
    </row>
    <row r="32" ht="15.75" customHeight="1">
      <c r="A32" s="17"/>
      <c r="B32" s="69"/>
      <c r="C32" s="36" t="s">
        <v>17</v>
      </c>
      <c r="D32" s="14" t="s">
        <v>285</v>
      </c>
      <c r="E32" s="13" t="s">
        <v>202</v>
      </c>
      <c r="F32" s="71">
        <f t="shared" si="6"/>
        <v>51.96996991</v>
      </c>
      <c r="G32" s="13" t="s">
        <v>228</v>
      </c>
      <c r="Q32" s="32"/>
    </row>
    <row r="33" ht="15.75" customHeight="1">
      <c r="A33" s="17"/>
      <c r="B33" s="69"/>
      <c r="C33" s="14" t="s">
        <v>17</v>
      </c>
      <c r="D33" s="14" t="s">
        <v>286</v>
      </c>
      <c r="E33" s="13" t="s">
        <v>213</v>
      </c>
      <c r="F33" s="71">
        <f t="shared" si="6"/>
        <v>29.76502285</v>
      </c>
      <c r="G33" s="13" t="s">
        <v>228</v>
      </c>
      <c r="Q33" s="32"/>
    </row>
    <row r="34" ht="15.75" customHeight="1">
      <c r="A34" s="17"/>
      <c r="B34" s="69"/>
      <c r="C34" s="78" t="s">
        <v>20</v>
      </c>
      <c r="D34" s="14" t="s">
        <v>289</v>
      </c>
      <c r="E34" s="13" t="s">
        <v>22</v>
      </c>
      <c r="F34" s="71">
        <f t="shared" si="6"/>
        <v>40.15456413</v>
      </c>
      <c r="G34" s="13" t="s">
        <v>22</v>
      </c>
      <c r="Q34" s="32"/>
    </row>
    <row r="35" ht="15.75" customHeight="1">
      <c r="A35" s="17"/>
      <c r="B35" s="69"/>
      <c r="C35" s="78" t="s">
        <v>20</v>
      </c>
      <c r="D35" s="14" t="s">
        <v>211</v>
      </c>
      <c r="E35" s="13" t="s">
        <v>290</v>
      </c>
      <c r="F35" s="71">
        <f t="shared" si="6"/>
        <v>43</v>
      </c>
      <c r="G35" s="13" t="s">
        <v>22</v>
      </c>
      <c r="Q35" s="32"/>
    </row>
    <row r="36" ht="15.75" customHeight="1">
      <c r="A36" s="17"/>
      <c r="B36" s="69"/>
      <c r="C36" s="78" t="s">
        <v>20</v>
      </c>
      <c r="D36" s="14" t="s">
        <v>291</v>
      </c>
      <c r="E36" s="13" t="s">
        <v>292</v>
      </c>
      <c r="F36" s="71">
        <f t="shared" si="6"/>
        <v>43</v>
      </c>
      <c r="G36" s="13" t="s">
        <v>22</v>
      </c>
      <c r="Q36" s="32"/>
    </row>
    <row r="37" ht="15.75" customHeight="1">
      <c r="C37" s="14" t="s">
        <v>23</v>
      </c>
      <c r="D37" s="14" t="s">
        <v>247</v>
      </c>
      <c r="E37" s="13" t="s">
        <v>141</v>
      </c>
      <c r="F37" s="71">
        <f t="shared" ref="F37:F41" si="7">P13</f>
        <v>39.15974385</v>
      </c>
      <c r="G37" s="13" t="s">
        <v>131</v>
      </c>
      <c r="Q37" s="32"/>
    </row>
    <row r="38" ht="15.75" customHeight="1">
      <c r="C38" s="14" t="s">
        <v>23</v>
      </c>
      <c r="D38" s="14" t="s">
        <v>296</v>
      </c>
      <c r="E38" s="13" t="s">
        <v>25</v>
      </c>
      <c r="F38" s="71">
        <f t="shared" si="7"/>
        <v>42.05376649</v>
      </c>
      <c r="G38" s="13" t="s">
        <v>131</v>
      </c>
      <c r="Q38" s="32"/>
    </row>
    <row r="39" ht="15.75" customHeight="1">
      <c r="C39" s="14" t="s">
        <v>23</v>
      </c>
      <c r="D39" s="14" t="s">
        <v>297</v>
      </c>
      <c r="E39" s="13" t="s">
        <v>131</v>
      </c>
      <c r="F39" s="71">
        <f t="shared" si="7"/>
        <v>24.68963065</v>
      </c>
      <c r="G39" s="13" t="s">
        <v>131</v>
      </c>
      <c r="Q39" s="32"/>
    </row>
    <row r="40" ht="15.75" customHeight="1">
      <c r="C40" s="14" t="s">
        <v>23</v>
      </c>
      <c r="D40" s="14" t="s">
        <v>301</v>
      </c>
      <c r="E40" s="13" t="s">
        <v>112</v>
      </c>
      <c r="F40" s="71">
        <f t="shared" si="7"/>
        <v>108.073658</v>
      </c>
      <c r="G40" s="13" t="s">
        <v>131</v>
      </c>
      <c r="Q40" s="32"/>
    </row>
    <row r="41" ht="15.75" customHeight="1">
      <c r="C41" s="14" t="s">
        <v>26</v>
      </c>
      <c r="D41" s="14" t="s">
        <v>303</v>
      </c>
      <c r="E41" s="13" t="s">
        <v>304</v>
      </c>
      <c r="F41" s="71">
        <f t="shared" si="7"/>
        <v>83.34089968</v>
      </c>
      <c r="G41" s="13" t="s">
        <v>268</v>
      </c>
      <c r="Q41" s="32"/>
    </row>
    <row r="42" ht="15.75" customHeight="1">
      <c r="Q42" s="32"/>
    </row>
    <row r="43" ht="15.75" customHeight="1">
      <c r="Q43" s="32"/>
    </row>
    <row r="44" ht="15.75" customHeight="1">
      <c r="A44" s="82" t="s">
        <v>305</v>
      </c>
      <c r="B44" s="69"/>
      <c r="C44" s="84" t="s">
        <v>38</v>
      </c>
      <c r="D44" s="84" t="s">
        <v>307</v>
      </c>
      <c r="E44" s="88" t="s">
        <v>308</v>
      </c>
      <c r="F44" s="89" t="s">
        <v>317</v>
      </c>
      <c r="G44" s="89">
        <v>2020.0</v>
      </c>
      <c r="H44" s="84" t="s">
        <v>255</v>
      </c>
      <c r="Q44" s="32"/>
    </row>
    <row r="45" ht="15.75" customHeight="1">
      <c r="A45" s="17"/>
      <c r="B45" s="69"/>
      <c r="C45" s="14" t="s">
        <v>14</v>
      </c>
      <c r="D45" s="90">
        <f>SUM(F27:F29)</f>
        <v>102.5424444</v>
      </c>
      <c r="E45" s="91">
        <v>500.0</v>
      </c>
      <c r="F45" s="91">
        <v>60.0</v>
      </c>
      <c r="G45" s="92">
        <f t="shared" ref="G45:G49" si="8">F20</f>
        <v>93.85917488</v>
      </c>
      <c r="H45" s="13" t="s">
        <v>16</v>
      </c>
      <c r="Q45" s="32"/>
    </row>
    <row r="46" ht="15.75" customHeight="1">
      <c r="A46" s="17"/>
      <c r="B46" s="69"/>
      <c r="C46" s="36" t="s">
        <v>17</v>
      </c>
      <c r="D46" s="90">
        <f>SUM(F30:F33)</f>
        <v>205.6787011</v>
      </c>
      <c r="E46" s="91">
        <v>500.0</v>
      </c>
      <c r="F46" s="91">
        <v>60.0</v>
      </c>
      <c r="G46" s="92">
        <f t="shared" si="8"/>
        <v>211.4057782</v>
      </c>
      <c r="H46" s="13" t="s">
        <v>228</v>
      </c>
      <c r="Q46" s="32"/>
    </row>
    <row r="47" ht="15.75" customHeight="1">
      <c r="A47" s="17"/>
      <c r="B47" s="69"/>
      <c r="C47" s="78" t="s">
        <v>20</v>
      </c>
      <c r="D47" s="90">
        <f>SUM(F34:F36)</f>
        <v>126.1545641</v>
      </c>
      <c r="E47" s="91">
        <v>500.0</v>
      </c>
      <c r="F47" s="91">
        <v>50.0</v>
      </c>
      <c r="G47" s="94">
        <f t="shared" si="8"/>
        <v>128.42</v>
      </c>
      <c r="H47" s="13" t="s">
        <v>22</v>
      </c>
      <c r="Q47" s="32"/>
    </row>
    <row r="48" ht="15.75" customHeight="1">
      <c r="A48" s="17"/>
      <c r="B48" s="69"/>
      <c r="C48" s="14" t="s">
        <v>23</v>
      </c>
      <c r="D48" s="90">
        <f>SUM(F37:F40)</f>
        <v>213.9767989</v>
      </c>
      <c r="E48" s="91">
        <v>500.0</v>
      </c>
      <c r="F48" s="91">
        <v>60.0</v>
      </c>
      <c r="G48" s="94">
        <f t="shared" si="8"/>
        <v>236.6</v>
      </c>
      <c r="H48" s="13" t="s">
        <v>131</v>
      </c>
      <c r="Q48" s="32"/>
    </row>
    <row r="49" ht="15.75" customHeight="1">
      <c r="C49" s="14" t="s">
        <v>26</v>
      </c>
      <c r="D49" s="90">
        <f>F41</f>
        <v>83.34089968</v>
      </c>
      <c r="E49" s="91">
        <v>500.0</v>
      </c>
      <c r="F49" s="91">
        <v>20.0</v>
      </c>
      <c r="G49" s="92">
        <f t="shared" si="8"/>
        <v>80.88353248</v>
      </c>
      <c r="H49" s="13" t="s">
        <v>268</v>
      </c>
      <c r="Q49" s="32"/>
    </row>
    <row r="50" ht="15.75" customHeight="1">
      <c r="Q50" s="32"/>
    </row>
    <row r="51" ht="15.75" customHeight="1">
      <c r="A51" s="17" t="s">
        <v>33</v>
      </c>
      <c r="B51" s="96" t="s">
        <v>331</v>
      </c>
      <c r="C51" s="20" t="s">
        <v>38</v>
      </c>
      <c r="D51" s="20" t="s">
        <v>332</v>
      </c>
      <c r="E51" s="20" t="s">
        <v>333</v>
      </c>
      <c r="Q51" s="32"/>
    </row>
    <row r="52" ht="15.75" customHeight="1">
      <c r="A52" s="17" t="s">
        <v>54</v>
      </c>
      <c r="C52" s="14" t="s">
        <v>334</v>
      </c>
      <c r="D52" s="14" t="s">
        <v>115</v>
      </c>
      <c r="E52" s="98">
        <f>Calculs!H224</f>
        <v>3.785024874</v>
      </c>
      <c r="G52" s="100" t="s">
        <v>337</v>
      </c>
      <c r="H52" s="101">
        <f>AVERAGE(Calculs!H171:R171)</f>
        <v>743.3680609</v>
      </c>
      <c r="Q52" s="32"/>
    </row>
    <row r="53" ht="15.75" customHeight="1">
      <c r="A53" s="17" t="s">
        <v>75</v>
      </c>
      <c r="C53" s="14" t="s">
        <v>338</v>
      </c>
      <c r="D53" s="14"/>
      <c r="E53" s="14" t="str">
        <f>Calculs!H222</f>
        <v>3.4 à 5 °C</v>
      </c>
      <c r="G53" s="100" t="s">
        <v>339</v>
      </c>
      <c r="H53" s="103">
        <f>Calculs!R172</f>
        <v>9.100664282</v>
      </c>
      <c r="Q53" s="32"/>
    </row>
    <row r="54" ht="15.75" customHeight="1">
      <c r="C54" s="14" t="s">
        <v>340</v>
      </c>
      <c r="D54" s="14" t="s">
        <v>341</v>
      </c>
      <c r="E54" s="14" t="str">
        <f>Calculs!H219</f>
        <v>RCP 8.5</v>
      </c>
      <c r="G54" s="106"/>
      <c r="H54" s="106"/>
      <c r="Q54" s="32"/>
    </row>
    <row r="55" ht="15.75" customHeight="1">
      <c r="C55" s="14" t="s">
        <v>342</v>
      </c>
      <c r="D55" s="14" t="s">
        <v>343</v>
      </c>
      <c r="E55" s="14">
        <f>Calculs!H221</f>
        <v>38</v>
      </c>
      <c r="G55" s="100" t="s">
        <v>345</v>
      </c>
      <c r="H55" s="108">
        <f>Calculs!R202</f>
        <v>6.332321546</v>
      </c>
      <c r="Q55" s="32"/>
    </row>
    <row r="56" ht="15.75" customHeight="1">
      <c r="C56" s="14" t="s">
        <v>346</v>
      </c>
      <c r="D56" s="14" t="s">
        <v>343</v>
      </c>
      <c r="E56" s="14">
        <f>Calculs!H223</f>
        <v>40</v>
      </c>
      <c r="Q56" s="32"/>
    </row>
    <row r="57" ht="15.75" customHeight="1">
      <c r="C57" s="14" t="s">
        <v>347</v>
      </c>
      <c r="D57" s="14" t="s">
        <v>348</v>
      </c>
      <c r="E57" s="14" t="str">
        <f>Calculs!H220</f>
        <v>0.5 - 1</v>
      </c>
      <c r="Q57" s="32"/>
    </row>
    <row r="58" ht="15.75" customHeight="1">
      <c r="C58" s="14" t="s">
        <v>349</v>
      </c>
      <c r="D58" s="14" t="s">
        <v>82</v>
      </c>
      <c r="E58" s="39">
        <f>Calculs!H218</f>
        <v>-0.02579668528</v>
      </c>
      <c r="Q58" s="32"/>
    </row>
    <row r="59" ht="15.75" customHeight="1">
      <c r="C59" s="14" t="s">
        <v>350</v>
      </c>
      <c r="D59" s="14" t="s">
        <v>82</v>
      </c>
      <c r="E59" s="39" t="str">
        <f>(Calculs!#REF!-Calculs!O202)/Calculs!O202</f>
        <v>#ERROR!</v>
      </c>
      <c r="Q59" s="32"/>
    </row>
    <row r="60" ht="15.75" customHeight="1">
      <c r="A60" s="17"/>
      <c r="B60" s="109"/>
      <c r="C60" s="14" t="s">
        <v>351</v>
      </c>
      <c r="D60" s="14" t="s">
        <v>82</v>
      </c>
      <c r="E60" s="39" t="str">
        <f>(Calculs!#REF!-Calculs!H189)/Calculs!H189</f>
        <v>#ERROR!</v>
      </c>
      <c r="F60" s="110"/>
      <c r="G60" s="110"/>
      <c r="H60" s="110"/>
      <c r="I60" s="110"/>
      <c r="J60" s="110"/>
      <c r="K60" s="110"/>
      <c r="L60" s="110"/>
      <c r="M60" s="110"/>
      <c r="N60" s="110"/>
      <c r="O60" s="110"/>
      <c r="P60" s="110"/>
      <c r="Q60" s="17"/>
      <c r="R60" s="111"/>
    </row>
    <row r="61" ht="15.75" customHeight="1">
      <c r="A61" s="17"/>
      <c r="B61" s="109"/>
      <c r="C61" s="14" t="s">
        <v>352</v>
      </c>
      <c r="D61" s="20" t="s">
        <v>82</v>
      </c>
      <c r="E61" s="39" t="str">
        <f>(Calculs!#REF!-10*Calculs!#REF!)/(10*Calculs!#REF!)</f>
        <v>#ERROR!</v>
      </c>
      <c r="F61" s="110"/>
      <c r="G61" s="110"/>
      <c r="H61" s="110"/>
      <c r="I61" s="110"/>
      <c r="J61" s="110"/>
      <c r="K61" s="110"/>
      <c r="L61" s="110"/>
      <c r="M61" s="110"/>
      <c r="N61" s="110"/>
      <c r="O61" s="110"/>
      <c r="P61" s="110"/>
      <c r="Q61" s="17"/>
      <c r="R61" s="111"/>
    </row>
    <row r="62" ht="15.75" customHeight="1">
      <c r="A62" s="17"/>
      <c r="B62" s="109"/>
      <c r="C62" s="110"/>
      <c r="D62" s="110"/>
      <c r="E62" s="110"/>
      <c r="F62" s="110"/>
      <c r="G62" s="110"/>
      <c r="H62" s="110"/>
      <c r="I62" s="110"/>
      <c r="J62" s="110"/>
      <c r="K62" s="110"/>
      <c r="L62" s="110"/>
      <c r="M62" s="110"/>
      <c r="N62" s="110"/>
      <c r="O62" s="110"/>
      <c r="P62" s="110"/>
      <c r="R62" s="17"/>
      <c r="S62" s="111"/>
    </row>
    <row r="63" ht="15.75" customHeight="1">
      <c r="A63" s="17"/>
      <c r="B63" s="109"/>
      <c r="C63" s="110"/>
    </row>
    <row r="64" ht="15.75" customHeight="1">
      <c r="A64" s="17" t="s">
        <v>33</v>
      </c>
      <c r="B64" s="112" t="s">
        <v>353</v>
      </c>
      <c r="D64" s="110"/>
      <c r="E64" s="110">
        <v>2020.0</v>
      </c>
      <c r="F64" s="110">
        <v>2021.0</v>
      </c>
      <c r="G64" s="110">
        <v>2022.0</v>
      </c>
      <c r="H64" s="110">
        <v>2023.0</v>
      </c>
      <c r="I64" s="110">
        <v>2024.0</v>
      </c>
      <c r="J64" s="110">
        <v>2025.0</v>
      </c>
      <c r="K64" s="110">
        <v>2026.0</v>
      </c>
      <c r="L64" s="110">
        <v>2027.0</v>
      </c>
      <c r="M64" s="110">
        <v>2028.0</v>
      </c>
      <c r="N64" s="110">
        <v>2029.0</v>
      </c>
      <c r="O64" s="110">
        <v>2030.0</v>
      </c>
      <c r="Q64" s="17" t="s">
        <v>354</v>
      </c>
      <c r="R64" s="111" t="s">
        <v>355</v>
      </c>
    </row>
    <row r="65" ht="15.75" customHeight="1">
      <c r="A65" s="17" t="s">
        <v>54</v>
      </c>
      <c r="B65" s="17" t="s">
        <v>55</v>
      </c>
      <c r="D65" s="17" t="s">
        <v>356</v>
      </c>
      <c r="E65" s="113">
        <f>Calculs!H200</f>
        <v>52</v>
      </c>
      <c r="F65" s="114">
        <f>Calculs!I200</f>
        <v>52.17496723</v>
      </c>
      <c r="G65" s="114">
        <f>Calculs!J200</f>
        <v>52.0058514</v>
      </c>
      <c r="H65" s="114">
        <f>Calculs!K200</f>
        <v>51.83844453</v>
      </c>
      <c r="I65" s="114">
        <f>Calculs!L200</f>
        <v>51.66852909</v>
      </c>
      <c r="J65" s="114">
        <f>Calculs!M200</f>
        <v>51.49609024</v>
      </c>
      <c r="K65" s="114">
        <f>Calculs!N200</f>
        <v>51.32531581</v>
      </c>
      <c r="L65" s="114">
        <f>Calculs!O200</f>
        <v>51.15619121</v>
      </c>
      <c r="M65" s="114">
        <f>Calculs!P200</f>
        <v>50.98870198</v>
      </c>
      <c r="N65" s="114">
        <f>Calculs!Q200</f>
        <v>50.65857237</v>
      </c>
      <c r="O65" s="114">
        <f>Calculs!R200</f>
        <v>50.65857237</v>
      </c>
      <c r="Q65" s="32">
        <f>SUM(E65:O65)</f>
        <v>565.9712362</v>
      </c>
    </row>
    <row r="66" ht="15.75" customHeight="1">
      <c r="A66" s="17" t="s">
        <v>75</v>
      </c>
      <c r="B66" s="115" t="s">
        <v>357</v>
      </c>
      <c r="Q66" s="32" t="str">
        <f>SUM(E67:O67)</f>
        <v>#ERROR!</v>
      </c>
    </row>
    <row r="67" ht="15.75" customHeight="1">
      <c r="D67" s="17" t="s">
        <v>356</v>
      </c>
      <c r="E67" s="116" t="str">
        <f>Calculs!#REF!</f>
        <v>#ERROR!</v>
      </c>
      <c r="F67" s="114" t="str">
        <f>Calculs!#REF!</f>
        <v>#ERROR!</v>
      </c>
      <c r="G67" s="114" t="str">
        <f>Calculs!#REF!</f>
        <v>#ERROR!</v>
      </c>
      <c r="H67" s="114" t="str">
        <f>Calculs!#REF!</f>
        <v>#ERROR!</v>
      </c>
      <c r="I67" s="114" t="str">
        <f>Calculs!#REF!</f>
        <v>#ERROR!</v>
      </c>
      <c r="J67" s="114" t="str">
        <f>Calculs!#REF!</f>
        <v>#ERROR!</v>
      </c>
      <c r="K67" s="114" t="str">
        <f>Calculs!#REF!</f>
        <v>#ERROR!</v>
      </c>
      <c r="L67" s="114" t="str">
        <f>Calculs!#REF!</f>
        <v>#ERROR!</v>
      </c>
      <c r="M67" s="114" t="str">
        <f>Calculs!#REF!</f>
        <v>#ERROR!</v>
      </c>
      <c r="N67" s="114" t="str">
        <f>Calculs!#REF!</f>
        <v>#ERROR!</v>
      </c>
      <c r="O67" s="114" t="str">
        <f>Calculs!#REF!</f>
        <v>#ERROR!</v>
      </c>
      <c r="P67" s="32"/>
    </row>
    <row r="68" ht="15.75" customHeight="1">
      <c r="P68" s="32"/>
    </row>
    <row r="69" ht="15.75" customHeight="1"/>
    <row r="70" ht="15.75" customHeight="1">
      <c r="A70" s="17" t="s">
        <v>33</v>
      </c>
      <c r="B70" s="96" t="s">
        <v>358</v>
      </c>
      <c r="E70" s="110">
        <v>2020.0</v>
      </c>
      <c r="F70" s="110">
        <v>2021.0</v>
      </c>
      <c r="G70" s="110">
        <v>2022.0</v>
      </c>
      <c r="H70" s="110">
        <v>2023.0</v>
      </c>
      <c r="I70" s="110">
        <v>2024.0</v>
      </c>
      <c r="J70" s="110">
        <v>2025.0</v>
      </c>
      <c r="K70" s="110">
        <v>2026.0</v>
      </c>
      <c r="L70" s="110">
        <v>2027.0</v>
      </c>
      <c r="M70" s="110">
        <v>2028.0</v>
      </c>
      <c r="N70" s="110">
        <v>2029.0</v>
      </c>
      <c r="O70" s="110">
        <v>2030.0</v>
      </c>
      <c r="P70" s="117"/>
      <c r="Q70" s="110" t="s">
        <v>53</v>
      </c>
    </row>
    <row r="71" ht="15.75" customHeight="1">
      <c r="A71" s="17" t="s">
        <v>54</v>
      </c>
      <c r="B71" s="17" t="s">
        <v>55</v>
      </c>
      <c r="D71" s="17" t="s">
        <v>359</v>
      </c>
      <c r="E71" s="32">
        <f>Calculs!H171</f>
        <v>751.0684856</v>
      </c>
      <c r="F71" s="32">
        <f>Calculs!I171</f>
        <v>753.5956466</v>
      </c>
      <c r="G71" s="32">
        <f>Calculs!J171</f>
        <v>751.1530011</v>
      </c>
      <c r="H71" s="32">
        <f>Calculs!K171</f>
        <v>748.735039</v>
      </c>
      <c r="I71" s="32">
        <f>Calculs!L171</f>
        <v>746.2808442</v>
      </c>
      <c r="J71" s="32">
        <f>Calculs!M171</f>
        <v>743.7902021</v>
      </c>
      <c r="K71" s="32">
        <f>Calculs!N171</f>
        <v>741.3236003</v>
      </c>
      <c r="L71" s="32">
        <f>Calculs!O171</f>
        <v>738.8808281</v>
      </c>
      <c r="M71" s="32">
        <f>Calculs!P171</f>
        <v>736.4616765</v>
      </c>
      <c r="N71" s="32">
        <f>Calculs!Q171</f>
        <v>734.0659383</v>
      </c>
      <c r="O71" s="32">
        <f>Calculs!R171</f>
        <v>731.6934083</v>
      </c>
      <c r="Q71" s="32">
        <f>Calculs!S171</f>
        <v>8177.04867</v>
      </c>
    </row>
    <row r="72" ht="15.75" customHeight="1">
      <c r="A72" s="17" t="s">
        <v>75</v>
      </c>
      <c r="B72" s="17" t="s">
        <v>76</v>
      </c>
      <c r="Q72" s="32"/>
    </row>
    <row r="73" ht="15.75" customHeight="1">
      <c r="Q73" s="32"/>
    </row>
    <row r="74" ht="15.75" customHeight="1">
      <c r="A74" s="17" t="s">
        <v>33</v>
      </c>
      <c r="B74" s="96" t="s">
        <v>361</v>
      </c>
      <c r="C74" s="110" t="s">
        <v>38</v>
      </c>
      <c r="D74" s="110" t="s">
        <v>42</v>
      </c>
      <c r="E74" s="120"/>
      <c r="F74" s="110">
        <v>2020.0</v>
      </c>
      <c r="G74" s="110">
        <v>2021.0</v>
      </c>
      <c r="H74" s="110">
        <v>2022.0</v>
      </c>
      <c r="I74" s="110">
        <v>2023.0</v>
      </c>
      <c r="J74" s="110">
        <v>2024.0</v>
      </c>
      <c r="K74" s="110">
        <v>2025.0</v>
      </c>
      <c r="L74" s="110">
        <v>2026.0</v>
      </c>
      <c r="M74" s="110">
        <v>2027.0</v>
      </c>
      <c r="N74" s="110">
        <v>2028.0</v>
      </c>
      <c r="O74" s="110">
        <v>2029.0</v>
      </c>
      <c r="P74" s="110">
        <v>2030.0</v>
      </c>
      <c r="Q74" s="117"/>
      <c r="R74" s="110" t="s">
        <v>53</v>
      </c>
    </row>
    <row r="75" ht="15.75" customHeight="1">
      <c r="A75" s="17" t="s">
        <v>54</v>
      </c>
      <c r="B75" s="17" t="s">
        <v>55</v>
      </c>
      <c r="C75" s="17" t="s">
        <v>359</v>
      </c>
      <c r="D75" s="115" t="s">
        <v>365</v>
      </c>
      <c r="F75" s="32">
        <f>Calculs!H172</f>
        <v>11.2099774</v>
      </c>
      <c r="G75" s="32">
        <f>Calculs!I172</f>
        <v>11.02715316</v>
      </c>
      <c r="H75" s="32">
        <f>Calculs!J172</f>
        <v>10.78003733</v>
      </c>
      <c r="I75" s="32">
        <f>Calculs!K172</f>
        <v>10.54259419</v>
      </c>
      <c r="J75" s="32">
        <f>Calculs!L172</f>
        <v>10.3134445</v>
      </c>
      <c r="K75" s="32">
        <f>Calculs!M172</f>
        <v>10.092133</v>
      </c>
      <c r="L75" s="32">
        <f>Calculs!N172</f>
        <v>9.879045847</v>
      </c>
      <c r="M75" s="32">
        <f>Calculs!O172</f>
        <v>9.673747422</v>
      </c>
      <c r="N75" s="32">
        <f>Calculs!P172</f>
        <v>9.475832173</v>
      </c>
      <c r="O75" s="32">
        <f>Calculs!Q172</f>
        <v>9.284922063</v>
      </c>
      <c r="P75" s="32">
        <f>Calculs!R172</f>
        <v>9.100664282</v>
      </c>
      <c r="Q75" s="32"/>
    </row>
    <row r="76" ht="15.75" customHeight="1">
      <c r="A76" s="17" t="s">
        <v>75</v>
      </c>
      <c r="B76" s="17" t="s">
        <v>367</v>
      </c>
      <c r="Q76" s="32"/>
    </row>
    <row r="77" ht="15.75" customHeight="1">
      <c r="Q77" s="32"/>
    </row>
    <row r="78" ht="15.75" customHeight="1">
      <c r="A78" s="17" t="s">
        <v>33</v>
      </c>
      <c r="B78" s="96" t="s">
        <v>369</v>
      </c>
      <c r="C78" s="110" t="s">
        <v>38</v>
      </c>
      <c r="D78" s="110" t="s">
        <v>42</v>
      </c>
      <c r="E78" s="120" t="s">
        <v>43</v>
      </c>
      <c r="F78" s="110">
        <v>2020.0</v>
      </c>
      <c r="G78" s="110">
        <v>2021.0</v>
      </c>
      <c r="H78" s="110">
        <v>2022.0</v>
      </c>
      <c r="I78" s="110">
        <v>2023.0</v>
      </c>
      <c r="J78" s="110">
        <v>2024.0</v>
      </c>
      <c r="K78" s="110">
        <v>2025.0</v>
      </c>
      <c r="L78" s="110">
        <v>2026.0</v>
      </c>
      <c r="M78" s="110">
        <v>2027.0</v>
      </c>
      <c r="N78" s="110">
        <v>2028.0</v>
      </c>
      <c r="O78" s="110">
        <v>2029.0</v>
      </c>
      <c r="P78" s="110">
        <v>2030.0</v>
      </c>
      <c r="Q78" s="117"/>
      <c r="R78" s="110" t="s">
        <v>53</v>
      </c>
    </row>
    <row r="79" ht="15.75" customHeight="1">
      <c r="A79" s="17" t="s">
        <v>54</v>
      </c>
      <c r="B79" s="17" t="s">
        <v>55</v>
      </c>
      <c r="C79" s="17" t="s">
        <v>356</v>
      </c>
      <c r="D79" s="17" t="s">
        <v>370</v>
      </c>
      <c r="F79" s="32">
        <f>Calculs!H176</f>
        <v>52</v>
      </c>
      <c r="G79" s="32">
        <f>Calculs!I176</f>
        <v>54.08053143</v>
      </c>
      <c r="H79" s="32">
        <f>Calculs!J176</f>
        <v>56.16106285</v>
      </c>
      <c r="I79" s="32">
        <f>Calculs!K176</f>
        <v>58.24159428</v>
      </c>
      <c r="J79" s="32">
        <f>Calculs!L176</f>
        <v>60.3221257</v>
      </c>
      <c r="K79" s="32">
        <f>Calculs!M176</f>
        <v>62.40265713</v>
      </c>
      <c r="L79" s="32">
        <f>Calculs!N176</f>
        <v>64.48318855</v>
      </c>
      <c r="M79" s="32">
        <f>Calculs!O176</f>
        <v>66.56371998</v>
      </c>
      <c r="N79" s="32">
        <f>Calculs!P176</f>
        <v>68.6442514</v>
      </c>
      <c r="O79" s="32">
        <f>Calculs!Q176</f>
        <v>70.72478283</v>
      </c>
      <c r="P79" s="32">
        <f>Calculs!R176</f>
        <v>72.80531425</v>
      </c>
      <c r="Q79" s="32">
        <f t="shared" ref="Q79:Q80" si="9">SUM(F79:P79)</f>
        <v>686.4292284</v>
      </c>
    </row>
    <row r="80" ht="15.75" customHeight="1">
      <c r="A80" s="17" t="s">
        <v>75</v>
      </c>
      <c r="B80" s="17" t="s">
        <v>357</v>
      </c>
      <c r="C80" s="17" t="s">
        <v>356</v>
      </c>
      <c r="D80" s="17" t="s">
        <v>373</v>
      </c>
      <c r="F80" s="32">
        <f>Calculs!H180</f>
        <v>52</v>
      </c>
      <c r="G80" s="32">
        <f>Calculs!I180</f>
        <v>52.17496723</v>
      </c>
      <c r="H80" s="32">
        <f>Calculs!J180</f>
        <v>52.0058514</v>
      </c>
      <c r="I80" s="32">
        <f>Calculs!K180</f>
        <v>51.83844453</v>
      </c>
      <c r="J80" s="32">
        <f>Calculs!L180</f>
        <v>51.66852909</v>
      </c>
      <c r="K80" s="32">
        <f>Calculs!M180</f>
        <v>51.49609024</v>
      </c>
      <c r="L80" s="32">
        <f>Calculs!N180</f>
        <v>51.32531581</v>
      </c>
      <c r="M80" s="32">
        <f>Calculs!O180</f>
        <v>51.15619121</v>
      </c>
      <c r="N80" s="32">
        <f>Calculs!P180</f>
        <v>50.98870198</v>
      </c>
      <c r="O80" s="32">
        <f>Calculs!Q180</f>
        <v>50.82283377</v>
      </c>
      <c r="P80" s="32">
        <f>Calculs!R180</f>
        <v>50.65857237</v>
      </c>
      <c r="Q80" s="32">
        <f t="shared" si="9"/>
        <v>566.1354976</v>
      </c>
    </row>
    <row r="81" ht="15.75" customHeight="1"/>
    <row r="82" ht="15.75" customHeight="1">
      <c r="C82" s="17"/>
      <c r="E82" s="17"/>
      <c r="F82" s="17"/>
      <c r="G82" s="17"/>
      <c r="H82" s="17"/>
      <c r="I82" s="17"/>
      <c r="J82" s="17"/>
      <c r="K82" s="17"/>
      <c r="L82" s="17"/>
      <c r="M82" s="17"/>
      <c r="N82" s="17"/>
      <c r="O82" s="17"/>
      <c r="P82" s="17"/>
    </row>
    <row r="83" ht="15.75" customHeight="1">
      <c r="A83" s="17"/>
      <c r="B83" s="17"/>
      <c r="C83" s="110" t="s">
        <v>38</v>
      </c>
      <c r="D83" s="110" t="s">
        <v>42</v>
      </c>
      <c r="E83" s="120" t="s">
        <v>43</v>
      </c>
      <c r="F83" s="110">
        <v>2020.0</v>
      </c>
      <c r="G83" s="110">
        <v>2021.0</v>
      </c>
      <c r="H83" s="110">
        <v>2022.0</v>
      </c>
      <c r="I83" s="110">
        <v>2023.0</v>
      </c>
      <c r="J83" s="110">
        <v>2024.0</v>
      </c>
      <c r="K83" s="110">
        <v>2025.0</v>
      </c>
      <c r="L83" s="110">
        <v>2026.0</v>
      </c>
      <c r="M83" s="110">
        <v>2027.0</v>
      </c>
      <c r="N83" s="110">
        <v>2028.0</v>
      </c>
      <c r="O83" s="110">
        <v>2029.0</v>
      </c>
      <c r="P83" s="110">
        <v>2030.0</v>
      </c>
      <c r="Q83" s="110"/>
      <c r="R83" s="110" t="s">
        <v>53</v>
      </c>
    </row>
    <row r="84" ht="15.75" customHeight="1">
      <c r="A84" s="17" t="s">
        <v>33</v>
      </c>
      <c r="B84" s="96" t="s">
        <v>374</v>
      </c>
      <c r="C84" s="17" t="s">
        <v>356</v>
      </c>
      <c r="D84" s="17" t="s">
        <v>375</v>
      </c>
      <c r="F84" s="126">
        <f t="shared" ref="F84:F85" si="11">1.25+F79*0.1/150</f>
        <v>1.284666667</v>
      </c>
      <c r="G84" s="126">
        <f t="shared" ref="G84:P84" si="10">F84+G79*0.1/150</f>
        <v>1.320720354</v>
      </c>
      <c r="H84" s="126">
        <f t="shared" si="10"/>
        <v>1.358161063</v>
      </c>
      <c r="I84" s="126">
        <f t="shared" si="10"/>
        <v>1.396988792</v>
      </c>
      <c r="J84" s="126">
        <f t="shared" si="10"/>
        <v>1.437203543</v>
      </c>
      <c r="K84" s="126">
        <f t="shared" si="10"/>
        <v>1.478805314</v>
      </c>
      <c r="L84" s="126">
        <f t="shared" si="10"/>
        <v>1.521794107</v>
      </c>
      <c r="M84" s="126">
        <f t="shared" si="10"/>
        <v>1.56616992</v>
      </c>
      <c r="N84" s="126">
        <f t="shared" si="10"/>
        <v>1.611932754</v>
      </c>
      <c r="O84" s="126">
        <f t="shared" si="10"/>
        <v>1.659082609</v>
      </c>
      <c r="P84" s="126">
        <f t="shared" si="10"/>
        <v>1.707619486</v>
      </c>
    </row>
    <row r="85" ht="15.75" customHeight="1">
      <c r="A85" s="17" t="s">
        <v>54</v>
      </c>
      <c r="B85" s="17" t="s">
        <v>55</v>
      </c>
      <c r="C85" s="17" t="s">
        <v>356</v>
      </c>
      <c r="D85" s="17" t="s">
        <v>378</v>
      </c>
      <c r="F85" s="126">
        <f t="shared" si="11"/>
        <v>1.284666667</v>
      </c>
      <c r="G85" s="126">
        <f t="shared" ref="G85:P85" si="12">F85+G80*0.1/150</f>
        <v>1.319449978</v>
      </c>
      <c r="H85" s="126">
        <f t="shared" si="12"/>
        <v>1.354120546</v>
      </c>
      <c r="I85" s="126">
        <f t="shared" si="12"/>
        <v>1.388679509</v>
      </c>
      <c r="J85" s="126">
        <f t="shared" si="12"/>
        <v>1.423125195</v>
      </c>
      <c r="K85" s="126">
        <f t="shared" si="12"/>
        <v>1.457455922</v>
      </c>
      <c r="L85" s="126">
        <f t="shared" si="12"/>
        <v>1.491672799</v>
      </c>
      <c r="M85" s="126">
        <f t="shared" si="12"/>
        <v>1.525776926</v>
      </c>
      <c r="N85" s="126">
        <f t="shared" si="12"/>
        <v>1.559769394</v>
      </c>
      <c r="O85" s="126">
        <f t="shared" si="12"/>
        <v>1.593651284</v>
      </c>
      <c r="P85" s="126">
        <f t="shared" si="12"/>
        <v>1.627423665</v>
      </c>
    </row>
    <row r="86" ht="15.75" customHeight="1">
      <c r="A86" s="17" t="s">
        <v>75</v>
      </c>
      <c r="B86" s="17" t="s">
        <v>115</v>
      </c>
    </row>
    <row r="87" ht="15.75" customHeight="1"/>
    <row r="88" ht="15.75" customHeight="1">
      <c r="E88" s="17">
        <v>1990.0</v>
      </c>
      <c r="F88" s="17">
        <v>1991.0</v>
      </c>
      <c r="G88" s="17">
        <v>1992.0</v>
      </c>
      <c r="H88" s="17">
        <v>1993.0</v>
      </c>
      <c r="I88" s="17">
        <v>1994.0</v>
      </c>
      <c r="J88" s="17">
        <v>1995.0</v>
      </c>
      <c r="K88" s="17">
        <v>1996.0</v>
      </c>
      <c r="L88" s="17">
        <v>1997.0</v>
      </c>
      <c r="M88" s="17">
        <v>1998.0</v>
      </c>
      <c r="N88" s="17">
        <v>1999.0</v>
      </c>
      <c r="O88" s="17">
        <v>2000.0</v>
      </c>
      <c r="P88" s="17">
        <v>2001.0</v>
      </c>
      <c r="Q88" s="17">
        <v>2002.0</v>
      </c>
      <c r="R88" s="17">
        <v>2003.0</v>
      </c>
      <c r="S88" s="17">
        <v>2004.0</v>
      </c>
      <c r="T88" s="17">
        <v>2005.0</v>
      </c>
      <c r="U88" s="17">
        <v>2006.0</v>
      </c>
      <c r="V88" s="17">
        <v>2007.0</v>
      </c>
      <c r="W88" s="17">
        <v>2008.0</v>
      </c>
      <c r="X88" s="17">
        <v>2009.0</v>
      </c>
      <c r="Y88" s="17">
        <v>2010.0</v>
      </c>
      <c r="Z88" s="17">
        <v>2011.0</v>
      </c>
      <c r="AA88" s="17">
        <v>2012.0</v>
      </c>
      <c r="AB88" s="17">
        <v>2013.0</v>
      </c>
      <c r="AC88" s="17">
        <v>2014.0</v>
      </c>
      <c r="AD88" s="17">
        <v>2015.0</v>
      </c>
      <c r="AE88" s="17">
        <v>2016.0</v>
      </c>
      <c r="AF88" s="17">
        <v>2017.0</v>
      </c>
      <c r="AG88" s="17">
        <v>2018.0</v>
      </c>
      <c r="AH88" s="17">
        <v>2019.0</v>
      </c>
      <c r="AI88" s="17">
        <v>2020.0</v>
      </c>
      <c r="AJ88" s="17">
        <v>2021.0</v>
      </c>
      <c r="AK88" s="17">
        <v>2022.0</v>
      </c>
      <c r="AL88" s="17">
        <v>2023.0</v>
      </c>
      <c r="AM88" s="17">
        <v>2024.0</v>
      </c>
      <c r="AN88" s="17">
        <v>2025.0</v>
      </c>
      <c r="AO88" s="17">
        <v>2026.0</v>
      </c>
      <c r="AP88" s="17">
        <v>2027.0</v>
      </c>
      <c r="AQ88" s="17">
        <v>2028.0</v>
      </c>
    </row>
    <row r="89" ht="15.75" customHeight="1">
      <c r="A89" s="17" t="s">
        <v>33</v>
      </c>
      <c r="B89" s="128" t="s">
        <v>380</v>
      </c>
      <c r="C89" s="17" t="s">
        <v>381</v>
      </c>
      <c r="E89" s="17" t="s">
        <v>383</v>
      </c>
      <c r="F89" s="17" t="s">
        <v>384</v>
      </c>
      <c r="G89" s="17" t="s">
        <v>385</v>
      </c>
      <c r="H89" s="17" t="s">
        <v>386</v>
      </c>
      <c r="I89" s="17" t="s">
        <v>387</v>
      </c>
      <c r="J89" s="17" t="s">
        <v>388</v>
      </c>
      <c r="K89" s="17" t="s">
        <v>389</v>
      </c>
      <c r="L89" s="17" t="s">
        <v>390</v>
      </c>
      <c r="M89" s="17" t="s">
        <v>391</v>
      </c>
      <c r="N89" s="17" t="s">
        <v>392</v>
      </c>
      <c r="O89" s="17" t="s">
        <v>393</v>
      </c>
      <c r="P89" s="17" t="s">
        <v>394</v>
      </c>
      <c r="Q89" s="17" t="s">
        <v>395</v>
      </c>
      <c r="R89" s="17" t="s">
        <v>396</v>
      </c>
      <c r="S89" s="17" t="s">
        <v>397</v>
      </c>
      <c r="T89" s="17" t="s">
        <v>398</v>
      </c>
      <c r="U89" s="17" t="s">
        <v>399</v>
      </c>
      <c r="V89" s="17" t="s">
        <v>400</v>
      </c>
      <c r="W89" s="17" t="s">
        <v>401</v>
      </c>
      <c r="X89" s="17" t="s">
        <v>402</v>
      </c>
      <c r="Y89" s="17" t="s">
        <v>403</v>
      </c>
      <c r="Z89" s="17" t="s">
        <v>404</v>
      </c>
      <c r="AA89" s="17" t="s">
        <v>405</v>
      </c>
      <c r="AB89" s="17" t="s">
        <v>406</v>
      </c>
      <c r="AC89" s="17" t="s">
        <v>407</v>
      </c>
      <c r="AD89" s="17" t="s">
        <v>408</v>
      </c>
      <c r="AE89" s="17" t="s">
        <v>409</v>
      </c>
      <c r="AF89" s="17" t="s">
        <v>410</v>
      </c>
      <c r="AG89" s="17" t="s">
        <v>411</v>
      </c>
    </row>
    <row r="90" ht="15.75" customHeight="1">
      <c r="A90" s="17" t="s">
        <v>54</v>
      </c>
      <c r="B90" s="17" t="s">
        <v>55</v>
      </c>
      <c r="C90" s="17" t="s">
        <v>412</v>
      </c>
      <c r="AD90" s="17" t="s">
        <v>413</v>
      </c>
      <c r="AE90" s="17" t="s">
        <v>414</v>
      </c>
      <c r="AF90" s="17" t="s">
        <v>415</v>
      </c>
      <c r="AG90" s="17" t="s">
        <v>416</v>
      </c>
      <c r="AH90" s="17" t="s">
        <v>417</v>
      </c>
      <c r="AI90" s="17" t="s">
        <v>418</v>
      </c>
      <c r="AJ90" s="17" t="s">
        <v>419</v>
      </c>
      <c r="AK90" s="17" t="s">
        <v>420</v>
      </c>
      <c r="AL90" s="17" t="s">
        <v>421</v>
      </c>
      <c r="AM90" s="17" t="s">
        <v>422</v>
      </c>
      <c r="AN90" s="17" t="s">
        <v>423</v>
      </c>
      <c r="AO90" s="17" t="s">
        <v>424</v>
      </c>
      <c r="AP90" s="17" t="s">
        <v>425</v>
      </c>
      <c r="AQ90" s="17" t="s">
        <v>426</v>
      </c>
    </row>
    <row r="91" ht="15.75" customHeight="1">
      <c r="A91" s="17" t="s">
        <v>75</v>
      </c>
      <c r="B91" s="115" t="s">
        <v>76</v>
      </c>
      <c r="C91" s="132" t="s">
        <v>427</v>
      </c>
    </row>
    <row r="92" ht="15.75" customHeight="1"/>
    <row r="93" ht="15.75" customHeight="1"/>
    <row r="94" ht="15.75" customHeight="1"/>
    <row r="95" ht="15.75" customHeight="1">
      <c r="E95" s="133">
        <v>1990.0</v>
      </c>
      <c r="F95" s="133">
        <v>1991.0</v>
      </c>
      <c r="G95" s="133">
        <v>1992.0</v>
      </c>
      <c r="H95" s="133">
        <v>1993.0</v>
      </c>
      <c r="I95" s="133">
        <v>1994.0</v>
      </c>
      <c r="J95" s="133">
        <v>1995.0</v>
      </c>
      <c r="K95" s="133">
        <v>1996.0</v>
      </c>
      <c r="L95" s="133">
        <v>1997.0</v>
      </c>
      <c r="M95" s="133">
        <v>1998.0</v>
      </c>
      <c r="N95" s="133">
        <v>1999.0</v>
      </c>
      <c r="O95" s="133">
        <v>2000.0</v>
      </c>
      <c r="P95" s="133">
        <v>2001.0</v>
      </c>
      <c r="Q95" s="133">
        <v>2002.0</v>
      </c>
      <c r="R95" s="133">
        <v>2003.0</v>
      </c>
      <c r="S95" s="133">
        <v>2004.0</v>
      </c>
      <c r="T95" s="133">
        <v>2005.0</v>
      </c>
      <c r="U95" s="133">
        <v>2006.0</v>
      </c>
      <c r="V95" s="133">
        <v>2007.0</v>
      </c>
      <c r="W95" s="133">
        <v>2008.0</v>
      </c>
      <c r="X95" s="133">
        <v>2009.0</v>
      </c>
      <c r="Y95" s="133">
        <v>2010.0</v>
      </c>
      <c r="Z95" s="133">
        <v>2011.0</v>
      </c>
      <c r="AA95" s="133">
        <v>2012.0</v>
      </c>
      <c r="AB95" s="133">
        <v>2013.0</v>
      </c>
      <c r="AC95" s="133">
        <v>2014.0</v>
      </c>
      <c r="AD95" s="133">
        <v>2015.0</v>
      </c>
      <c r="AE95" s="133">
        <v>2016.0</v>
      </c>
      <c r="AF95" s="133">
        <v>2017.0</v>
      </c>
      <c r="AG95" s="133">
        <v>2018.0</v>
      </c>
      <c r="AH95" s="133">
        <v>2019.0</v>
      </c>
      <c r="AI95" s="133">
        <v>2020.0</v>
      </c>
      <c r="AJ95" s="133">
        <v>2021.0</v>
      </c>
      <c r="AK95" s="133">
        <v>2022.0</v>
      </c>
      <c r="AL95" s="133">
        <v>2023.0</v>
      </c>
      <c r="AM95" s="133">
        <v>2024.0</v>
      </c>
      <c r="AN95" s="133">
        <v>2025.0</v>
      </c>
      <c r="AO95" s="133">
        <v>2026.0</v>
      </c>
      <c r="AP95" s="133">
        <v>2027.0</v>
      </c>
      <c r="AQ95" s="133">
        <v>2028.0</v>
      </c>
    </row>
    <row r="96" ht="15.75" customHeight="1">
      <c r="A96" s="17" t="s">
        <v>33</v>
      </c>
      <c r="B96" s="128" t="s">
        <v>428</v>
      </c>
      <c r="C96" s="17" t="s">
        <v>381</v>
      </c>
      <c r="E96" s="115" t="s">
        <v>429</v>
      </c>
      <c r="F96" s="115" t="s">
        <v>430</v>
      </c>
      <c r="G96" s="115" t="s">
        <v>431</v>
      </c>
      <c r="H96" s="115" t="s">
        <v>432</v>
      </c>
      <c r="I96" s="115" t="s">
        <v>433</v>
      </c>
      <c r="J96" s="115" t="s">
        <v>434</v>
      </c>
      <c r="K96" s="115" t="s">
        <v>435</v>
      </c>
      <c r="L96" s="115" t="s">
        <v>436</v>
      </c>
      <c r="M96" s="115" t="s">
        <v>437</v>
      </c>
      <c r="N96" s="115" t="s">
        <v>438</v>
      </c>
      <c r="O96" s="115" t="s">
        <v>439</v>
      </c>
      <c r="P96" s="115" t="s">
        <v>440</v>
      </c>
      <c r="Q96" s="115" t="s">
        <v>441</v>
      </c>
      <c r="R96" s="115" t="s">
        <v>442</v>
      </c>
      <c r="S96" s="115" t="s">
        <v>443</v>
      </c>
      <c r="T96" s="115" t="s">
        <v>444</v>
      </c>
      <c r="U96" s="115" t="s">
        <v>445</v>
      </c>
      <c r="V96" s="115" t="s">
        <v>446</v>
      </c>
      <c r="W96" s="115" t="s">
        <v>447</v>
      </c>
      <c r="X96" s="115" t="s">
        <v>448</v>
      </c>
      <c r="Y96" s="115" t="s">
        <v>449</v>
      </c>
      <c r="Z96" s="115" t="s">
        <v>450</v>
      </c>
      <c r="AA96" s="115" t="s">
        <v>451</v>
      </c>
      <c r="AB96" s="115" t="s">
        <v>452</v>
      </c>
      <c r="AC96" s="115" t="s">
        <v>453</v>
      </c>
      <c r="AD96" s="115" t="s">
        <v>454</v>
      </c>
      <c r="AE96" s="115" t="s">
        <v>455</v>
      </c>
      <c r="AF96" s="115" t="s">
        <v>456</v>
      </c>
      <c r="AG96" s="115" t="s">
        <v>457</v>
      </c>
      <c r="AI96" s="115"/>
      <c r="AJ96" s="115"/>
      <c r="AK96" s="115"/>
      <c r="AL96" s="115"/>
      <c r="AM96" s="115"/>
      <c r="AN96" s="115"/>
      <c r="AO96" s="115"/>
      <c r="AP96" s="115"/>
      <c r="AQ96" s="115"/>
    </row>
    <row r="97" ht="15.75" customHeight="1">
      <c r="A97" s="17" t="s">
        <v>54</v>
      </c>
      <c r="B97" s="17" t="s">
        <v>55</v>
      </c>
      <c r="C97" s="17" t="s">
        <v>412</v>
      </c>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t="s">
        <v>458</v>
      </c>
      <c r="AE97" s="115" t="s">
        <v>459</v>
      </c>
      <c r="AF97" s="115" t="s">
        <v>460</v>
      </c>
      <c r="AG97" s="115" t="s">
        <v>461</v>
      </c>
      <c r="AH97" s="115" t="s">
        <v>462</v>
      </c>
      <c r="AI97" s="115" t="s">
        <v>463</v>
      </c>
      <c r="AJ97" s="115" t="s">
        <v>464</v>
      </c>
      <c r="AK97" s="115" t="s">
        <v>465</v>
      </c>
      <c r="AL97" s="115" t="s">
        <v>466</v>
      </c>
      <c r="AM97" s="115" t="s">
        <v>467</v>
      </c>
      <c r="AN97" s="115" t="s">
        <v>468</v>
      </c>
      <c r="AO97" s="115" t="s">
        <v>469</v>
      </c>
      <c r="AP97" s="115" t="s">
        <v>470</v>
      </c>
      <c r="AQ97" s="115" t="s">
        <v>471</v>
      </c>
    </row>
    <row r="98" ht="15.75" customHeight="1">
      <c r="A98" s="17" t="s">
        <v>75</v>
      </c>
      <c r="B98" s="115" t="s">
        <v>76</v>
      </c>
      <c r="C98" s="132" t="s">
        <v>427</v>
      </c>
    </row>
    <row r="99" ht="15.75" customHeight="1"/>
    <row r="100" ht="15.75" customHeight="1"/>
    <row r="101" ht="15.75" customHeight="1">
      <c r="E101" s="133">
        <v>1990.0</v>
      </c>
      <c r="F101" s="133">
        <v>1991.0</v>
      </c>
      <c r="G101" s="133">
        <v>1992.0</v>
      </c>
      <c r="H101" s="133">
        <v>1993.0</v>
      </c>
      <c r="I101" s="133">
        <v>1994.0</v>
      </c>
      <c r="J101" s="133">
        <v>1995.0</v>
      </c>
      <c r="K101" s="133">
        <v>1996.0</v>
      </c>
      <c r="L101" s="133">
        <v>1997.0</v>
      </c>
      <c r="M101" s="133">
        <v>1998.0</v>
      </c>
      <c r="N101" s="133">
        <v>1999.0</v>
      </c>
      <c r="O101" s="133">
        <v>2000.0</v>
      </c>
      <c r="P101" s="133">
        <v>2001.0</v>
      </c>
      <c r="Q101" s="133">
        <v>2002.0</v>
      </c>
      <c r="R101" s="133">
        <v>2003.0</v>
      </c>
      <c r="S101" s="133">
        <v>2004.0</v>
      </c>
      <c r="T101" s="133">
        <v>2005.0</v>
      </c>
      <c r="U101" s="133">
        <v>2006.0</v>
      </c>
      <c r="V101" s="133">
        <v>2007.0</v>
      </c>
      <c r="W101" s="133">
        <v>2008.0</v>
      </c>
      <c r="X101" s="133">
        <v>2009.0</v>
      </c>
      <c r="Y101" s="133">
        <v>2010.0</v>
      </c>
      <c r="Z101" s="133">
        <v>2011.0</v>
      </c>
      <c r="AA101" s="133">
        <v>2012.0</v>
      </c>
      <c r="AB101" s="133">
        <v>2013.0</v>
      </c>
      <c r="AC101" s="133">
        <v>2014.0</v>
      </c>
      <c r="AD101" s="133">
        <v>2015.0</v>
      </c>
      <c r="AE101" s="133">
        <v>2016.0</v>
      </c>
      <c r="AF101" s="133">
        <v>2017.0</v>
      </c>
      <c r="AG101" s="133">
        <v>2018.0</v>
      </c>
      <c r="AH101" s="133">
        <v>2019.0</v>
      </c>
      <c r="AI101" s="133">
        <v>2020.0</v>
      </c>
      <c r="AJ101" s="133">
        <v>2021.0</v>
      </c>
      <c r="AK101" s="133">
        <v>2022.0</v>
      </c>
      <c r="AL101" s="133">
        <v>2023.0</v>
      </c>
      <c r="AM101" s="133">
        <v>2024.0</v>
      </c>
      <c r="AN101" s="133">
        <v>2025.0</v>
      </c>
      <c r="AO101" s="133">
        <v>2026.0</v>
      </c>
      <c r="AP101" s="133">
        <v>2027.0</v>
      </c>
      <c r="AQ101" s="133">
        <v>2028.0</v>
      </c>
    </row>
    <row r="102" ht="15.75" customHeight="1">
      <c r="A102" s="17" t="s">
        <v>33</v>
      </c>
      <c r="B102" s="128" t="s">
        <v>472</v>
      </c>
      <c r="C102" s="17" t="s">
        <v>381</v>
      </c>
      <c r="E102" s="115" t="s">
        <v>473</v>
      </c>
      <c r="F102" s="115" t="s">
        <v>474</v>
      </c>
      <c r="G102" s="115" t="s">
        <v>475</v>
      </c>
      <c r="H102" s="115" t="s">
        <v>476</v>
      </c>
      <c r="I102" s="115" t="s">
        <v>477</v>
      </c>
      <c r="J102" s="115" t="s">
        <v>478</v>
      </c>
      <c r="K102" s="115" t="s">
        <v>479</v>
      </c>
      <c r="L102" s="115" t="s">
        <v>480</v>
      </c>
      <c r="M102" s="115" t="s">
        <v>481</v>
      </c>
      <c r="N102" s="115" t="s">
        <v>482</v>
      </c>
      <c r="O102" s="115" t="s">
        <v>483</v>
      </c>
      <c r="P102" s="115" t="s">
        <v>484</v>
      </c>
      <c r="Q102" s="115" t="s">
        <v>485</v>
      </c>
      <c r="R102" s="115" t="s">
        <v>486</v>
      </c>
      <c r="S102" s="115" t="s">
        <v>487</v>
      </c>
      <c r="T102" s="115" t="s">
        <v>488</v>
      </c>
      <c r="U102" s="115" t="s">
        <v>489</v>
      </c>
      <c r="V102" s="115" t="s">
        <v>490</v>
      </c>
      <c r="W102" s="115" t="s">
        <v>491</v>
      </c>
      <c r="X102" s="115" t="s">
        <v>492</v>
      </c>
      <c r="Y102" s="115" t="s">
        <v>493</v>
      </c>
      <c r="Z102" s="115" t="s">
        <v>494</v>
      </c>
      <c r="AA102" s="115" t="s">
        <v>495</v>
      </c>
      <c r="AB102" s="115" t="s">
        <v>496</v>
      </c>
      <c r="AC102" s="115" t="s">
        <v>497</v>
      </c>
      <c r="AD102" s="115" t="s">
        <v>498</v>
      </c>
      <c r="AE102" s="115" t="s">
        <v>499</v>
      </c>
      <c r="AF102" s="115" t="s">
        <v>500</v>
      </c>
      <c r="AG102" s="115" t="s">
        <v>501</v>
      </c>
      <c r="AH102" s="115"/>
      <c r="AI102" s="115"/>
      <c r="AJ102" s="115"/>
      <c r="AK102" s="115"/>
      <c r="AL102" s="115"/>
      <c r="AM102" s="115"/>
      <c r="AN102" s="115"/>
      <c r="AO102" s="115"/>
      <c r="AP102" s="115"/>
      <c r="AQ102" s="115"/>
    </row>
    <row r="103" ht="15.75" customHeight="1">
      <c r="A103" s="17" t="s">
        <v>54</v>
      </c>
      <c r="B103" s="17" t="s">
        <v>55</v>
      </c>
      <c r="C103" s="17" t="s">
        <v>412</v>
      </c>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t="s">
        <v>502</v>
      </c>
      <c r="AE103" s="115" t="s">
        <v>503</v>
      </c>
      <c r="AF103" s="115" t="s">
        <v>504</v>
      </c>
      <c r="AG103" s="115" t="s">
        <v>505</v>
      </c>
      <c r="AH103" s="115" t="s">
        <v>506</v>
      </c>
      <c r="AI103" s="115" t="s">
        <v>507</v>
      </c>
      <c r="AJ103" s="115" t="s">
        <v>508</v>
      </c>
      <c r="AK103" s="115" t="s">
        <v>509</v>
      </c>
      <c r="AL103" s="115" t="s">
        <v>510</v>
      </c>
      <c r="AM103" s="115" t="s">
        <v>511</v>
      </c>
      <c r="AN103" s="115" t="s">
        <v>512</v>
      </c>
      <c r="AO103" s="115" t="s">
        <v>513</v>
      </c>
      <c r="AP103" s="133">
        <v>78.0</v>
      </c>
      <c r="AQ103" s="115" t="s">
        <v>514</v>
      </c>
    </row>
    <row r="104" ht="15.75" customHeight="1">
      <c r="A104" s="17" t="s">
        <v>75</v>
      </c>
      <c r="B104" s="115" t="s">
        <v>76</v>
      </c>
      <c r="C104" s="132" t="s">
        <v>427</v>
      </c>
    </row>
    <row r="105" ht="15.75" customHeight="1"/>
    <row r="106" ht="15.75" customHeight="1"/>
    <row r="107" ht="15.75" customHeight="1">
      <c r="E107" s="133">
        <v>1990.0</v>
      </c>
      <c r="F107" s="133">
        <v>1991.0</v>
      </c>
      <c r="G107" s="133">
        <v>1992.0</v>
      </c>
      <c r="H107" s="133">
        <v>1993.0</v>
      </c>
      <c r="I107" s="133">
        <v>1994.0</v>
      </c>
      <c r="J107" s="133">
        <v>1995.0</v>
      </c>
      <c r="K107" s="133">
        <v>1996.0</v>
      </c>
      <c r="L107" s="133">
        <v>1997.0</v>
      </c>
      <c r="M107" s="133">
        <v>1998.0</v>
      </c>
      <c r="N107" s="133">
        <v>1999.0</v>
      </c>
      <c r="O107" s="133">
        <v>2000.0</v>
      </c>
      <c r="P107" s="133">
        <v>2001.0</v>
      </c>
      <c r="Q107" s="133">
        <v>2002.0</v>
      </c>
      <c r="R107" s="133">
        <v>2003.0</v>
      </c>
      <c r="S107" s="133">
        <v>2004.0</v>
      </c>
      <c r="T107" s="133">
        <v>2005.0</v>
      </c>
      <c r="U107" s="133">
        <v>2006.0</v>
      </c>
      <c r="V107" s="133">
        <v>2007.0</v>
      </c>
      <c r="W107" s="133">
        <v>2008.0</v>
      </c>
      <c r="X107" s="133">
        <v>2009.0</v>
      </c>
      <c r="Y107" s="133">
        <v>2010.0</v>
      </c>
      <c r="Z107" s="133">
        <v>2011.0</v>
      </c>
      <c r="AA107" s="133">
        <v>2012.0</v>
      </c>
      <c r="AB107" s="133">
        <v>2013.0</v>
      </c>
      <c r="AC107" s="133">
        <v>2014.0</v>
      </c>
      <c r="AD107" s="133">
        <v>2015.0</v>
      </c>
      <c r="AE107" s="133">
        <v>2016.0</v>
      </c>
      <c r="AF107" s="133">
        <v>2017.0</v>
      </c>
      <c r="AG107" s="133">
        <v>2018.0</v>
      </c>
      <c r="AH107" s="133">
        <v>2019.0</v>
      </c>
      <c r="AI107" s="133">
        <v>2020.0</v>
      </c>
      <c r="AJ107" s="133">
        <v>2021.0</v>
      </c>
      <c r="AK107" s="133">
        <v>2022.0</v>
      </c>
      <c r="AL107" s="133">
        <v>2023.0</v>
      </c>
      <c r="AM107" s="133">
        <v>2024.0</v>
      </c>
      <c r="AN107" s="133">
        <v>2025.0</v>
      </c>
      <c r="AO107" s="133">
        <v>2026.0</v>
      </c>
      <c r="AP107" s="133">
        <v>2027.0</v>
      </c>
      <c r="AQ107" s="133">
        <v>2028.0</v>
      </c>
    </row>
    <row r="108" ht="15.75" customHeight="1">
      <c r="A108" s="17" t="s">
        <v>33</v>
      </c>
      <c r="B108" s="128" t="s">
        <v>515</v>
      </c>
      <c r="C108" s="17" t="s">
        <v>381</v>
      </c>
      <c r="E108" s="115" t="s">
        <v>516</v>
      </c>
      <c r="F108" s="115" t="s">
        <v>517</v>
      </c>
      <c r="G108" s="115" t="s">
        <v>518</v>
      </c>
      <c r="H108" s="115" t="s">
        <v>519</v>
      </c>
      <c r="I108" s="115" t="s">
        <v>520</v>
      </c>
      <c r="J108" s="115" t="s">
        <v>521</v>
      </c>
      <c r="K108" s="115" t="s">
        <v>522</v>
      </c>
      <c r="L108" s="115" t="s">
        <v>523</v>
      </c>
      <c r="M108" s="115" t="s">
        <v>524</v>
      </c>
      <c r="N108" s="115" t="s">
        <v>525</v>
      </c>
      <c r="O108" s="115" t="s">
        <v>526</v>
      </c>
      <c r="P108" s="115" t="s">
        <v>527</v>
      </c>
      <c r="Q108" s="115" t="s">
        <v>528</v>
      </c>
      <c r="R108" s="115" t="s">
        <v>529</v>
      </c>
      <c r="S108" s="115" t="s">
        <v>530</v>
      </c>
      <c r="T108" s="115" t="s">
        <v>531</v>
      </c>
      <c r="U108" s="115" t="s">
        <v>532</v>
      </c>
      <c r="V108" s="115" t="s">
        <v>533</v>
      </c>
      <c r="W108" s="115" t="s">
        <v>534</v>
      </c>
      <c r="X108" s="115" t="s">
        <v>535</v>
      </c>
      <c r="Y108" s="115" t="s">
        <v>536</v>
      </c>
      <c r="Z108" s="115" t="s">
        <v>537</v>
      </c>
      <c r="AA108" s="115" t="s">
        <v>538</v>
      </c>
      <c r="AB108" s="115" t="s">
        <v>539</v>
      </c>
      <c r="AC108" s="115" t="s">
        <v>540</v>
      </c>
      <c r="AD108" s="115" t="s">
        <v>541</v>
      </c>
      <c r="AE108" s="115" t="s">
        <v>542</v>
      </c>
      <c r="AF108" s="115" t="s">
        <v>543</v>
      </c>
      <c r="AG108" s="115" t="s">
        <v>544</v>
      </c>
      <c r="AH108" s="115"/>
      <c r="AI108" s="115"/>
      <c r="AJ108" s="115"/>
      <c r="AK108" s="115"/>
      <c r="AL108" s="115"/>
      <c r="AM108" s="115"/>
      <c r="AN108" s="115"/>
      <c r="AO108" s="115"/>
      <c r="AP108" s="115"/>
      <c r="AQ108" s="115"/>
    </row>
    <row r="109" ht="15.75" customHeight="1">
      <c r="A109" s="17" t="s">
        <v>54</v>
      </c>
      <c r="B109" s="17" t="s">
        <v>55</v>
      </c>
      <c r="C109" s="17" t="s">
        <v>412</v>
      </c>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t="s">
        <v>545</v>
      </c>
      <c r="AE109" s="115" t="s">
        <v>546</v>
      </c>
      <c r="AF109" s="115" t="s">
        <v>547</v>
      </c>
      <c r="AG109" s="115" t="s">
        <v>548</v>
      </c>
      <c r="AH109" s="115" t="s">
        <v>549</v>
      </c>
      <c r="AI109" s="115" t="s">
        <v>550</v>
      </c>
      <c r="AJ109" s="115" t="s">
        <v>551</v>
      </c>
      <c r="AK109" s="115" t="s">
        <v>552</v>
      </c>
      <c r="AL109" s="115" t="s">
        <v>553</v>
      </c>
      <c r="AM109" s="115" t="s">
        <v>554</v>
      </c>
      <c r="AN109" s="115" t="s">
        <v>555</v>
      </c>
      <c r="AO109" s="115" t="s">
        <v>556</v>
      </c>
      <c r="AP109" s="115" t="s">
        <v>557</v>
      </c>
      <c r="AQ109" s="115" t="s">
        <v>558</v>
      </c>
    </row>
    <row r="110" ht="15.75" customHeight="1">
      <c r="A110" s="17" t="s">
        <v>75</v>
      </c>
      <c r="B110" s="115" t="s">
        <v>76</v>
      </c>
      <c r="C110" s="132" t="s">
        <v>427</v>
      </c>
    </row>
    <row r="111" ht="15.75" customHeight="1"/>
    <row r="112" ht="15.75" customHeight="1"/>
    <row r="113" ht="15.75" customHeight="1">
      <c r="E113" s="133">
        <v>1990.0</v>
      </c>
      <c r="F113" s="133">
        <v>1991.0</v>
      </c>
      <c r="G113" s="133">
        <v>1992.0</v>
      </c>
      <c r="H113" s="133">
        <v>1993.0</v>
      </c>
      <c r="I113" s="133">
        <v>1994.0</v>
      </c>
      <c r="J113" s="133">
        <v>1995.0</v>
      </c>
      <c r="K113" s="133">
        <v>1996.0</v>
      </c>
      <c r="L113" s="133">
        <v>1997.0</v>
      </c>
      <c r="M113" s="133">
        <v>1998.0</v>
      </c>
      <c r="N113" s="133">
        <v>1999.0</v>
      </c>
      <c r="O113" s="133">
        <v>2000.0</v>
      </c>
      <c r="P113" s="133">
        <v>2001.0</v>
      </c>
      <c r="Q113" s="133">
        <v>2002.0</v>
      </c>
      <c r="R113" s="133">
        <v>2003.0</v>
      </c>
      <c r="S113" s="133">
        <v>2004.0</v>
      </c>
      <c r="T113" s="133">
        <v>2005.0</v>
      </c>
      <c r="U113" s="133">
        <v>2006.0</v>
      </c>
      <c r="V113" s="133">
        <v>2007.0</v>
      </c>
      <c r="W113" s="133">
        <v>2008.0</v>
      </c>
      <c r="X113" s="133">
        <v>2009.0</v>
      </c>
      <c r="Y113" s="133">
        <v>2010.0</v>
      </c>
      <c r="Z113" s="133">
        <v>2011.0</v>
      </c>
      <c r="AA113" s="133">
        <v>2012.0</v>
      </c>
      <c r="AB113" s="133">
        <v>2013.0</v>
      </c>
      <c r="AC113" s="133">
        <v>2014.0</v>
      </c>
      <c r="AD113" s="133">
        <v>2015.0</v>
      </c>
      <c r="AE113" s="133">
        <v>2016.0</v>
      </c>
      <c r="AF113" s="133">
        <v>2017.0</v>
      </c>
      <c r="AG113" s="133">
        <v>2018.0</v>
      </c>
      <c r="AH113" s="133">
        <v>2019.0</v>
      </c>
      <c r="AI113" s="133">
        <v>2020.0</v>
      </c>
      <c r="AJ113" s="133">
        <v>2021.0</v>
      </c>
      <c r="AK113" s="133">
        <v>2022.0</v>
      </c>
      <c r="AL113" s="133">
        <v>2023.0</v>
      </c>
      <c r="AM113" s="133">
        <v>2024.0</v>
      </c>
      <c r="AN113" s="133">
        <v>2025.0</v>
      </c>
      <c r="AO113" s="133">
        <v>2026.0</v>
      </c>
      <c r="AP113" s="133">
        <v>2027.0</v>
      </c>
      <c r="AQ113" s="133">
        <v>2028.0</v>
      </c>
    </row>
    <row r="114" ht="15.75" customHeight="1">
      <c r="A114" s="17" t="s">
        <v>33</v>
      </c>
      <c r="B114" s="128" t="s">
        <v>559</v>
      </c>
      <c r="C114" s="17" t="s">
        <v>381</v>
      </c>
      <c r="E114" s="115" t="s">
        <v>560</v>
      </c>
      <c r="F114" s="115" t="s">
        <v>561</v>
      </c>
      <c r="G114" s="115" t="s">
        <v>562</v>
      </c>
      <c r="H114" s="115" t="s">
        <v>563</v>
      </c>
      <c r="I114" s="115" t="s">
        <v>564</v>
      </c>
      <c r="J114" s="115" t="s">
        <v>565</v>
      </c>
      <c r="K114" s="115" t="s">
        <v>566</v>
      </c>
      <c r="L114" s="115" t="s">
        <v>567</v>
      </c>
      <c r="M114" s="115" t="s">
        <v>568</v>
      </c>
      <c r="N114" s="115" t="s">
        <v>569</v>
      </c>
      <c r="O114" s="115" t="s">
        <v>570</v>
      </c>
      <c r="P114" s="115" t="s">
        <v>571</v>
      </c>
      <c r="Q114" s="115" t="s">
        <v>572</v>
      </c>
      <c r="R114" s="115" t="s">
        <v>573</v>
      </c>
      <c r="S114" s="115" t="s">
        <v>574</v>
      </c>
      <c r="T114" s="115" t="s">
        <v>575</v>
      </c>
      <c r="U114" s="115" t="s">
        <v>576</v>
      </c>
      <c r="V114" s="115" t="s">
        <v>577</v>
      </c>
      <c r="W114" s="115" t="s">
        <v>578</v>
      </c>
      <c r="X114" s="115" t="s">
        <v>579</v>
      </c>
      <c r="Y114" s="115" t="s">
        <v>580</v>
      </c>
      <c r="Z114" s="115" t="s">
        <v>581</v>
      </c>
      <c r="AA114" s="115" t="s">
        <v>582</v>
      </c>
      <c r="AB114" s="115" t="s">
        <v>583</v>
      </c>
      <c r="AC114" s="115" t="s">
        <v>584</v>
      </c>
      <c r="AD114" s="115" t="s">
        <v>585</v>
      </c>
      <c r="AE114" s="115" t="s">
        <v>586</v>
      </c>
      <c r="AF114" s="115" t="s">
        <v>587</v>
      </c>
      <c r="AG114" s="115" t="s">
        <v>588</v>
      </c>
      <c r="AI114" s="115"/>
      <c r="AJ114" s="115"/>
      <c r="AK114" s="115"/>
      <c r="AL114" s="115"/>
      <c r="AM114" s="115"/>
      <c r="AN114" s="115"/>
      <c r="AO114" s="115"/>
      <c r="AP114" s="115"/>
      <c r="AQ114" s="115"/>
    </row>
    <row r="115" ht="15.75" customHeight="1">
      <c r="A115" s="17" t="s">
        <v>54</v>
      </c>
      <c r="B115" s="17" t="s">
        <v>55</v>
      </c>
      <c r="C115" s="17" t="s">
        <v>412</v>
      </c>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t="s">
        <v>589</v>
      </c>
      <c r="AE115" s="115" t="s">
        <v>589</v>
      </c>
      <c r="AF115" s="115" t="s">
        <v>589</v>
      </c>
      <c r="AG115" s="115" t="s">
        <v>589</v>
      </c>
      <c r="AH115" s="115" t="s">
        <v>589</v>
      </c>
      <c r="AI115" s="115" t="s">
        <v>589</v>
      </c>
      <c r="AJ115" s="115" t="s">
        <v>589</v>
      </c>
      <c r="AK115" s="115" t="s">
        <v>589</v>
      </c>
      <c r="AL115" s="115" t="s">
        <v>589</v>
      </c>
      <c r="AM115" s="115" t="s">
        <v>589</v>
      </c>
      <c r="AN115" s="115" t="s">
        <v>589</v>
      </c>
      <c r="AO115" s="115" t="s">
        <v>589</v>
      </c>
      <c r="AP115" s="115" t="s">
        <v>589</v>
      </c>
      <c r="AQ115" s="115" t="s">
        <v>589</v>
      </c>
    </row>
    <row r="116" ht="15.75" customHeight="1">
      <c r="A116" s="17" t="s">
        <v>75</v>
      </c>
      <c r="B116" s="115" t="s">
        <v>76</v>
      </c>
      <c r="C116" s="132" t="s">
        <v>427</v>
      </c>
    </row>
    <row r="117" ht="15.75" customHeight="1"/>
    <row r="118" ht="15.75" customHeight="1"/>
    <row r="119" ht="15.75" customHeight="1"/>
    <row r="120" ht="15.75" customHeight="1"/>
    <row r="121" ht="15.75" customHeight="1">
      <c r="C121" s="110" t="s">
        <v>38</v>
      </c>
      <c r="D121" s="110" t="s">
        <v>42</v>
      </c>
      <c r="E121" s="120" t="s">
        <v>43</v>
      </c>
      <c r="F121" s="110">
        <v>2020.0</v>
      </c>
      <c r="G121" s="110">
        <v>2021.0</v>
      </c>
      <c r="H121" s="110">
        <v>2022.0</v>
      </c>
      <c r="I121" s="110">
        <v>2023.0</v>
      </c>
      <c r="J121" s="110">
        <v>2024.0</v>
      </c>
      <c r="K121" s="110">
        <v>2025.0</v>
      </c>
      <c r="L121" s="110">
        <v>2026.0</v>
      </c>
      <c r="M121" s="110">
        <v>2027.0</v>
      </c>
      <c r="N121" s="110">
        <v>2028.0</v>
      </c>
      <c r="O121" s="110">
        <v>2029.0</v>
      </c>
      <c r="P121" s="110">
        <v>2030.0</v>
      </c>
      <c r="Q121" s="110"/>
      <c r="R121" s="110" t="s">
        <v>53</v>
      </c>
    </row>
    <row r="122" ht="15.75" customHeight="1">
      <c r="A122" s="17" t="s">
        <v>33</v>
      </c>
      <c r="B122" s="135" t="s">
        <v>590</v>
      </c>
      <c r="C122" s="17" t="s">
        <v>14</v>
      </c>
      <c r="D122" s="116" t="str">
        <f>Calculs!G313</f>
        <v>Nombre bâtiments "neufs"</v>
      </c>
      <c r="F122" s="116">
        <f>Calculs!H313</f>
        <v>1300000</v>
      </c>
      <c r="G122" s="116">
        <f>Calculs!I313</f>
        <v>1600000</v>
      </c>
      <c r="H122" s="116">
        <f>Calculs!J313</f>
        <v>1900000</v>
      </c>
      <c r="I122" s="116">
        <f>Calculs!K313</f>
        <v>2200000</v>
      </c>
      <c r="J122" s="116">
        <f>Calculs!L313</f>
        <v>2500000</v>
      </c>
      <c r="K122" s="116">
        <f>Calculs!M313</f>
        <v>2800000</v>
      </c>
      <c r="L122" s="116">
        <f>Calculs!N313</f>
        <v>3100000</v>
      </c>
      <c r="M122" s="116">
        <f>Calculs!O313</f>
        <v>3400000</v>
      </c>
      <c r="N122" s="116">
        <f>Calculs!P313</f>
        <v>3700000</v>
      </c>
      <c r="O122" s="116">
        <f>Calculs!Q313</f>
        <v>4000000</v>
      </c>
      <c r="P122" s="116">
        <f>Calculs!R313</f>
        <v>4300000</v>
      </c>
    </row>
    <row r="123" ht="15.75" customHeight="1">
      <c r="A123" s="17" t="s">
        <v>54</v>
      </c>
      <c r="B123" s="17" t="s">
        <v>55</v>
      </c>
      <c r="C123" s="17" t="s">
        <v>14</v>
      </c>
      <c r="D123" s="116" t="str">
        <f>Calculs!G314</f>
        <v>Nombre bâtiments "rénovés"</v>
      </c>
      <c r="F123" s="116">
        <f>Calculs!H314</f>
        <v>1020000</v>
      </c>
      <c r="G123" s="116">
        <f>Calculs!I314</f>
        <v>1020000</v>
      </c>
      <c r="H123" s="116">
        <f>Calculs!J314</f>
        <v>1020000</v>
      </c>
      <c r="I123" s="116">
        <f>Calculs!K314</f>
        <v>1020000</v>
      </c>
      <c r="J123" s="116">
        <f>Calculs!L314</f>
        <v>1020000</v>
      </c>
      <c r="K123" s="116">
        <f>Calculs!M314</f>
        <v>1020000</v>
      </c>
      <c r="L123" s="116">
        <f>Calculs!N314</f>
        <v>1020000</v>
      </c>
      <c r="M123" s="116">
        <f>Calculs!O314</f>
        <v>1020000</v>
      </c>
      <c r="N123" s="116">
        <f>Calculs!P314</f>
        <v>1020000</v>
      </c>
      <c r="O123" s="116">
        <f>Calculs!Q314</f>
        <v>1020000</v>
      </c>
      <c r="P123" s="116">
        <f>Calculs!R314</f>
        <v>1020000</v>
      </c>
    </row>
    <row r="124" ht="15.75" customHeight="1">
      <c r="A124" s="17" t="s">
        <v>75</v>
      </c>
      <c r="B124" s="115" t="s">
        <v>591</v>
      </c>
      <c r="C124" s="17" t="s">
        <v>14</v>
      </c>
      <c r="D124" s="116" t="str">
        <f>Calculs!G315</f>
        <v>Nombre de bâtiments "anciens"</v>
      </c>
      <c r="F124" s="116">
        <f>Calculs!H315</f>
        <v>29000000</v>
      </c>
      <c r="G124" s="116">
        <f>Calculs!I315</f>
        <v>29000000</v>
      </c>
      <c r="H124" s="116">
        <f>Calculs!J315</f>
        <v>29000000</v>
      </c>
      <c r="I124" s="116">
        <f>Calculs!K315</f>
        <v>29000000</v>
      </c>
      <c r="J124" s="116">
        <f>Calculs!L315</f>
        <v>29000000</v>
      </c>
      <c r="K124" s="116">
        <f>Calculs!M315</f>
        <v>29000000</v>
      </c>
      <c r="L124" s="116">
        <f>Calculs!N315</f>
        <v>29000000</v>
      </c>
      <c r="M124" s="116">
        <f>Calculs!O315</f>
        <v>29000000</v>
      </c>
      <c r="N124" s="116">
        <f>Calculs!P315</f>
        <v>29000000</v>
      </c>
      <c r="O124" s="116">
        <f>Calculs!Q315</f>
        <v>29000000</v>
      </c>
      <c r="P124" s="116">
        <f>Calculs!R315</f>
        <v>29000000</v>
      </c>
    </row>
    <row r="125" ht="15.75" customHeight="1">
      <c r="C125" s="17" t="s">
        <v>14</v>
      </c>
      <c r="D125" s="17" t="str">
        <f>Calculs!G327</f>
        <v>Logements fioul + charbon</v>
      </c>
      <c r="F125" s="116">
        <f>Calculs!H327</f>
        <v>4930000</v>
      </c>
      <c r="G125" s="116">
        <f>Calculs!I327</f>
        <v>4930000</v>
      </c>
      <c r="H125" s="116">
        <f>Calculs!J327</f>
        <v>4930000</v>
      </c>
      <c r="I125" s="116">
        <f>Calculs!K327</f>
        <v>4930000</v>
      </c>
      <c r="J125" s="116">
        <f>Calculs!L327</f>
        <v>4930000</v>
      </c>
      <c r="K125" s="116">
        <f>Calculs!M327</f>
        <v>4930000</v>
      </c>
      <c r="L125" s="116">
        <f>Calculs!N327</f>
        <v>4930000</v>
      </c>
      <c r="M125" s="116">
        <f>Calculs!O327</f>
        <v>4930000</v>
      </c>
      <c r="N125" s="116">
        <f>Calculs!P327</f>
        <v>4930000</v>
      </c>
      <c r="O125" s="116">
        <f>Calculs!Q327</f>
        <v>4930000</v>
      </c>
      <c r="P125" s="116">
        <f>Calculs!R327</f>
        <v>4930000</v>
      </c>
    </row>
    <row r="126" ht="15.75" customHeight="1">
      <c r="C126" s="17" t="s">
        <v>14</v>
      </c>
      <c r="D126" s="17" t="str">
        <f>Calculs!G328</f>
        <v>Logements gaz</v>
      </c>
      <c r="F126" s="116">
        <f>Calculs!H328</f>
        <v>11600000</v>
      </c>
      <c r="G126" s="116">
        <f>Calculs!I328</f>
        <v>11600000</v>
      </c>
      <c r="H126" s="116">
        <f>Calculs!J328</f>
        <v>11600000</v>
      </c>
      <c r="I126" s="116">
        <f>Calculs!K328</f>
        <v>11600000</v>
      </c>
      <c r="J126" s="116">
        <f>Calculs!L328</f>
        <v>11600000</v>
      </c>
      <c r="K126" s="116">
        <f>Calculs!M328</f>
        <v>11600000</v>
      </c>
      <c r="L126" s="116">
        <f>Calculs!N328</f>
        <v>11600000</v>
      </c>
      <c r="M126" s="116">
        <f>Calculs!O328</f>
        <v>11600000</v>
      </c>
      <c r="N126" s="116">
        <f>Calculs!P328</f>
        <v>11600000</v>
      </c>
      <c r="O126" s="116">
        <f>Calculs!Q328</f>
        <v>11600000</v>
      </c>
      <c r="P126" s="116">
        <f>Calculs!R328</f>
        <v>11600000</v>
      </c>
    </row>
    <row r="127" ht="15.75" customHeight="1">
      <c r="C127" s="17" t="s">
        <v>14</v>
      </c>
      <c r="D127" s="17" t="str">
        <f>Calculs!G329</f>
        <v>Logements élec</v>
      </c>
      <c r="F127" s="116">
        <f>Calculs!H329</f>
        <v>5220000</v>
      </c>
      <c r="G127" s="116">
        <f>Calculs!I329</f>
        <v>5220000</v>
      </c>
      <c r="H127" s="116">
        <f>Calculs!J329</f>
        <v>5220000</v>
      </c>
      <c r="I127" s="116">
        <f>Calculs!K329</f>
        <v>5220000</v>
      </c>
      <c r="J127" s="116">
        <f>Calculs!L329</f>
        <v>5220000</v>
      </c>
      <c r="K127" s="116">
        <f>Calculs!M329</f>
        <v>5220000</v>
      </c>
      <c r="L127" s="116">
        <f>Calculs!N329</f>
        <v>5220000</v>
      </c>
      <c r="M127" s="116">
        <f>Calculs!O329</f>
        <v>5220000</v>
      </c>
      <c r="N127" s="116">
        <f>Calculs!P329</f>
        <v>5220000</v>
      </c>
      <c r="O127" s="116">
        <f>Calculs!Q329</f>
        <v>5220000</v>
      </c>
      <c r="P127" s="116">
        <f>Calculs!R329</f>
        <v>5220000</v>
      </c>
    </row>
    <row r="128" ht="15.75" customHeight="1">
      <c r="C128" s="17" t="s">
        <v>14</v>
      </c>
      <c r="D128" s="17" t="str">
        <f>Calculs!G330</f>
        <v>Logements chauffage urbains</v>
      </c>
      <c r="F128" s="116">
        <f>Calculs!H330</f>
        <v>1450000</v>
      </c>
      <c r="G128" s="116">
        <f>Calculs!I330</f>
        <v>1450000</v>
      </c>
      <c r="H128" s="116">
        <f>Calculs!J330</f>
        <v>1450000</v>
      </c>
      <c r="I128" s="116">
        <f>Calculs!K330</f>
        <v>1450000</v>
      </c>
      <c r="J128" s="116">
        <f>Calculs!L330</f>
        <v>1450000</v>
      </c>
      <c r="K128" s="116">
        <f>Calculs!M330</f>
        <v>1450000</v>
      </c>
      <c r="L128" s="116">
        <f>Calculs!N330</f>
        <v>1450000</v>
      </c>
      <c r="M128" s="116">
        <f>Calculs!O330</f>
        <v>1450000</v>
      </c>
      <c r="N128" s="116">
        <f>Calculs!P330</f>
        <v>1450000</v>
      </c>
      <c r="O128" s="116">
        <f>Calculs!Q330</f>
        <v>1450000</v>
      </c>
      <c r="P128" s="116">
        <f>Calculs!R330</f>
        <v>1450000</v>
      </c>
    </row>
    <row r="129" ht="15.75" customHeight="1">
      <c r="C129" s="17" t="s">
        <v>14</v>
      </c>
      <c r="D129" s="17" t="str">
        <f>Calculs!G331</f>
        <v>Logements bois</v>
      </c>
      <c r="F129" s="116">
        <f>Calculs!H331</f>
        <v>4350000</v>
      </c>
      <c r="G129" s="116">
        <f>Calculs!I331</f>
        <v>4350000</v>
      </c>
      <c r="H129" s="116">
        <f>Calculs!J331</f>
        <v>4350000</v>
      </c>
      <c r="I129" s="116">
        <f>Calculs!K331</f>
        <v>4350000</v>
      </c>
      <c r="J129" s="116">
        <f>Calculs!L331</f>
        <v>4350000</v>
      </c>
      <c r="K129" s="116">
        <f>Calculs!M331</f>
        <v>4350000</v>
      </c>
      <c r="L129" s="116">
        <f>Calculs!N331</f>
        <v>4350000</v>
      </c>
      <c r="M129" s="116">
        <f>Calculs!O331</f>
        <v>4350000</v>
      </c>
      <c r="N129" s="116">
        <f>Calculs!P331</f>
        <v>4350000</v>
      </c>
      <c r="O129" s="116">
        <f>Calculs!Q331</f>
        <v>4350000</v>
      </c>
      <c r="P129" s="116">
        <f>Calculs!R331</f>
        <v>4350000</v>
      </c>
    </row>
    <row r="130" ht="15.75" customHeight="1">
      <c r="C130" s="17" t="s">
        <v>14</v>
      </c>
      <c r="D130" s="17" t="str">
        <f>Calculs!G332</f>
        <v>Logements 100% EnR (Chauffage solaire, géothermie, biogaz en conso direct+ PAC)</v>
      </c>
      <c r="F130" s="116">
        <f>Calculs!H332</f>
        <v>1450000</v>
      </c>
      <c r="G130" s="116">
        <f>Calculs!I332</f>
        <v>1450000</v>
      </c>
      <c r="H130" s="116">
        <f>Calculs!J332</f>
        <v>1450000</v>
      </c>
      <c r="I130" s="116">
        <f>Calculs!K332</f>
        <v>1450000</v>
      </c>
      <c r="J130" s="116">
        <f>Calculs!L332</f>
        <v>1450000</v>
      </c>
      <c r="K130" s="116">
        <f>Calculs!M332</f>
        <v>1450000</v>
      </c>
      <c r="L130" s="116">
        <f>Calculs!N332</f>
        <v>1450000</v>
      </c>
      <c r="M130" s="116">
        <f>Calculs!O332</f>
        <v>1450000</v>
      </c>
      <c r="N130" s="116">
        <f>Calculs!P332</f>
        <v>1450000</v>
      </c>
      <c r="O130" s="116">
        <f>Calculs!Q332</f>
        <v>1450000</v>
      </c>
      <c r="P130" s="116">
        <f>Calculs!R332</f>
        <v>1450000</v>
      </c>
    </row>
    <row r="131" ht="15.75" customHeight="1"/>
    <row r="132" ht="15.75" customHeight="1"/>
    <row r="133" ht="15.75" customHeight="1"/>
    <row r="134" ht="15.75" customHeight="1"/>
    <row r="135" ht="15.75" customHeight="1">
      <c r="C135" s="110" t="s">
        <v>38</v>
      </c>
      <c r="D135" s="110" t="s">
        <v>42</v>
      </c>
      <c r="E135" s="120" t="s">
        <v>43</v>
      </c>
      <c r="F135" s="110">
        <v>2020.0</v>
      </c>
      <c r="G135" s="110">
        <v>2021.0</v>
      </c>
      <c r="H135" s="110">
        <v>2022.0</v>
      </c>
      <c r="I135" s="110">
        <v>2023.0</v>
      </c>
      <c r="J135" s="110">
        <v>2024.0</v>
      </c>
      <c r="K135" s="110">
        <v>2025.0</v>
      </c>
      <c r="L135" s="110">
        <v>2026.0</v>
      </c>
      <c r="M135" s="110">
        <v>2027.0</v>
      </c>
      <c r="N135" s="110">
        <v>2028.0</v>
      </c>
      <c r="O135" s="110">
        <v>2029.0</v>
      </c>
      <c r="P135" s="110">
        <v>2030.0</v>
      </c>
      <c r="Q135" s="110" t="s">
        <v>52</v>
      </c>
      <c r="R135" s="110" t="s">
        <v>53</v>
      </c>
    </row>
    <row r="136" ht="15.75" customHeight="1">
      <c r="A136" s="17" t="s">
        <v>33</v>
      </c>
      <c r="B136" s="135" t="s">
        <v>592</v>
      </c>
      <c r="C136" s="17" t="s">
        <v>14</v>
      </c>
      <c r="D136" s="17" t="str">
        <f>Calculs!G336</f>
        <v>Logements fioul + charbon</v>
      </c>
      <c r="F136" s="32">
        <f>Calculs!H336</f>
        <v>18.24778368</v>
      </c>
      <c r="G136" s="32">
        <f>Calculs!I336</f>
        <v>19.86052608</v>
      </c>
      <c r="H136" s="32">
        <f>Calculs!J336</f>
        <v>19.93984128</v>
      </c>
      <c r="I136" s="32">
        <f>Calculs!K336</f>
        <v>20.01915648</v>
      </c>
      <c r="J136" s="32">
        <f>Calculs!L336</f>
        <v>20.09847168</v>
      </c>
      <c r="K136" s="32">
        <f>Calculs!M336</f>
        <v>20.17778688</v>
      </c>
      <c r="L136" s="32">
        <f>Calculs!N336</f>
        <v>20.25710208</v>
      </c>
      <c r="M136" s="32">
        <f>Calculs!O336</f>
        <v>20.33641728</v>
      </c>
      <c r="N136" s="32">
        <f>Calculs!P336</f>
        <v>20.41573248</v>
      </c>
      <c r="O136" s="32">
        <f>Calculs!Q336</f>
        <v>20.49504768</v>
      </c>
      <c r="P136" s="32">
        <f>Calculs!R336</f>
        <v>20.57436288</v>
      </c>
      <c r="Q136" s="32">
        <f t="shared" ref="Q136:Q141" si="13">SUM(F136:P136)</f>
        <v>220.4222285</v>
      </c>
    </row>
    <row r="137" ht="15.75" customHeight="1">
      <c r="A137" s="17" t="s">
        <v>54</v>
      </c>
      <c r="B137" s="17" t="s">
        <v>55</v>
      </c>
      <c r="C137" s="17" t="s">
        <v>14</v>
      </c>
      <c r="D137" s="17" t="str">
        <f>Calculs!G337</f>
        <v>Logements gaz</v>
      </c>
      <c r="F137" s="32">
        <f>Calculs!H337</f>
        <v>32.2019712</v>
      </c>
      <c r="G137" s="32">
        <f>Calculs!I337</f>
        <v>34.615296</v>
      </c>
      <c r="H137" s="32">
        <f>Calculs!J337</f>
        <v>34.753536</v>
      </c>
      <c r="I137" s="32">
        <f>Calculs!K337</f>
        <v>34.891776</v>
      </c>
      <c r="J137" s="32">
        <f>Calculs!L337</f>
        <v>35.030016</v>
      </c>
      <c r="K137" s="32">
        <f>Calculs!M337</f>
        <v>35.168256</v>
      </c>
      <c r="L137" s="32">
        <f>Calculs!N337</f>
        <v>35.306496</v>
      </c>
      <c r="M137" s="32">
        <f>Calculs!O337</f>
        <v>35.444736</v>
      </c>
      <c r="N137" s="32">
        <f>Calculs!P337</f>
        <v>35.582976</v>
      </c>
      <c r="O137" s="32">
        <f>Calculs!Q337</f>
        <v>35.721216</v>
      </c>
      <c r="P137" s="32">
        <f>Calculs!R337</f>
        <v>35.859456</v>
      </c>
      <c r="Q137" s="32">
        <f t="shared" si="13"/>
        <v>384.5757312</v>
      </c>
    </row>
    <row r="138" ht="15.75" customHeight="1">
      <c r="A138" s="17" t="s">
        <v>75</v>
      </c>
      <c r="B138" s="115" t="s">
        <v>595</v>
      </c>
      <c r="C138" s="17" t="s">
        <v>14</v>
      </c>
      <c r="D138" s="17" t="str">
        <f>Calculs!G338</f>
        <v>Logements élec</v>
      </c>
      <c r="F138" s="32">
        <f>Calculs!H338</f>
        <v>4.88992896</v>
      </c>
      <c r="G138" s="32">
        <f>Calculs!I338</f>
        <v>5.1922944</v>
      </c>
      <c r="H138" s="32">
        <f>Calculs!J338</f>
        <v>5.2130304</v>
      </c>
      <c r="I138" s="32">
        <f>Calculs!K338</f>
        <v>5.2337664</v>
      </c>
      <c r="J138" s="32">
        <f>Calculs!L338</f>
        <v>5.2545024</v>
      </c>
      <c r="K138" s="32">
        <f>Calculs!M338</f>
        <v>5.2752384</v>
      </c>
      <c r="L138" s="32">
        <f>Calculs!N338</f>
        <v>5.2959744</v>
      </c>
      <c r="M138" s="32">
        <f>Calculs!O338</f>
        <v>5.3167104</v>
      </c>
      <c r="N138" s="32">
        <f>Calculs!P338</f>
        <v>5.3374464</v>
      </c>
      <c r="O138" s="32">
        <f>Calculs!Q338</f>
        <v>5.3581824</v>
      </c>
      <c r="P138" s="32">
        <f>Calculs!R338</f>
        <v>5.3789184</v>
      </c>
      <c r="Q138" s="32">
        <f t="shared" si="13"/>
        <v>57.74599296</v>
      </c>
    </row>
    <row r="139" ht="15.75" customHeight="1">
      <c r="C139" s="17" t="s">
        <v>14</v>
      </c>
      <c r="D139" s="17" t="str">
        <f>Calculs!G339</f>
        <v>Logements chauffage urbains</v>
      </c>
      <c r="F139" s="32">
        <f>Calculs!H339</f>
        <v>1.65648</v>
      </c>
      <c r="G139" s="32">
        <f>Calculs!I339</f>
        <v>1.80288</v>
      </c>
      <c r="H139" s="32">
        <f>Calculs!J339</f>
        <v>1.81008</v>
      </c>
      <c r="I139" s="32">
        <f>Calculs!K339</f>
        <v>1.81728</v>
      </c>
      <c r="J139" s="32">
        <f>Calculs!L339</f>
        <v>1.82448</v>
      </c>
      <c r="K139" s="32">
        <f>Calculs!M339</f>
        <v>1.83168</v>
      </c>
      <c r="L139" s="32">
        <f>Calculs!N339</f>
        <v>1.83888</v>
      </c>
      <c r="M139" s="32">
        <f>Calculs!O339</f>
        <v>1.84608</v>
      </c>
      <c r="N139" s="32">
        <f>Calculs!P339</f>
        <v>1.85328</v>
      </c>
      <c r="O139" s="32">
        <f>Calculs!Q339</f>
        <v>1.86048</v>
      </c>
      <c r="P139" s="32">
        <f>Calculs!R339</f>
        <v>1.86768</v>
      </c>
      <c r="Q139" s="32">
        <f t="shared" si="13"/>
        <v>20.00928</v>
      </c>
    </row>
    <row r="140" ht="15.75" customHeight="1">
      <c r="C140" s="17" t="s">
        <v>14</v>
      </c>
      <c r="D140" s="17" t="str">
        <f>Calculs!G340</f>
        <v>Logements bois</v>
      </c>
      <c r="F140" s="32">
        <f>Calculs!H340</f>
        <v>1.24236</v>
      </c>
      <c r="G140" s="32">
        <f>Calculs!I340</f>
        <v>1.35216</v>
      </c>
      <c r="H140" s="32">
        <f>Calculs!J340</f>
        <v>1.35756</v>
      </c>
      <c r="I140" s="32">
        <f>Calculs!K340</f>
        <v>1.36296</v>
      </c>
      <c r="J140" s="32">
        <f>Calculs!L340</f>
        <v>1.36836</v>
      </c>
      <c r="K140" s="32">
        <f>Calculs!M340</f>
        <v>1.37376</v>
      </c>
      <c r="L140" s="32">
        <f>Calculs!N340</f>
        <v>1.37916</v>
      </c>
      <c r="M140" s="32">
        <f>Calculs!O340</f>
        <v>1.38456</v>
      </c>
      <c r="N140" s="32">
        <f>Calculs!P340</f>
        <v>1.38996</v>
      </c>
      <c r="O140" s="32">
        <f>Calculs!Q340</f>
        <v>1.39536</v>
      </c>
      <c r="P140" s="32">
        <f>Calculs!R340</f>
        <v>1.40076</v>
      </c>
      <c r="Q140" s="32">
        <f t="shared" si="13"/>
        <v>15.00696</v>
      </c>
    </row>
    <row r="141" ht="15.75" customHeight="1">
      <c r="C141" s="17" t="s">
        <v>14</v>
      </c>
      <c r="D141" s="17" t="str">
        <f>Calculs!G341</f>
        <v>Logements 100% EnR (Chauffage solaire, géothermie, biogaz en consommation directe + PAC)</v>
      </c>
      <c r="F141" s="32">
        <f>Calculs!H341</f>
        <v>0.41412</v>
      </c>
      <c r="G141" s="32">
        <f>Calculs!I341</f>
        <v>0.45072</v>
      </c>
      <c r="H141" s="32">
        <f>Calculs!J341</f>
        <v>0.45252</v>
      </c>
      <c r="I141" s="32">
        <f>Calculs!K341</f>
        <v>0.45432</v>
      </c>
      <c r="J141" s="32">
        <f>Calculs!L341</f>
        <v>0.45612</v>
      </c>
      <c r="K141" s="32">
        <f>Calculs!M341</f>
        <v>0.45792</v>
      </c>
      <c r="L141" s="32">
        <f>Calculs!N341</f>
        <v>0.45972</v>
      </c>
      <c r="M141" s="32">
        <f>Calculs!O341</f>
        <v>0.46152</v>
      </c>
      <c r="N141" s="32">
        <f>Calculs!P341</f>
        <v>0.46332</v>
      </c>
      <c r="O141" s="32">
        <f>Calculs!Q341</f>
        <v>0.46512</v>
      </c>
      <c r="P141" s="32">
        <f>Calculs!R341</f>
        <v>0.46692</v>
      </c>
      <c r="Q141" s="32">
        <f t="shared" si="13"/>
        <v>5.00232</v>
      </c>
    </row>
    <row r="142" ht="15.75" customHeight="1"/>
    <row r="143" ht="15.75" customHeight="1"/>
    <row r="144" ht="15.75" customHeight="1">
      <c r="C144" s="110" t="s">
        <v>38</v>
      </c>
      <c r="D144" s="110" t="s">
        <v>42</v>
      </c>
      <c r="E144" s="120" t="s">
        <v>43</v>
      </c>
      <c r="F144" s="110">
        <v>2020.0</v>
      </c>
      <c r="G144" s="110">
        <v>2021.0</v>
      </c>
      <c r="H144" s="110">
        <v>2022.0</v>
      </c>
      <c r="I144" s="110">
        <v>2023.0</v>
      </c>
      <c r="J144" s="110">
        <v>2024.0</v>
      </c>
      <c r="K144" s="110">
        <v>2025.0</v>
      </c>
      <c r="L144" s="110">
        <v>2026.0</v>
      </c>
      <c r="M144" s="110">
        <v>2027.0</v>
      </c>
      <c r="N144" s="110">
        <v>2028.0</v>
      </c>
      <c r="O144" s="110">
        <v>2029.0</v>
      </c>
      <c r="P144" s="110">
        <v>2030.0</v>
      </c>
      <c r="Q144" s="110"/>
      <c r="R144" s="110" t="s">
        <v>53</v>
      </c>
    </row>
    <row r="145" ht="15.75" customHeight="1">
      <c r="A145" s="17" t="s">
        <v>33</v>
      </c>
      <c r="B145" s="135" t="s">
        <v>603</v>
      </c>
      <c r="C145" s="17" t="s">
        <v>17</v>
      </c>
      <c r="D145" s="17" t="str">
        <f>Calculs!G527</f>
        <v>Véhicules particuliers thermiques</v>
      </c>
      <c r="F145" s="145">
        <f>Calculs!H527</f>
        <v>102.6052083</v>
      </c>
      <c r="G145" s="145">
        <f>Calculs!I527</f>
        <v>102.6052083</v>
      </c>
      <c r="H145" s="145">
        <f>Calculs!J527</f>
        <v>102.6052083</v>
      </c>
      <c r="I145" s="145">
        <f>Calculs!K527</f>
        <v>102.6052083</v>
      </c>
      <c r="J145" s="145">
        <f>Calculs!L527</f>
        <v>102.6052083</v>
      </c>
      <c r="K145" s="145">
        <f>Calculs!M527</f>
        <v>102.6052083</v>
      </c>
      <c r="L145" s="145">
        <f>Calculs!N527</f>
        <v>102.6052083</v>
      </c>
      <c r="M145" s="145">
        <f>Calculs!O527</f>
        <v>102.6052083</v>
      </c>
      <c r="N145" s="145">
        <f>Calculs!P527</f>
        <v>102.6052083</v>
      </c>
      <c r="O145" s="145">
        <f>Calculs!Q527</f>
        <v>102.6052083</v>
      </c>
      <c r="P145" s="145">
        <f>Calculs!R527</f>
        <v>102.6052083</v>
      </c>
      <c r="Q145" s="17" t="str">
        <f>Calculs!S527</f>
        <v>MtCO2e</v>
      </c>
    </row>
    <row r="146" ht="15.75" customHeight="1">
      <c r="A146" s="17" t="s">
        <v>54</v>
      </c>
      <c r="B146" s="17" t="s">
        <v>55</v>
      </c>
      <c r="C146" s="17" t="s">
        <v>17</v>
      </c>
      <c r="D146" s="17" t="str">
        <f>Calculs!G528</f>
        <v>VUL</v>
      </c>
      <c r="F146" s="145">
        <f>Calculs!H528</f>
        <v>24.33996991</v>
      </c>
      <c r="G146" s="145">
        <f>Calculs!I528</f>
        <v>24.33996991</v>
      </c>
      <c r="H146" s="145">
        <f>Calculs!J528</f>
        <v>24.33996991</v>
      </c>
      <c r="I146" s="145">
        <f>Calculs!K528</f>
        <v>24.33996991</v>
      </c>
      <c r="J146" s="145">
        <f>Calculs!L528</f>
        <v>24.33996991</v>
      </c>
      <c r="K146" s="145">
        <f>Calculs!M528</f>
        <v>24.33996991</v>
      </c>
      <c r="L146" s="145">
        <f>Calculs!N528</f>
        <v>24.33996991</v>
      </c>
      <c r="M146" s="145">
        <f>Calculs!O528</f>
        <v>24.33996991</v>
      </c>
      <c r="N146" s="145">
        <f>Calculs!P528</f>
        <v>24.33996991</v>
      </c>
      <c r="O146" s="145">
        <f>Calculs!Q528</f>
        <v>24.33996991</v>
      </c>
      <c r="P146" s="145">
        <f>Calculs!R528</f>
        <v>24.33996991</v>
      </c>
      <c r="Q146" s="17" t="str">
        <f>Calculs!S528</f>
        <v>MtCO2e</v>
      </c>
    </row>
    <row r="147" ht="15.75" customHeight="1">
      <c r="A147" s="17" t="s">
        <v>75</v>
      </c>
      <c r="B147" s="115" t="s">
        <v>595</v>
      </c>
      <c r="C147" s="17" t="s">
        <v>17</v>
      </c>
      <c r="D147" s="17" t="str">
        <f>Calculs!G529</f>
        <v>Bus</v>
      </c>
      <c r="F147" s="145">
        <f>Calculs!H529</f>
        <v>5.9486</v>
      </c>
      <c r="G147" s="145">
        <f>Calculs!I529</f>
        <v>5.7665</v>
      </c>
      <c r="H147" s="145">
        <f>Calculs!J529</f>
        <v>5.5844</v>
      </c>
      <c r="I147" s="145">
        <f>Calculs!K529</f>
        <v>5.4023</v>
      </c>
      <c r="J147" s="145">
        <f>Calculs!L529</f>
        <v>5.1595</v>
      </c>
      <c r="K147" s="145">
        <f>Calculs!M529</f>
        <v>4.856</v>
      </c>
      <c r="L147" s="145">
        <f>Calculs!N529</f>
        <v>4.5525</v>
      </c>
      <c r="M147" s="145">
        <f>Calculs!O529</f>
        <v>4.249</v>
      </c>
      <c r="N147" s="145">
        <f>Calculs!P529</f>
        <v>3.9455</v>
      </c>
      <c r="O147" s="145">
        <f>Calculs!Q529</f>
        <v>3.642</v>
      </c>
      <c r="P147" s="145">
        <f>Calculs!R529</f>
        <v>3.3385</v>
      </c>
      <c r="Q147" s="17" t="str">
        <f>Calculs!S529</f>
        <v>MtCO2e</v>
      </c>
    </row>
    <row r="148" ht="15.75" customHeight="1">
      <c r="C148" s="17" t="s">
        <v>17</v>
      </c>
      <c r="D148" s="17" t="str">
        <f>Calculs!G530</f>
        <v>Poids Lourds</v>
      </c>
      <c r="F148" s="145">
        <f>Calculs!H530</f>
        <v>27.6</v>
      </c>
      <c r="G148" s="145">
        <f>Calculs!I530</f>
        <v>27.63</v>
      </c>
      <c r="H148" s="145">
        <f>Calculs!J530</f>
        <v>27.63</v>
      </c>
      <c r="I148" s="145">
        <f>Calculs!K530</f>
        <v>27.63</v>
      </c>
      <c r="J148" s="145">
        <f>Calculs!L530</f>
        <v>27.63</v>
      </c>
      <c r="K148" s="145">
        <f>Calculs!M530</f>
        <v>27.63</v>
      </c>
      <c r="L148" s="145">
        <f>Calculs!N530</f>
        <v>27.63</v>
      </c>
      <c r="M148" s="145">
        <f>Calculs!O530</f>
        <v>27.63</v>
      </c>
      <c r="N148" s="145">
        <f>Calculs!P530</f>
        <v>27.63</v>
      </c>
      <c r="O148" s="145">
        <f>Calculs!Q530</f>
        <v>27.63</v>
      </c>
      <c r="P148" s="145">
        <f>Calculs!R530</f>
        <v>27.63</v>
      </c>
      <c r="Q148" s="17" t="str">
        <f>Calculs!S530</f>
        <v>MtCO2e</v>
      </c>
    </row>
    <row r="149" ht="15.75" customHeight="1">
      <c r="C149" s="17" t="s">
        <v>17</v>
      </c>
      <c r="D149" s="148" t="str">
        <f>Calculs!G531</f>
        <v>TOTAL directes</v>
      </c>
      <c r="E149" s="148"/>
      <c r="F149" s="149">
        <f>Calculs!H531</f>
        <v>160.4937782</v>
      </c>
      <c r="G149" s="149">
        <f>Calculs!I531</f>
        <v>160.3416782</v>
      </c>
      <c r="H149" s="149">
        <f>Calculs!J531</f>
        <v>160.1595782</v>
      </c>
      <c r="I149" s="149">
        <f>Calculs!K531</f>
        <v>159.9774782</v>
      </c>
      <c r="J149" s="149">
        <f>Calculs!L531</f>
        <v>159.7346782</v>
      </c>
      <c r="K149" s="149">
        <f>Calculs!M531</f>
        <v>159.4311782</v>
      </c>
      <c r="L149" s="149">
        <f>Calculs!N531</f>
        <v>159.1276782</v>
      </c>
      <c r="M149" s="149">
        <f>Calculs!O531</f>
        <v>158.8241782</v>
      </c>
      <c r="N149" s="149">
        <f>Calculs!P531</f>
        <v>158.5206782</v>
      </c>
      <c r="O149" s="149">
        <f>Calculs!Q531</f>
        <v>158.2171782</v>
      </c>
      <c r="P149" s="149">
        <f>Calculs!R531</f>
        <v>157.9136782</v>
      </c>
    </row>
    <row r="150" ht="15.75" customHeight="1">
      <c r="C150" s="17" t="s">
        <v>17</v>
      </c>
      <c r="D150" s="17" t="str">
        <f>Calculs!G534</f>
        <v>Amont électricité véhicules particuliers</v>
      </c>
      <c r="F150" s="150">
        <f>Calculs!H534</f>
        <v>0</v>
      </c>
      <c r="G150" s="150">
        <f>Calculs!I534</f>
        <v>0</v>
      </c>
      <c r="H150" s="150">
        <f>Calculs!J534</f>
        <v>0</v>
      </c>
      <c r="I150" s="150">
        <f>Calculs!K534</f>
        <v>0</v>
      </c>
      <c r="J150" s="150">
        <f>Calculs!L534</f>
        <v>0</v>
      </c>
      <c r="K150" s="150">
        <f>Calculs!M534</f>
        <v>0</v>
      </c>
      <c r="L150" s="150">
        <f>Calculs!N534</f>
        <v>0</v>
      </c>
      <c r="M150" s="150">
        <f>Calculs!O534</f>
        <v>0</v>
      </c>
      <c r="N150" s="150">
        <f>Calculs!P534</f>
        <v>0</v>
      </c>
      <c r="O150" s="150">
        <f>Calculs!Q534</f>
        <v>0</v>
      </c>
      <c r="P150" s="150">
        <f>Calculs!R534</f>
        <v>0</v>
      </c>
      <c r="Q150" s="17" t="str">
        <f>Calculs!S534</f>
        <v>MtCO2e</v>
      </c>
    </row>
    <row r="151" ht="15.75" customHeight="1">
      <c r="C151" s="17" t="s">
        <v>17</v>
      </c>
      <c r="D151" s="17" t="str">
        <f>Calculs!G535</f>
        <v>Amont carburant véhicules particuliers</v>
      </c>
      <c r="F151" s="150">
        <f>Calculs!H535</f>
        <v>25.95308211</v>
      </c>
      <c r="G151" s="150">
        <f>Calculs!I535</f>
        <v>25.95308211</v>
      </c>
      <c r="H151" s="150">
        <f>Calculs!J535</f>
        <v>25.95308211</v>
      </c>
      <c r="I151" s="150">
        <f>Calculs!K535</f>
        <v>25.95308211</v>
      </c>
      <c r="J151" s="150">
        <f>Calculs!L535</f>
        <v>25.95308211</v>
      </c>
      <c r="K151" s="150">
        <f>Calculs!M535</f>
        <v>25.95308211</v>
      </c>
      <c r="L151" s="150">
        <f>Calculs!N535</f>
        <v>25.95308211</v>
      </c>
      <c r="M151" s="150">
        <f>Calculs!O535</f>
        <v>25.95308211</v>
      </c>
      <c r="N151" s="150">
        <f>Calculs!P535</f>
        <v>25.95308211</v>
      </c>
      <c r="O151" s="150">
        <f>Calculs!Q535</f>
        <v>25.95308211</v>
      </c>
      <c r="P151" s="150">
        <f>Calculs!R535</f>
        <v>25.95308211</v>
      </c>
      <c r="Q151" s="17" t="str">
        <f>Calculs!S535</f>
        <v>MtCO2e</v>
      </c>
    </row>
    <row r="152" ht="15.75" customHeight="1">
      <c r="C152" s="17" t="s">
        <v>17</v>
      </c>
      <c r="D152" s="17" t="str">
        <f>Calculs!G536</f>
        <v>Amont carburant VUL</v>
      </c>
      <c r="F152" s="150">
        <f>Calculs!H536</f>
        <v>6.156580624</v>
      </c>
      <c r="G152" s="150">
        <f>Calculs!I536</f>
        <v>6.156580624</v>
      </c>
      <c r="H152" s="150">
        <f>Calculs!J536</f>
        <v>6.156580624</v>
      </c>
      <c r="I152" s="150">
        <f>Calculs!K536</f>
        <v>6.156580624</v>
      </c>
      <c r="J152" s="150">
        <f>Calculs!L536</f>
        <v>6.156580624</v>
      </c>
      <c r="K152" s="150">
        <f>Calculs!M536</f>
        <v>6.156580624</v>
      </c>
      <c r="L152" s="150">
        <f>Calculs!N536</f>
        <v>6.156580624</v>
      </c>
      <c r="M152" s="150">
        <f>Calculs!O536</f>
        <v>6.156580624</v>
      </c>
      <c r="N152" s="150">
        <f>Calculs!P536</f>
        <v>6.156580624</v>
      </c>
      <c r="O152" s="150">
        <f>Calculs!Q536</f>
        <v>6.156580624</v>
      </c>
      <c r="P152" s="150">
        <f>Calculs!R536</f>
        <v>6.156580624</v>
      </c>
      <c r="Q152" s="17" t="str">
        <f>Calculs!S536</f>
        <v>MtCO2e</v>
      </c>
    </row>
    <row r="153" ht="15.75" customHeight="1">
      <c r="C153" s="17" t="s">
        <v>17</v>
      </c>
      <c r="D153" s="17" t="str">
        <f>Calculs!G537</f>
        <v>Amont électricité VUL</v>
      </c>
      <c r="F153" s="150">
        <f>Calculs!H537</f>
        <v>0</v>
      </c>
      <c r="G153" s="150">
        <f>Calculs!I537</f>
        <v>0</v>
      </c>
      <c r="H153" s="150">
        <f>Calculs!J537</f>
        <v>0</v>
      </c>
      <c r="I153" s="150">
        <f>Calculs!K537</f>
        <v>0</v>
      </c>
      <c r="J153" s="150">
        <f>Calculs!L537</f>
        <v>0</v>
      </c>
      <c r="K153" s="150">
        <f>Calculs!M537</f>
        <v>0</v>
      </c>
      <c r="L153" s="150">
        <f>Calculs!N537</f>
        <v>0</v>
      </c>
      <c r="M153" s="150">
        <f>Calculs!O537</f>
        <v>0</v>
      </c>
      <c r="N153" s="150">
        <f>Calculs!P537</f>
        <v>0</v>
      </c>
      <c r="O153" s="150">
        <f>Calculs!Q537</f>
        <v>0</v>
      </c>
      <c r="P153" s="150">
        <f>Calculs!R537</f>
        <v>0</v>
      </c>
      <c r="Q153" s="17" t="str">
        <f>Calculs!S537</f>
        <v>MtCO2e</v>
      </c>
    </row>
    <row r="154" ht="15.75" customHeight="1">
      <c r="C154" s="17" t="s">
        <v>17</v>
      </c>
      <c r="D154" s="17" t="str">
        <f>Calculs!G538</f>
        <v>Train</v>
      </c>
      <c r="F154" s="150">
        <f>Calculs!H538</f>
        <v>0.55</v>
      </c>
      <c r="G154" s="150">
        <f>Calculs!I538</f>
        <v>0.55</v>
      </c>
      <c r="H154" s="150">
        <f>Calculs!J538</f>
        <v>0.55</v>
      </c>
      <c r="I154" s="150">
        <f>Calculs!K538</f>
        <v>0.55</v>
      </c>
      <c r="J154" s="150">
        <f>Calculs!L538</f>
        <v>0.55</v>
      </c>
      <c r="K154" s="150">
        <f>Calculs!M538</f>
        <v>0.55</v>
      </c>
      <c r="L154" s="150">
        <f>Calculs!N538</f>
        <v>0.55</v>
      </c>
      <c r="M154" s="150">
        <f>Calculs!O538</f>
        <v>0.55</v>
      </c>
      <c r="N154" s="150">
        <f>Calculs!P538</f>
        <v>0.55</v>
      </c>
      <c r="O154" s="150">
        <f>Calculs!Q538</f>
        <v>0.55</v>
      </c>
      <c r="P154" s="150">
        <f>Calculs!R538</f>
        <v>0.55</v>
      </c>
      <c r="Q154" s="17" t="str">
        <f>Calculs!S538</f>
        <v>MtCO2e</v>
      </c>
    </row>
    <row r="155" ht="15.75" customHeight="1">
      <c r="C155" s="17" t="s">
        <v>17</v>
      </c>
      <c r="D155" s="17" t="str">
        <f>Calculs!G539</f>
        <v>Amont Carburant PL</v>
      </c>
      <c r="F155" s="150">
        <f>Calculs!H539</f>
        <v>6.14</v>
      </c>
      <c r="G155" s="150">
        <f>Calculs!I539</f>
        <v>6.14</v>
      </c>
      <c r="H155" s="150">
        <f>Calculs!J539</f>
        <v>6.14</v>
      </c>
      <c r="I155" s="150">
        <f>Calculs!K539</f>
        <v>6.14</v>
      </c>
      <c r="J155" s="150">
        <f>Calculs!L539</f>
        <v>6.14</v>
      </c>
      <c r="K155" s="150">
        <f>Calculs!M539</f>
        <v>6.14</v>
      </c>
      <c r="L155" s="150">
        <f>Calculs!N539</f>
        <v>6.14</v>
      </c>
      <c r="M155" s="150">
        <f>Calculs!O539</f>
        <v>6.14</v>
      </c>
      <c r="N155" s="150">
        <f>Calculs!P539</f>
        <v>6.14</v>
      </c>
      <c r="O155" s="150">
        <f>Calculs!Q539</f>
        <v>6.14</v>
      </c>
      <c r="P155" s="150">
        <f>Calculs!R539</f>
        <v>6.14</v>
      </c>
      <c r="Q155" s="17" t="str">
        <f>Calculs!S539</f>
        <v>MtCO2e</v>
      </c>
    </row>
    <row r="156" ht="15.75" customHeight="1">
      <c r="C156" s="17" t="s">
        <v>17</v>
      </c>
      <c r="D156" s="154" t="str">
        <f>Calculs!G540</f>
        <v>TOTAL Indirectes</v>
      </c>
      <c r="E156" s="154"/>
      <c r="F156" s="155">
        <f>Calculs!H540</f>
        <v>38.79966273</v>
      </c>
      <c r="G156" s="155">
        <f>Calculs!I540</f>
        <v>38.79966273</v>
      </c>
      <c r="H156" s="155">
        <f>Calculs!J540</f>
        <v>38.79966273</v>
      </c>
      <c r="I156" s="155">
        <f>Calculs!K540</f>
        <v>38.79966273</v>
      </c>
      <c r="J156" s="155">
        <f>Calculs!L540</f>
        <v>38.79966273</v>
      </c>
      <c r="K156" s="155">
        <f>Calculs!M540</f>
        <v>38.79966273</v>
      </c>
      <c r="L156" s="155">
        <f>Calculs!N540</f>
        <v>38.79966273</v>
      </c>
      <c r="M156" s="155">
        <f>Calculs!O540</f>
        <v>38.79966273</v>
      </c>
      <c r="N156" s="155">
        <f>Calculs!P540</f>
        <v>38.79966273</v>
      </c>
      <c r="O156" s="155">
        <f>Calculs!Q540</f>
        <v>38.79966273</v>
      </c>
      <c r="P156" s="155">
        <f>Calculs!R540</f>
        <v>38.79966273</v>
      </c>
    </row>
    <row r="157" ht="15.75" customHeight="1">
      <c r="C157" s="17" t="s">
        <v>17</v>
      </c>
      <c r="D157" s="154" t="str">
        <f>Calculs!G541</f>
        <v>dont électricité</v>
      </c>
      <c r="E157" s="154"/>
      <c r="F157" s="155">
        <f>Calculs!H541</f>
        <v>0.55</v>
      </c>
      <c r="G157" s="155">
        <f>Calculs!I541</f>
        <v>0.55</v>
      </c>
      <c r="H157" s="155">
        <f>Calculs!J541</f>
        <v>0.55</v>
      </c>
      <c r="I157" s="155">
        <f>Calculs!K541</f>
        <v>0.55</v>
      </c>
      <c r="J157" s="155">
        <f>Calculs!L541</f>
        <v>0.55</v>
      </c>
      <c r="K157" s="155">
        <f>Calculs!M541</f>
        <v>0.55</v>
      </c>
      <c r="L157" s="155">
        <f>Calculs!N541</f>
        <v>0.55</v>
      </c>
      <c r="M157" s="155">
        <f>Calculs!O541</f>
        <v>0.55</v>
      </c>
      <c r="N157" s="155">
        <f>Calculs!P541</f>
        <v>0.55</v>
      </c>
      <c r="O157" s="155">
        <f>Calculs!Q541</f>
        <v>0.55</v>
      </c>
      <c r="P157" s="155">
        <f>Calculs!R541</f>
        <v>0.55</v>
      </c>
      <c r="Q157" s="17" t="str">
        <f>Calculs!S541</f>
        <v>MtCO2e</v>
      </c>
    </row>
    <row r="158" ht="15.75" customHeight="1">
      <c r="C158" s="17" t="s">
        <v>17</v>
      </c>
      <c r="D158" s="17" t="str">
        <f>Calculs!G544</f>
        <v>Construction V thermiques particuliers</v>
      </c>
      <c r="F158" s="150">
        <f>Calculs!H544</f>
        <v>18</v>
      </c>
      <c r="G158" s="150">
        <f>Calculs!I544</f>
        <v>18</v>
      </c>
      <c r="H158" s="150">
        <f>Calculs!J544</f>
        <v>18</v>
      </c>
      <c r="I158" s="150">
        <f>Calculs!K544</f>
        <v>18</v>
      </c>
      <c r="J158" s="150">
        <f>Calculs!L544</f>
        <v>18</v>
      </c>
      <c r="K158" s="150">
        <f>Calculs!M544</f>
        <v>18</v>
      </c>
      <c r="L158" s="150">
        <f>Calculs!N544</f>
        <v>18</v>
      </c>
      <c r="M158" s="150">
        <f>Calculs!O544</f>
        <v>18</v>
      </c>
      <c r="N158" s="150">
        <f>Calculs!P544</f>
        <v>18</v>
      </c>
      <c r="O158" s="150">
        <f>Calculs!Q544</f>
        <v>18</v>
      </c>
      <c r="P158" s="150">
        <f>Calculs!R544</f>
        <v>18</v>
      </c>
    </row>
    <row r="159" ht="15.75" customHeight="1">
      <c r="C159" s="17" t="s">
        <v>17</v>
      </c>
      <c r="D159" s="17" t="str">
        <f>Calculs!G545</f>
        <v>Constructions Velec</v>
      </c>
      <c r="F159" s="150">
        <f>Calculs!H545</f>
        <v>0</v>
      </c>
      <c r="G159" s="150">
        <f>Calculs!I545</f>
        <v>0</v>
      </c>
      <c r="H159" s="150">
        <f>Calculs!J545</f>
        <v>0</v>
      </c>
      <c r="I159" s="150">
        <f>Calculs!K545</f>
        <v>0</v>
      </c>
      <c r="J159" s="150">
        <f>Calculs!L545</f>
        <v>0</v>
      </c>
      <c r="K159" s="150">
        <f>Calculs!M545</f>
        <v>0</v>
      </c>
      <c r="L159" s="150">
        <f>Calculs!N545</f>
        <v>0</v>
      </c>
      <c r="M159" s="150">
        <f>Calculs!O545</f>
        <v>0</v>
      </c>
      <c r="N159" s="150">
        <f>Calculs!P545</f>
        <v>0</v>
      </c>
      <c r="O159" s="150">
        <f>Calculs!Q545</f>
        <v>0</v>
      </c>
      <c r="P159" s="150">
        <f>Calculs!R545</f>
        <v>0</v>
      </c>
    </row>
    <row r="160" ht="15.75" customHeight="1">
      <c r="C160" s="17" t="s">
        <v>17</v>
      </c>
      <c r="D160" s="158" t="str">
        <f>Calculs!G546</f>
        <v>TOTAL Construction de véhicules</v>
      </c>
      <c r="E160" s="158"/>
      <c r="F160" s="159">
        <f>Calculs!H546</f>
        <v>18</v>
      </c>
      <c r="G160" s="159">
        <f>Calculs!I546</f>
        <v>18</v>
      </c>
      <c r="H160" s="159">
        <f>Calculs!J546</f>
        <v>18</v>
      </c>
      <c r="I160" s="159">
        <f>Calculs!K546</f>
        <v>18</v>
      </c>
      <c r="J160" s="159">
        <f>Calculs!L546</f>
        <v>18</v>
      </c>
      <c r="K160" s="159">
        <f>Calculs!M546</f>
        <v>18</v>
      </c>
      <c r="L160" s="159">
        <f>Calculs!N546</f>
        <v>18</v>
      </c>
      <c r="M160" s="159">
        <f>Calculs!O546</f>
        <v>18</v>
      </c>
      <c r="N160" s="159">
        <f>Calculs!P546</f>
        <v>18</v>
      </c>
      <c r="O160" s="159">
        <f>Calculs!Q546</f>
        <v>18</v>
      </c>
      <c r="P160" s="159">
        <f>Calculs!R546</f>
        <v>18</v>
      </c>
    </row>
    <row r="161" ht="15.75" customHeight="1"/>
    <row r="162" ht="15.75" customHeight="1"/>
    <row r="163" ht="15.75" customHeight="1"/>
    <row r="164" ht="15.75" customHeight="1">
      <c r="C164" s="110" t="s">
        <v>38</v>
      </c>
      <c r="D164" s="110" t="s">
        <v>42</v>
      </c>
      <c r="E164" s="120" t="s">
        <v>43</v>
      </c>
      <c r="F164" s="110">
        <v>2020.0</v>
      </c>
      <c r="G164" s="110">
        <v>2021.0</v>
      </c>
      <c r="H164" s="110">
        <v>2022.0</v>
      </c>
      <c r="I164" s="110">
        <v>2023.0</v>
      </c>
      <c r="J164" s="110">
        <v>2024.0</v>
      </c>
      <c r="K164" s="110">
        <v>2025.0</v>
      </c>
      <c r="L164" s="110">
        <v>2026.0</v>
      </c>
      <c r="M164" s="110">
        <v>2027.0</v>
      </c>
      <c r="N164" s="110">
        <v>2028.0</v>
      </c>
      <c r="O164" s="110">
        <v>2029.0</v>
      </c>
      <c r="P164" s="110">
        <v>2030.0</v>
      </c>
      <c r="Q164" s="110"/>
      <c r="R164" s="110" t="s">
        <v>53</v>
      </c>
    </row>
    <row r="165" ht="15.75" customHeight="1">
      <c r="A165" s="17" t="s">
        <v>33</v>
      </c>
      <c r="B165" s="135" t="s">
        <v>622</v>
      </c>
      <c r="C165" s="17" t="s">
        <v>344</v>
      </c>
      <c r="D165" s="17" t="s">
        <v>623</v>
      </c>
      <c r="F165" s="32">
        <f>Calculs!H590</f>
        <v>1.3</v>
      </c>
      <c r="G165" s="32">
        <f>Calculs!I590</f>
        <v>1.17</v>
      </c>
      <c r="H165" s="32">
        <f>Calculs!J590</f>
        <v>1.04</v>
      </c>
      <c r="I165" s="32">
        <f>Calculs!K590</f>
        <v>0.91</v>
      </c>
      <c r="J165" s="32">
        <f>Calculs!L590</f>
        <v>0.78</v>
      </c>
      <c r="K165" s="32">
        <f>Calculs!M590</f>
        <v>0.65</v>
      </c>
      <c r="L165" s="32">
        <f>Calculs!N590</f>
        <v>0.52</v>
      </c>
      <c r="M165" s="32">
        <f>Calculs!O590</f>
        <v>0.39</v>
      </c>
      <c r="N165" s="32">
        <f>Calculs!P590</f>
        <v>0.26</v>
      </c>
      <c r="O165" s="32">
        <f>Calculs!Q590</f>
        <v>0.13</v>
      </c>
      <c r="P165" s="32">
        <f>Calculs!R590</f>
        <v>0</v>
      </c>
    </row>
    <row r="166" ht="15.75" customHeight="1">
      <c r="A166" s="17" t="s">
        <v>54</v>
      </c>
      <c r="B166" s="17" t="s">
        <v>55</v>
      </c>
      <c r="C166" s="17" t="s">
        <v>344</v>
      </c>
      <c r="D166" s="17" t="s">
        <v>624</v>
      </c>
      <c r="F166" s="32">
        <f>Calculs!H591</f>
        <v>17.2</v>
      </c>
      <c r="G166" s="32">
        <f>Calculs!I591</f>
        <v>17.33</v>
      </c>
      <c r="H166" s="32">
        <f>Calculs!J591</f>
        <v>17.46</v>
      </c>
      <c r="I166" s="32">
        <f>Calculs!K591</f>
        <v>17.59</v>
      </c>
      <c r="J166" s="32">
        <f>Calculs!L591</f>
        <v>17.72</v>
      </c>
      <c r="K166" s="32">
        <f>Calculs!M591</f>
        <v>17.85</v>
      </c>
      <c r="L166" s="32">
        <f>Calculs!N591</f>
        <v>17.98</v>
      </c>
      <c r="M166" s="32">
        <f>Calculs!O591</f>
        <v>18.11</v>
      </c>
      <c r="N166" s="32">
        <f>Calculs!P591</f>
        <v>18.24</v>
      </c>
      <c r="O166" s="32">
        <f>Calculs!Q591</f>
        <v>18.37</v>
      </c>
      <c r="P166" s="32">
        <f>Calculs!R591</f>
        <v>18.5</v>
      </c>
    </row>
    <row r="167" ht="15.75" customHeight="1">
      <c r="A167" s="17" t="s">
        <v>75</v>
      </c>
      <c r="B167" s="115" t="s">
        <v>591</v>
      </c>
      <c r="C167" s="17" t="s">
        <v>344</v>
      </c>
      <c r="D167" s="17" t="s">
        <v>625</v>
      </c>
      <c r="F167" s="32">
        <f>Calculs!H594</f>
        <v>9.5</v>
      </c>
      <c r="G167" s="32">
        <f>Calculs!I594</f>
        <v>9.5</v>
      </c>
      <c r="H167" s="32">
        <f>Calculs!J594</f>
        <v>9.5</v>
      </c>
      <c r="I167" s="32">
        <f>Calculs!K594</f>
        <v>9.5</v>
      </c>
      <c r="J167" s="32">
        <f>Calculs!L594</f>
        <v>9.5</v>
      </c>
      <c r="K167" s="32">
        <f>Calculs!M594</f>
        <v>9.5</v>
      </c>
      <c r="L167" s="32">
        <f>Calculs!N594</f>
        <v>9.5</v>
      </c>
      <c r="M167" s="32">
        <f>Calculs!O594</f>
        <v>9.5</v>
      </c>
      <c r="N167" s="32">
        <f>Calculs!P594</f>
        <v>9.5</v>
      </c>
      <c r="O167" s="32">
        <f>Calculs!Q594</f>
        <v>9.5</v>
      </c>
      <c r="P167" s="32">
        <f>Calculs!R594</f>
        <v>9.5</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
    <mergeCell ref="AG89:AH89"/>
    <mergeCell ref="AG96:AH96"/>
    <mergeCell ref="AG114:AH1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25"/>
    <col customWidth="1" min="2" max="2" width="40.25"/>
    <col customWidth="1" min="3" max="5" width="40.75"/>
    <col customWidth="1" min="6" max="8" width="10.63"/>
    <col customWidth="1" min="9" max="9" width="14.75"/>
    <col customWidth="1" min="10" max="26" width="10.63"/>
  </cols>
  <sheetData>
    <row r="1" ht="13.5" customHeight="1">
      <c r="A1" s="118" t="s">
        <v>3</v>
      </c>
      <c r="B1" s="119" t="s">
        <v>360</v>
      </c>
      <c r="C1" s="119" t="s">
        <v>362</v>
      </c>
      <c r="D1" s="119" t="s">
        <v>363</v>
      </c>
      <c r="E1" s="119" t="s">
        <v>364</v>
      </c>
    </row>
    <row r="2" ht="13.5" customHeight="1">
      <c r="A2" s="121" t="s">
        <v>83</v>
      </c>
      <c r="B2" s="122" t="s">
        <v>86</v>
      </c>
      <c r="C2" s="122" t="s">
        <v>89</v>
      </c>
      <c r="D2" s="122" t="s">
        <v>87</v>
      </c>
      <c r="E2" s="122" t="s">
        <v>88</v>
      </c>
    </row>
    <row r="3" ht="13.5" customHeight="1">
      <c r="A3" s="123" t="s">
        <v>92</v>
      </c>
      <c r="B3" s="122" t="s">
        <v>93</v>
      </c>
      <c r="C3" s="122" t="s">
        <v>96</v>
      </c>
      <c r="D3" s="122" t="s">
        <v>94</v>
      </c>
      <c r="E3" s="122" t="s">
        <v>95</v>
      </c>
      <c r="I3" s="124" t="s">
        <v>366</v>
      </c>
    </row>
    <row r="4" ht="13.5" customHeight="1">
      <c r="A4" s="123" t="s">
        <v>100</v>
      </c>
      <c r="B4" s="122" t="s">
        <v>101</v>
      </c>
      <c r="C4" s="122" t="s">
        <v>96</v>
      </c>
      <c r="D4" s="122" t="s">
        <v>102</v>
      </c>
      <c r="E4" s="122" t="s">
        <v>95</v>
      </c>
      <c r="I4" s="125" t="s">
        <v>368</v>
      </c>
    </row>
    <row r="5" ht="13.5" customHeight="1">
      <c r="A5" s="121" t="s">
        <v>106</v>
      </c>
      <c r="B5" s="122" t="s">
        <v>108</v>
      </c>
      <c r="C5" s="122" t="s">
        <v>111</v>
      </c>
      <c r="D5" s="122" t="s">
        <v>109</v>
      </c>
      <c r="E5" s="122" t="s">
        <v>110</v>
      </c>
    </row>
    <row r="6" ht="13.5" customHeight="1">
      <c r="A6" s="121" t="s">
        <v>116</v>
      </c>
      <c r="B6" s="122" t="s">
        <v>118</v>
      </c>
      <c r="C6" s="122" t="s">
        <v>121</v>
      </c>
      <c r="D6" s="122" t="s">
        <v>119</v>
      </c>
      <c r="E6" s="122" t="s">
        <v>120</v>
      </c>
    </row>
    <row r="7" ht="13.5" customHeight="1">
      <c r="A7" s="123" t="s">
        <v>124</v>
      </c>
      <c r="B7" s="122" t="s">
        <v>126</v>
      </c>
      <c r="C7" s="122" t="s">
        <v>129</v>
      </c>
      <c r="D7" s="122" t="s">
        <v>127</v>
      </c>
      <c r="E7" s="122" t="s">
        <v>128</v>
      </c>
    </row>
    <row r="8" ht="13.5" customHeight="1">
      <c r="A8" s="123" t="s">
        <v>133</v>
      </c>
      <c r="B8" s="122" t="s">
        <v>134</v>
      </c>
      <c r="C8" s="122" t="s">
        <v>137</v>
      </c>
      <c r="D8" s="122" t="s">
        <v>135</v>
      </c>
      <c r="E8" s="122" t="s">
        <v>136</v>
      </c>
    </row>
    <row r="9" ht="13.5" customHeight="1">
      <c r="A9" s="36" t="s">
        <v>140</v>
      </c>
      <c r="B9" s="122" t="s">
        <v>142</v>
      </c>
      <c r="C9" s="122" t="s">
        <v>145</v>
      </c>
      <c r="D9" s="122" t="s">
        <v>143</v>
      </c>
      <c r="E9" s="122" t="s">
        <v>144</v>
      </c>
    </row>
    <row r="10" ht="13.5" customHeight="1">
      <c r="A10" s="36" t="s">
        <v>148</v>
      </c>
      <c r="B10" s="122" t="s">
        <v>150</v>
      </c>
      <c r="C10" s="122" t="s">
        <v>371</v>
      </c>
      <c r="D10" s="122" t="s">
        <v>151</v>
      </c>
      <c r="E10" s="122" t="s">
        <v>152</v>
      </c>
    </row>
    <row r="11" ht="139.5" customHeight="1">
      <c r="A11" s="36" t="s">
        <v>156</v>
      </c>
      <c r="B11" s="122" t="s">
        <v>158</v>
      </c>
      <c r="C11" s="122" t="s">
        <v>372</v>
      </c>
      <c r="D11" s="122" t="s">
        <v>159</v>
      </c>
      <c r="E11" s="122" t="s">
        <v>160</v>
      </c>
    </row>
    <row r="12" ht="83.25" customHeight="1">
      <c r="A12" s="36" t="s">
        <v>164</v>
      </c>
      <c r="B12" s="122" t="s">
        <v>165</v>
      </c>
      <c r="C12" s="122" t="s">
        <v>167</v>
      </c>
      <c r="D12" s="122" t="s">
        <v>166</v>
      </c>
      <c r="E12" s="122" t="s">
        <v>166</v>
      </c>
    </row>
    <row r="13" ht="13.5" customHeight="1">
      <c r="A13" s="10" t="s">
        <v>171</v>
      </c>
      <c r="B13" s="122" t="s">
        <v>172</v>
      </c>
      <c r="C13" s="122" t="s">
        <v>175</v>
      </c>
      <c r="D13" s="122" t="s">
        <v>173</v>
      </c>
      <c r="E13" s="122" t="s">
        <v>174</v>
      </c>
    </row>
    <row r="14" ht="13.5" customHeight="1">
      <c r="A14" s="10" t="s">
        <v>176</v>
      </c>
      <c r="B14" s="122" t="s">
        <v>178</v>
      </c>
      <c r="C14" s="122" t="s">
        <v>181</v>
      </c>
      <c r="D14" s="122" t="s">
        <v>179</v>
      </c>
      <c r="E14" s="122" t="s">
        <v>180</v>
      </c>
    </row>
    <row r="15" ht="169.5" customHeight="1">
      <c r="A15" s="36" t="s">
        <v>184</v>
      </c>
      <c r="B15" s="122" t="s">
        <v>185</v>
      </c>
      <c r="C15" s="122" t="s">
        <v>161</v>
      </c>
      <c r="D15" s="122" t="s">
        <v>186</v>
      </c>
      <c r="E15" s="122" t="s">
        <v>187</v>
      </c>
    </row>
    <row r="16" ht="13.5" customHeight="1">
      <c r="A16" s="36" t="s">
        <v>191</v>
      </c>
      <c r="B16" s="122" t="s">
        <v>192</v>
      </c>
      <c r="C16" s="122" t="s">
        <v>195</v>
      </c>
      <c r="D16" s="122" t="s">
        <v>193</v>
      </c>
      <c r="E16" s="122" t="s">
        <v>194</v>
      </c>
    </row>
    <row r="17" ht="13.5" customHeight="1">
      <c r="A17" s="10" t="s">
        <v>198</v>
      </c>
      <c r="B17" s="122" t="s">
        <v>165</v>
      </c>
      <c r="C17" s="122" t="s">
        <v>201</v>
      </c>
      <c r="D17" s="122" t="s">
        <v>200</v>
      </c>
      <c r="E17" s="122" t="s">
        <v>201</v>
      </c>
    </row>
    <row r="18" ht="13.5" customHeight="1">
      <c r="A18" s="10" t="s">
        <v>205</v>
      </c>
      <c r="B18" s="122" t="s">
        <v>206</v>
      </c>
      <c r="C18" s="122" t="s">
        <v>209</v>
      </c>
      <c r="D18" s="122" t="s">
        <v>207</v>
      </c>
      <c r="E18" s="122" t="s">
        <v>208</v>
      </c>
    </row>
    <row r="19" ht="13.5" customHeight="1">
      <c r="A19" s="123" t="s">
        <v>212</v>
      </c>
      <c r="B19" s="122" t="s">
        <v>214</v>
      </c>
      <c r="C19" s="122" t="s">
        <v>217</v>
      </c>
      <c r="D19" s="122" t="s">
        <v>215</v>
      </c>
      <c r="E19" s="122" t="s">
        <v>216</v>
      </c>
    </row>
    <row r="20" ht="13.5" customHeight="1">
      <c r="A20" s="123" t="s">
        <v>220</v>
      </c>
      <c r="B20" s="122" t="s">
        <v>221</v>
      </c>
      <c r="C20" s="122" t="s">
        <v>224</v>
      </c>
      <c r="D20" s="122" t="s">
        <v>222</v>
      </c>
      <c r="E20" s="122" t="s">
        <v>223</v>
      </c>
    </row>
    <row r="21" ht="13.5" customHeight="1">
      <c r="A21" s="121" t="s">
        <v>227</v>
      </c>
      <c r="B21" s="122" t="s">
        <v>229</v>
      </c>
      <c r="C21" s="122" t="s">
        <v>201</v>
      </c>
      <c r="D21" s="122" t="s">
        <v>222</v>
      </c>
      <c r="E21" s="122" t="s">
        <v>201</v>
      </c>
    </row>
    <row r="22" ht="13.5" customHeight="1">
      <c r="A22" s="123" t="s">
        <v>232</v>
      </c>
      <c r="B22" s="122" t="s">
        <v>233</v>
      </c>
      <c r="C22" s="127" t="s">
        <v>235</v>
      </c>
      <c r="D22" s="122" t="s">
        <v>234</v>
      </c>
      <c r="E22" s="122" t="s">
        <v>201</v>
      </c>
    </row>
    <row r="23" ht="13.5" customHeight="1">
      <c r="A23" s="10" t="s">
        <v>239</v>
      </c>
      <c r="B23" s="122" t="s">
        <v>240</v>
      </c>
      <c r="C23" s="122" t="s">
        <v>201</v>
      </c>
      <c r="D23" s="122" t="s">
        <v>222</v>
      </c>
      <c r="E23" s="122" t="s">
        <v>241</v>
      </c>
    </row>
    <row r="24" ht="13.5" customHeight="1">
      <c r="A24" s="10" t="s">
        <v>243</v>
      </c>
      <c r="B24" s="122" t="s">
        <v>244</v>
      </c>
      <c r="C24" s="122" t="s">
        <v>201</v>
      </c>
      <c r="D24" s="122" t="s">
        <v>245</v>
      </c>
      <c r="E24" s="122" t="s">
        <v>201</v>
      </c>
    </row>
    <row r="25" ht="13.5" customHeight="1">
      <c r="A25" s="10" t="s">
        <v>376</v>
      </c>
      <c r="B25" s="122" t="s">
        <v>249</v>
      </c>
      <c r="C25" s="122" t="s">
        <v>252</v>
      </c>
      <c r="D25" s="122" t="s">
        <v>250</v>
      </c>
      <c r="E25" s="122" t="s">
        <v>251</v>
      </c>
    </row>
    <row r="26" ht="13.5" customHeight="1">
      <c r="A26" s="10" t="s">
        <v>254</v>
      </c>
      <c r="B26" s="122" t="s">
        <v>244</v>
      </c>
      <c r="C26" s="122" t="s">
        <v>201</v>
      </c>
      <c r="D26" s="122" t="s">
        <v>222</v>
      </c>
      <c r="E26" s="122" t="s">
        <v>201</v>
      </c>
    </row>
    <row r="27" ht="13.5" customHeight="1">
      <c r="A27" s="58" t="s">
        <v>377</v>
      </c>
      <c r="B27" s="122" t="s">
        <v>259</v>
      </c>
      <c r="C27" s="122" t="s">
        <v>262</v>
      </c>
      <c r="D27" s="122" t="s">
        <v>260</v>
      </c>
      <c r="E27" s="122" t="s">
        <v>261</v>
      </c>
    </row>
    <row r="28" ht="13.5" customHeight="1">
      <c r="A28" s="10" t="s">
        <v>264</v>
      </c>
      <c r="B28" s="122" t="s">
        <v>244</v>
      </c>
      <c r="C28" s="122" t="s">
        <v>201</v>
      </c>
      <c r="D28" s="122" t="s">
        <v>265</v>
      </c>
      <c r="E28" s="122" t="s">
        <v>266</v>
      </c>
    </row>
    <row r="29" ht="13.5" customHeight="1">
      <c r="A29" s="36" t="s">
        <v>379</v>
      </c>
      <c r="B29" s="122" t="s">
        <v>271</v>
      </c>
      <c r="C29" s="122" t="s">
        <v>272</v>
      </c>
      <c r="D29" s="122" t="s">
        <v>222</v>
      </c>
      <c r="E29" s="122" t="s">
        <v>201</v>
      </c>
    </row>
    <row r="30" ht="13.5" customHeight="1">
      <c r="A30" s="10" t="s">
        <v>275</v>
      </c>
      <c r="B30" s="122" t="s">
        <v>244</v>
      </c>
      <c r="C30" s="122" t="s">
        <v>201</v>
      </c>
      <c r="D30" s="122" t="s">
        <v>222</v>
      </c>
      <c r="E30" s="122" t="s">
        <v>201</v>
      </c>
    </row>
    <row r="31" ht="13.5" customHeight="1">
      <c r="A31" s="123" t="s">
        <v>281</v>
      </c>
      <c r="B31" s="122" t="s">
        <v>287</v>
      </c>
      <c r="C31" s="122" t="s">
        <v>201</v>
      </c>
      <c r="D31" s="122" t="s">
        <v>288</v>
      </c>
      <c r="E31" s="122" t="s">
        <v>201</v>
      </c>
      <c r="F31" s="15"/>
      <c r="G31" s="15"/>
      <c r="H31" s="15"/>
      <c r="I31" s="15"/>
      <c r="J31" s="15"/>
      <c r="K31" s="15"/>
      <c r="L31" s="15"/>
      <c r="M31" s="15"/>
      <c r="N31" s="15"/>
      <c r="O31" s="15"/>
      <c r="P31" s="15"/>
      <c r="Q31" s="15"/>
      <c r="R31" s="15"/>
      <c r="S31" s="15"/>
      <c r="T31" s="15"/>
      <c r="U31" s="15"/>
      <c r="V31" s="15"/>
      <c r="W31" s="15"/>
      <c r="X31" s="15"/>
      <c r="Y31" s="15"/>
      <c r="Z31" s="15"/>
    </row>
    <row r="32" ht="13.5" customHeight="1">
      <c r="A32" s="123" t="s">
        <v>294</v>
      </c>
      <c r="B32" s="122" t="s">
        <v>298</v>
      </c>
      <c r="C32" s="122" t="s">
        <v>302</v>
      </c>
      <c r="D32" s="122" t="s">
        <v>299</v>
      </c>
      <c r="E32" s="122" t="s">
        <v>300</v>
      </c>
      <c r="F32" s="15"/>
      <c r="G32" s="15"/>
      <c r="H32" s="15"/>
      <c r="I32" s="15"/>
      <c r="J32" s="15"/>
      <c r="K32" s="15"/>
      <c r="L32" s="15"/>
      <c r="M32" s="15"/>
      <c r="N32" s="15"/>
      <c r="O32" s="15"/>
      <c r="P32" s="15"/>
      <c r="Q32" s="15"/>
      <c r="R32" s="15"/>
      <c r="S32" s="15"/>
      <c r="T32" s="15"/>
      <c r="U32" s="15"/>
      <c r="V32" s="15"/>
      <c r="W32" s="15"/>
      <c r="X32" s="15"/>
      <c r="Y32" s="15"/>
      <c r="Z32" s="15"/>
    </row>
    <row r="33" ht="13.5" customHeight="1">
      <c r="A33" s="129" t="s">
        <v>382</v>
      </c>
      <c r="B33" s="130" t="s">
        <v>314</v>
      </c>
      <c r="C33" s="130" t="s">
        <v>314</v>
      </c>
      <c r="D33" s="130" t="s">
        <v>314</v>
      </c>
      <c r="E33" s="130" t="s">
        <v>314</v>
      </c>
      <c r="F33" s="131"/>
      <c r="G33" s="131"/>
      <c r="H33" s="131"/>
      <c r="I33" s="131"/>
      <c r="J33" s="131"/>
      <c r="K33" s="131"/>
      <c r="L33" s="131"/>
      <c r="M33" s="131"/>
      <c r="N33" s="131"/>
      <c r="O33" s="131"/>
      <c r="P33" s="131"/>
      <c r="Q33" s="131"/>
      <c r="R33" s="131"/>
      <c r="S33" s="131"/>
      <c r="T33" s="131"/>
      <c r="U33" s="131"/>
      <c r="V33" s="131"/>
      <c r="W33" s="131"/>
      <c r="X33" s="131"/>
      <c r="Y33" s="131"/>
      <c r="Z33" s="131"/>
    </row>
    <row r="34" ht="13.5" customHeight="1">
      <c r="A34" s="10" t="s">
        <v>320</v>
      </c>
      <c r="B34" s="122" t="s">
        <v>324</v>
      </c>
      <c r="C34" s="122" t="s">
        <v>201</v>
      </c>
      <c r="D34" s="122" t="s">
        <v>325</v>
      </c>
      <c r="E34" s="122" t="s">
        <v>326</v>
      </c>
    </row>
    <row r="35" ht="13.5" customHeight="1">
      <c r="A35" s="36" t="s">
        <v>328</v>
      </c>
      <c r="B35" s="122" t="s">
        <v>335</v>
      </c>
      <c r="C35" s="122" t="s">
        <v>201</v>
      </c>
      <c r="D35" s="122" t="s">
        <v>336</v>
      </c>
      <c r="E35" s="122" t="s">
        <v>201</v>
      </c>
    </row>
    <row r="36" ht="13.5" customHeight="1">
      <c r="A36" s="15"/>
      <c r="D36" s="122"/>
      <c r="E36" s="122"/>
    </row>
    <row r="37" ht="13.5" customHeight="1">
      <c r="A37" s="15"/>
      <c r="D37" s="122"/>
      <c r="E37" s="122"/>
    </row>
    <row r="38" ht="13.5" customHeight="1">
      <c r="A38" s="15"/>
      <c r="D38" s="122"/>
      <c r="E38" s="122"/>
    </row>
    <row r="39" ht="13.5" customHeight="1">
      <c r="A39" s="15"/>
      <c r="D39" s="122"/>
      <c r="E39" s="122"/>
    </row>
    <row r="40" ht="13.5" customHeight="1">
      <c r="A40" s="15"/>
      <c r="D40" s="122"/>
      <c r="E40" s="122"/>
    </row>
    <row r="41" ht="13.5" customHeight="1">
      <c r="A41" s="15"/>
      <c r="D41" s="122"/>
      <c r="E41" s="122"/>
    </row>
    <row r="42" ht="13.5" customHeight="1">
      <c r="A42" s="15"/>
      <c r="D42" s="122"/>
      <c r="E42" s="122"/>
    </row>
    <row r="43" ht="13.5" customHeight="1">
      <c r="A43" s="15"/>
      <c r="D43" s="122"/>
      <c r="E43" s="122"/>
    </row>
    <row r="44" ht="13.5" customHeight="1">
      <c r="A44" s="15"/>
      <c r="D44" s="122"/>
      <c r="E44" s="122"/>
    </row>
    <row r="45" ht="13.5" customHeight="1">
      <c r="A45" s="15"/>
      <c r="D45" s="122"/>
    </row>
    <row r="46" ht="13.5" customHeight="1">
      <c r="A46" s="15"/>
      <c r="D46" s="122"/>
    </row>
    <row r="47" ht="13.5" customHeight="1">
      <c r="A47" s="15"/>
      <c r="D47" s="122"/>
    </row>
    <row r="48" ht="13.5" customHeight="1">
      <c r="A48" s="15"/>
      <c r="C48" s="134"/>
      <c r="D48" s="122"/>
    </row>
    <row r="49" ht="13.5" customHeight="1">
      <c r="A49" s="15"/>
      <c r="D49" s="122"/>
    </row>
    <row r="50" ht="13.5" customHeight="1">
      <c r="A50" s="15"/>
      <c r="D50" s="122"/>
    </row>
    <row r="51" ht="13.5" customHeight="1">
      <c r="A51" s="15"/>
      <c r="D51" s="122"/>
    </row>
    <row r="52" ht="13.5" customHeight="1">
      <c r="A52" s="15"/>
      <c r="C52" s="15"/>
      <c r="D52" s="122"/>
    </row>
    <row r="53" ht="13.5" customHeight="1">
      <c r="A53" s="15"/>
      <c r="C53" s="15"/>
      <c r="D53" s="122"/>
    </row>
    <row r="54" ht="13.5" customHeight="1">
      <c r="A54" s="15"/>
      <c r="C54" s="15"/>
      <c r="D54" s="122"/>
    </row>
    <row r="55" ht="13.5" customHeight="1">
      <c r="A55" s="15"/>
      <c r="C55" s="15"/>
      <c r="D55" s="122"/>
    </row>
    <row r="56" ht="13.5" customHeight="1">
      <c r="A56" s="15"/>
      <c r="C56" s="15"/>
      <c r="D56" s="122"/>
    </row>
    <row r="57" ht="13.5" customHeight="1">
      <c r="A57" s="15"/>
      <c r="C57" s="15"/>
      <c r="D57" s="122"/>
    </row>
    <row r="58" ht="13.5" customHeight="1">
      <c r="A58" s="15"/>
      <c r="C58" s="15"/>
      <c r="D58" s="122"/>
    </row>
    <row r="59" ht="13.5" customHeight="1">
      <c r="A59" s="15"/>
      <c r="C59" s="15"/>
      <c r="D59" s="122"/>
    </row>
    <row r="60" ht="13.5" customHeight="1">
      <c r="A60" s="15"/>
      <c r="C60" s="15"/>
      <c r="D60" s="122"/>
    </row>
    <row r="61" ht="13.5" customHeight="1">
      <c r="A61" s="15"/>
      <c r="C61" s="15"/>
      <c r="D61" s="122"/>
    </row>
    <row r="62" ht="13.5" customHeight="1">
      <c r="A62" s="15"/>
      <c r="C62" s="15"/>
      <c r="D62" s="122"/>
    </row>
    <row r="63" ht="13.5" customHeight="1">
      <c r="A63" s="15"/>
      <c r="C63" s="15"/>
      <c r="D63" s="122"/>
    </row>
    <row r="64" ht="13.5" customHeight="1">
      <c r="A64" s="15"/>
      <c r="C64" s="15"/>
      <c r="D64" s="122"/>
    </row>
    <row r="65" ht="13.5" customHeight="1">
      <c r="A65" s="15"/>
      <c r="C65" s="15"/>
      <c r="D65" s="122"/>
    </row>
    <row r="66" ht="13.5" customHeight="1">
      <c r="A66" s="15"/>
      <c r="C66" s="15"/>
      <c r="D66" s="122"/>
    </row>
    <row r="67" ht="13.5" customHeight="1">
      <c r="A67" s="15"/>
      <c r="C67" s="15"/>
      <c r="D67" s="122"/>
    </row>
    <row r="68" ht="13.5" customHeight="1">
      <c r="A68" s="15"/>
      <c r="C68" s="15"/>
      <c r="D68" s="122"/>
    </row>
    <row r="69" ht="13.5" customHeight="1">
      <c r="A69" s="15"/>
      <c r="C69" s="15"/>
      <c r="D69" s="122"/>
    </row>
    <row r="70" ht="13.5" customHeight="1">
      <c r="A70" s="15"/>
      <c r="C70" s="15"/>
      <c r="D70" s="122"/>
    </row>
    <row r="71" ht="13.5" customHeight="1">
      <c r="A71" s="15"/>
      <c r="C71" s="15"/>
      <c r="D71" s="122"/>
    </row>
    <row r="72" ht="13.5" customHeight="1">
      <c r="A72" s="15"/>
      <c r="C72" s="15"/>
      <c r="D72" s="122"/>
    </row>
    <row r="73" ht="13.5" customHeight="1">
      <c r="A73" s="15"/>
      <c r="C73" s="15"/>
      <c r="D73" s="122"/>
    </row>
    <row r="74" ht="13.5" customHeight="1">
      <c r="A74" s="15"/>
      <c r="C74" s="15"/>
      <c r="D74" s="122"/>
    </row>
    <row r="75" ht="13.5" customHeight="1">
      <c r="A75" s="15"/>
      <c r="C75" s="15"/>
      <c r="D75" s="122"/>
    </row>
    <row r="76" ht="13.5" customHeight="1">
      <c r="A76" s="15"/>
      <c r="C76" s="15"/>
      <c r="D76" s="122"/>
    </row>
    <row r="77" ht="13.5" customHeight="1">
      <c r="A77" s="15"/>
      <c r="C77" s="15"/>
      <c r="D77" s="122"/>
    </row>
    <row r="78" ht="13.5" customHeight="1">
      <c r="A78" s="15"/>
      <c r="C78" s="15"/>
      <c r="D78" s="122"/>
    </row>
    <row r="79" ht="13.5" customHeight="1">
      <c r="A79" s="15"/>
      <c r="C79" s="15"/>
      <c r="D79" s="122"/>
    </row>
    <row r="80" ht="13.5" customHeight="1">
      <c r="A80" s="15"/>
      <c r="C80" s="15"/>
      <c r="D80" s="122"/>
    </row>
    <row r="81" ht="13.5" customHeight="1">
      <c r="A81" s="15"/>
      <c r="C81" s="15"/>
      <c r="D81" s="122"/>
    </row>
    <row r="82" ht="13.5" customHeight="1">
      <c r="A82" s="15"/>
    </row>
    <row r="83" ht="13.5" customHeight="1">
      <c r="A83" s="15"/>
    </row>
    <row r="84" ht="13.5" customHeight="1">
      <c r="A84" s="15"/>
    </row>
    <row r="85" ht="13.5" customHeight="1">
      <c r="A85" s="15"/>
    </row>
    <row r="86" ht="13.5" customHeight="1">
      <c r="A86" s="15"/>
    </row>
    <row r="87" ht="13.5" customHeight="1">
      <c r="A87" s="15"/>
    </row>
    <row r="88" ht="13.5" customHeight="1">
      <c r="A88" s="15"/>
    </row>
    <row r="89" ht="13.5" customHeight="1">
      <c r="A89" s="15"/>
    </row>
    <row r="90" ht="13.5" customHeight="1">
      <c r="A90" s="15"/>
    </row>
    <row r="91" ht="13.5" customHeight="1">
      <c r="A91" s="15"/>
    </row>
    <row r="92" ht="13.5" customHeight="1">
      <c r="A92" s="15"/>
    </row>
    <row r="93" ht="13.5" customHeight="1">
      <c r="A93" s="15"/>
    </row>
    <row r="94" ht="13.5" customHeight="1">
      <c r="A94" s="15"/>
    </row>
    <row r="95" ht="13.5" customHeight="1">
      <c r="A95" s="15"/>
    </row>
    <row r="96" ht="13.5" customHeight="1">
      <c r="A96" s="15"/>
    </row>
    <row r="97" ht="13.5" customHeight="1">
      <c r="A97" s="15"/>
    </row>
    <row r="98" ht="13.5" customHeight="1">
      <c r="A98" s="15"/>
    </row>
    <row r="99" ht="13.5" customHeight="1">
      <c r="A99" s="15"/>
    </row>
    <row r="100" ht="13.5" customHeight="1">
      <c r="A100" s="15"/>
    </row>
    <row r="101" ht="13.5" customHeight="1">
      <c r="A101" s="15"/>
    </row>
    <row r="102" ht="13.5" customHeight="1">
      <c r="A102" s="15"/>
    </row>
    <row r="103" ht="13.5" customHeight="1">
      <c r="A103" s="15"/>
    </row>
    <row r="104" ht="13.5" customHeight="1">
      <c r="A104" s="15"/>
    </row>
    <row r="105" ht="13.5" customHeight="1">
      <c r="A105" s="15"/>
    </row>
    <row r="106" ht="13.5" customHeight="1">
      <c r="A106" s="15"/>
    </row>
    <row r="107" ht="13.5" customHeight="1">
      <c r="A107" s="15"/>
    </row>
    <row r="108" ht="13.5" customHeight="1">
      <c r="A108" s="15"/>
    </row>
    <row r="109" ht="13.5" customHeight="1">
      <c r="A109" s="15"/>
    </row>
    <row r="110" ht="13.5" customHeight="1">
      <c r="A110" s="15"/>
    </row>
    <row r="111" ht="13.5" customHeight="1">
      <c r="A111" s="15"/>
    </row>
    <row r="112" ht="13.5" customHeight="1">
      <c r="A112" s="15"/>
    </row>
    <row r="113" ht="13.5" customHeight="1">
      <c r="A113" s="15"/>
    </row>
    <row r="114" ht="13.5" customHeight="1">
      <c r="A114" s="15"/>
    </row>
    <row r="115" ht="13.5" customHeight="1">
      <c r="A115" s="15"/>
    </row>
    <row r="116" ht="13.5" customHeight="1">
      <c r="A116" s="15"/>
    </row>
    <row r="117" ht="13.5" customHeight="1">
      <c r="A117" s="15"/>
    </row>
    <row r="118" ht="13.5" customHeight="1">
      <c r="A118" s="15"/>
    </row>
    <row r="119" ht="13.5" customHeight="1">
      <c r="A119" s="15"/>
    </row>
    <row r="120" ht="13.5" customHeight="1">
      <c r="A120" s="15"/>
    </row>
    <row r="121" ht="13.5" customHeight="1">
      <c r="A121" s="15"/>
    </row>
    <row r="122" ht="13.5" customHeight="1">
      <c r="A122" s="15"/>
    </row>
    <row r="123" ht="13.5" customHeight="1">
      <c r="A123" s="15"/>
    </row>
    <row r="124" ht="13.5" customHeight="1">
      <c r="A124" s="15"/>
    </row>
    <row r="125" ht="13.5" customHeight="1">
      <c r="A125" s="15"/>
    </row>
    <row r="126" ht="13.5" customHeight="1">
      <c r="A126" s="15"/>
    </row>
    <row r="127" ht="13.5" customHeight="1">
      <c r="A127" s="15"/>
    </row>
    <row r="128" ht="13.5" customHeight="1">
      <c r="A128" s="15"/>
    </row>
    <row r="129" ht="13.5" customHeight="1">
      <c r="A129" s="15"/>
    </row>
    <row r="130" ht="13.5" customHeight="1">
      <c r="A130" s="15"/>
    </row>
    <row r="131" ht="13.5" customHeight="1">
      <c r="A131" s="15"/>
    </row>
    <row r="132" ht="13.5" customHeight="1">
      <c r="A132" s="15"/>
    </row>
    <row r="133" ht="13.5" customHeight="1">
      <c r="A133" s="15"/>
    </row>
    <row r="134" ht="13.5" customHeight="1">
      <c r="A134" s="15"/>
    </row>
    <row r="135" ht="13.5" customHeight="1">
      <c r="A135" s="15"/>
    </row>
    <row r="136" ht="13.5" customHeight="1">
      <c r="A136" s="15"/>
    </row>
    <row r="137" ht="13.5" customHeight="1">
      <c r="A137" s="15"/>
    </row>
    <row r="138" ht="13.5" customHeight="1">
      <c r="A138" s="15"/>
    </row>
    <row r="139" ht="13.5" customHeight="1">
      <c r="A139" s="15"/>
    </row>
    <row r="140" ht="13.5" customHeight="1">
      <c r="A140" s="15"/>
    </row>
    <row r="141" ht="13.5" customHeight="1">
      <c r="A141" s="15"/>
    </row>
    <row r="142" ht="13.5" customHeight="1">
      <c r="A142" s="15"/>
    </row>
    <row r="143" ht="13.5" customHeight="1">
      <c r="A143" s="15"/>
    </row>
    <row r="144" ht="13.5" customHeight="1">
      <c r="A144" s="15"/>
    </row>
    <row r="145" ht="13.5" customHeight="1">
      <c r="A145" s="15"/>
    </row>
    <row r="146" ht="13.5" customHeight="1">
      <c r="A146" s="15"/>
    </row>
    <row r="147" ht="13.5" customHeight="1">
      <c r="A147" s="15"/>
    </row>
    <row r="148" ht="13.5" customHeight="1">
      <c r="A148" s="15"/>
    </row>
    <row r="149" ht="13.5" customHeight="1">
      <c r="A149" s="15"/>
    </row>
    <row r="150" ht="13.5" customHeight="1">
      <c r="A150" s="15"/>
    </row>
    <row r="151" ht="13.5" customHeight="1">
      <c r="A151" s="15"/>
    </row>
    <row r="152" ht="13.5" customHeight="1">
      <c r="A152" s="15"/>
    </row>
    <row r="153" ht="13.5" customHeight="1">
      <c r="A153" s="15"/>
    </row>
    <row r="154" ht="13.5" customHeight="1">
      <c r="A154" s="15"/>
    </row>
    <row r="155" ht="13.5" customHeight="1">
      <c r="A155" s="15"/>
    </row>
    <row r="156" ht="13.5" customHeight="1">
      <c r="A156" s="15"/>
    </row>
    <row r="157" ht="13.5" customHeight="1">
      <c r="A157" s="15"/>
    </row>
    <row r="158" ht="13.5" customHeight="1">
      <c r="A158" s="15"/>
    </row>
    <row r="159" ht="13.5" customHeight="1">
      <c r="A159" s="15"/>
    </row>
    <row r="160" ht="13.5" customHeight="1">
      <c r="A160" s="15"/>
    </row>
    <row r="161" ht="13.5" customHeight="1">
      <c r="A161" s="15"/>
    </row>
    <row r="162" ht="13.5" customHeight="1">
      <c r="A162" s="15"/>
    </row>
    <row r="163" ht="13.5" customHeight="1">
      <c r="A163" s="15"/>
    </row>
    <row r="164" ht="13.5" customHeight="1">
      <c r="A164" s="15"/>
    </row>
    <row r="165" ht="13.5" customHeight="1">
      <c r="A165" s="15"/>
    </row>
    <row r="166" ht="13.5" customHeight="1">
      <c r="A166" s="15"/>
    </row>
    <row r="167" ht="13.5" customHeight="1">
      <c r="A167" s="15"/>
    </row>
    <row r="168" ht="13.5" customHeight="1">
      <c r="A168" s="15"/>
    </row>
    <row r="169" ht="13.5" customHeight="1">
      <c r="A169" s="15"/>
    </row>
    <row r="170" ht="13.5" customHeight="1">
      <c r="A170" s="15"/>
    </row>
    <row r="171" ht="13.5" customHeight="1">
      <c r="A171" s="15"/>
    </row>
    <row r="172" ht="13.5" customHeight="1">
      <c r="A172" s="15"/>
    </row>
    <row r="173" ht="13.5" customHeight="1">
      <c r="A173" s="15"/>
    </row>
    <row r="174" ht="13.5" customHeight="1">
      <c r="A174" s="15"/>
    </row>
    <row r="175" ht="13.5" customHeight="1">
      <c r="A175" s="15"/>
    </row>
    <row r="176" ht="13.5" customHeight="1">
      <c r="A176" s="15"/>
    </row>
    <row r="177" ht="13.5" customHeight="1">
      <c r="A177" s="15"/>
    </row>
    <row r="178" ht="13.5" customHeight="1">
      <c r="A178" s="15"/>
    </row>
    <row r="179" ht="13.5" customHeight="1">
      <c r="A179" s="15"/>
    </row>
    <row r="180" ht="13.5" customHeight="1">
      <c r="A180" s="15"/>
    </row>
    <row r="181" ht="13.5" customHeight="1">
      <c r="A181" s="15"/>
    </row>
    <row r="182" ht="13.5" customHeight="1">
      <c r="A182" s="15"/>
    </row>
    <row r="183" ht="13.5" customHeight="1">
      <c r="A183" s="15"/>
    </row>
    <row r="184" ht="13.5" customHeight="1">
      <c r="A184" s="15"/>
    </row>
    <row r="185" ht="13.5" customHeight="1">
      <c r="A185" s="15"/>
    </row>
    <row r="186" ht="13.5" customHeight="1">
      <c r="A186" s="15"/>
    </row>
    <row r="187" ht="13.5" customHeight="1">
      <c r="A187" s="15"/>
    </row>
    <row r="188" ht="13.5" customHeight="1">
      <c r="A188" s="15"/>
    </row>
    <row r="189" ht="13.5" customHeight="1">
      <c r="A189" s="15"/>
    </row>
    <row r="190" ht="13.5" customHeight="1">
      <c r="A190" s="15"/>
    </row>
    <row r="191" ht="13.5" customHeight="1">
      <c r="A191" s="15"/>
    </row>
    <row r="192" ht="13.5" customHeight="1">
      <c r="A192" s="15"/>
    </row>
    <row r="193" ht="13.5" customHeight="1">
      <c r="A193" s="15"/>
    </row>
    <row r="194" ht="13.5" customHeight="1">
      <c r="A194" s="15"/>
    </row>
    <row r="195" ht="13.5" customHeight="1">
      <c r="A195" s="15"/>
    </row>
    <row r="196" ht="13.5" customHeight="1">
      <c r="A196" s="15"/>
    </row>
    <row r="197" ht="13.5" customHeight="1">
      <c r="A197" s="15"/>
    </row>
    <row r="198" ht="13.5" customHeight="1">
      <c r="A198" s="15"/>
    </row>
    <row r="199" ht="13.5" customHeight="1">
      <c r="A199" s="15"/>
    </row>
    <row r="200" ht="13.5" customHeight="1">
      <c r="A200" s="15"/>
    </row>
    <row r="201" ht="13.5" customHeight="1">
      <c r="A201" s="15"/>
    </row>
    <row r="202" ht="13.5" customHeight="1">
      <c r="A202" s="15"/>
    </row>
    <row r="203" ht="13.5" customHeight="1">
      <c r="A203" s="15"/>
    </row>
    <row r="204" ht="13.5" customHeight="1">
      <c r="A204" s="15"/>
    </row>
    <row r="205" ht="13.5" customHeight="1">
      <c r="A205" s="15"/>
    </row>
    <row r="206" ht="13.5" customHeight="1">
      <c r="A206" s="15"/>
    </row>
    <row r="207" ht="13.5" customHeight="1">
      <c r="A207" s="15"/>
    </row>
    <row r="208" ht="13.5" customHeight="1">
      <c r="A208" s="15"/>
    </row>
    <row r="209" ht="13.5" customHeight="1">
      <c r="A209" s="15"/>
    </row>
    <row r="210" ht="13.5" customHeight="1">
      <c r="A210" s="15"/>
    </row>
    <row r="211" ht="13.5" customHeight="1">
      <c r="A211" s="15"/>
    </row>
    <row r="212" ht="13.5" customHeight="1">
      <c r="A212" s="15"/>
    </row>
    <row r="213" ht="13.5" customHeight="1">
      <c r="A213" s="15"/>
    </row>
    <row r="214" ht="13.5" customHeight="1">
      <c r="A214" s="15"/>
    </row>
    <row r="215" ht="13.5" customHeight="1">
      <c r="A215" s="15"/>
    </row>
    <row r="216" ht="13.5" customHeight="1">
      <c r="A216" s="15"/>
    </row>
    <row r="217" ht="13.5" customHeight="1">
      <c r="A217" s="15"/>
    </row>
    <row r="218" ht="13.5" customHeight="1">
      <c r="A218" s="15"/>
    </row>
    <row r="219" ht="13.5" customHeight="1">
      <c r="A219" s="15"/>
    </row>
    <row r="220" ht="13.5" customHeight="1">
      <c r="A220" s="15"/>
    </row>
    <row r="221" ht="13.5" customHeight="1">
      <c r="A221" s="15"/>
    </row>
    <row r="222" ht="13.5" customHeight="1">
      <c r="A222" s="15"/>
    </row>
    <row r="223" ht="13.5" customHeight="1">
      <c r="A223" s="15"/>
    </row>
    <row r="224" ht="13.5" customHeight="1">
      <c r="A224" s="15"/>
    </row>
    <row r="225" ht="13.5" customHeight="1">
      <c r="A225" s="15"/>
    </row>
    <row r="226" ht="13.5" customHeight="1">
      <c r="A226" s="15"/>
    </row>
    <row r="227" ht="13.5" customHeight="1">
      <c r="A227" s="15"/>
    </row>
    <row r="228" ht="13.5" customHeight="1">
      <c r="A228" s="15"/>
    </row>
    <row r="229" ht="13.5" customHeight="1">
      <c r="A229" s="15"/>
    </row>
    <row r="230" ht="13.5" customHeight="1">
      <c r="A230" s="15"/>
    </row>
    <row r="231" ht="13.5" customHeight="1">
      <c r="A231" s="15"/>
    </row>
    <row r="232" ht="13.5" customHeight="1">
      <c r="A232" s="15"/>
    </row>
    <row r="233" ht="13.5" customHeight="1">
      <c r="A233" s="15"/>
    </row>
    <row r="234" ht="13.5" customHeight="1">
      <c r="A234" s="15"/>
    </row>
    <row r="235" ht="13.5" customHeight="1">
      <c r="A235" s="15"/>
    </row>
    <row r="236" ht="13.5" customHeight="1">
      <c r="A236" s="15"/>
    </row>
    <row r="237" ht="13.5" customHeight="1">
      <c r="A237" s="15"/>
    </row>
    <row r="238" ht="13.5" customHeight="1">
      <c r="A238" s="15"/>
    </row>
    <row r="239" ht="13.5" customHeight="1">
      <c r="A239" s="15"/>
    </row>
    <row r="240" ht="13.5" customHeight="1">
      <c r="A240" s="15"/>
    </row>
    <row r="241" ht="13.5" customHeight="1">
      <c r="A241" s="15"/>
    </row>
    <row r="242" ht="13.5" customHeight="1">
      <c r="A242" s="15"/>
    </row>
    <row r="243" ht="13.5" customHeight="1">
      <c r="A243" s="15"/>
    </row>
    <row r="244" ht="13.5" customHeight="1">
      <c r="A244" s="15"/>
    </row>
    <row r="245" ht="13.5" customHeight="1">
      <c r="A245" s="15"/>
    </row>
    <row r="246" ht="13.5" customHeight="1">
      <c r="A246" s="15"/>
    </row>
    <row r="247" ht="13.5" customHeight="1">
      <c r="A247" s="15"/>
    </row>
    <row r="248" ht="13.5" customHeight="1">
      <c r="A248" s="15"/>
    </row>
    <row r="249" ht="13.5" customHeight="1">
      <c r="A249" s="15"/>
    </row>
    <row r="250" ht="13.5" customHeight="1">
      <c r="A250" s="15"/>
    </row>
    <row r="251" ht="13.5" customHeight="1">
      <c r="A251" s="15"/>
    </row>
    <row r="252" ht="13.5" customHeight="1">
      <c r="A252" s="15"/>
    </row>
    <row r="253" ht="13.5" customHeight="1">
      <c r="A253" s="15"/>
    </row>
    <row r="254" ht="13.5" customHeight="1">
      <c r="A254" s="15"/>
    </row>
    <row r="255" ht="13.5" customHeight="1">
      <c r="A255" s="15"/>
    </row>
    <row r="256" ht="13.5" customHeight="1">
      <c r="A256" s="15"/>
    </row>
    <row r="257" ht="13.5" customHeight="1">
      <c r="A257" s="15"/>
    </row>
    <row r="258" ht="13.5" customHeight="1">
      <c r="A258" s="15"/>
    </row>
    <row r="259" ht="13.5" customHeight="1">
      <c r="A259" s="15"/>
    </row>
    <row r="260" ht="13.5" customHeight="1">
      <c r="A260" s="15"/>
    </row>
    <row r="261" ht="13.5" customHeight="1">
      <c r="A261" s="15"/>
    </row>
    <row r="262" ht="13.5" customHeight="1">
      <c r="A262" s="15"/>
    </row>
    <row r="263" ht="13.5" customHeight="1">
      <c r="A263" s="15"/>
    </row>
    <row r="264" ht="13.5" customHeight="1">
      <c r="A264" s="15"/>
    </row>
    <row r="265" ht="13.5" customHeight="1">
      <c r="A265" s="15"/>
    </row>
    <row r="266" ht="13.5" customHeight="1">
      <c r="A266" s="15"/>
    </row>
    <row r="267" ht="13.5" customHeight="1">
      <c r="A267" s="15"/>
    </row>
    <row r="268" ht="13.5" customHeight="1">
      <c r="A268" s="15"/>
    </row>
    <row r="269" ht="13.5" customHeight="1">
      <c r="A269" s="15"/>
    </row>
    <row r="270" ht="13.5" customHeight="1">
      <c r="A270" s="15"/>
    </row>
    <row r="271" ht="13.5" customHeight="1">
      <c r="A271" s="15"/>
    </row>
    <row r="272" ht="13.5" customHeight="1">
      <c r="A272" s="15"/>
    </row>
    <row r="273" ht="13.5" customHeight="1">
      <c r="A273" s="15"/>
    </row>
    <row r="274" ht="13.5" customHeight="1">
      <c r="A274" s="15"/>
    </row>
    <row r="275" ht="13.5" customHeight="1">
      <c r="A275" s="15"/>
    </row>
    <row r="276" ht="13.5" customHeight="1">
      <c r="A276" s="15"/>
    </row>
    <row r="277" ht="13.5" customHeight="1">
      <c r="A277" s="15"/>
    </row>
    <row r="278" ht="13.5" customHeight="1">
      <c r="A278" s="15"/>
    </row>
    <row r="279" ht="13.5" customHeight="1">
      <c r="A279" s="15"/>
    </row>
    <row r="280" ht="13.5" customHeight="1">
      <c r="A280" s="15"/>
    </row>
    <row r="281" ht="13.5" customHeight="1">
      <c r="A281" s="15"/>
    </row>
    <row r="282" ht="13.5" customHeight="1">
      <c r="A282" s="15"/>
    </row>
    <row r="283" ht="13.5" customHeight="1">
      <c r="A283" s="15"/>
    </row>
    <row r="284" ht="13.5" customHeight="1">
      <c r="A284" s="15"/>
    </row>
    <row r="285" ht="13.5" customHeight="1">
      <c r="A285" s="15"/>
    </row>
    <row r="286" ht="13.5" customHeight="1">
      <c r="A286" s="15"/>
    </row>
    <row r="287" ht="13.5" customHeight="1">
      <c r="A287" s="15"/>
    </row>
    <row r="288" ht="13.5" customHeight="1">
      <c r="A288" s="15"/>
    </row>
    <row r="289" ht="13.5" customHeight="1">
      <c r="A289" s="15"/>
    </row>
    <row r="290" ht="13.5" customHeight="1">
      <c r="A290" s="15"/>
    </row>
    <row r="291" ht="13.5" customHeight="1">
      <c r="A291" s="15"/>
    </row>
    <row r="292" ht="13.5" customHeight="1">
      <c r="A292" s="15"/>
    </row>
    <row r="293" ht="13.5" customHeight="1">
      <c r="A293" s="15"/>
    </row>
    <row r="294" ht="13.5" customHeight="1">
      <c r="A294" s="15"/>
    </row>
    <row r="295" ht="13.5" customHeight="1">
      <c r="A295" s="15"/>
    </row>
    <row r="296" ht="13.5" customHeight="1">
      <c r="A296" s="15"/>
    </row>
    <row r="297" ht="13.5" customHeight="1">
      <c r="A297" s="15"/>
    </row>
    <row r="298" ht="13.5" customHeight="1">
      <c r="A298" s="15"/>
    </row>
    <row r="299" ht="13.5" customHeight="1">
      <c r="A299" s="15"/>
    </row>
    <row r="300" ht="13.5" customHeight="1">
      <c r="A300" s="15"/>
    </row>
    <row r="301" ht="13.5" customHeight="1">
      <c r="A301" s="15"/>
    </row>
    <row r="302" ht="13.5" customHeight="1">
      <c r="A302" s="15"/>
    </row>
    <row r="303" ht="13.5" customHeight="1">
      <c r="A303" s="15"/>
    </row>
    <row r="304" ht="13.5" customHeight="1">
      <c r="A304" s="15"/>
    </row>
    <row r="305" ht="13.5" customHeight="1">
      <c r="A305" s="15"/>
    </row>
    <row r="306" ht="13.5" customHeight="1">
      <c r="A306" s="15"/>
    </row>
    <row r="307" ht="13.5" customHeight="1">
      <c r="A307" s="15"/>
    </row>
    <row r="308" ht="13.5" customHeight="1">
      <c r="A308" s="15"/>
    </row>
    <row r="309" ht="13.5" customHeight="1">
      <c r="A309" s="15"/>
    </row>
    <row r="310" ht="13.5" customHeight="1">
      <c r="A310" s="15"/>
    </row>
    <row r="311" ht="13.5" customHeight="1">
      <c r="A311" s="15"/>
    </row>
    <row r="312" ht="13.5" customHeight="1">
      <c r="A312" s="15"/>
    </row>
    <row r="313" ht="13.5" customHeight="1">
      <c r="A313" s="15"/>
    </row>
    <row r="314" ht="13.5" customHeight="1">
      <c r="A314" s="15"/>
    </row>
    <row r="315" ht="13.5" customHeight="1">
      <c r="A315" s="15"/>
    </row>
    <row r="316" ht="13.5" customHeight="1">
      <c r="A316" s="15"/>
    </row>
    <row r="317" ht="13.5" customHeight="1">
      <c r="A317" s="15"/>
    </row>
    <row r="318" ht="13.5" customHeight="1">
      <c r="A318" s="15"/>
    </row>
    <row r="319" ht="13.5" customHeight="1">
      <c r="A319" s="15"/>
    </row>
    <row r="320" ht="13.5" customHeight="1">
      <c r="A320" s="15"/>
    </row>
    <row r="321" ht="13.5" customHeight="1">
      <c r="A321" s="15"/>
    </row>
    <row r="322" ht="13.5" customHeight="1">
      <c r="A322" s="15"/>
    </row>
    <row r="323" ht="13.5" customHeight="1">
      <c r="A323" s="15"/>
    </row>
    <row r="324" ht="13.5" customHeight="1">
      <c r="A324" s="15"/>
    </row>
    <row r="325" ht="13.5" customHeight="1">
      <c r="A325" s="15"/>
    </row>
    <row r="326" ht="13.5" customHeight="1">
      <c r="A326" s="15"/>
    </row>
    <row r="327" ht="13.5" customHeight="1">
      <c r="A327" s="15"/>
    </row>
    <row r="328" ht="13.5" customHeight="1">
      <c r="A328" s="15"/>
    </row>
    <row r="329" ht="13.5" customHeight="1">
      <c r="A329" s="15"/>
    </row>
    <row r="330" ht="13.5" customHeight="1">
      <c r="A330" s="15"/>
    </row>
    <row r="331" ht="13.5" customHeight="1">
      <c r="A331" s="15"/>
    </row>
    <row r="332" ht="13.5" customHeight="1">
      <c r="A332" s="15"/>
    </row>
    <row r="333" ht="13.5" customHeight="1">
      <c r="A333" s="15"/>
    </row>
    <row r="334" ht="13.5" customHeight="1">
      <c r="A334" s="15"/>
    </row>
    <row r="335" ht="13.5" customHeight="1">
      <c r="A335" s="15"/>
    </row>
    <row r="336" ht="13.5" customHeight="1">
      <c r="A336" s="15"/>
    </row>
    <row r="337" ht="13.5" customHeight="1">
      <c r="A337" s="15"/>
    </row>
    <row r="338" ht="13.5" customHeight="1">
      <c r="A338" s="15"/>
    </row>
    <row r="339" ht="13.5" customHeight="1">
      <c r="A339" s="15"/>
    </row>
    <row r="340" ht="13.5" customHeight="1">
      <c r="A340" s="15"/>
    </row>
    <row r="341" ht="13.5" customHeight="1">
      <c r="A341" s="15"/>
    </row>
    <row r="342" ht="13.5" customHeight="1">
      <c r="A342" s="15"/>
    </row>
    <row r="343" ht="13.5" customHeight="1">
      <c r="A343" s="15"/>
    </row>
    <row r="344" ht="13.5" customHeight="1">
      <c r="A344" s="15"/>
    </row>
    <row r="345" ht="13.5" customHeight="1">
      <c r="A345" s="15"/>
    </row>
    <row r="346" ht="13.5" customHeight="1">
      <c r="A346" s="15"/>
    </row>
    <row r="347" ht="13.5" customHeight="1">
      <c r="A347" s="15"/>
    </row>
    <row r="348" ht="13.5" customHeight="1">
      <c r="A348" s="15"/>
    </row>
    <row r="349" ht="13.5" customHeight="1">
      <c r="A349" s="15"/>
    </row>
    <row r="350" ht="13.5" customHeight="1">
      <c r="A350" s="15"/>
    </row>
    <row r="351" ht="13.5" customHeight="1">
      <c r="A351" s="15"/>
    </row>
    <row r="352" ht="13.5" customHeight="1">
      <c r="A352" s="15"/>
    </row>
    <row r="353" ht="13.5" customHeight="1">
      <c r="A353" s="15"/>
    </row>
    <row r="354" ht="13.5" customHeight="1">
      <c r="A354" s="15"/>
    </row>
    <row r="355" ht="13.5" customHeight="1">
      <c r="A355" s="15"/>
    </row>
    <row r="356" ht="13.5" customHeight="1">
      <c r="A356" s="15"/>
    </row>
    <row r="357" ht="13.5" customHeight="1">
      <c r="A357" s="15"/>
    </row>
    <row r="358" ht="13.5" customHeight="1">
      <c r="A358" s="15"/>
    </row>
    <row r="359" ht="13.5" customHeight="1">
      <c r="A359" s="15"/>
    </row>
    <row r="360" ht="13.5" customHeight="1">
      <c r="A360" s="15"/>
    </row>
    <row r="361" ht="13.5" customHeight="1">
      <c r="A361" s="15"/>
    </row>
    <row r="362" ht="13.5" customHeight="1">
      <c r="A362" s="15"/>
    </row>
    <row r="363" ht="13.5" customHeight="1">
      <c r="A363" s="15"/>
    </row>
    <row r="364" ht="13.5" customHeight="1">
      <c r="A364" s="15"/>
    </row>
    <row r="365" ht="13.5" customHeight="1">
      <c r="A365" s="15"/>
    </row>
    <row r="366" ht="13.5" customHeight="1">
      <c r="A366" s="15"/>
    </row>
    <row r="367" ht="13.5" customHeight="1">
      <c r="A367" s="15"/>
    </row>
    <row r="368" ht="13.5" customHeight="1">
      <c r="A368" s="15"/>
    </row>
    <row r="369" ht="13.5" customHeight="1">
      <c r="A369" s="15"/>
    </row>
    <row r="370" ht="13.5" customHeight="1">
      <c r="A370" s="15"/>
    </row>
    <row r="371" ht="13.5" customHeight="1">
      <c r="A371" s="15"/>
    </row>
    <row r="372" ht="13.5" customHeight="1">
      <c r="A372" s="15"/>
    </row>
    <row r="373" ht="13.5" customHeight="1">
      <c r="A373" s="15"/>
    </row>
    <row r="374" ht="13.5" customHeight="1">
      <c r="A374" s="15"/>
    </row>
    <row r="375" ht="13.5" customHeight="1">
      <c r="A375" s="15"/>
    </row>
    <row r="376" ht="13.5" customHeight="1">
      <c r="A376" s="15"/>
    </row>
    <row r="377" ht="13.5" customHeight="1">
      <c r="A377" s="15"/>
    </row>
    <row r="378" ht="13.5" customHeight="1">
      <c r="A378" s="15"/>
    </row>
    <row r="379" ht="13.5" customHeight="1">
      <c r="A379" s="15"/>
    </row>
    <row r="380" ht="13.5" customHeight="1">
      <c r="A380" s="15"/>
    </row>
    <row r="381" ht="13.5" customHeight="1">
      <c r="A381" s="15"/>
    </row>
    <row r="382" ht="13.5" customHeight="1">
      <c r="A382" s="15"/>
    </row>
    <row r="383" ht="13.5" customHeight="1">
      <c r="A383" s="15"/>
    </row>
    <row r="384" ht="13.5" customHeight="1">
      <c r="A384" s="15"/>
    </row>
    <row r="385" ht="13.5" customHeight="1">
      <c r="A385" s="15"/>
    </row>
    <row r="386" ht="13.5" customHeight="1">
      <c r="A386" s="15"/>
    </row>
    <row r="387" ht="13.5" customHeight="1">
      <c r="A387" s="15"/>
    </row>
    <row r="388" ht="13.5" customHeight="1">
      <c r="A388" s="15"/>
    </row>
    <row r="389" ht="13.5" customHeight="1">
      <c r="A389" s="15"/>
    </row>
    <row r="390" ht="13.5" customHeight="1">
      <c r="A390" s="15"/>
    </row>
    <row r="391" ht="13.5" customHeight="1">
      <c r="A391" s="15"/>
    </row>
    <row r="392" ht="13.5" customHeight="1">
      <c r="A392" s="15"/>
    </row>
    <row r="393" ht="13.5" customHeight="1">
      <c r="A393" s="15"/>
    </row>
    <row r="394" ht="13.5" customHeight="1">
      <c r="A394" s="15"/>
    </row>
    <row r="395" ht="13.5" customHeight="1">
      <c r="A395" s="15"/>
    </row>
    <row r="396" ht="13.5" customHeight="1">
      <c r="A396" s="15"/>
    </row>
    <row r="397" ht="13.5" customHeight="1">
      <c r="A397" s="15"/>
    </row>
    <row r="398" ht="13.5" customHeight="1">
      <c r="A398" s="15"/>
    </row>
    <row r="399" ht="13.5" customHeight="1">
      <c r="A399" s="15"/>
    </row>
    <row r="400" ht="13.5" customHeight="1">
      <c r="A400" s="15"/>
    </row>
    <row r="401" ht="13.5" customHeight="1">
      <c r="A401" s="15"/>
    </row>
    <row r="402" ht="13.5" customHeight="1">
      <c r="A402" s="15"/>
    </row>
    <row r="403" ht="13.5" customHeight="1">
      <c r="A403" s="15"/>
    </row>
    <row r="404" ht="13.5" customHeight="1">
      <c r="A404" s="15"/>
    </row>
    <row r="405" ht="13.5" customHeight="1">
      <c r="A405" s="15"/>
    </row>
    <row r="406" ht="13.5" customHeight="1">
      <c r="A406" s="15"/>
    </row>
    <row r="407" ht="13.5" customHeight="1">
      <c r="A407" s="15"/>
    </row>
    <row r="408" ht="13.5" customHeight="1">
      <c r="A408" s="15"/>
    </row>
    <row r="409" ht="13.5" customHeight="1">
      <c r="A409" s="15"/>
    </row>
    <row r="410" ht="13.5" customHeight="1">
      <c r="A410" s="15"/>
    </row>
    <row r="411" ht="13.5" customHeight="1">
      <c r="A411" s="15"/>
    </row>
    <row r="412" ht="13.5" customHeight="1">
      <c r="A412" s="15"/>
    </row>
    <row r="413" ht="13.5" customHeight="1">
      <c r="A413" s="15"/>
    </row>
    <row r="414" ht="13.5" customHeight="1">
      <c r="A414" s="15"/>
    </row>
    <row r="415" ht="13.5" customHeight="1">
      <c r="A415" s="15"/>
    </row>
    <row r="416" ht="13.5" customHeight="1">
      <c r="A416" s="15"/>
    </row>
    <row r="417" ht="13.5" customHeight="1">
      <c r="A417" s="15"/>
    </row>
    <row r="418" ht="13.5" customHeight="1">
      <c r="A418" s="15"/>
    </row>
    <row r="419" ht="13.5" customHeight="1">
      <c r="A419" s="15"/>
    </row>
    <row r="420" ht="13.5" customHeight="1">
      <c r="A420" s="15"/>
    </row>
    <row r="421" ht="13.5" customHeight="1">
      <c r="A421" s="15"/>
    </row>
    <row r="422" ht="13.5" customHeight="1">
      <c r="A422" s="15"/>
    </row>
    <row r="423" ht="13.5" customHeight="1">
      <c r="A423" s="15"/>
    </row>
    <row r="424" ht="13.5" customHeight="1">
      <c r="A424" s="15"/>
    </row>
    <row r="425" ht="13.5" customHeight="1">
      <c r="A425" s="15"/>
    </row>
    <row r="426" ht="13.5" customHeight="1">
      <c r="A426" s="15"/>
    </row>
    <row r="427" ht="13.5" customHeight="1">
      <c r="A427" s="15"/>
    </row>
    <row r="428" ht="13.5" customHeight="1">
      <c r="A428" s="15"/>
    </row>
    <row r="429" ht="13.5" customHeight="1">
      <c r="A429" s="15"/>
    </row>
    <row r="430" ht="13.5" customHeight="1">
      <c r="A430" s="15"/>
    </row>
    <row r="431" ht="13.5" customHeight="1">
      <c r="A431" s="15"/>
    </row>
    <row r="432" ht="13.5" customHeight="1">
      <c r="A432" s="15"/>
    </row>
    <row r="433" ht="13.5" customHeight="1">
      <c r="A433" s="15"/>
    </row>
    <row r="434" ht="13.5" customHeight="1">
      <c r="A434" s="15"/>
    </row>
    <row r="435" ht="13.5" customHeight="1">
      <c r="A435" s="15"/>
    </row>
    <row r="436" ht="13.5" customHeight="1">
      <c r="A436" s="15"/>
    </row>
    <row r="437" ht="13.5" customHeight="1">
      <c r="A437" s="15"/>
    </row>
    <row r="438" ht="13.5" customHeight="1">
      <c r="A438" s="15"/>
    </row>
    <row r="439" ht="13.5" customHeight="1">
      <c r="A439" s="15"/>
    </row>
    <row r="440" ht="13.5" customHeight="1">
      <c r="A440" s="15"/>
    </row>
    <row r="441" ht="13.5" customHeight="1">
      <c r="A441" s="15"/>
    </row>
    <row r="442" ht="13.5" customHeight="1">
      <c r="A442" s="15"/>
    </row>
    <row r="443" ht="13.5" customHeight="1">
      <c r="A443" s="15"/>
    </row>
    <row r="444" ht="13.5" customHeight="1">
      <c r="A444" s="15"/>
    </row>
    <row r="445" ht="13.5" customHeight="1">
      <c r="A445" s="15"/>
    </row>
    <row r="446" ht="13.5" customHeight="1">
      <c r="A446" s="15"/>
    </row>
    <row r="447" ht="13.5" customHeight="1">
      <c r="A447" s="15"/>
    </row>
    <row r="448" ht="13.5" customHeight="1">
      <c r="A448" s="15"/>
    </row>
    <row r="449" ht="13.5" customHeight="1">
      <c r="A449" s="15"/>
    </row>
    <row r="450" ht="13.5" customHeight="1">
      <c r="A450" s="15"/>
    </row>
    <row r="451" ht="13.5" customHeight="1">
      <c r="A451" s="15"/>
    </row>
    <row r="452" ht="13.5" customHeight="1">
      <c r="A452" s="15"/>
    </row>
    <row r="453" ht="13.5" customHeight="1">
      <c r="A453" s="15"/>
    </row>
    <row r="454" ht="13.5" customHeight="1">
      <c r="A454" s="15"/>
    </row>
    <row r="455" ht="13.5" customHeight="1">
      <c r="A455" s="15"/>
    </row>
    <row r="456" ht="13.5" customHeight="1">
      <c r="A456" s="15"/>
    </row>
    <row r="457" ht="13.5" customHeight="1">
      <c r="A457" s="15"/>
    </row>
    <row r="458" ht="13.5" customHeight="1">
      <c r="A458" s="15"/>
    </row>
    <row r="459" ht="13.5" customHeight="1">
      <c r="A459" s="15"/>
    </row>
    <row r="460" ht="13.5" customHeight="1">
      <c r="A460" s="15"/>
    </row>
    <row r="461" ht="13.5" customHeight="1">
      <c r="A461" s="15"/>
    </row>
    <row r="462" ht="13.5" customHeight="1">
      <c r="A462" s="15"/>
    </row>
    <row r="463" ht="13.5" customHeight="1">
      <c r="A463" s="15"/>
    </row>
    <row r="464" ht="13.5" customHeight="1">
      <c r="A464" s="15"/>
    </row>
    <row r="465" ht="13.5" customHeight="1">
      <c r="A465" s="15"/>
    </row>
    <row r="466" ht="13.5" customHeight="1">
      <c r="A466" s="15"/>
    </row>
    <row r="467" ht="13.5" customHeight="1">
      <c r="A467" s="15"/>
    </row>
    <row r="468" ht="13.5" customHeight="1">
      <c r="A468" s="15"/>
    </row>
    <row r="469" ht="13.5" customHeight="1">
      <c r="A469" s="15"/>
    </row>
    <row r="470" ht="13.5" customHeight="1">
      <c r="A470" s="15"/>
    </row>
    <row r="471" ht="13.5" customHeight="1">
      <c r="A471" s="15"/>
    </row>
    <row r="472" ht="13.5" customHeight="1">
      <c r="A472" s="15"/>
    </row>
    <row r="473" ht="13.5" customHeight="1">
      <c r="A473" s="15"/>
    </row>
    <row r="474" ht="13.5" customHeight="1">
      <c r="A474" s="15"/>
    </row>
    <row r="475" ht="13.5" customHeight="1">
      <c r="A475" s="15"/>
    </row>
    <row r="476" ht="13.5" customHeight="1">
      <c r="A476" s="15"/>
    </row>
    <row r="477" ht="13.5" customHeight="1">
      <c r="A477" s="15"/>
    </row>
    <row r="478" ht="13.5" customHeight="1">
      <c r="A478" s="15"/>
    </row>
    <row r="479" ht="13.5" customHeight="1">
      <c r="A479" s="15"/>
    </row>
    <row r="480" ht="13.5" customHeight="1">
      <c r="A480" s="15"/>
    </row>
    <row r="481" ht="13.5" customHeight="1">
      <c r="A481" s="15"/>
    </row>
    <row r="482" ht="13.5" customHeight="1">
      <c r="A482" s="15"/>
    </row>
    <row r="483" ht="13.5" customHeight="1">
      <c r="A483" s="15"/>
    </row>
    <row r="484" ht="13.5" customHeight="1">
      <c r="A484" s="15"/>
    </row>
    <row r="485" ht="13.5" customHeight="1">
      <c r="A485" s="15"/>
    </row>
    <row r="486" ht="13.5" customHeight="1">
      <c r="A486" s="15"/>
    </row>
    <row r="487" ht="13.5" customHeight="1">
      <c r="A487" s="15"/>
    </row>
    <row r="488" ht="13.5" customHeight="1">
      <c r="A488" s="15"/>
    </row>
    <row r="489" ht="13.5" customHeight="1">
      <c r="A489" s="15"/>
    </row>
    <row r="490" ht="13.5" customHeight="1">
      <c r="A490" s="15"/>
    </row>
    <row r="491" ht="13.5" customHeight="1">
      <c r="A491" s="15"/>
    </row>
    <row r="492" ht="13.5" customHeight="1">
      <c r="A492" s="15"/>
    </row>
    <row r="493" ht="13.5" customHeight="1">
      <c r="A493" s="15"/>
    </row>
    <row r="494" ht="13.5" customHeight="1">
      <c r="A494" s="15"/>
    </row>
    <row r="495" ht="13.5" customHeight="1">
      <c r="A495" s="15"/>
    </row>
    <row r="496" ht="13.5" customHeight="1">
      <c r="A496" s="15"/>
    </row>
    <row r="497" ht="13.5" customHeight="1">
      <c r="A497" s="15"/>
    </row>
    <row r="498" ht="13.5" customHeight="1">
      <c r="A498" s="15"/>
    </row>
    <row r="499" ht="13.5" customHeight="1">
      <c r="A499" s="15"/>
    </row>
    <row r="500" ht="13.5" customHeight="1">
      <c r="A500" s="15"/>
    </row>
    <row r="501" ht="13.5" customHeight="1">
      <c r="A501" s="15"/>
    </row>
    <row r="502" ht="13.5" customHeight="1">
      <c r="A502" s="15"/>
    </row>
    <row r="503" ht="13.5" customHeight="1">
      <c r="A503" s="15"/>
    </row>
    <row r="504" ht="13.5" customHeight="1">
      <c r="A504" s="15"/>
    </row>
    <row r="505" ht="13.5" customHeight="1">
      <c r="A505" s="15"/>
    </row>
    <row r="506" ht="13.5" customHeight="1">
      <c r="A506" s="15"/>
    </row>
    <row r="507" ht="13.5" customHeight="1">
      <c r="A507" s="15"/>
    </row>
    <row r="508" ht="13.5" customHeight="1">
      <c r="A508" s="15"/>
    </row>
    <row r="509" ht="13.5" customHeight="1">
      <c r="A509" s="15"/>
    </row>
    <row r="510" ht="13.5" customHeight="1">
      <c r="A510" s="15"/>
    </row>
    <row r="511" ht="13.5" customHeight="1">
      <c r="A511" s="15"/>
    </row>
    <row r="512" ht="13.5" customHeight="1">
      <c r="A512" s="15"/>
    </row>
    <row r="513" ht="13.5" customHeight="1">
      <c r="A513" s="15"/>
    </row>
    <row r="514" ht="13.5" customHeight="1">
      <c r="A514" s="15"/>
    </row>
    <row r="515" ht="13.5" customHeight="1">
      <c r="A515" s="15"/>
    </row>
    <row r="516" ht="13.5" customHeight="1">
      <c r="A516" s="15"/>
    </row>
    <row r="517" ht="13.5" customHeight="1">
      <c r="A517" s="15"/>
    </row>
    <row r="518" ht="13.5" customHeight="1">
      <c r="A518" s="15"/>
    </row>
    <row r="519" ht="13.5" customHeight="1">
      <c r="A519" s="15"/>
    </row>
    <row r="520" ht="13.5" customHeight="1">
      <c r="A520" s="15"/>
    </row>
    <row r="521" ht="13.5" customHeight="1">
      <c r="A521" s="15"/>
    </row>
    <row r="522" ht="13.5" customHeight="1">
      <c r="A522" s="15"/>
    </row>
    <row r="523" ht="13.5" customHeight="1">
      <c r="A523" s="15"/>
    </row>
    <row r="524" ht="13.5" customHeight="1">
      <c r="A524" s="15"/>
    </row>
    <row r="525" ht="13.5" customHeight="1">
      <c r="A525" s="15"/>
    </row>
    <row r="526" ht="13.5" customHeight="1">
      <c r="A526" s="15"/>
    </row>
    <row r="527" ht="13.5" customHeight="1">
      <c r="A527" s="15"/>
    </row>
    <row r="528" ht="13.5" customHeight="1">
      <c r="A528" s="15"/>
    </row>
    <row r="529" ht="13.5" customHeight="1">
      <c r="A529" s="15"/>
    </row>
    <row r="530" ht="13.5" customHeight="1">
      <c r="A530" s="15"/>
    </row>
    <row r="531" ht="13.5" customHeight="1">
      <c r="A531" s="15"/>
    </row>
    <row r="532" ht="13.5" customHeight="1">
      <c r="A532" s="15"/>
    </row>
    <row r="533" ht="13.5" customHeight="1">
      <c r="A533" s="15"/>
    </row>
    <row r="534" ht="13.5" customHeight="1">
      <c r="A534" s="15"/>
    </row>
    <row r="535" ht="13.5" customHeight="1">
      <c r="A535" s="15"/>
    </row>
    <row r="536" ht="13.5" customHeight="1">
      <c r="A536" s="15"/>
    </row>
    <row r="537" ht="13.5" customHeight="1">
      <c r="A537" s="15"/>
    </row>
    <row r="538" ht="13.5" customHeight="1">
      <c r="A538" s="15"/>
    </row>
    <row r="539" ht="13.5" customHeight="1">
      <c r="A539" s="15"/>
    </row>
    <row r="540" ht="13.5" customHeight="1">
      <c r="A540" s="15"/>
    </row>
    <row r="541" ht="13.5" customHeight="1">
      <c r="A541" s="15"/>
    </row>
    <row r="542" ht="13.5" customHeight="1">
      <c r="A542" s="15"/>
    </row>
    <row r="543" ht="13.5" customHeight="1">
      <c r="A543" s="15"/>
    </row>
    <row r="544" ht="13.5" customHeight="1">
      <c r="A544" s="15"/>
    </row>
    <row r="545" ht="13.5" customHeight="1">
      <c r="A545" s="15"/>
    </row>
    <row r="546" ht="13.5" customHeight="1">
      <c r="A546" s="15"/>
    </row>
    <row r="547" ht="13.5" customHeight="1">
      <c r="A547" s="15"/>
    </row>
    <row r="548" ht="13.5" customHeight="1">
      <c r="A548" s="15"/>
    </row>
    <row r="549" ht="13.5" customHeight="1">
      <c r="A549" s="15"/>
    </row>
    <row r="550" ht="13.5" customHeight="1">
      <c r="A550" s="15"/>
    </row>
    <row r="551" ht="13.5" customHeight="1">
      <c r="A551" s="15"/>
    </row>
    <row r="552" ht="13.5" customHeight="1">
      <c r="A552" s="15"/>
    </row>
    <row r="553" ht="13.5" customHeight="1">
      <c r="A553" s="15"/>
    </row>
    <row r="554" ht="13.5" customHeight="1">
      <c r="A554" s="15"/>
    </row>
    <row r="555" ht="13.5" customHeight="1">
      <c r="A555" s="15"/>
    </row>
    <row r="556" ht="13.5" customHeight="1">
      <c r="A556" s="15"/>
    </row>
    <row r="557" ht="13.5" customHeight="1">
      <c r="A557" s="15"/>
    </row>
    <row r="558" ht="13.5" customHeight="1">
      <c r="A558" s="15"/>
    </row>
    <row r="559" ht="13.5" customHeight="1">
      <c r="A559" s="15"/>
    </row>
    <row r="560" ht="13.5" customHeight="1">
      <c r="A560" s="15"/>
    </row>
    <row r="561" ht="13.5" customHeight="1">
      <c r="A561" s="15"/>
    </row>
    <row r="562" ht="13.5" customHeight="1">
      <c r="A562" s="15"/>
    </row>
    <row r="563" ht="13.5" customHeight="1">
      <c r="A563" s="15"/>
    </row>
    <row r="564" ht="13.5" customHeight="1">
      <c r="A564" s="15"/>
    </row>
    <row r="565" ht="13.5" customHeight="1">
      <c r="A565" s="15"/>
    </row>
    <row r="566" ht="13.5" customHeight="1">
      <c r="A566" s="15"/>
    </row>
    <row r="567" ht="13.5" customHeight="1">
      <c r="A567" s="15"/>
    </row>
    <row r="568" ht="13.5" customHeight="1">
      <c r="A568" s="15"/>
    </row>
    <row r="569" ht="13.5" customHeight="1">
      <c r="A569" s="15"/>
    </row>
    <row r="570" ht="13.5" customHeight="1">
      <c r="A570" s="15"/>
    </row>
    <row r="571" ht="13.5" customHeight="1">
      <c r="A571" s="15"/>
    </row>
    <row r="572" ht="13.5" customHeight="1">
      <c r="A572" s="15"/>
    </row>
    <row r="573" ht="13.5" customHeight="1">
      <c r="A573" s="15"/>
    </row>
    <row r="574" ht="13.5" customHeight="1">
      <c r="A574" s="15"/>
    </row>
    <row r="575" ht="13.5" customHeight="1">
      <c r="A575" s="15"/>
    </row>
    <row r="576" ht="13.5" customHeight="1">
      <c r="A576" s="15"/>
    </row>
    <row r="577" ht="13.5" customHeight="1">
      <c r="A577" s="15"/>
    </row>
    <row r="578" ht="13.5" customHeight="1">
      <c r="A578" s="15"/>
    </row>
    <row r="579" ht="13.5" customHeight="1">
      <c r="A579" s="15"/>
    </row>
    <row r="580" ht="13.5" customHeight="1">
      <c r="A580" s="15"/>
    </row>
    <row r="581" ht="13.5" customHeight="1">
      <c r="A581" s="15"/>
    </row>
    <row r="582" ht="13.5" customHeight="1">
      <c r="A582" s="15"/>
    </row>
    <row r="583" ht="13.5" customHeight="1">
      <c r="A583" s="15"/>
    </row>
    <row r="584" ht="13.5" customHeight="1">
      <c r="A584" s="15"/>
    </row>
    <row r="585" ht="13.5" customHeight="1">
      <c r="A585" s="15"/>
    </row>
    <row r="586" ht="13.5" customHeight="1">
      <c r="A586" s="15"/>
    </row>
    <row r="587" ht="13.5" customHeight="1">
      <c r="A587" s="15"/>
    </row>
    <row r="588" ht="13.5" customHeight="1">
      <c r="A588" s="15"/>
    </row>
    <row r="589" ht="13.5" customHeight="1">
      <c r="A589" s="15"/>
    </row>
    <row r="590" ht="13.5" customHeight="1">
      <c r="A590" s="15"/>
    </row>
    <row r="591" ht="13.5" customHeight="1">
      <c r="A591" s="15"/>
    </row>
    <row r="592" ht="13.5" customHeight="1">
      <c r="A592" s="15"/>
    </row>
    <row r="593" ht="13.5" customHeight="1">
      <c r="A593" s="15"/>
    </row>
    <row r="594" ht="13.5" customHeight="1">
      <c r="A594" s="15"/>
    </row>
    <row r="595" ht="13.5" customHeight="1">
      <c r="A595" s="15"/>
    </row>
    <row r="596" ht="13.5" customHeight="1">
      <c r="A596" s="15"/>
    </row>
    <row r="597" ht="13.5" customHeight="1">
      <c r="A597" s="15"/>
    </row>
    <row r="598" ht="13.5" customHeight="1">
      <c r="A598" s="15"/>
    </row>
    <row r="599" ht="13.5" customHeight="1">
      <c r="A599" s="15"/>
    </row>
    <row r="600" ht="13.5" customHeight="1">
      <c r="A600" s="15"/>
    </row>
    <row r="601" ht="13.5" customHeight="1">
      <c r="A601" s="15"/>
    </row>
    <row r="602" ht="13.5" customHeight="1">
      <c r="A602" s="15"/>
    </row>
    <row r="603" ht="13.5" customHeight="1">
      <c r="A603" s="15"/>
    </row>
    <row r="604" ht="13.5" customHeight="1">
      <c r="A604" s="15"/>
    </row>
    <row r="605" ht="13.5" customHeight="1">
      <c r="A605" s="15"/>
    </row>
    <row r="606" ht="13.5" customHeight="1">
      <c r="A606" s="15"/>
    </row>
    <row r="607" ht="13.5" customHeight="1">
      <c r="A607" s="15"/>
    </row>
    <row r="608" ht="13.5" customHeight="1">
      <c r="A608" s="15"/>
    </row>
    <row r="609" ht="13.5" customHeight="1">
      <c r="A609" s="15"/>
    </row>
    <row r="610" ht="13.5" customHeight="1">
      <c r="A610" s="15"/>
    </row>
    <row r="611" ht="13.5" customHeight="1">
      <c r="A611" s="15"/>
    </row>
    <row r="612" ht="13.5" customHeight="1">
      <c r="A612" s="15"/>
    </row>
    <row r="613" ht="13.5" customHeight="1">
      <c r="A613" s="15"/>
    </row>
    <row r="614" ht="13.5" customHeight="1">
      <c r="A614" s="15"/>
    </row>
    <row r="615" ht="13.5" customHeight="1">
      <c r="A615" s="15"/>
    </row>
    <row r="616" ht="13.5" customHeight="1">
      <c r="A616" s="15"/>
    </row>
    <row r="617" ht="13.5" customHeight="1">
      <c r="A617" s="15"/>
    </row>
    <row r="618" ht="13.5" customHeight="1">
      <c r="A618" s="15"/>
    </row>
    <row r="619" ht="13.5" customHeight="1">
      <c r="A619" s="15"/>
    </row>
    <row r="620" ht="13.5" customHeight="1">
      <c r="A620" s="15"/>
    </row>
    <row r="621" ht="13.5" customHeight="1">
      <c r="A621" s="15"/>
    </row>
    <row r="622" ht="13.5" customHeight="1">
      <c r="A622" s="15"/>
    </row>
    <row r="623" ht="13.5" customHeight="1">
      <c r="A623" s="15"/>
    </row>
    <row r="624" ht="13.5" customHeight="1">
      <c r="A624" s="15"/>
    </row>
    <row r="625" ht="13.5" customHeight="1">
      <c r="A625" s="15"/>
    </row>
    <row r="626" ht="13.5" customHeight="1">
      <c r="A626" s="15"/>
    </row>
    <row r="627" ht="13.5" customHeight="1">
      <c r="A627" s="15"/>
    </row>
    <row r="628" ht="13.5" customHeight="1">
      <c r="A628" s="15"/>
    </row>
    <row r="629" ht="13.5" customHeight="1">
      <c r="A629" s="15"/>
    </row>
    <row r="630" ht="13.5" customHeight="1">
      <c r="A630" s="15"/>
    </row>
    <row r="631" ht="13.5" customHeight="1">
      <c r="A631" s="15"/>
    </row>
    <row r="632" ht="13.5" customHeight="1">
      <c r="A632" s="15"/>
    </row>
    <row r="633" ht="13.5" customHeight="1">
      <c r="A633" s="15"/>
    </row>
    <row r="634" ht="13.5" customHeight="1">
      <c r="A634" s="15"/>
    </row>
    <row r="635" ht="13.5" customHeight="1">
      <c r="A635" s="15"/>
    </row>
    <row r="636" ht="13.5" customHeight="1">
      <c r="A636" s="15"/>
    </row>
    <row r="637" ht="13.5" customHeight="1">
      <c r="A637" s="15"/>
    </row>
    <row r="638" ht="13.5" customHeight="1">
      <c r="A638" s="15"/>
    </row>
    <row r="639" ht="13.5" customHeight="1">
      <c r="A639" s="15"/>
    </row>
    <row r="640" ht="13.5" customHeight="1">
      <c r="A640" s="15"/>
    </row>
    <row r="641" ht="13.5" customHeight="1">
      <c r="A641" s="15"/>
    </row>
    <row r="642" ht="13.5" customHeight="1">
      <c r="A642" s="15"/>
    </row>
    <row r="643" ht="13.5" customHeight="1">
      <c r="A643" s="15"/>
    </row>
    <row r="644" ht="13.5" customHeight="1">
      <c r="A644" s="15"/>
    </row>
    <row r="645" ht="13.5" customHeight="1">
      <c r="A645" s="15"/>
    </row>
    <row r="646" ht="13.5" customHeight="1">
      <c r="A646" s="15"/>
    </row>
    <row r="647" ht="13.5" customHeight="1">
      <c r="A647" s="15"/>
    </row>
    <row r="648" ht="13.5" customHeight="1">
      <c r="A648" s="15"/>
    </row>
    <row r="649" ht="13.5" customHeight="1">
      <c r="A649" s="15"/>
    </row>
    <row r="650" ht="13.5" customHeight="1">
      <c r="A650" s="15"/>
    </row>
    <row r="651" ht="13.5" customHeight="1">
      <c r="A651" s="15"/>
    </row>
    <row r="652" ht="13.5" customHeight="1">
      <c r="A652" s="15"/>
    </row>
    <row r="653" ht="13.5" customHeight="1">
      <c r="A653" s="15"/>
    </row>
    <row r="654" ht="13.5" customHeight="1">
      <c r="A654" s="15"/>
    </row>
    <row r="655" ht="13.5" customHeight="1">
      <c r="A655" s="15"/>
    </row>
    <row r="656" ht="13.5" customHeight="1">
      <c r="A656" s="15"/>
    </row>
    <row r="657" ht="13.5" customHeight="1">
      <c r="A657" s="15"/>
    </row>
    <row r="658" ht="13.5" customHeight="1">
      <c r="A658" s="15"/>
    </row>
    <row r="659" ht="13.5" customHeight="1">
      <c r="A659" s="15"/>
    </row>
    <row r="660" ht="13.5" customHeight="1">
      <c r="A660" s="15"/>
    </row>
    <row r="661" ht="13.5" customHeight="1">
      <c r="A661" s="15"/>
    </row>
    <row r="662" ht="13.5" customHeight="1">
      <c r="A662" s="15"/>
    </row>
    <row r="663" ht="13.5" customHeight="1">
      <c r="A663" s="15"/>
    </row>
    <row r="664" ht="13.5" customHeight="1">
      <c r="A664" s="15"/>
    </row>
    <row r="665" ht="13.5" customHeight="1">
      <c r="A665" s="15"/>
    </row>
    <row r="666" ht="13.5" customHeight="1">
      <c r="A666" s="15"/>
    </row>
    <row r="667" ht="13.5" customHeight="1">
      <c r="A667" s="15"/>
    </row>
    <row r="668" ht="13.5" customHeight="1">
      <c r="A668" s="15"/>
    </row>
    <row r="669" ht="13.5" customHeight="1">
      <c r="A669" s="15"/>
    </row>
    <row r="670" ht="13.5" customHeight="1">
      <c r="A670" s="15"/>
    </row>
    <row r="671" ht="13.5" customHeight="1">
      <c r="A671" s="15"/>
    </row>
    <row r="672" ht="13.5" customHeight="1">
      <c r="A672" s="15"/>
    </row>
    <row r="673" ht="13.5" customHeight="1">
      <c r="A673" s="15"/>
    </row>
    <row r="674" ht="13.5" customHeight="1">
      <c r="A674" s="15"/>
    </row>
    <row r="675" ht="13.5" customHeight="1">
      <c r="A675" s="15"/>
    </row>
    <row r="676" ht="13.5" customHeight="1">
      <c r="A676" s="15"/>
    </row>
    <row r="677" ht="13.5" customHeight="1">
      <c r="A677" s="15"/>
    </row>
    <row r="678" ht="13.5" customHeight="1">
      <c r="A678" s="15"/>
    </row>
    <row r="679" ht="13.5" customHeight="1">
      <c r="A679" s="15"/>
    </row>
    <row r="680" ht="13.5" customHeight="1">
      <c r="A680" s="15"/>
    </row>
    <row r="681" ht="13.5" customHeight="1">
      <c r="A681" s="15"/>
    </row>
    <row r="682" ht="13.5" customHeight="1">
      <c r="A682" s="15"/>
    </row>
    <row r="683" ht="13.5" customHeight="1">
      <c r="A683" s="15"/>
    </row>
    <row r="684" ht="13.5" customHeight="1">
      <c r="A684" s="15"/>
    </row>
    <row r="685" ht="13.5" customHeight="1">
      <c r="A685" s="15"/>
    </row>
    <row r="686" ht="13.5" customHeight="1">
      <c r="A686" s="15"/>
    </row>
    <row r="687" ht="13.5" customHeight="1">
      <c r="A687" s="15"/>
    </row>
    <row r="688" ht="13.5" customHeight="1">
      <c r="A688" s="15"/>
    </row>
    <row r="689" ht="13.5" customHeight="1">
      <c r="A689" s="15"/>
    </row>
    <row r="690" ht="13.5" customHeight="1">
      <c r="A690" s="15"/>
    </row>
    <row r="691" ht="13.5" customHeight="1">
      <c r="A691" s="15"/>
    </row>
    <row r="692" ht="13.5" customHeight="1">
      <c r="A692" s="15"/>
    </row>
    <row r="693" ht="13.5" customHeight="1">
      <c r="A693" s="15"/>
    </row>
    <row r="694" ht="13.5" customHeight="1">
      <c r="A694" s="15"/>
    </row>
    <row r="695" ht="13.5" customHeight="1">
      <c r="A695" s="15"/>
    </row>
    <row r="696" ht="13.5" customHeight="1">
      <c r="A696" s="15"/>
    </row>
    <row r="697" ht="13.5" customHeight="1">
      <c r="A697" s="15"/>
    </row>
    <row r="698" ht="13.5" customHeight="1">
      <c r="A698" s="15"/>
    </row>
    <row r="699" ht="13.5" customHeight="1">
      <c r="A699" s="15"/>
    </row>
    <row r="700" ht="13.5" customHeight="1">
      <c r="A700" s="15"/>
    </row>
    <row r="701" ht="13.5" customHeight="1">
      <c r="A701" s="15"/>
    </row>
    <row r="702" ht="13.5" customHeight="1">
      <c r="A702" s="15"/>
    </row>
    <row r="703" ht="13.5" customHeight="1">
      <c r="A703" s="15"/>
    </row>
    <row r="704" ht="13.5" customHeight="1">
      <c r="A704" s="15"/>
    </row>
    <row r="705" ht="13.5" customHeight="1">
      <c r="A705" s="15"/>
    </row>
    <row r="706" ht="13.5" customHeight="1">
      <c r="A706" s="15"/>
    </row>
    <row r="707" ht="13.5" customHeight="1">
      <c r="A707" s="15"/>
    </row>
    <row r="708" ht="13.5" customHeight="1">
      <c r="A708" s="15"/>
    </row>
    <row r="709" ht="13.5" customHeight="1">
      <c r="A709" s="15"/>
    </row>
    <row r="710" ht="13.5" customHeight="1">
      <c r="A710" s="15"/>
    </row>
    <row r="711" ht="13.5" customHeight="1">
      <c r="A711" s="15"/>
    </row>
    <row r="712" ht="13.5" customHeight="1">
      <c r="A712" s="15"/>
    </row>
    <row r="713" ht="13.5" customHeight="1">
      <c r="A713" s="15"/>
    </row>
    <row r="714" ht="13.5" customHeight="1">
      <c r="A714" s="15"/>
    </row>
    <row r="715" ht="13.5" customHeight="1">
      <c r="A715" s="15"/>
    </row>
    <row r="716" ht="13.5" customHeight="1">
      <c r="A716" s="15"/>
    </row>
    <row r="717" ht="13.5" customHeight="1">
      <c r="A717" s="15"/>
    </row>
    <row r="718" ht="13.5" customHeight="1">
      <c r="A718" s="15"/>
    </row>
    <row r="719" ht="13.5" customHeight="1">
      <c r="A719" s="15"/>
    </row>
    <row r="720" ht="13.5" customHeight="1">
      <c r="A720" s="15"/>
    </row>
    <row r="721" ht="13.5" customHeight="1">
      <c r="A721" s="15"/>
    </row>
    <row r="722" ht="13.5" customHeight="1">
      <c r="A722" s="15"/>
    </row>
    <row r="723" ht="13.5" customHeight="1">
      <c r="A723" s="15"/>
    </row>
    <row r="724" ht="13.5" customHeight="1">
      <c r="A724" s="15"/>
    </row>
    <row r="725" ht="13.5" customHeight="1">
      <c r="A725" s="15"/>
    </row>
    <row r="726" ht="13.5" customHeight="1">
      <c r="A726" s="15"/>
    </row>
    <row r="727" ht="13.5" customHeight="1">
      <c r="A727" s="15"/>
    </row>
    <row r="728" ht="13.5" customHeight="1">
      <c r="A728" s="15"/>
    </row>
    <row r="729" ht="13.5" customHeight="1">
      <c r="A729" s="15"/>
    </row>
    <row r="730" ht="13.5" customHeight="1">
      <c r="A730" s="15"/>
    </row>
    <row r="731" ht="13.5" customHeight="1">
      <c r="A731" s="15"/>
    </row>
    <row r="732" ht="13.5" customHeight="1">
      <c r="A732" s="15"/>
    </row>
    <row r="733" ht="13.5" customHeight="1">
      <c r="A733" s="15"/>
    </row>
    <row r="734" ht="13.5" customHeight="1">
      <c r="A734" s="15"/>
    </row>
    <row r="735" ht="13.5" customHeight="1">
      <c r="A735" s="15"/>
    </row>
    <row r="736" ht="13.5" customHeight="1">
      <c r="A736" s="15"/>
    </row>
    <row r="737" ht="13.5" customHeight="1">
      <c r="A737" s="15"/>
    </row>
    <row r="738" ht="13.5" customHeight="1">
      <c r="A738" s="15"/>
    </row>
    <row r="739" ht="13.5" customHeight="1">
      <c r="A739" s="15"/>
    </row>
    <row r="740" ht="13.5" customHeight="1">
      <c r="A740" s="15"/>
    </row>
    <row r="741" ht="13.5" customHeight="1">
      <c r="A741" s="15"/>
    </row>
    <row r="742" ht="13.5" customHeight="1">
      <c r="A742" s="15"/>
    </row>
    <row r="743" ht="13.5" customHeight="1">
      <c r="A743" s="15"/>
    </row>
    <row r="744" ht="13.5" customHeight="1">
      <c r="A744" s="15"/>
    </row>
    <row r="745" ht="13.5" customHeight="1">
      <c r="A745" s="15"/>
    </row>
    <row r="746" ht="13.5" customHeight="1">
      <c r="A746" s="15"/>
    </row>
    <row r="747" ht="13.5" customHeight="1">
      <c r="A747" s="15"/>
    </row>
    <row r="748" ht="13.5" customHeight="1">
      <c r="A748" s="15"/>
    </row>
    <row r="749" ht="13.5" customHeight="1">
      <c r="A749" s="15"/>
    </row>
    <row r="750" ht="13.5" customHeight="1">
      <c r="A750" s="15"/>
    </row>
    <row r="751" ht="13.5" customHeight="1">
      <c r="A751" s="15"/>
    </row>
    <row r="752" ht="13.5" customHeight="1">
      <c r="A752" s="15"/>
    </row>
    <row r="753" ht="13.5" customHeight="1">
      <c r="A753" s="15"/>
    </row>
    <row r="754" ht="13.5" customHeight="1">
      <c r="A754" s="15"/>
    </row>
    <row r="755" ht="13.5" customHeight="1">
      <c r="A755" s="15"/>
    </row>
    <row r="756" ht="13.5" customHeight="1">
      <c r="A756" s="15"/>
    </row>
    <row r="757" ht="13.5" customHeight="1">
      <c r="A757" s="15"/>
    </row>
    <row r="758" ht="13.5" customHeight="1">
      <c r="A758" s="15"/>
    </row>
    <row r="759" ht="13.5" customHeight="1">
      <c r="A759" s="15"/>
    </row>
    <row r="760" ht="13.5" customHeight="1">
      <c r="A760" s="15"/>
    </row>
    <row r="761" ht="13.5" customHeight="1">
      <c r="A761" s="15"/>
    </row>
    <row r="762" ht="13.5" customHeight="1">
      <c r="A762" s="15"/>
    </row>
    <row r="763" ht="13.5" customHeight="1">
      <c r="A763" s="15"/>
    </row>
    <row r="764" ht="13.5" customHeight="1">
      <c r="A764" s="15"/>
    </row>
    <row r="765" ht="13.5" customHeight="1">
      <c r="A765" s="15"/>
    </row>
    <row r="766" ht="13.5" customHeight="1">
      <c r="A766" s="15"/>
    </row>
    <row r="767" ht="13.5" customHeight="1">
      <c r="A767" s="15"/>
    </row>
    <row r="768" ht="13.5" customHeight="1">
      <c r="A768" s="15"/>
    </row>
    <row r="769" ht="13.5" customHeight="1">
      <c r="A769" s="15"/>
    </row>
    <row r="770" ht="13.5" customHeight="1">
      <c r="A770" s="15"/>
    </row>
    <row r="771" ht="13.5" customHeight="1">
      <c r="A771" s="15"/>
    </row>
    <row r="772" ht="13.5" customHeight="1">
      <c r="A772" s="15"/>
    </row>
    <row r="773" ht="13.5" customHeight="1">
      <c r="A773" s="15"/>
    </row>
    <row r="774" ht="13.5" customHeight="1">
      <c r="A774" s="15"/>
    </row>
    <row r="775" ht="13.5" customHeight="1">
      <c r="A775" s="15"/>
    </row>
    <row r="776" ht="13.5" customHeight="1">
      <c r="A776" s="15"/>
    </row>
    <row r="777" ht="13.5" customHeight="1">
      <c r="A777" s="15"/>
    </row>
    <row r="778" ht="13.5" customHeight="1">
      <c r="A778" s="15"/>
    </row>
    <row r="779" ht="13.5" customHeight="1">
      <c r="A779" s="15"/>
    </row>
    <row r="780" ht="13.5" customHeight="1">
      <c r="A780" s="15"/>
    </row>
    <row r="781" ht="13.5" customHeight="1">
      <c r="A781" s="15"/>
    </row>
    <row r="782" ht="13.5" customHeight="1">
      <c r="A782" s="15"/>
    </row>
    <row r="783" ht="13.5" customHeight="1">
      <c r="A783" s="15"/>
    </row>
    <row r="784" ht="13.5" customHeight="1">
      <c r="A784" s="15"/>
    </row>
    <row r="785" ht="13.5" customHeight="1">
      <c r="A785" s="15"/>
    </row>
    <row r="786" ht="13.5" customHeight="1">
      <c r="A786" s="15"/>
    </row>
    <row r="787" ht="13.5" customHeight="1">
      <c r="A787" s="15"/>
    </row>
    <row r="788" ht="13.5" customHeight="1">
      <c r="A788" s="15"/>
    </row>
    <row r="789" ht="13.5" customHeight="1">
      <c r="A789" s="15"/>
    </row>
    <row r="790" ht="13.5" customHeight="1">
      <c r="A790" s="15"/>
    </row>
    <row r="791" ht="13.5" customHeight="1">
      <c r="A791" s="15"/>
    </row>
    <row r="792" ht="13.5" customHeight="1">
      <c r="A792" s="15"/>
    </row>
    <row r="793" ht="13.5" customHeight="1">
      <c r="A793" s="15"/>
    </row>
    <row r="794" ht="13.5" customHeight="1">
      <c r="A794" s="15"/>
    </row>
    <row r="795" ht="13.5" customHeight="1">
      <c r="A795" s="15"/>
    </row>
    <row r="796" ht="13.5" customHeight="1">
      <c r="A796" s="15"/>
    </row>
    <row r="797" ht="13.5" customHeight="1">
      <c r="A797" s="15"/>
    </row>
    <row r="798" ht="13.5" customHeight="1">
      <c r="A798" s="15"/>
    </row>
    <row r="799" ht="13.5" customHeight="1">
      <c r="A799" s="15"/>
    </row>
    <row r="800" ht="13.5" customHeight="1">
      <c r="A800" s="15"/>
    </row>
    <row r="801" ht="13.5" customHeight="1">
      <c r="A801" s="15"/>
    </row>
    <row r="802" ht="13.5" customHeight="1">
      <c r="A802" s="15"/>
    </row>
    <row r="803" ht="13.5" customHeight="1">
      <c r="A803" s="15"/>
    </row>
    <row r="804" ht="13.5" customHeight="1">
      <c r="A804" s="15"/>
    </row>
    <row r="805" ht="13.5" customHeight="1">
      <c r="A805" s="15"/>
    </row>
    <row r="806" ht="13.5" customHeight="1">
      <c r="A806" s="15"/>
    </row>
    <row r="807" ht="13.5" customHeight="1">
      <c r="A807" s="15"/>
    </row>
    <row r="808" ht="13.5" customHeight="1">
      <c r="A808" s="15"/>
    </row>
    <row r="809" ht="13.5" customHeight="1">
      <c r="A809" s="15"/>
    </row>
    <row r="810" ht="13.5" customHeight="1">
      <c r="A810" s="15"/>
    </row>
    <row r="811" ht="13.5" customHeight="1">
      <c r="A811" s="15"/>
    </row>
    <row r="812" ht="13.5" customHeight="1">
      <c r="A812" s="15"/>
    </row>
    <row r="813" ht="13.5" customHeight="1">
      <c r="A813" s="15"/>
    </row>
    <row r="814" ht="13.5" customHeight="1">
      <c r="A814" s="15"/>
    </row>
    <row r="815" ht="13.5" customHeight="1">
      <c r="A815" s="15"/>
    </row>
    <row r="816" ht="13.5" customHeight="1">
      <c r="A816" s="15"/>
    </row>
    <row r="817" ht="13.5" customHeight="1">
      <c r="A817" s="15"/>
    </row>
    <row r="818" ht="13.5" customHeight="1">
      <c r="A818" s="15"/>
    </row>
    <row r="819" ht="13.5" customHeight="1">
      <c r="A819" s="15"/>
    </row>
    <row r="820" ht="13.5" customHeight="1">
      <c r="A820" s="15"/>
    </row>
    <row r="821" ht="13.5" customHeight="1">
      <c r="A821" s="15"/>
    </row>
    <row r="822" ht="13.5" customHeight="1">
      <c r="A822" s="15"/>
    </row>
    <row r="823" ht="13.5" customHeight="1">
      <c r="A823" s="15"/>
    </row>
    <row r="824" ht="13.5" customHeight="1">
      <c r="A824" s="15"/>
    </row>
    <row r="825" ht="13.5" customHeight="1">
      <c r="A825" s="15"/>
    </row>
    <row r="826" ht="13.5" customHeight="1">
      <c r="A826" s="15"/>
    </row>
    <row r="827" ht="13.5" customHeight="1">
      <c r="A827" s="15"/>
    </row>
    <row r="828" ht="13.5" customHeight="1">
      <c r="A828" s="15"/>
    </row>
    <row r="829" ht="13.5" customHeight="1">
      <c r="A829" s="15"/>
    </row>
    <row r="830" ht="13.5" customHeight="1">
      <c r="A830" s="15"/>
    </row>
    <row r="831" ht="13.5" customHeight="1">
      <c r="A831" s="15"/>
    </row>
    <row r="832" ht="13.5" customHeight="1">
      <c r="A832" s="15"/>
    </row>
    <row r="833" ht="13.5" customHeight="1">
      <c r="A833" s="15"/>
    </row>
    <row r="834" ht="13.5" customHeight="1">
      <c r="A834" s="15"/>
    </row>
    <row r="835" ht="13.5" customHeight="1">
      <c r="A835" s="15"/>
    </row>
    <row r="836" ht="13.5" customHeight="1">
      <c r="A836" s="15"/>
    </row>
    <row r="837" ht="13.5" customHeight="1">
      <c r="A837" s="15"/>
    </row>
    <row r="838" ht="13.5" customHeight="1">
      <c r="A838" s="15"/>
    </row>
    <row r="839" ht="13.5" customHeight="1">
      <c r="A839" s="15"/>
    </row>
    <row r="840" ht="13.5" customHeight="1">
      <c r="A840" s="15"/>
    </row>
    <row r="841" ht="13.5" customHeight="1">
      <c r="A841" s="15"/>
    </row>
    <row r="842" ht="13.5" customHeight="1">
      <c r="A842" s="15"/>
    </row>
    <row r="843" ht="13.5" customHeight="1">
      <c r="A843" s="15"/>
    </row>
    <row r="844" ht="13.5" customHeight="1">
      <c r="A844" s="15"/>
    </row>
    <row r="845" ht="13.5" customHeight="1">
      <c r="A845" s="15"/>
    </row>
    <row r="846" ht="13.5" customHeight="1">
      <c r="A846" s="15"/>
    </row>
    <row r="847" ht="13.5" customHeight="1">
      <c r="A847" s="15"/>
    </row>
    <row r="848" ht="13.5" customHeight="1">
      <c r="A848" s="15"/>
    </row>
    <row r="849" ht="13.5" customHeight="1">
      <c r="A849" s="15"/>
    </row>
    <row r="850" ht="13.5" customHeight="1">
      <c r="A850" s="15"/>
    </row>
    <row r="851" ht="13.5" customHeight="1">
      <c r="A851" s="15"/>
    </row>
    <row r="852" ht="13.5" customHeight="1">
      <c r="A852" s="15"/>
    </row>
    <row r="853" ht="13.5" customHeight="1">
      <c r="A853" s="15"/>
    </row>
    <row r="854" ht="13.5" customHeight="1">
      <c r="A854" s="15"/>
    </row>
    <row r="855" ht="13.5" customHeight="1">
      <c r="A855" s="15"/>
    </row>
    <row r="856" ht="13.5" customHeight="1">
      <c r="A856" s="15"/>
    </row>
    <row r="857" ht="13.5" customHeight="1">
      <c r="A857" s="15"/>
    </row>
    <row r="858" ht="13.5" customHeight="1">
      <c r="A858" s="15"/>
    </row>
    <row r="859" ht="13.5" customHeight="1">
      <c r="A859" s="15"/>
    </row>
    <row r="860" ht="13.5" customHeight="1">
      <c r="A860" s="15"/>
    </row>
    <row r="861" ht="13.5" customHeight="1">
      <c r="A861" s="15"/>
    </row>
    <row r="862" ht="13.5" customHeight="1">
      <c r="A862" s="15"/>
    </row>
    <row r="863" ht="13.5" customHeight="1">
      <c r="A863" s="15"/>
    </row>
    <row r="864" ht="13.5" customHeight="1">
      <c r="A864" s="15"/>
    </row>
    <row r="865" ht="13.5" customHeight="1">
      <c r="A865" s="15"/>
    </row>
    <row r="866" ht="13.5" customHeight="1">
      <c r="A866" s="15"/>
    </row>
    <row r="867" ht="13.5" customHeight="1">
      <c r="A867" s="15"/>
    </row>
    <row r="868" ht="13.5" customHeight="1">
      <c r="A868" s="15"/>
    </row>
    <row r="869" ht="13.5" customHeight="1">
      <c r="A869" s="15"/>
    </row>
    <row r="870" ht="13.5" customHeight="1">
      <c r="A870" s="15"/>
    </row>
    <row r="871" ht="13.5" customHeight="1">
      <c r="A871" s="15"/>
    </row>
    <row r="872" ht="13.5" customHeight="1">
      <c r="A872" s="15"/>
    </row>
    <row r="873" ht="13.5" customHeight="1">
      <c r="A873" s="15"/>
    </row>
    <row r="874" ht="13.5" customHeight="1">
      <c r="A874" s="15"/>
    </row>
    <row r="875" ht="13.5" customHeight="1">
      <c r="A875" s="15"/>
    </row>
    <row r="876" ht="13.5" customHeight="1">
      <c r="A876" s="15"/>
    </row>
    <row r="877" ht="13.5" customHeight="1">
      <c r="A877" s="15"/>
    </row>
    <row r="878" ht="13.5" customHeight="1">
      <c r="A878" s="15"/>
    </row>
    <row r="879" ht="13.5" customHeight="1">
      <c r="A879" s="15"/>
    </row>
    <row r="880" ht="13.5" customHeight="1">
      <c r="A880" s="15"/>
    </row>
    <row r="881" ht="13.5" customHeight="1">
      <c r="A881" s="15"/>
    </row>
    <row r="882" ht="13.5" customHeight="1">
      <c r="A882" s="15"/>
    </row>
    <row r="883" ht="13.5" customHeight="1">
      <c r="A883" s="15"/>
    </row>
    <row r="884" ht="13.5" customHeight="1">
      <c r="A884" s="15"/>
    </row>
    <row r="885" ht="13.5" customHeight="1">
      <c r="A885" s="15"/>
    </row>
    <row r="886" ht="13.5" customHeight="1">
      <c r="A886" s="15"/>
    </row>
    <row r="887" ht="13.5" customHeight="1">
      <c r="A887" s="15"/>
    </row>
    <row r="888" ht="13.5" customHeight="1">
      <c r="A888" s="15"/>
    </row>
    <row r="889" ht="13.5" customHeight="1">
      <c r="A889" s="15"/>
    </row>
    <row r="890" ht="13.5" customHeight="1">
      <c r="A890" s="15"/>
    </row>
    <row r="891" ht="13.5" customHeight="1">
      <c r="A891" s="15"/>
    </row>
    <row r="892" ht="13.5" customHeight="1">
      <c r="A892" s="15"/>
    </row>
    <row r="893" ht="13.5" customHeight="1">
      <c r="A893" s="15"/>
    </row>
    <row r="894" ht="13.5" customHeight="1">
      <c r="A894" s="15"/>
    </row>
    <row r="895" ht="13.5" customHeight="1">
      <c r="A895" s="15"/>
    </row>
    <row r="896" ht="13.5" customHeight="1">
      <c r="A896" s="15"/>
    </row>
    <row r="897" ht="13.5" customHeight="1">
      <c r="A897" s="15"/>
    </row>
    <row r="898" ht="13.5" customHeight="1">
      <c r="A898" s="15"/>
    </row>
    <row r="899" ht="13.5" customHeight="1">
      <c r="A899" s="15"/>
    </row>
    <row r="900" ht="13.5" customHeight="1">
      <c r="A900" s="15"/>
    </row>
    <row r="901" ht="13.5" customHeight="1">
      <c r="A901" s="15"/>
    </row>
    <row r="902" ht="13.5" customHeight="1">
      <c r="A902" s="15"/>
    </row>
    <row r="903" ht="13.5" customHeight="1">
      <c r="A903" s="15"/>
    </row>
    <row r="904" ht="13.5" customHeight="1">
      <c r="A904" s="15"/>
    </row>
    <row r="905" ht="13.5" customHeight="1">
      <c r="A905" s="15"/>
    </row>
    <row r="906" ht="13.5" customHeight="1">
      <c r="A906" s="15"/>
    </row>
    <row r="907" ht="13.5" customHeight="1">
      <c r="A907" s="15"/>
    </row>
    <row r="908" ht="13.5" customHeight="1">
      <c r="A908" s="15"/>
    </row>
    <row r="909" ht="13.5" customHeight="1">
      <c r="A909" s="15"/>
    </row>
    <row r="910" ht="13.5" customHeight="1">
      <c r="A910" s="15"/>
    </row>
    <row r="911" ht="13.5" customHeight="1">
      <c r="A911" s="15"/>
    </row>
    <row r="912" ht="13.5" customHeight="1">
      <c r="A912" s="15"/>
    </row>
    <row r="913" ht="13.5" customHeight="1">
      <c r="A913" s="15"/>
    </row>
    <row r="914" ht="13.5" customHeight="1">
      <c r="A914" s="15"/>
    </row>
    <row r="915" ht="13.5" customHeight="1">
      <c r="A915" s="15"/>
    </row>
    <row r="916" ht="13.5" customHeight="1">
      <c r="A916" s="15"/>
    </row>
    <row r="917" ht="13.5" customHeight="1">
      <c r="A917" s="15"/>
    </row>
    <row r="918" ht="13.5" customHeight="1">
      <c r="A918" s="15"/>
    </row>
    <row r="919" ht="13.5" customHeight="1">
      <c r="A919" s="15"/>
    </row>
    <row r="920" ht="13.5" customHeight="1">
      <c r="A920" s="15"/>
    </row>
    <row r="921" ht="13.5" customHeight="1">
      <c r="A921" s="15"/>
    </row>
    <row r="922" ht="13.5" customHeight="1">
      <c r="A922" s="15"/>
    </row>
    <row r="923" ht="13.5" customHeight="1">
      <c r="A923" s="15"/>
    </row>
    <row r="924" ht="13.5" customHeight="1">
      <c r="A924" s="15"/>
    </row>
    <row r="925" ht="13.5" customHeight="1">
      <c r="A925" s="15"/>
    </row>
    <row r="926" ht="13.5" customHeight="1">
      <c r="A926" s="15"/>
    </row>
    <row r="927" ht="13.5" customHeight="1">
      <c r="A927" s="15"/>
    </row>
    <row r="928" ht="13.5" customHeight="1">
      <c r="A928" s="15"/>
    </row>
    <row r="929" ht="13.5" customHeight="1">
      <c r="A929" s="15"/>
    </row>
    <row r="930" ht="13.5" customHeight="1">
      <c r="A930" s="15"/>
    </row>
    <row r="931" ht="13.5" customHeight="1">
      <c r="A931" s="15"/>
    </row>
    <row r="932" ht="13.5" customHeight="1">
      <c r="A932" s="15"/>
    </row>
    <row r="933" ht="13.5" customHeight="1">
      <c r="A933" s="15"/>
    </row>
    <row r="934" ht="13.5" customHeight="1">
      <c r="A934" s="15"/>
    </row>
    <row r="935" ht="13.5" customHeight="1">
      <c r="A935" s="15"/>
    </row>
    <row r="936" ht="13.5" customHeight="1">
      <c r="A936" s="15"/>
    </row>
    <row r="937" ht="13.5" customHeight="1">
      <c r="A937" s="15"/>
    </row>
    <row r="938" ht="13.5" customHeight="1">
      <c r="A938" s="15"/>
    </row>
    <row r="939" ht="13.5" customHeight="1">
      <c r="A939" s="15"/>
    </row>
    <row r="940" ht="13.5" customHeight="1">
      <c r="A940" s="15"/>
    </row>
    <row r="941" ht="13.5" customHeight="1">
      <c r="A941" s="15"/>
    </row>
    <row r="942" ht="13.5" customHeight="1">
      <c r="A942" s="15"/>
    </row>
    <row r="943" ht="13.5" customHeight="1">
      <c r="A943" s="15"/>
    </row>
    <row r="944" ht="13.5" customHeight="1">
      <c r="A944" s="15"/>
    </row>
    <row r="945" ht="13.5" customHeight="1">
      <c r="A945" s="15"/>
    </row>
    <row r="946" ht="13.5" customHeight="1">
      <c r="A946" s="15"/>
    </row>
    <row r="947" ht="13.5" customHeight="1">
      <c r="A947" s="15"/>
    </row>
    <row r="948" ht="13.5" customHeight="1">
      <c r="A948" s="15"/>
    </row>
    <row r="949" ht="13.5" customHeight="1">
      <c r="A949" s="15"/>
    </row>
    <row r="950" ht="13.5" customHeight="1">
      <c r="A950" s="15"/>
    </row>
    <row r="951" ht="13.5" customHeight="1">
      <c r="A951" s="15"/>
    </row>
    <row r="952" ht="13.5" customHeight="1">
      <c r="A952" s="15"/>
    </row>
    <row r="953" ht="13.5" customHeight="1">
      <c r="A953" s="15"/>
    </row>
    <row r="954" ht="13.5" customHeight="1">
      <c r="A954" s="15"/>
    </row>
    <row r="955" ht="13.5" customHeight="1">
      <c r="A955" s="15"/>
    </row>
    <row r="956" ht="13.5" customHeight="1">
      <c r="A956" s="15"/>
    </row>
    <row r="957" ht="13.5" customHeight="1">
      <c r="A957" s="15"/>
    </row>
    <row r="958" ht="13.5" customHeight="1">
      <c r="A958" s="15"/>
    </row>
    <row r="959" ht="13.5" customHeight="1">
      <c r="A959" s="15"/>
    </row>
    <row r="960" ht="13.5" customHeight="1">
      <c r="A960" s="15"/>
    </row>
    <row r="961" ht="13.5" customHeight="1">
      <c r="A961" s="15"/>
    </row>
    <row r="962" ht="13.5" customHeight="1">
      <c r="A962" s="15"/>
    </row>
    <row r="963" ht="13.5" customHeight="1">
      <c r="A963" s="15"/>
    </row>
    <row r="964" ht="13.5" customHeight="1">
      <c r="A964" s="15"/>
    </row>
    <row r="965" ht="13.5" customHeight="1">
      <c r="A965" s="15"/>
    </row>
    <row r="966" ht="13.5" customHeight="1">
      <c r="A966" s="15"/>
    </row>
    <row r="967" ht="13.5" customHeight="1">
      <c r="A967" s="15"/>
    </row>
    <row r="968" ht="13.5" customHeight="1">
      <c r="A968" s="15"/>
    </row>
    <row r="969" ht="13.5" customHeight="1">
      <c r="A969" s="15"/>
    </row>
    <row r="970" ht="13.5" customHeight="1">
      <c r="A970" s="15"/>
    </row>
    <row r="971" ht="13.5" customHeight="1">
      <c r="A971" s="15"/>
    </row>
    <row r="972" ht="13.5" customHeight="1">
      <c r="A972" s="15"/>
    </row>
    <row r="973" ht="13.5" customHeight="1">
      <c r="A973" s="15"/>
    </row>
    <row r="974" ht="13.5" customHeight="1">
      <c r="A974" s="15"/>
    </row>
    <row r="975" ht="13.5" customHeight="1">
      <c r="A975" s="15"/>
    </row>
    <row r="976" ht="13.5" customHeight="1">
      <c r="A976" s="15"/>
    </row>
    <row r="977" ht="13.5" customHeight="1">
      <c r="A977" s="15"/>
    </row>
    <row r="978" ht="13.5" customHeight="1">
      <c r="A978" s="15"/>
    </row>
    <row r="979" ht="13.5" customHeight="1">
      <c r="A979" s="15"/>
    </row>
    <row r="980" ht="13.5" customHeight="1">
      <c r="A980" s="15"/>
    </row>
    <row r="981" ht="13.5" customHeight="1">
      <c r="A981" s="15"/>
    </row>
    <row r="982" ht="13.5" customHeight="1">
      <c r="A982" s="15"/>
    </row>
    <row r="983" ht="13.5" customHeight="1">
      <c r="A983" s="15"/>
    </row>
    <row r="984" ht="13.5" customHeight="1">
      <c r="A984" s="15"/>
    </row>
    <row r="985" ht="13.5" customHeight="1">
      <c r="A985" s="15"/>
    </row>
    <row r="986" ht="13.5" customHeight="1">
      <c r="A986" s="15"/>
    </row>
    <row r="987" ht="13.5" customHeight="1">
      <c r="A987" s="15"/>
    </row>
    <row r="988" ht="13.5" customHeight="1">
      <c r="A988" s="15"/>
    </row>
    <row r="989" ht="13.5" customHeight="1">
      <c r="A989" s="15"/>
    </row>
    <row r="990" ht="13.5" customHeight="1">
      <c r="A990" s="15"/>
    </row>
    <row r="991" ht="13.5" customHeight="1">
      <c r="A991" s="15"/>
    </row>
    <row r="992" ht="13.5" customHeight="1">
      <c r="A992" s="15"/>
    </row>
    <row r="993" ht="13.5" customHeight="1">
      <c r="A993" s="15"/>
    </row>
    <row r="994" ht="13.5" customHeight="1">
      <c r="A994" s="15"/>
    </row>
    <row r="995" ht="13.5" customHeight="1">
      <c r="A995" s="15"/>
    </row>
    <row r="996" ht="13.5" customHeight="1">
      <c r="A996" s="15"/>
    </row>
    <row r="997" ht="13.5" customHeight="1">
      <c r="A997" s="15"/>
    </row>
    <row r="998" ht="13.5" customHeight="1">
      <c r="A998" s="15"/>
    </row>
    <row r="999" ht="13.5" customHeight="1">
      <c r="A999" s="15"/>
    </row>
    <row r="1000" ht="13.5" customHeight="1">
      <c r="A1000" s="15"/>
    </row>
  </sheetData>
  <conditionalFormatting sqref="B2:E35">
    <cfRule type="expression" dxfId="0" priority="1">
      <formula>LEN(B2:E35)&gt;300</formula>
    </cfRule>
  </conditionalFormatting>
  <conditionalFormatting sqref="B2:E35">
    <cfRule type="expression" dxfId="1" priority="2">
      <formula>LEN(B2:E35)&gt;500</formula>
    </cfRule>
  </conditionalFormatting>
  <dataValidations>
    <dataValidation type="custom" allowBlank="1" showInputMessage="1" prompt="Trop de carractère - Trop de carractère" sqref="B2:E35 D36:E44 D45:D81">
      <formula1>LEN(B2:E35)&lt;300</formula1>
    </dataValidation>
  </dataValidations>
  <printOptions/>
  <pageMargins bottom="0.75" footer="0.0" header="0.0" left="0.7" right="0.7" top="0.75"/>
  <pageSetup paperSize="9" orientation="portrait"/>
  <drawing r:id="rId1"/>
</worksheet>
</file>